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3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7.xml" ContentType="application/vnd.openxmlformats-officedocument.drawing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Vaughan\Desktop\"/>
    </mc:Choice>
  </mc:AlternateContent>
  <bookViews>
    <workbookView xWindow="28680" yWindow="-120" windowWidth="29040" windowHeight="15840" tabRatio="923" firstSheet="4" activeTab="15"/>
  </bookViews>
  <sheets>
    <sheet name="i.SR" sheetId="84" r:id="rId1"/>
    <sheet name="Cover" sheetId="76" r:id="rId2"/>
    <sheet name="Drivers Tabs-&gt;" sheetId="72" r:id="rId3"/>
    <sheet name="Input" sheetId="29" r:id="rId4"/>
    <sheet name="Input Plant" sheetId="46" r:id="rId5"/>
    <sheet name="Input Seg of CWIP" sheetId="58" r:id="rId6"/>
    <sheet name="Input Tax Rate" sheetId="52" r:id="rId7"/>
    <sheet name="Input WFNG" sheetId="79" r:id="rId8"/>
    <sheet name="Model Tabs-&gt;" sheetId="73" r:id="rId9"/>
    <sheet name="IncomeStmt" sheetId="8" r:id="rId10"/>
    <sheet name="Bal Sheet" sheetId="15" r:id="rId11"/>
    <sheet name="Debt &amp; Cust Dep" sheetId="38" r:id="rId12"/>
    <sheet name="Cap Str 54.7%" sheetId="69" r:id="rId13"/>
    <sheet name="Int Synch" sheetId="3" r:id="rId14"/>
    <sheet name="Output Tabs-&gt;" sheetId="74" r:id="rId15"/>
    <sheet name="Report" sheetId="1" r:id="rId16"/>
    <sheet name="Reconcil" sheetId="2" r:id="rId17"/>
    <sheet name="Report YE" sheetId="53" r:id="rId18"/>
    <sheet name="Reconcil YE" sheetId="57" r:id="rId19"/>
    <sheet name="MSEA" sheetId="39" state="hidden" r:id="rId20"/>
    <sheet name="AFUDC Sch A " sheetId="65" r:id="rId21"/>
    <sheet name="AFUDC Sch B" sheetId="66" r:id="rId22"/>
    <sheet name="AFUDC Sch C" sheetId="67" r:id="rId23"/>
    <sheet name="Comparison Report Tabs-&gt;" sheetId="75" r:id="rId24"/>
    <sheet name="COMP Act to Prior" sheetId="36" r:id="rId25"/>
    <sheet name="COMP to Budget Q2" sheetId="48" state="hidden" r:id="rId26"/>
    <sheet name="COMP to 23 SR Bud" sheetId="89" r:id="rId27"/>
    <sheet name="Market ROE Working Tab" sheetId="82" r:id="rId28"/>
    <sheet name="NOT UPDATED -------&gt;" sheetId="80" r:id="rId29"/>
    <sheet name="Quarterly" sheetId="47" r:id="rId30"/>
    <sheet name="COMP to Final Bud" sheetId="70" r:id="rId31"/>
    <sheet name="COMP to 2+10F" sheetId="61" r:id="rId32"/>
    <sheet name="COMP to 5+7F" sheetId="85" r:id="rId33"/>
    <sheet name="COMP to 6+6F" sheetId="86" r:id="rId34"/>
    <sheet name="COMP to 7+5F" sheetId="87" r:id="rId35"/>
    <sheet name="COMP to Prior 8+4F" sheetId="62" r:id="rId36"/>
    <sheet name="COMP to Orig Bud" sheetId="88" r:id="rId37"/>
    <sheet name="COMP to LTF" sheetId="77" r:id="rId38"/>
    <sheet name="COMP to 2020 Strat" sheetId="55" r:id="rId39"/>
    <sheet name="COMP to Q3F" sheetId="68" r:id="rId40"/>
    <sheet name="Quarterly vs 0+12 vs Q1F" sheetId="63" r:id="rId41"/>
    <sheet name="Monthly" sheetId="60" r:id="rId42"/>
    <sheet name="Market ROE Recon - Bud" sheetId="81" state="hidden" r:id="rId43"/>
    <sheet name="Summary of Mark to Reg" sheetId="83" r:id="rId44"/>
  </sheets>
  <definedNames>
    <definedName name="_Key1" hidden="1">#REF!</definedName>
    <definedName name="_Order1" hidden="1">255</definedName>
    <definedName name="_Sort" hidden="1">#REF!</definedName>
    <definedName name="Bal_Sheet">'Bal Sheet'!$A$1:$CU$109</definedName>
    <definedName name="CIQWBGuid" hidden="1">"f0842c6b-4f67-4da4-8ab9-05f9b8d91da0"</definedName>
    <definedName name="CYFGSGF">#REF!</definedName>
    <definedName name="DAT">#REF!</definedName>
    <definedName name="dcHundred">100</definedName>
    <definedName name="dcMonthsinYear">12</definedName>
    <definedName name="dcThousands">1000</definedName>
    <definedName name="EV__LASTREFTIME__" hidden="1">"(GMT-05:00)9/28/2017 1:11:18 PM"</definedName>
    <definedName name="Interest_synch">'Int Synch'!$A$4:$E$35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LASSB_OUTSTANDING_BS_DATE" hidden="1">"c1972"</definedName>
    <definedName name="IQ_CLASSB_OUTSTANDING_FILING_DATE" hidden="1">"c1974"</definedName>
    <definedName name="IQ_COMMON_APIC_BR" hidden="1">"c185"</definedName>
    <definedName name="IQ_COMMON_ISSUED_BR" hidden="1">"c199"</definedName>
    <definedName name="IQ_COMMON_REP_BR" hidden="1">"c208"</definedName>
    <definedName name="IQ_CONV_RATE" hidden="1">"c2192"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ST_EPS_SURPRISE" hidden="1">"c1635"</definedName>
    <definedName name="IQ_EXTRA_ACC_ITEMS_BR" hidden="1">"c412"</definedName>
    <definedName name="IQ_FH">100000</definedName>
    <definedName name="IQ_FHLB_DUE_AFTER_FIVE" hidden="1">"c2086"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TEL_EPS_EST" hidden="1">"c24729"</definedName>
    <definedName name="IQ_INTEREST_LT_DEBT" hidden="1">"c2086"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ISTING_CURRENCY" hidden="1">"c2127"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CRO_SURVEY_CONSUMER_SENTIMENT" hidden="1">"c20808"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44420.558275463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NUM_OFFICES" hidden="1">"c2088"</definedName>
    <definedName name="IQ_NUMBER_SHAREHOLDERS_CLASSB" hidden="1">"c1969"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ARGET_PRICE_LASTCLOSE" hidden="1">"c1855"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Last_Row" localSheetId="31">IF('COMP to 2+10F'!Values_Entered,Header_Row+'COMP to 2+10F'!Number_of_Payments,Header_Row)</definedName>
    <definedName name="Last_Row" localSheetId="26">IF('COMP to 23 SR Bud'!Values_Entered,Header_Row+'COMP to 23 SR Bud'!Number_of_Payments,Header_Row)</definedName>
    <definedName name="Last_Row" localSheetId="32">IF('COMP to 5+7F'!Values_Entered,Header_Row+'COMP to 5+7F'!Number_of_Payments,Header_Row)</definedName>
    <definedName name="Last_Row" localSheetId="33">IF('COMP to 6+6F'!Values_Entered,Header_Row+'COMP to 6+6F'!Number_of_Payments,Header_Row)</definedName>
    <definedName name="Last_Row" localSheetId="34">IF('COMP to 7+5F'!Values_Entered,Header_Row+'COMP to 7+5F'!Number_of_Payments,Header_Row)</definedName>
    <definedName name="Last_Row" localSheetId="30">IF('COMP to Final Bud'!Values_Entered,Header_Row+'COMP to Final Bud'!Number_of_Payments,Header_Row)</definedName>
    <definedName name="Last_Row" localSheetId="37">IF('COMP to LTF'!Values_Entered,Header_Row+'COMP to LTF'!Number_of_Payments,Header_Row)</definedName>
    <definedName name="Last_Row" localSheetId="36">IF('COMP to Orig Bud'!Values_Entered,Header_Row+'COMP to Orig Bud'!Number_of_Payments,Header_Row)</definedName>
    <definedName name="Last_Row" localSheetId="35">IF('COMP to Prior 8+4F'!Values_Entered,Header_Row+'COMP to Prior 8+4F'!Number_of_Payments,Header_Row)</definedName>
    <definedName name="Last_Row" localSheetId="39">IF('COMP to Q3F'!Values_Entered,Header_Row+'COMP to Q3F'!Number_of_Payments,Header_Row)</definedName>
    <definedName name="Last_Row" localSheetId="27">IF('Market ROE Working Tab'!Values_Entered,Header_Row+'Market ROE Working Tab'!Number_of_Payments,Header_Row)</definedName>
    <definedName name="Last_Row" localSheetId="41">IF(Monthly!Values_Entered,Header_Row+Monthly!Number_of_Payments,Header_Row)</definedName>
    <definedName name="Last_Row" localSheetId="40">IF('Quarterly vs 0+12 vs Q1F'!Values_Entered,Header_Row+'Quarterly vs 0+12 vs Q1F'!Number_of_Payments,Header_Row)</definedName>
    <definedName name="Last_Row">IF(Values_Entered,Header_Row+Number_of_Payments,Header_Row)</definedName>
    <definedName name="MACROS">#REF!</definedName>
    <definedName name="Number_of_Payments" localSheetId="31">MATCH(0.01,End_Bal,-1)+1</definedName>
    <definedName name="Number_of_Payments" localSheetId="26">MATCH(0.01,End_Bal,-1)+1</definedName>
    <definedName name="Number_of_Payments" localSheetId="32">MATCH(0.01,End_Bal,-1)+1</definedName>
    <definedName name="Number_of_Payments" localSheetId="33">MATCH(0.01,End_Bal,-1)+1</definedName>
    <definedName name="Number_of_Payments" localSheetId="34">MATCH(0.01,End_Bal,-1)+1</definedName>
    <definedName name="Number_of_Payments" localSheetId="30">MATCH(0.01,End_Bal,-1)+1</definedName>
    <definedName name="Number_of_Payments" localSheetId="37">MATCH(0.01,End_Bal,-1)+1</definedName>
    <definedName name="Number_of_Payments" localSheetId="36">MATCH(0.01,End_Bal,-1)+1</definedName>
    <definedName name="Number_of_Payments" localSheetId="35">MATCH(0.01,End_Bal,-1)+1</definedName>
    <definedName name="Number_of_Payments" localSheetId="39">MATCH(0.01,End_Bal,-1)+1</definedName>
    <definedName name="Number_of_Payments" localSheetId="27">MATCH(0.01,End_Bal,-1)+1</definedName>
    <definedName name="Number_of_Payments" localSheetId="41">MATCH(0.01,End_Bal,-1)+1</definedName>
    <definedName name="Number_of_Payments" localSheetId="40">MATCH(0.01,End_Bal,-1)+1</definedName>
    <definedName name="Number_of_Payments">MATCH(0.01,End_Bal,-1)+1</definedName>
    <definedName name="Payment_Date" localSheetId="31">DATE(YEAR(Loan_Start),MONTH(Loan_Start)+Payment_Number,DAY(Loan_Start))</definedName>
    <definedName name="Payment_Date" localSheetId="26">DATE(YEAR(Loan_Start),MONTH(Loan_Start)+Payment_Number,DAY(Loan_Start))</definedName>
    <definedName name="Payment_Date" localSheetId="32">DATE(YEAR(Loan_Start),MONTH(Loan_Start)+Payment_Number,DAY(Loan_Start))</definedName>
    <definedName name="Payment_Date" localSheetId="33">DATE(YEAR(Loan_Start),MONTH(Loan_Start)+Payment_Number,DAY(Loan_Start))</definedName>
    <definedName name="Payment_Date" localSheetId="34">DATE(YEAR(Loan_Start),MONTH(Loan_Start)+Payment_Number,DAY(Loan_Start))</definedName>
    <definedName name="Payment_Date" localSheetId="30">DATE(YEAR(Loan_Start),MONTH(Loan_Start)+Payment_Number,DAY(Loan_Start))</definedName>
    <definedName name="Payment_Date" localSheetId="37">DATE(YEAR(Loan_Start),MONTH(Loan_Start)+Payment_Number,DAY(Loan_Start))</definedName>
    <definedName name="Payment_Date" localSheetId="36">DATE(YEAR(Loan_Start),MONTH(Loan_Start)+Payment_Number,DAY(Loan_Start))</definedName>
    <definedName name="Payment_Date" localSheetId="35">DATE(YEAR(Loan_Start),MONTH(Loan_Start)+Payment_Number,DAY(Loan_Start))</definedName>
    <definedName name="Payment_Date" localSheetId="39">DATE(YEAR(Loan_Start),MONTH(Loan_Start)+Payment_Number,DAY(Loan_Start))</definedName>
    <definedName name="Payment_Date" localSheetId="27">DATE(YEAR(Loan_Start),MONTH(Loan_Start)+Payment_Number,DAY(Loan_Start))</definedName>
    <definedName name="Payment_Date" localSheetId="41">DATE(YEAR(Loan_Start),MONTH(Loan_Start)+Payment_Number,DAY(Loan_Start))</definedName>
    <definedName name="Payment_Date" localSheetId="40">DATE(YEAR(Loan_Start),MONTH(Loan_Start)+Payment_Number,DAY(Loan_Start))</definedName>
    <definedName name="Payment_Date">DATE(YEAR(Loan_Start),MONTH(Loan_Start)+Payment_Number,DAY(Loan_Start))</definedName>
    <definedName name="_xlnm.Print_Area" localSheetId="20">'AFUDC Sch A '!$A$1:$I$30</definedName>
    <definedName name="_xlnm.Print_Area" localSheetId="21">'AFUDC Sch B'!$A$1:$G$28</definedName>
    <definedName name="_xlnm.Print_Area" localSheetId="10">'Bal Sheet'!$A$1:$CU$105</definedName>
    <definedName name="_xlnm.Print_Area" localSheetId="24">'COMP Act to Prior'!$A$1:$H$61</definedName>
    <definedName name="_xlnm.Print_Area" localSheetId="31">'COMP to 2+10F'!$A$1:$H$61</definedName>
    <definedName name="_xlnm.Print_Area" localSheetId="38">'COMP to 2020 Strat'!$A$1:$H$25</definedName>
    <definedName name="_xlnm.Print_Area" localSheetId="26">'COMP to 23 SR Bud'!$A$1:$H$61</definedName>
    <definedName name="_xlnm.Print_Area" localSheetId="32">'COMP to 5+7F'!$A$1:$H$61</definedName>
    <definedName name="_xlnm.Print_Area" localSheetId="33">'COMP to 6+6F'!$A$1:$H$61</definedName>
    <definedName name="_xlnm.Print_Area" localSheetId="34">'COMP to 7+5F'!$A$1:$H$61</definedName>
    <definedName name="_xlnm.Print_Area" localSheetId="25">'COMP to Budget Q2'!$A$1:$H$63</definedName>
    <definedName name="_xlnm.Print_Area" localSheetId="30">'COMP to Final Bud'!$A$1:$H$26</definedName>
    <definedName name="_xlnm.Print_Area" localSheetId="37">'COMP to LTF'!$A$1:$H$27</definedName>
    <definedName name="_xlnm.Print_Area" localSheetId="36">'COMP to Orig Bud'!$A$1:$H$61</definedName>
    <definedName name="_xlnm.Print_Area" localSheetId="35">'COMP to Prior 8+4F'!$A$1:$H$61</definedName>
    <definedName name="_xlnm.Print_Area" localSheetId="39">'COMP to Q3F'!$A$1:$H$61</definedName>
    <definedName name="_xlnm.Print_Area" localSheetId="9">IncomeStmt!$A$1:$CY$43</definedName>
    <definedName name="_xlnm.Print_Area" localSheetId="3">Input!$A$11:$AB$72</definedName>
    <definedName name="_xlnm.Print_Area" localSheetId="4">'Input Plant'!$A$1:$CM$41</definedName>
    <definedName name="_xlnm.Print_Area" localSheetId="7">'Input WFNG'!$U$5:$AR$36</definedName>
    <definedName name="_xlnm.Print_Area" localSheetId="13">Reconcil!$A$172:$H$212</definedName>
    <definedName name="_xlnm.Print_Area" localSheetId="42">'Market ROE Recon - Bud'!$A$1:$N$78</definedName>
    <definedName name="_xlnm.Print_Area" localSheetId="27">'Market ROE Working Tab'!$A$1:$S$82</definedName>
    <definedName name="_xlnm.Print_Area" localSheetId="41">Monthly!$A$1:$T$58</definedName>
    <definedName name="_xlnm.Print_Area" localSheetId="29">Quarterly!$A$1:$H$58</definedName>
    <definedName name="_xlnm.Print_Area" localSheetId="40">'Quarterly vs 0+12 vs Q1F'!$A$1:$E$14</definedName>
    <definedName name="_xlnm.Print_Area" localSheetId="16">Reconcil!$A$1:$L$45</definedName>
    <definedName name="_xlnm.Print_Area" localSheetId="18">'Reconcil YE'!$A$1:$L$44</definedName>
    <definedName name="_xlnm.Print_Area" localSheetId="15">Report!$A$1:$O$41,Report!$A$45:$U$92,Report!$A$95:$V$144,Report!$A$148:$V$171,Report!$A$176:$M$229</definedName>
    <definedName name="_xlnm.Print_Area" localSheetId="17">'Report YE'!$A$1:$O$40,'Report YE'!$A$44:$U$90,'Report YE'!$A$93:$V$141,'Report YE'!$A$145:$V$167,'Report YE'!$A$172:$M$225</definedName>
    <definedName name="Print_Area_Reset" localSheetId="31">OFFSET(Full_Print,0,0,'COMP to 2+10F'!Last_Row)</definedName>
    <definedName name="Print_Area_Reset" localSheetId="26">OFFSET(Full_Print,0,0,'COMP to 23 SR Bud'!Last_Row)</definedName>
    <definedName name="Print_Area_Reset" localSheetId="32">OFFSET(Full_Print,0,0,'COMP to 5+7F'!Last_Row)</definedName>
    <definedName name="Print_Area_Reset" localSheetId="33">OFFSET(Full_Print,0,0,'COMP to 6+6F'!Last_Row)</definedName>
    <definedName name="Print_Area_Reset" localSheetId="34">OFFSET(Full_Print,0,0,'COMP to 7+5F'!Last_Row)</definedName>
    <definedName name="Print_Area_Reset" localSheetId="30">OFFSET(Full_Print,0,0,'COMP to Final Bud'!Last_Row)</definedName>
    <definedName name="Print_Area_Reset" localSheetId="37">OFFSET(Full_Print,0,0,'COMP to LTF'!Last_Row)</definedName>
    <definedName name="Print_Area_Reset" localSheetId="36">OFFSET(Full_Print,0,0,'COMP to Orig Bud'!Last_Row)</definedName>
    <definedName name="Print_Area_Reset" localSheetId="35">OFFSET(Full_Print,0,0,'COMP to Prior 8+4F'!Last_Row)</definedName>
    <definedName name="Print_Area_Reset" localSheetId="39">OFFSET(Full_Print,0,0,'COMP to Q3F'!Last_Row)</definedName>
    <definedName name="Print_Area_Reset" localSheetId="27">OFFSET(Full_Print,0,0,'Market ROE Working Tab'!Last_Row)</definedName>
    <definedName name="Print_Area_Reset" localSheetId="41">OFFSET(Full_Print,0,0,Monthly!Last_Row)</definedName>
    <definedName name="Print_Area_Reset" localSheetId="40">OFFSET(Full_Print,0,0,'Quarterly vs 0+12 vs Q1F'!Last_Row)</definedName>
    <definedName name="Print_Area_Reset">OFFSET(Full_Print,0,0,Last_Row)</definedName>
    <definedName name="_xlnm.Print_Titles" localSheetId="10">'Bal Sheet'!$1:$6</definedName>
    <definedName name="_xlnm.Print_Titles" localSheetId="7">'Input WFNG'!$1:$11</definedName>
    <definedName name="random">#REF!</definedName>
    <definedName name="Reconcil_Average" localSheetId="18">'Reconcil YE'!$A$1:$L$44</definedName>
    <definedName name="Reconcil_Average">Reconcil!$A$1:$L$45</definedName>
    <definedName name="Reconcil_year_end" localSheetId="18">'Reconcil YE'!$A$49:$L$92</definedName>
    <definedName name="Reconcil_year_end">Reconcil!$A$50:$L$92</definedName>
    <definedName name="REGTAX">#REF!</definedName>
    <definedName name="rngCopyMacro">i.SR!$L$15:$L$194</definedName>
    <definedName name="ROE_COMPARISON" localSheetId="24">'COMP Act to Prior'!$A$2:$H$61</definedName>
    <definedName name="ROE_COMPARISON" localSheetId="31">'COMP to 2+10F'!$A$2:$H$61</definedName>
    <definedName name="ROE_COMPARISON" localSheetId="38">'COMP to 2020 Strat'!$A$2:$H$27</definedName>
    <definedName name="ROE_COMPARISON" localSheetId="26">'COMP to 23 SR Bud'!$A$2:$H$61</definedName>
    <definedName name="ROE_COMPARISON" localSheetId="32">'COMP to 5+7F'!$A$2:$H$61</definedName>
    <definedName name="ROE_COMPARISON" localSheetId="33">'COMP to 6+6F'!$A$2:$H$61</definedName>
    <definedName name="ROE_COMPARISON" localSheetId="34">'COMP to 7+5F'!$A$2:$H$61</definedName>
    <definedName name="ROE_COMPARISON" localSheetId="25">'COMP to Budget Q2'!$A$2:$H$63</definedName>
    <definedName name="ROE_COMPARISON" localSheetId="30">'COMP to Final Bud'!$A$2:$H$61</definedName>
    <definedName name="ROE_COMPARISON" localSheetId="37">'COMP to LTF'!$A$2:$H$27</definedName>
    <definedName name="ROE_COMPARISON" localSheetId="36">'COMP to Orig Bud'!$A$2:$H$61</definedName>
    <definedName name="ROE_COMPARISON" localSheetId="35">'COMP to Prior 8+4F'!$A$2:$H$61</definedName>
    <definedName name="ROE_COMPARISON" localSheetId="39">'COMP to Q3F'!$A$2:$H$61</definedName>
    <definedName name="ROE_COMPARISON" localSheetId="41">Monthly!$A$2:$T$61</definedName>
    <definedName name="ROE_COMPARISON" localSheetId="29">Quarterly!$A$2:$H$61</definedName>
    <definedName name="ROE_COMPARISON" localSheetId="40">'Quarterly vs 0+12 vs Q1F'!$A$2:$E$14</definedName>
    <definedName name="sally">#REF!</definedName>
    <definedName name="Sched_1" localSheetId="17">'Report YE'!$A$1:$O$41</definedName>
    <definedName name="Sched_1">Report!$A$1:$O$42</definedName>
    <definedName name="Sched_2" localSheetId="17">'Report YE'!$A$44:$U$91</definedName>
    <definedName name="Sched_2">Report!$A$45:$U$93</definedName>
    <definedName name="Sched_3" localSheetId="17">'Report YE'!$A$93:$V$143</definedName>
    <definedName name="Sched_3">Report!$A$95:$V$146</definedName>
    <definedName name="Sched_4" localSheetId="17">'Report YE'!$A$145:$V$170</definedName>
    <definedName name="Sched_4">Report!$A$148:$V$172</definedName>
    <definedName name="Sched_5" localSheetId="17">'Report YE'!$A$172:$M$225</definedName>
    <definedName name="Sched_5">Report!$A$176:$M$229</definedName>
    <definedName name="Sched_5_2" localSheetId="17">'Report YE'!$A$233:$M$286</definedName>
    <definedName name="Sched_5_2">Report!$A$237:$M$290</definedName>
    <definedName name="Summary_MSEA_Return" localSheetId="3">MSEA!$A$1:$E$63</definedName>
    <definedName name="SURV">#REF!</definedName>
    <definedName name="sysLastSave">i.SR!$L$16</definedName>
    <definedName name="sysUserName">i.SR!$L$15</definedName>
    <definedName name="TAXRATE">#REF!</definedName>
    <definedName name="TAXUP">#REF!</definedName>
    <definedName name="Tolerance">i.SR!$F$3</definedName>
    <definedName name="Total_Payment" localSheetId="31">Scheduled_Payment+Extra_Payment</definedName>
    <definedName name="Total_Payment" localSheetId="26">Scheduled_Payment+Extra_Payment</definedName>
    <definedName name="Total_Payment" localSheetId="32">Scheduled_Payment+Extra_Payment</definedName>
    <definedName name="Total_Payment" localSheetId="33">Scheduled_Payment+Extra_Payment</definedName>
    <definedName name="Total_Payment" localSheetId="34">Scheduled_Payment+Extra_Payment</definedName>
    <definedName name="Total_Payment" localSheetId="30">Scheduled_Payment+Extra_Payment</definedName>
    <definedName name="Total_Payment" localSheetId="37">Scheduled_Payment+Extra_Payment</definedName>
    <definedName name="Total_Payment" localSheetId="36">Scheduled_Payment+Extra_Payment</definedName>
    <definedName name="Total_Payment" localSheetId="35">Scheduled_Payment+Extra_Payment</definedName>
    <definedName name="Total_Payment" localSheetId="39">Scheduled_Payment+Extra_Payment</definedName>
    <definedName name="Total_Payment" localSheetId="27">Scheduled_Payment+Extra_Payment</definedName>
    <definedName name="Total_Payment" localSheetId="41">Scheduled_Payment+Extra_Payment</definedName>
    <definedName name="Total_Payment" localSheetId="40">Scheduled_Payment+Extra_Payment</definedName>
    <definedName name="Total_Payment">Scheduled_Payment+Extra_Payment</definedName>
    <definedName name="TOTAVG">#REF!</definedName>
    <definedName name="Values_Entered" localSheetId="31">IF(Loan_Amount*Interest_Rate*Loan_Years*Loan_Start&gt;0,1,0)</definedName>
    <definedName name="Values_Entered" localSheetId="26">IF(Loan_Amount*Interest_Rate*Loan_Years*Loan_Start&gt;0,1,0)</definedName>
    <definedName name="Values_Entered" localSheetId="32">IF(Loan_Amount*Interest_Rate*Loan_Years*Loan_Start&gt;0,1,0)</definedName>
    <definedName name="Values_Entered" localSheetId="33">IF(Loan_Amount*Interest_Rate*Loan_Years*Loan_Start&gt;0,1,0)</definedName>
    <definedName name="Values_Entered" localSheetId="34">IF(Loan_Amount*Interest_Rate*Loan_Years*Loan_Start&gt;0,1,0)</definedName>
    <definedName name="Values_Entered" localSheetId="30">IF(Loan_Amount*Interest_Rate*Loan_Years*Loan_Start&gt;0,1,0)</definedName>
    <definedName name="Values_Entered" localSheetId="37">IF(Loan_Amount*Interest_Rate*Loan_Years*Loan_Start&gt;0,1,0)</definedName>
    <definedName name="Values_Entered" localSheetId="36">IF(Loan_Amount*Interest_Rate*Loan_Years*Loan_Start&gt;0,1,0)</definedName>
    <definedName name="Values_Entered" localSheetId="35">IF(Loan_Amount*Interest_Rate*Loan_Years*Loan_Start&gt;0,1,0)</definedName>
    <definedName name="Values_Entered" localSheetId="39">IF(Loan_Amount*Interest_Rate*Loan_Years*Loan_Start&gt;0,1,0)</definedName>
    <definedName name="Values_Entered" localSheetId="27">IF(Loan_Amount*Interest_Rate*Loan_Years*Loan_Start&gt;0,1,0)</definedName>
    <definedName name="Values_Entered" localSheetId="41">IF(Loan_Amount*Interest_Rate*Loan_Years*Loan_Start&gt;0,1,0)</definedName>
    <definedName name="Values_Entered" localSheetId="40">IF(Loan_Amount*Interest_Rate*Loan_Years*Loan_Start&gt;0,1,0)</definedName>
    <definedName name="Values_Entered">IF(Loan_Amount*Interest_Rate*Loan_Years*Loan_Start&gt;0,1,0)</definedName>
    <definedName name="WC_AVG">#REF!</definedName>
    <definedName name="Working_capital" localSheetId="18">'Reconcil YE'!$A$171:$H$211</definedName>
    <definedName name="Working_capital">Reconcil!$A$172:$H$212</definedName>
    <definedName name="YTDMO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7" i="2" l="1"/>
  <c r="L112" i="1"/>
  <c r="CL67" i="8"/>
  <c r="CK67" i="8"/>
  <c r="CJ67" i="8"/>
  <c r="CI67" i="8"/>
  <c r="CH67" i="8"/>
  <c r="CG67" i="8"/>
  <c r="CF67" i="8"/>
  <c r="CE67" i="8"/>
  <c r="CD67" i="8"/>
  <c r="CC67" i="8"/>
  <c r="CB67" i="8"/>
  <c r="CA67" i="8"/>
  <c r="BX67" i="8" l="1"/>
  <c r="BW67" i="8"/>
  <c r="BV67" i="8"/>
  <c r="BU67" i="8"/>
  <c r="BP67" i="8"/>
  <c r="CH14" i="15"/>
  <c r="H31" i="2"/>
  <c r="BR67" i="8" l="1"/>
  <c r="BS67" i="8"/>
  <c r="BZ67" i="8"/>
  <c r="BT67" i="8"/>
  <c r="BY67" i="8"/>
  <c r="BQ67" i="8"/>
  <c r="BV105" i="15"/>
  <c r="BU105" i="15"/>
  <c r="BT105" i="15"/>
  <c r="BS105" i="15"/>
  <c r="BR105" i="15"/>
  <c r="BQ105" i="15"/>
  <c r="BP105" i="15"/>
  <c r="BO105" i="15"/>
  <c r="BN105" i="15"/>
  <c r="BM105" i="15"/>
  <c r="BL105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V99" i="15"/>
  <c r="BU99" i="15"/>
  <c r="BT99" i="15"/>
  <c r="BS99" i="15"/>
  <c r="BR99" i="15"/>
  <c r="BQ99" i="15"/>
  <c r="BP99" i="15"/>
  <c r="BO99" i="15"/>
  <c r="BN99" i="15"/>
  <c r="BM99" i="15"/>
  <c r="BL99" i="15"/>
  <c r="BV89" i="15"/>
  <c r="BU89" i="15"/>
  <c r="BT89" i="15"/>
  <c r="BS89" i="15"/>
  <c r="BR89" i="15"/>
  <c r="BQ89" i="15"/>
  <c r="BP89" i="15"/>
  <c r="BO89" i="15"/>
  <c r="BN89" i="15"/>
  <c r="BM89" i="15"/>
  <c r="BL89" i="15"/>
  <c r="BV70" i="15"/>
  <c r="BU70" i="15"/>
  <c r="BT70" i="15"/>
  <c r="BS70" i="15"/>
  <c r="BR70" i="15"/>
  <c r="BQ70" i="15"/>
  <c r="BP70" i="15"/>
  <c r="BO70" i="15"/>
  <c r="BN70" i="15"/>
  <c r="BM70" i="15"/>
  <c r="BL70" i="15"/>
  <c r="BV68" i="15"/>
  <c r="BU68" i="15"/>
  <c r="BT68" i="15"/>
  <c r="BS68" i="15"/>
  <c r="BR68" i="15"/>
  <c r="BQ68" i="15"/>
  <c r="BP68" i="15"/>
  <c r="BO68" i="15"/>
  <c r="BN68" i="15"/>
  <c r="BM68" i="15"/>
  <c r="BL68" i="15"/>
  <c r="BV63" i="15"/>
  <c r="BU63" i="15"/>
  <c r="BT63" i="15"/>
  <c r="BS63" i="15"/>
  <c r="BR63" i="15"/>
  <c r="BQ63" i="15"/>
  <c r="BP63" i="15"/>
  <c r="BO63" i="15"/>
  <c r="BN63" i="15"/>
  <c r="BM63" i="15"/>
  <c r="BL63" i="15"/>
  <c r="BS55" i="15"/>
  <c r="BQ55" i="15"/>
  <c r="BO55" i="15"/>
  <c r="BV53" i="15"/>
  <c r="BV55" i="15" s="1"/>
  <c r="BU53" i="15"/>
  <c r="BU55" i="15" s="1"/>
  <c r="BT53" i="15"/>
  <c r="BT55" i="15" s="1"/>
  <c r="BS53" i="15"/>
  <c r="BR53" i="15"/>
  <c r="BR55" i="15" s="1"/>
  <c r="BQ53" i="15"/>
  <c r="BP53" i="15"/>
  <c r="BP55" i="15" s="1"/>
  <c r="BO53" i="15"/>
  <c r="BN53" i="15"/>
  <c r="BN55" i="15" s="1"/>
  <c r="BM53" i="15"/>
  <c r="BM55" i="15" s="1"/>
  <c r="BL53" i="15"/>
  <c r="BL55" i="15" s="1"/>
  <c r="BV40" i="15"/>
  <c r="BU40" i="15"/>
  <c r="BT40" i="15"/>
  <c r="BS40" i="15"/>
  <c r="BR40" i="15"/>
  <c r="BQ40" i="15"/>
  <c r="BP40" i="15"/>
  <c r="BO40" i="15"/>
  <c r="BN40" i="15"/>
  <c r="BM40" i="15"/>
  <c r="BL40" i="15"/>
  <c r="BV21" i="15"/>
  <c r="BU21" i="15"/>
  <c r="BT21" i="15"/>
  <c r="BS21" i="15"/>
  <c r="BR21" i="15"/>
  <c r="BQ21" i="15"/>
  <c r="BP21" i="15"/>
  <c r="BO21" i="15"/>
  <c r="BN21" i="15"/>
  <c r="BM21" i="15"/>
  <c r="BL21" i="15"/>
  <c r="BV16" i="15"/>
  <c r="BU16" i="15"/>
  <c r="BT16" i="15"/>
  <c r="BS16" i="15"/>
  <c r="BR16" i="15"/>
  <c r="BQ16" i="15"/>
  <c r="BP16" i="15"/>
  <c r="BO16" i="15"/>
  <c r="BN16" i="15"/>
  <c r="BM16" i="15"/>
  <c r="BL16" i="15"/>
  <c r="BV14" i="15"/>
  <c r="BU14" i="15"/>
  <c r="BT14" i="15"/>
  <c r="BS14" i="15"/>
  <c r="BR14" i="15"/>
  <c r="BQ14" i="15"/>
  <c r="BP14" i="15"/>
  <c r="BO14" i="15"/>
  <c r="BN14" i="15"/>
  <c r="BM14" i="15"/>
  <c r="BL14" i="15"/>
  <c r="BK14" i="15"/>
  <c r="BZ41" i="8"/>
  <c r="BY41" i="8"/>
  <c r="BX41" i="8"/>
  <c r="BW41" i="8"/>
  <c r="BV41" i="8"/>
  <c r="BU41" i="8"/>
  <c r="BT41" i="8"/>
  <c r="BS41" i="8"/>
  <c r="BR41" i="8"/>
  <c r="BQ41" i="8"/>
  <c r="BP41" i="8"/>
  <c r="BZ32" i="8"/>
  <c r="BY32" i="8"/>
  <c r="BX32" i="8"/>
  <c r="BW32" i="8"/>
  <c r="BV32" i="8"/>
  <c r="BU32" i="8"/>
  <c r="BT32" i="8"/>
  <c r="BS32" i="8"/>
  <c r="BR32" i="8"/>
  <c r="BQ32" i="8"/>
  <c r="BP32" i="8"/>
  <c r="BZ20" i="8"/>
  <c r="BY20" i="8"/>
  <c r="BX20" i="8"/>
  <c r="BW20" i="8"/>
  <c r="BV20" i="8"/>
  <c r="BU20" i="8"/>
  <c r="BT20" i="8"/>
  <c r="BS20" i="8"/>
  <c r="BS22" i="8" s="1"/>
  <c r="BR20" i="8"/>
  <c r="BQ20" i="8"/>
  <c r="BP20" i="8"/>
  <c r="BZ9" i="8"/>
  <c r="BY9" i="8"/>
  <c r="BX9" i="8"/>
  <c r="BX22" i="8" s="1"/>
  <c r="BX43" i="8" s="1"/>
  <c r="BW9" i="8"/>
  <c r="BV9" i="8"/>
  <c r="BV22" i="8" s="1"/>
  <c r="BV43" i="8" s="1"/>
  <c r="BU9" i="8"/>
  <c r="BU22" i="8" s="1"/>
  <c r="BT9" i="8"/>
  <c r="BT22" i="8" s="1"/>
  <c r="BS9" i="8"/>
  <c r="BR9" i="8"/>
  <c r="BQ9" i="8"/>
  <c r="BP9" i="8"/>
  <c r="BP22" i="8" s="1"/>
  <c r="BJ40" i="46"/>
  <c r="BI40" i="46"/>
  <c r="BH40" i="46"/>
  <c r="BG40" i="46"/>
  <c r="BF40" i="46"/>
  <c r="BS43" i="8" l="1"/>
  <c r="BT43" i="8"/>
  <c r="BU43" i="8"/>
  <c r="BP43" i="8"/>
  <c r="BW22" i="8"/>
  <c r="BW43" i="8" s="1"/>
  <c r="BQ22" i="8"/>
  <c r="BQ43" i="8" s="1"/>
  <c r="BY22" i="8"/>
  <c r="BY43" i="8" s="1"/>
  <c r="BZ22" i="8"/>
  <c r="BZ43" i="8" s="1"/>
  <c r="BR22" i="8"/>
  <c r="BR43" i="8" s="1"/>
  <c r="CK40" i="46" l="1"/>
  <c r="BZ51" i="58" l="1"/>
  <c r="BZ30" i="58"/>
  <c r="K22" i="2" l="1"/>
  <c r="K31" i="2" l="1"/>
  <c r="CI40" i="46" l="1"/>
  <c r="CH40" i="46"/>
  <c r="CG40" i="46"/>
  <c r="CF40" i="46"/>
  <c r="CE40" i="46"/>
  <c r="CD40" i="46"/>
  <c r="CC40" i="46"/>
  <c r="CB40" i="46"/>
  <c r="CA40" i="46"/>
  <c r="BZ40" i="46"/>
  <c r="BY40" i="46"/>
  <c r="BX40" i="46"/>
  <c r="BW40" i="46"/>
  <c r="BV40" i="46"/>
  <c r="BU40" i="46"/>
  <c r="BT40" i="46"/>
  <c r="BS40" i="46"/>
  <c r="BR40" i="46"/>
  <c r="BQ40" i="46"/>
  <c r="BP40" i="46"/>
  <c r="BO40" i="46"/>
  <c r="BN40" i="46"/>
  <c r="BM40" i="46"/>
  <c r="BL40" i="46"/>
  <c r="BK40" i="46"/>
  <c r="CH40" i="15" l="1"/>
  <c r="CG40" i="15"/>
  <c r="CF40" i="15"/>
  <c r="CE40" i="15"/>
  <c r="CD40" i="15"/>
  <c r="CC40" i="15"/>
  <c r="CB40" i="15"/>
  <c r="CA40" i="15"/>
  <c r="BZ40" i="15"/>
  <c r="BY40" i="15"/>
  <c r="BX40" i="15"/>
  <c r="BW40" i="15"/>
  <c r="CH21" i="15"/>
  <c r="CG21" i="15"/>
  <c r="CF21" i="15"/>
  <c r="CE21" i="15"/>
  <c r="CD21" i="15"/>
  <c r="CC21" i="15"/>
  <c r="CB21" i="15"/>
  <c r="CA21" i="15"/>
  <c r="BZ21" i="15"/>
  <c r="BY21" i="15"/>
  <c r="BX21" i="15"/>
  <c r="BW21" i="15"/>
  <c r="CH16" i="15"/>
  <c r="CG14" i="15"/>
  <c r="CG16" i="15" s="1"/>
  <c r="CF14" i="15"/>
  <c r="CF16" i="15" s="1"/>
  <c r="CE14" i="15"/>
  <c r="CE16" i="15" s="1"/>
  <c r="CD14" i="15"/>
  <c r="CD16" i="15" s="1"/>
  <c r="CC14" i="15"/>
  <c r="CC16" i="15" s="1"/>
  <c r="CB14" i="15"/>
  <c r="CB16" i="15" s="1"/>
  <c r="CA14" i="15"/>
  <c r="CA16" i="15" s="1"/>
  <c r="BZ14" i="15"/>
  <c r="BZ16" i="15" s="1"/>
  <c r="BY14" i="15"/>
  <c r="BY16" i="15" s="1"/>
  <c r="BX14" i="15"/>
  <c r="BX16" i="15" s="1"/>
  <c r="BW14" i="15"/>
  <c r="BW16" i="15" s="1"/>
  <c r="CD103" i="15"/>
  <c r="CC103" i="15"/>
  <c r="CB103" i="15"/>
  <c r="BZ53" i="15"/>
  <c r="CD53" i="15"/>
  <c r="CC53" i="15"/>
  <c r="CB53" i="15"/>
  <c r="CG63" i="15"/>
  <c r="CF63" i="15"/>
  <c r="BZ63" i="15"/>
  <c r="BY63" i="15"/>
  <c r="BX63" i="15"/>
  <c r="CC68" i="15"/>
  <c r="CB68" i="15"/>
  <c r="CL9" i="8"/>
  <c r="CK9" i="8"/>
  <c r="CJ9" i="8"/>
  <c r="CI9" i="8"/>
  <c r="CH9" i="8"/>
  <c r="CG9" i="8"/>
  <c r="CF9" i="8"/>
  <c r="CE9" i="8"/>
  <c r="CD9" i="8"/>
  <c r="CC9" i="8"/>
  <c r="CB9" i="8"/>
  <c r="CA9" i="8"/>
  <c r="CA22" i="8" s="1"/>
  <c r="CL41" i="8"/>
  <c r="CK41" i="8"/>
  <c r="CJ41" i="8"/>
  <c r="CI41" i="8"/>
  <c r="CH41" i="8"/>
  <c r="CG41" i="8"/>
  <c r="CF41" i="8"/>
  <c r="CE41" i="8"/>
  <c r="CD41" i="8"/>
  <c r="CC41" i="8"/>
  <c r="CB41" i="8"/>
  <c r="CA41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CL20" i="8"/>
  <c r="CL22" i="8" s="1"/>
  <c r="CK20" i="8"/>
  <c r="CK22" i="8" s="1"/>
  <c r="CJ20" i="8"/>
  <c r="CI20" i="8"/>
  <c r="CH20" i="8"/>
  <c r="CG20" i="8"/>
  <c r="CF20" i="8"/>
  <c r="CE20" i="8"/>
  <c r="CE22" i="8" s="1"/>
  <c r="CD20" i="8"/>
  <c r="CD22" i="8" s="1"/>
  <c r="CC20" i="8"/>
  <c r="CC22" i="8" s="1"/>
  <c r="CB20" i="8"/>
  <c r="CB22" i="8" s="1"/>
  <c r="CA20" i="8"/>
  <c r="CH22" i="8" l="1"/>
  <c r="CJ22" i="8"/>
  <c r="CG22" i="8"/>
  <c r="CG43" i="8" s="1"/>
  <c r="CF22" i="8"/>
  <c r="CI22" i="8"/>
  <c r="BZ55" i="15"/>
  <c r="CD55" i="15"/>
  <c r="CB55" i="15"/>
  <c r="CC55" i="15"/>
  <c r="CH43" i="8"/>
  <c r="CE43" i="8"/>
  <c r="CE68" i="15"/>
  <c r="CA63" i="15"/>
  <c r="CE53" i="15"/>
  <c r="CE55" i="15" s="1"/>
  <c r="BW103" i="15"/>
  <c r="BW68" i="15"/>
  <c r="BW53" i="15"/>
  <c r="BW55" i="15" s="1"/>
  <c r="CH53" i="15"/>
  <c r="CH55" i="15" s="1"/>
  <c r="CE103" i="15"/>
  <c r="CD68" i="15"/>
  <c r="BX68" i="15"/>
  <c r="BX70" i="15" s="1"/>
  <c r="CF68" i="15"/>
  <c r="CF70" i="15" s="1"/>
  <c r="CB63" i="15"/>
  <c r="CB70" i="15" s="1"/>
  <c r="BX53" i="15"/>
  <c r="BX55" i="15" s="1"/>
  <c r="CF53" i="15"/>
  <c r="CF55" i="15" s="1"/>
  <c r="BX103" i="15"/>
  <c r="CF103" i="15"/>
  <c r="BY68" i="15"/>
  <c r="BY70" i="15" s="1"/>
  <c r="BY53" i="15"/>
  <c r="BY55" i="15" s="1"/>
  <c r="BZ68" i="15"/>
  <c r="BZ70" i="15" s="1"/>
  <c r="CH68" i="15"/>
  <c r="CD63" i="15"/>
  <c r="BZ103" i="15"/>
  <c r="CH103" i="15"/>
  <c r="CH63" i="15"/>
  <c r="CG68" i="15"/>
  <c r="CG70" i="15" s="1"/>
  <c r="CC63" i="15"/>
  <c r="CC70" i="15" s="1"/>
  <c r="CG53" i="15"/>
  <c r="CG55" i="15" s="1"/>
  <c r="BY103" i="15"/>
  <c r="CG103" i="15"/>
  <c r="CA68" i="15"/>
  <c r="BW63" i="15"/>
  <c r="CE63" i="15"/>
  <c r="CA53" i="15"/>
  <c r="CA55" i="15" s="1"/>
  <c r="CA103" i="15"/>
  <c r="CF43" i="8"/>
  <c r="CA43" i="8"/>
  <c r="CI43" i="8"/>
  <c r="CB43" i="8"/>
  <c r="CJ43" i="8"/>
  <c r="CC43" i="8"/>
  <c r="CK43" i="8"/>
  <c r="CD43" i="8"/>
  <c r="CL43" i="8"/>
  <c r="CA70" i="15" l="1"/>
  <c r="BW70" i="15"/>
  <c r="CE70" i="15"/>
  <c r="CD70" i="15"/>
  <c r="CH70" i="15"/>
  <c r="F72" i="1" l="1"/>
  <c r="D72" i="1"/>
  <c r="BY57" i="29" l="1"/>
  <c r="BZ57" i="29"/>
  <c r="CA57" i="29"/>
  <c r="CB57" i="29"/>
  <c r="CC57" i="29"/>
  <c r="CD57" i="29"/>
  <c r="CE57" i="29"/>
  <c r="CF57" i="29"/>
  <c r="BY45" i="29"/>
  <c r="BZ45" i="29"/>
  <c r="CA45" i="29"/>
  <c r="CB45" i="29"/>
  <c r="CC45" i="29"/>
  <c r="CD45" i="29"/>
  <c r="CE45" i="29"/>
  <c r="CF45" i="29"/>
  <c r="CG45" i="29"/>
  <c r="CH45" i="29"/>
  <c r="CI45" i="29"/>
  <c r="CJ45" i="29"/>
  <c r="BY43" i="29"/>
  <c r="BZ43" i="29"/>
  <c r="CA43" i="29"/>
  <c r="CB43" i="29"/>
  <c r="CC43" i="29"/>
  <c r="CD43" i="29"/>
  <c r="CE43" i="29"/>
  <c r="CF43" i="29"/>
  <c r="BY44" i="29"/>
  <c r="BZ44" i="29"/>
  <c r="CA44" i="29"/>
  <c r="CB44" i="29"/>
  <c r="CC44" i="29"/>
  <c r="CD44" i="29"/>
  <c r="CE44" i="29"/>
  <c r="CF44" i="29"/>
  <c r="D170" i="1" l="1"/>
  <c r="CW11" i="15" l="1"/>
  <c r="C68" i="38" l="1"/>
  <c r="C66" i="38"/>
  <c r="C65" i="38"/>
  <c r="C64" i="38"/>
  <c r="C13" i="38"/>
  <c r="F70" i="53"/>
  <c r="D70" i="53"/>
  <c r="B156" i="2"/>
  <c r="B139" i="2"/>
  <c r="B111" i="2"/>
  <c r="B97" i="2"/>
  <c r="BR95" i="38"/>
  <c r="BS95" i="38"/>
  <c r="C55" i="38" l="1"/>
  <c r="CJ46" i="38"/>
  <c r="CK46" i="38" s="1"/>
  <c r="CJ21" i="38"/>
  <c r="CU8" i="38"/>
  <c r="CU80" i="38" s="1"/>
  <c r="CU91" i="38" s="1"/>
  <c r="CT8" i="38"/>
  <c r="CT80" i="38" s="1"/>
  <c r="CT91" i="38" s="1"/>
  <c r="CS8" i="38"/>
  <c r="CS80" i="38" s="1"/>
  <c r="CS91" i="38" s="1"/>
  <c r="CR8" i="38"/>
  <c r="CR80" i="38" s="1"/>
  <c r="CR91" i="38" s="1"/>
  <c r="CQ8" i="38"/>
  <c r="CQ62" i="38" s="1"/>
  <c r="CP8" i="38"/>
  <c r="CP62" i="38" s="1"/>
  <c r="CO8" i="38"/>
  <c r="CO62" i="38" s="1"/>
  <c r="CN8" i="38"/>
  <c r="CN21" i="38" s="1"/>
  <c r="CM8" i="38"/>
  <c r="CM80" i="38" s="1"/>
  <c r="CM91" i="38" s="1"/>
  <c r="CL8" i="38"/>
  <c r="CL80" i="38" s="1"/>
  <c r="CL91" i="38" s="1"/>
  <c r="CK8" i="38"/>
  <c r="CK80" i="38" s="1"/>
  <c r="CK91" i="38" s="1"/>
  <c r="CJ8" i="38"/>
  <c r="CJ80" i="38" s="1"/>
  <c r="CJ91" i="38" s="1"/>
  <c r="CU7" i="38"/>
  <c r="CU79" i="38" s="1"/>
  <c r="CT7" i="38"/>
  <c r="CT79" i="38" s="1"/>
  <c r="CS7" i="38"/>
  <c r="CS79" i="38" s="1"/>
  <c r="CR7" i="38"/>
  <c r="CR39" i="38" s="1"/>
  <c r="CQ7" i="38"/>
  <c r="CQ79" i="38" s="1"/>
  <c r="CP7" i="38"/>
  <c r="CP79" i="38" s="1"/>
  <c r="CO7" i="38"/>
  <c r="CO79" i="38" s="1"/>
  <c r="CN7" i="38"/>
  <c r="CN79" i="38" s="1"/>
  <c r="CM7" i="38"/>
  <c r="CM79" i="38" s="1"/>
  <c r="CL7" i="38"/>
  <c r="CL79" i="38" s="1"/>
  <c r="CK7" i="38"/>
  <c r="CK79" i="38" s="1"/>
  <c r="CJ7" i="38"/>
  <c r="CJ39" i="38" s="1"/>
  <c r="C290" i="79"/>
  <c r="C289" i="79"/>
  <c r="C288" i="79"/>
  <c r="C287" i="79"/>
  <c r="C286" i="79"/>
  <c r="C285" i="79"/>
  <c r="C284" i="79"/>
  <c r="C283" i="79"/>
  <c r="C282" i="79"/>
  <c r="C281" i="79"/>
  <c r="C280" i="79"/>
  <c r="G279" i="79"/>
  <c r="F279" i="79"/>
  <c r="C279" i="79"/>
  <c r="B34" i="46"/>
  <c r="B33" i="46"/>
  <c r="B32" i="46"/>
  <c r="B31" i="46"/>
  <c r="B30" i="46"/>
  <c r="B29" i="46"/>
  <c r="B23" i="46"/>
  <c r="B22" i="46"/>
  <c r="B21" i="46"/>
  <c r="B20" i="46"/>
  <c r="B19" i="46"/>
  <c r="B18" i="46"/>
  <c r="B11" i="46"/>
  <c r="B10" i="46"/>
  <c r="B9" i="46"/>
  <c r="B8" i="46"/>
  <c r="B7" i="46"/>
  <c r="B6" i="46"/>
  <c r="CM23" i="46"/>
  <c r="CM22" i="46"/>
  <c r="CM21" i="46"/>
  <c r="CM20" i="46"/>
  <c r="CM19" i="46"/>
  <c r="CM18" i="46"/>
  <c r="CM11" i="46"/>
  <c r="CM10" i="46"/>
  <c r="CM9" i="46"/>
  <c r="CM8" i="46"/>
  <c r="CM7" i="46"/>
  <c r="CM6" i="46"/>
  <c r="CI38" i="46"/>
  <c r="CH38" i="46"/>
  <c r="CG38" i="46"/>
  <c r="CF38" i="46"/>
  <c r="CE38" i="46"/>
  <c r="CD38" i="46"/>
  <c r="CC38" i="46"/>
  <c r="CB38" i="46"/>
  <c r="CA38" i="46"/>
  <c r="BZ38" i="46"/>
  <c r="BY38" i="46"/>
  <c r="BX38" i="46"/>
  <c r="CI37" i="46"/>
  <c r="CH37" i="46"/>
  <c r="CG37" i="46"/>
  <c r="CF37" i="46"/>
  <c r="CE37" i="46"/>
  <c r="CD37" i="46"/>
  <c r="CC37" i="46"/>
  <c r="CB37" i="46"/>
  <c r="CA37" i="46"/>
  <c r="BZ37" i="46"/>
  <c r="BY37" i="46"/>
  <c r="BX37" i="46"/>
  <c r="CE36" i="46"/>
  <c r="CI27" i="46"/>
  <c r="CH27" i="46"/>
  <c r="CG27" i="46"/>
  <c r="CF27" i="46"/>
  <c r="CE27" i="46"/>
  <c r="CD27" i="46"/>
  <c r="CC27" i="46"/>
  <c r="CB27" i="46"/>
  <c r="CA27" i="46"/>
  <c r="BZ27" i="46"/>
  <c r="BY27" i="46"/>
  <c r="BX27" i="46"/>
  <c r="CI26" i="46"/>
  <c r="CH26" i="46"/>
  <c r="CG26" i="46"/>
  <c r="CF26" i="46"/>
  <c r="CE26" i="46"/>
  <c r="CD26" i="46"/>
  <c r="CC26" i="46"/>
  <c r="CB26" i="46"/>
  <c r="CA26" i="46"/>
  <c r="BZ26" i="46"/>
  <c r="BY26" i="46"/>
  <c r="BX26" i="46"/>
  <c r="CI16" i="46"/>
  <c r="CH16" i="46"/>
  <c r="CG16" i="46"/>
  <c r="CF16" i="46"/>
  <c r="CE16" i="46"/>
  <c r="CD16" i="46"/>
  <c r="CC16" i="46"/>
  <c r="CB16" i="46"/>
  <c r="CA16" i="46"/>
  <c r="BZ16" i="46"/>
  <c r="BY16" i="46"/>
  <c r="BX16" i="46"/>
  <c r="CI15" i="46"/>
  <c r="CH15" i="46"/>
  <c r="CG15" i="46"/>
  <c r="CF15" i="46"/>
  <c r="CE15" i="46"/>
  <c r="CD15" i="46"/>
  <c r="CC15" i="46"/>
  <c r="CB15" i="46"/>
  <c r="CA15" i="46"/>
  <c r="BZ15" i="46"/>
  <c r="BY15" i="46"/>
  <c r="BX15" i="46"/>
  <c r="CE14" i="46"/>
  <c r="CE25" i="46" s="1"/>
  <c r="CI2" i="46"/>
  <c r="CI36" i="46" s="1"/>
  <c r="CH2" i="46"/>
  <c r="CH36" i="46" s="1"/>
  <c r="CG2" i="46"/>
  <c r="CG36" i="46" s="1"/>
  <c r="CF2" i="46"/>
  <c r="CF36" i="46" s="1"/>
  <c r="CE2" i="46"/>
  <c r="CD2" i="46"/>
  <c r="CD36" i="46" s="1"/>
  <c r="CC2" i="46"/>
  <c r="CC36" i="46" s="1"/>
  <c r="CB2" i="46"/>
  <c r="CB36" i="46" s="1"/>
  <c r="CA2" i="46"/>
  <c r="CA36" i="46" s="1"/>
  <c r="BZ2" i="46"/>
  <c r="BZ14" i="46" s="1"/>
  <c r="BZ25" i="46" s="1"/>
  <c r="BY2" i="46"/>
  <c r="BY36" i="46" s="1"/>
  <c r="BX2" i="46"/>
  <c r="BX36" i="46" s="1"/>
  <c r="CC14" i="46" l="1"/>
  <c r="CC25" i="46" s="1"/>
  <c r="CO21" i="38"/>
  <c r="CP21" i="38"/>
  <c r="CH14" i="46"/>
  <c r="CH25" i="46" s="1"/>
  <c r="CQ21" i="38"/>
  <c r="BZ36" i="46"/>
  <c r="CR21" i="38"/>
  <c r="CL46" i="38"/>
  <c r="CM46" i="38" s="1"/>
  <c r="CJ79" i="38"/>
  <c r="CR79" i="38"/>
  <c r="CN80" i="38"/>
  <c r="CN91" i="38" s="1"/>
  <c r="CK21" i="38"/>
  <c r="CS21" i="38"/>
  <c r="CK39" i="38"/>
  <c r="CS39" i="38"/>
  <c r="CO40" i="38"/>
  <c r="CK53" i="38"/>
  <c r="CS53" i="38"/>
  <c r="CK62" i="38"/>
  <c r="CS62" i="38"/>
  <c r="CO80" i="38"/>
  <c r="CO91" i="38" s="1"/>
  <c r="CN40" i="38"/>
  <c r="CJ53" i="38"/>
  <c r="CR53" i="38"/>
  <c r="CJ62" i="38"/>
  <c r="CR62" i="38"/>
  <c r="CL21" i="38"/>
  <c r="CT21" i="38"/>
  <c r="CL39" i="38"/>
  <c r="CT39" i="38"/>
  <c r="CP40" i="38"/>
  <c r="CL53" i="38"/>
  <c r="CT53" i="38"/>
  <c r="CL62" i="38"/>
  <c r="CT62" i="38"/>
  <c r="CP80" i="38"/>
  <c r="CP91" i="38" s="1"/>
  <c r="CM21" i="38"/>
  <c r="CU21" i="38"/>
  <c r="CM39" i="38"/>
  <c r="CU39" i="38"/>
  <c r="CQ40" i="38"/>
  <c r="CM53" i="38"/>
  <c r="CU53" i="38"/>
  <c r="CM62" i="38"/>
  <c r="CU62" i="38"/>
  <c r="CQ80" i="38"/>
  <c r="CQ91" i="38" s="1"/>
  <c r="CN39" i="38"/>
  <c r="CJ40" i="38"/>
  <c r="CR40" i="38"/>
  <c r="CN53" i="38"/>
  <c r="CN62" i="38"/>
  <c r="CO39" i="38"/>
  <c r="CK40" i="38"/>
  <c r="CS40" i="38"/>
  <c r="CO53" i="38"/>
  <c r="CP39" i="38"/>
  <c r="CL40" i="38"/>
  <c r="CT40" i="38"/>
  <c r="CP53" i="38"/>
  <c r="CQ39" i="38"/>
  <c r="CM40" i="38"/>
  <c r="CU40" i="38"/>
  <c r="CQ53" i="38"/>
  <c r="F280" i="79"/>
  <c r="D279" i="79"/>
  <c r="BX14" i="46"/>
  <c r="BX25" i="46" s="1"/>
  <c r="CF14" i="46"/>
  <c r="CF25" i="46" s="1"/>
  <c r="BY14" i="46"/>
  <c r="BY25" i="46" s="1"/>
  <c r="CG14" i="46"/>
  <c r="CG25" i="46" s="1"/>
  <c r="CA14" i="46"/>
  <c r="CA25" i="46" s="1"/>
  <c r="CI14" i="46"/>
  <c r="CI25" i="46" s="1"/>
  <c r="CB14" i="46"/>
  <c r="CB25" i="46" s="1"/>
  <c r="CD14" i="46"/>
  <c r="CD25" i="46" s="1"/>
  <c r="CN46" i="38" l="1"/>
  <c r="E279" i="79"/>
  <c r="D280" i="79"/>
  <c r="F281" i="79"/>
  <c r="G280" i="79"/>
  <c r="CO46" i="38" l="1"/>
  <c r="D281" i="79"/>
  <c r="F282" i="79"/>
  <c r="E281" i="79"/>
  <c r="G281" i="79"/>
  <c r="E280" i="79"/>
  <c r="CP46" i="38" l="1"/>
  <c r="D282" i="79"/>
  <c r="F283" i="79"/>
  <c r="G282" i="79"/>
  <c r="E282" i="79"/>
  <c r="CQ46" i="38" l="1"/>
  <c r="F284" i="79"/>
  <c r="D283" i="79"/>
  <c r="G283" i="79"/>
  <c r="G284" i="79"/>
  <c r="CR46" i="38" l="1"/>
  <c r="E284" i="79"/>
  <c r="E283" i="79"/>
  <c r="D284" i="79"/>
  <c r="F285" i="79"/>
  <c r="G285" i="79"/>
  <c r="CS46" i="38" l="1"/>
  <c r="D285" i="79"/>
  <c r="F286" i="79"/>
  <c r="G286" i="79" s="1"/>
  <c r="E285" i="79"/>
  <c r="CT46" i="38" l="1"/>
  <c r="F287" i="79"/>
  <c r="D286" i="79"/>
  <c r="CU46" i="38" l="1"/>
  <c r="D287" i="79"/>
  <c r="F288" i="79"/>
  <c r="E287" i="79"/>
  <c r="E286" i="79"/>
  <c r="G287" i="79"/>
  <c r="D288" i="79" l="1"/>
  <c r="E288" i="79" s="1"/>
  <c r="F289" i="79"/>
  <c r="G288" i="79"/>
  <c r="D289" i="79" l="1"/>
  <c r="E289" i="79" s="1"/>
  <c r="F290" i="79"/>
  <c r="G289" i="79"/>
  <c r="D290" i="79" l="1"/>
  <c r="E290" i="79" s="1"/>
  <c r="G290" i="79"/>
  <c r="C69" i="29" l="1"/>
  <c r="C68" i="29"/>
  <c r="C67" i="29"/>
  <c r="C66" i="29"/>
  <c r="C65" i="29"/>
  <c r="C64" i="29"/>
  <c r="C63" i="29"/>
  <c r="C45" i="29"/>
  <c r="C62" i="29"/>
  <c r="C61" i="29"/>
  <c r="C60" i="29"/>
  <c r="C20" i="29"/>
  <c r="B62" i="29"/>
  <c r="B61" i="29"/>
  <c r="B60" i="29"/>
  <c r="B69" i="29"/>
  <c r="B68" i="29"/>
  <c r="B67" i="29"/>
  <c r="B66" i="29"/>
  <c r="B65" i="29"/>
  <c r="B64" i="29"/>
  <c r="B63" i="29"/>
  <c r="B45" i="29"/>
  <c r="B102" i="15"/>
  <c r="B98" i="15"/>
  <c r="C147" i="2" s="1"/>
  <c r="B86" i="15"/>
  <c r="B49" i="15"/>
  <c r="B87" i="2"/>
  <c r="CU102" i="15"/>
  <c r="CU98" i="15"/>
  <c r="CU86" i="15"/>
  <c r="CU49" i="15"/>
  <c r="B77" i="2" l="1"/>
  <c r="B69" i="2"/>
  <c r="B68" i="2"/>
  <c r="B118" i="2"/>
  <c r="B28" i="15" l="1"/>
  <c r="CU28" i="15"/>
  <c r="B66" i="15"/>
  <c r="CU66" i="15"/>
  <c r="CU19" i="15"/>
  <c r="B19" i="15"/>
  <c r="B20" i="15"/>
  <c r="CU20" i="15"/>
  <c r="CX6" i="8" l="1"/>
  <c r="CW6" i="8"/>
  <c r="CV6" i="8"/>
  <c r="CU6" i="8"/>
  <c r="CT6" i="8"/>
  <c r="CS6" i="8"/>
  <c r="CR6" i="8"/>
  <c r="CQ6" i="8"/>
  <c r="CP6" i="8"/>
  <c r="CO6" i="8"/>
  <c r="CN6" i="8"/>
  <c r="CM6" i="8"/>
  <c r="CX5" i="8"/>
  <c r="CW5" i="8"/>
  <c r="CV5" i="8"/>
  <c r="CU5" i="8"/>
  <c r="CT5" i="8"/>
  <c r="CS5" i="8"/>
  <c r="CR5" i="8"/>
  <c r="CQ5" i="8"/>
  <c r="CP5" i="8"/>
  <c r="CO5" i="8"/>
  <c r="CN5" i="8"/>
  <c r="CM5" i="8"/>
  <c r="CJ74" i="29"/>
  <c r="CJ12" i="29"/>
  <c r="CJ40" i="29" s="1"/>
  <c r="CI12" i="29"/>
  <c r="CI40" i="29" s="1"/>
  <c r="CH12" i="29"/>
  <c r="CG12" i="29"/>
  <c r="CF12" i="29"/>
  <c r="CE12" i="29"/>
  <c r="CE40" i="29" s="1"/>
  <c r="CD12" i="29"/>
  <c r="CD40" i="29" s="1"/>
  <c r="CC12" i="29"/>
  <c r="CC40" i="29" s="1"/>
  <c r="CB12" i="29"/>
  <c r="CB40" i="29" s="1"/>
  <c r="CA12" i="29"/>
  <c r="BZ12" i="29"/>
  <c r="BY12" i="29"/>
  <c r="CJ11" i="29"/>
  <c r="CJ39" i="29" s="1"/>
  <c r="CI11" i="29"/>
  <c r="CI39" i="29" s="1"/>
  <c r="CH11" i="29"/>
  <c r="CH39" i="29" s="1"/>
  <c r="CG11" i="29"/>
  <c r="CG39" i="29" s="1"/>
  <c r="CF11" i="29"/>
  <c r="CF39" i="29" s="1"/>
  <c r="CE11" i="29"/>
  <c r="CE39" i="29" s="1"/>
  <c r="CD11" i="29"/>
  <c r="CC11" i="29"/>
  <c r="CB11" i="29"/>
  <c r="CA11" i="29"/>
  <c r="CA39" i="29" s="1"/>
  <c r="BZ11" i="29"/>
  <c r="BY11" i="29"/>
  <c r="BY39" i="29" s="1"/>
  <c r="CI74" i="29"/>
  <c r="CH74" i="29"/>
  <c r="CG74" i="29"/>
  <c r="CF74" i="29"/>
  <c r="CE74" i="29"/>
  <c r="CD74" i="29"/>
  <c r="CC74" i="29"/>
  <c r="CB74" i="29"/>
  <c r="CA74" i="29"/>
  <c r="BZ74" i="29"/>
  <c r="BY74" i="29"/>
  <c r="CH40" i="29"/>
  <c r="CG40" i="29"/>
  <c r="CF40" i="29"/>
  <c r="CA40" i="29"/>
  <c r="BZ40" i="29"/>
  <c r="BY40" i="29"/>
  <c r="CD39" i="29"/>
  <c r="CC39" i="29"/>
  <c r="CB39" i="29"/>
  <c r="BZ39" i="29"/>
  <c r="D30" i="89" l="1"/>
  <c r="H30" i="89" s="1"/>
  <c r="D7" i="89"/>
  <c r="D6" i="89"/>
  <c r="F30" i="89" l="1"/>
  <c r="D30" i="88" l="1"/>
  <c r="H30" i="88" s="1"/>
  <c r="D7" i="88"/>
  <c r="D6" i="88"/>
  <c r="A2" i="29"/>
  <c r="F30" i="88" l="1"/>
  <c r="C74" i="29" l="1"/>
  <c r="B25" i="77"/>
  <c r="B22" i="77"/>
  <c r="B9" i="77"/>
  <c r="CA118" i="15" l="1"/>
  <c r="BZ118" i="15"/>
  <c r="BY118" i="15"/>
  <c r="BX118" i="15"/>
  <c r="BW143" i="15"/>
  <c r="BX143" i="15" l="1"/>
  <c r="BW138" i="15"/>
  <c r="BX138" i="15"/>
  <c r="BX130" i="15"/>
  <c r="CA130" i="15"/>
  <c r="BZ130" i="15"/>
  <c r="BY130" i="15"/>
  <c r="BW130" i="15"/>
  <c r="BX127" i="15"/>
  <c r="BW127" i="15"/>
  <c r="CA127" i="15"/>
  <c r="BY127" i="15"/>
  <c r="BY143" i="15" l="1"/>
  <c r="BZ127" i="15"/>
  <c r="BZ143" i="15" l="1"/>
  <c r="BY138" i="15"/>
  <c r="CA143" i="15" l="1"/>
  <c r="BZ138" i="15"/>
  <c r="F48" i="8"/>
  <c r="B54" i="29"/>
  <c r="CA138" i="15" l="1"/>
  <c r="D30" i="87" l="1"/>
  <c r="H30" i="87" s="1"/>
  <c r="D7" i="87"/>
  <c r="D6" i="87"/>
  <c r="F30" i="87" l="1"/>
  <c r="H123" i="1" l="1"/>
  <c r="F123" i="1"/>
  <c r="J123" i="1" l="1"/>
  <c r="BM74" i="29" l="1"/>
  <c r="C54" i="29" l="1"/>
  <c r="F66" i="8" l="1"/>
  <c r="C278" i="79" l="1"/>
  <c r="C277" i="79"/>
  <c r="C276" i="79"/>
  <c r="C275" i="79"/>
  <c r="C274" i="79"/>
  <c r="C273" i="79"/>
  <c r="C272" i="79"/>
  <c r="C271" i="79"/>
  <c r="C270" i="79"/>
  <c r="C269" i="79"/>
  <c r="C268" i="79"/>
  <c r="F267" i="79"/>
  <c r="C267" i="79"/>
  <c r="BW34" i="29"/>
  <c r="BV34" i="29"/>
  <c r="BU34" i="29"/>
  <c r="BT34" i="29"/>
  <c r="BS34" i="29"/>
  <c r="BR34" i="29"/>
  <c r="BQ34" i="29"/>
  <c r="BP34" i="29"/>
  <c r="BO34" i="29"/>
  <c r="BN34" i="29"/>
  <c r="BM34" i="29"/>
  <c r="BX74" i="29"/>
  <c r="BW74" i="29"/>
  <c r="BV74" i="29"/>
  <c r="BU74" i="29"/>
  <c r="BT74" i="29"/>
  <c r="BS74" i="29"/>
  <c r="BR74" i="29"/>
  <c r="BQ74" i="29"/>
  <c r="BP74" i="29"/>
  <c r="BO74" i="29"/>
  <c r="BN74" i="29"/>
  <c r="CE50" i="29"/>
  <c r="CD50" i="29"/>
  <c r="CC50" i="29"/>
  <c r="CB50" i="29"/>
  <c r="CA50" i="29"/>
  <c r="BZ50" i="29"/>
  <c r="BY50" i="29"/>
  <c r="CE49" i="29"/>
  <c r="CD49" i="29"/>
  <c r="CC49" i="29"/>
  <c r="CB49" i="29"/>
  <c r="CA49" i="29"/>
  <c r="BZ49" i="29"/>
  <c r="BY49" i="29"/>
  <c r="CD48" i="29"/>
  <c r="CC48" i="29"/>
  <c r="CB48" i="29"/>
  <c r="CA48" i="29"/>
  <c r="BZ48" i="29"/>
  <c r="BY48" i="29"/>
  <c r="BX12" i="29"/>
  <c r="BX40" i="29" s="1"/>
  <c r="BW12" i="29"/>
  <c r="BW40" i="29" s="1"/>
  <c r="BV12" i="29"/>
  <c r="BV40" i="29" s="1"/>
  <c r="BU12" i="29"/>
  <c r="BU40" i="29" s="1"/>
  <c r="BT12" i="29"/>
  <c r="BT40" i="29" s="1"/>
  <c r="BS12" i="29"/>
  <c r="BS40" i="29" s="1"/>
  <c r="BR12" i="29"/>
  <c r="BR40" i="29" s="1"/>
  <c r="BQ12" i="29"/>
  <c r="BQ40" i="29" s="1"/>
  <c r="BP12" i="29"/>
  <c r="BP40" i="29" s="1"/>
  <c r="BO12" i="29"/>
  <c r="BO40" i="29" s="1"/>
  <c r="BN12" i="29"/>
  <c r="BN40" i="29" s="1"/>
  <c r="BM12" i="29"/>
  <c r="BM40" i="29" s="1"/>
  <c r="BX11" i="29"/>
  <c r="BX39" i="29" s="1"/>
  <c r="BW11" i="29"/>
  <c r="BW39" i="29" s="1"/>
  <c r="BV11" i="29"/>
  <c r="BV39" i="29" s="1"/>
  <c r="BU11" i="29"/>
  <c r="BU39" i="29" s="1"/>
  <c r="BT11" i="29"/>
  <c r="BT39" i="29" s="1"/>
  <c r="BS11" i="29"/>
  <c r="BS39" i="29" s="1"/>
  <c r="BR11" i="29"/>
  <c r="BR39" i="29" s="1"/>
  <c r="BQ11" i="29"/>
  <c r="BQ39" i="29" s="1"/>
  <c r="BP11" i="29"/>
  <c r="BP39" i="29" s="1"/>
  <c r="BO11" i="29"/>
  <c r="BO39" i="29" s="1"/>
  <c r="BN11" i="29"/>
  <c r="BN39" i="29" s="1"/>
  <c r="BM11" i="29"/>
  <c r="BM39" i="29" s="1"/>
  <c r="BW38" i="46"/>
  <c r="BV38" i="46"/>
  <c r="BU38" i="46"/>
  <c r="BT38" i="46"/>
  <c r="BS38" i="46"/>
  <c r="BR38" i="46"/>
  <c r="BQ38" i="46"/>
  <c r="BP38" i="46"/>
  <c r="BO38" i="46"/>
  <c r="BN38" i="46"/>
  <c r="BM38" i="46"/>
  <c r="BL38" i="46"/>
  <c r="BW37" i="46"/>
  <c r="BV37" i="46"/>
  <c r="BU37" i="46"/>
  <c r="BT37" i="46"/>
  <c r="BS37" i="46"/>
  <c r="BR37" i="46"/>
  <c r="BQ37" i="46"/>
  <c r="BP37" i="46"/>
  <c r="BO37" i="46"/>
  <c r="BN37" i="46"/>
  <c r="BM37" i="46"/>
  <c r="BL37" i="46"/>
  <c r="BW27" i="46"/>
  <c r="BV27" i="46"/>
  <c r="BU27" i="46"/>
  <c r="BT27" i="46"/>
  <c r="BS27" i="46"/>
  <c r="BR27" i="46"/>
  <c r="BQ27" i="46"/>
  <c r="BP27" i="46"/>
  <c r="BO27" i="46"/>
  <c r="BN27" i="46"/>
  <c r="BM27" i="46"/>
  <c r="BL27" i="46"/>
  <c r="BW26" i="46"/>
  <c r="BV26" i="46"/>
  <c r="BU26" i="46"/>
  <c r="BT26" i="46"/>
  <c r="BS26" i="46"/>
  <c r="BR26" i="46"/>
  <c r="BQ26" i="46"/>
  <c r="BP26" i="46"/>
  <c r="BO26" i="46"/>
  <c r="BN26" i="46"/>
  <c r="BM26" i="46"/>
  <c r="BL26" i="46"/>
  <c r="BW16" i="46"/>
  <c r="BV16" i="46"/>
  <c r="BU16" i="46"/>
  <c r="BT16" i="46"/>
  <c r="BS16" i="46"/>
  <c r="BR16" i="46"/>
  <c r="BQ16" i="46"/>
  <c r="BP16" i="46"/>
  <c r="BO16" i="46"/>
  <c r="BN16" i="46"/>
  <c r="BM16" i="46"/>
  <c r="BL16" i="46"/>
  <c r="BW15" i="46"/>
  <c r="BV15" i="46"/>
  <c r="BU15" i="46"/>
  <c r="BT15" i="46"/>
  <c r="BS15" i="46"/>
  <c r="BR15" i="46"/>
  <c r="BQ15" i="46"/>
  <c r="BP15" i="46"/>
  <c r="BO15" i="46"/>
  <c r="BN15" i="46"/>
  <c r="BM15" i="46"/>
  <c r="BL15" i="46"/>
  <c r="BW2" i="46"/>
  <c r="BW14" i="46" s="1"/>
  <c r="BW25" i="46" s="1"/>
  <c r="BV2" i="46"/>
  <c r="BV14" i="46" s="1"/>
  <c r="BV25" i="46" s="1"/>
  <c r="BU2" i="46"/>
  <c r="BU14" i="46" s="1"/>
  <c r="BU25" i="46" s="1"/>
  <c r="BT2" i="46"/>
  <c r="BT36" i="46" s="1"/>
  <c r="BS2" i="46"/>
  <c r="BS36" i="46" s="1"/>
  <c r="BR2" i="46"/>
  <c r="BR36" i="46" s="1"/>
  <c r="BQ2" i="46"/>
  <c r="BQ36" i="46" s="1"/>
  <c r="BP2" i="46"/>
  <c r="BP36" i="46" s="1"/>
  <c r="BO2" i="46"/>
  <c r="BO14" i="46" s="1"/>
  <c r="BO25" i="46" s="1"/>
  <c r="BN2" i="46"/>
  <c r="BN14" i="46" s="1"/>
  <c r="BN25" i="46" s="1"/>
  <c r="BM2" i="46"/>
  <c r="BM36" i="46" s="1"/>
  <c r="BL2" i="46"/>
  <c r="BL36" i="46" s="1"/>
  <c r="CI8" i="38"/>
  <c r="CI62" i="38" s="1"/>
  <c r="CH8" i="38"/>
  <c r="CH62" i="38" s="1"/>
  <c r="CG8" i="38"/>
  <c r="CG53" i="38" s="1"/>
  <c r="CF8" i="38"/>
  <c r="CF80" i="38" s="1"/>
  <c r="CF91" i="38" s="1"/>
  <c r="CE8" i="38"/>
  <c r="CE80" i="38" s="1"/>
  <c r="CE91" i="38" s="1"/>
  <c r="CD8" i="38"/>
  <c r="CD80" i="38" s="1"/>
  <c r="CD91" i="38" s="1"/>
  <c r="CC8" i="38"/>
  <c r="CC80" i="38" s="1"/>
  <c r="CC91" i="38" s="1"/>
  <c r="CB8" i="38"/>
  <c r="CB40" i="38" s="1"/>
  <c r="CA8" i="38"/>
  <c r="CA62" i="38" s="1"/>
  <c r="BZ8" i="38"/>
  <c r="BZ62" i="38" s="1"/>
  <c r="BY8" i="38"/>
  <c r="BY53" i="38" s="1"/>
  <c r="BX8" i="38"/>
  <c r="BX80" i="38" s="1"/>
  <c r="BX91" i="38" s="1"/>
  <c r="CI7" i="38"/>
  <c r="CI79" i="38" s="1"/>
  <c r="CH7" i="38"/>
  <c r="CH79" i="38" s="1"/>
  <c r="CG7" i="38"/>
  <c r="CG39" i="38" s="1"/>
  <c r="CF7" i="38"/>
  <c r="CF39" i="38" s="1"/>
  <c r="CE7" i="38"/>
  <c r="CE39" i="38" s="1"/>
  <c r="CD7" i="38"/>
  <c r="CD39" i="38" s="1"/>
  <c r="CC7" i="38"/>
  <c r="CC79" i="38" s="1"/>
  <c r="CB7" i="38"/>
  <c r="CB79" i="38" s="1"/>
  <c r="CA7" i="38"/>
  <c r="CA79" i="38" s="1"/>
  <c r="BZ7" i="38"/>
  <c r="BZ79" i="38" s="1"/>
  <c r="BY7" i="38"/>
  <c r="BY39" i="38" s="1"/>
  <c r="BX7" i="38"/>
  <c r="BX39" i="38" s="1"/>
  <c r="CL6" i="8"/>
  <c r="CK6" i="8"/>
  <c r="CJ6" i="8"/>
  <c r="CI6" i="8"/>
  <c r="CH6" i="8"/>
  <c r="CG6" i="8"/>
  <c r="CF6" i="8"/>
  <c r="CE6" i="8"/>
  <c r="CD6" i="8"/>
  <c r="CC6" i="8"/>
  <c r="CB6" i="8"/>
  <c r="CA6" i="8"/>
  <c r="CL5" i="8"/>
  <c r="CK5" i="8"/>
  <c r="CJ5" i="8"/>
  <c r="CI5" i="8"/>
  <c r="CH5" i="8"/>
  <c r="CG5" i="8"/>
  <c r="CF5" i="8"/>
  <c r="CE5" i="8"/>
  <c r="CD5" i="8"/>
  <c r="CC5" i="8"/>
  <c r="CB5" i="8"/>
  <c r="CA5" i="8"/>
  <c r="CD51" i="29" l="1"/>
  <c r="CE48" i="29"/>
  <c r="B40" i="46"/>
  <c r="CA51" i="29"/>
  <c r="BZ51" i="29"/>
  <c r="BY51" i="29"/>
  <c r="CB51" i="29"/>
  <c r="CC51" i="29"/>
  <c r="BO36" i="46"/>
  <c r="BU36" i="46"/>
  <c r="BM14" i="46"/>
  <c r="BM25" i="46" s="1"/>
  <c r="BV36" i="46"/>
  <c r="BW36" i="46"/>
  <c r="BN36" i="46"/>
  <c r="BX34" i="29"/>
  <c r="BZ21" i="38"/>
  <c r="CD79" i="38"/>
  <c r="BY21" i="38"/>
  <c r="CC40" i="38"/>
  <c r="CD40" i="38"/>
  <c r="CD21" i="38"/>
  <c r="CG21" i="38"/>
  <c r="CE79" i="38"/>
  <c r="CH21" i="38"/>
  <c r="BZ39" i="38"/>
  <c r="BZ53" i="38"/>
  <c r="BY80" i="38"/>
  <c r="BY91" i="38" s="1"/>
  <c r="CA39" i="38"/>
  <c r="CA53" i="38"/>
  <c r="BZ80" i="38"/>
  <c r="BZ91" i="38" s="1"/>
  <c r="CH39" i="38"/>
  <c r="CH53" i="38"/>
  <c r="CG80" i="38"/>
  <c r="CG91" i="38" s="1"/>
  <c r="CI39" i="38"/>
  <c r="CI53" i="38"/>
  <c r="CH80" i="38"/>
  <c r="CH91" i="38" s="1"/>
  <c r="G267" i="79"/>
  <c r="F268" i="79"/>
  <c r="D267" i="79"/>
  <c r="BP14" i="46"/>
  <c r="BP25" i="46" s="1"/>
  <c r="BQ14" i="46"/>
  <c r="BQ25" i="46" s="1"/>
  <c r="BR14" i="46"/>
  <c r="BR25" i="46" s="1"/>
  <c r="BS14" i="46"/>
  <c r="BS25" i="46" s="1"/>
  <c r="BL14" i="46"/>
  <c r="BL25" i="46" s="1"/>
  <c r="BT14" i="46"/>
  <c r="BT25" i="46" s="1"/>
  <c r="CA21" i="38"/>
  <c r="CI21" i="38"/>
  <c r="CB39" i="38"/>
  <c r="CE40" i="38"/>
  <c r="CB53" i="38"/>
  <c r="CD62" i="38"/>
  <c r="BX79" i="38"/>
  <c r="CF79" i="38"/>
  <c r="CA80" i="38"/>
  <c r="CA91" i="38" s="1"/>
  <c r="CI80" i="38"/>
  <c r="CI91" i="38" s="1"/>
  <c r="CC62" i="38"/>
  <c r="CB21" i="38"/>
  <c r="CC39" i="38"/>
  <c r="BX40" i="38"/>
  <c r="CF40" i="38"/>
  <c r="CC53" i="38"/>
  <c r="CE62" i="38"/>
  <c r="BY79" i="38"/>
  <c r="CG79" i="38"/>
  <c r="CB80" i="38"/>
  <c r="CB91" i="38" s="1"/>
  <c r="CC21" i="38"/>
  <c r="BY40" i="38"/>
  <c r="CG40" i="38"/>
  <c r="CD53" i="38"/>
  <c r="BX62" i="38"/>
  <c r="CF62" i="38"/>
  <c r="CB62" i="38"/>
  <c r="BZ40" i="38"/>
  <c r="CH40" i="38"/>
  <c r="CE53" i="38"/>
  <c r="BY62" i="38"/>
  <c r="CG62" i="38"/>
  <c r="CE21" i="38"/>
  <c r="CA40" i="38"/>
  <c r="CI40" i="38"/>
  <c r="BX53" i="38"/>
  <c r="CF53" i="38"/>
  <c r="BX21" i="38"/>
  <c r="CF21" i="38"/>
  <c r="G268" i="79" l="1"/>
  <c r="E267" i="79"/>
  <c r="D268" i="79"/>
  <c r="F269" i="79"/>
  <c r="G269" i="79" s="1"/>
  <c r="E268" i="79" l="1"/>
  <c r="D269" i="79"/>
  <c r="F270" i="79"/>
  <c r="G270" i="79"/>
  <c r="E269" i="79" l="1"/>
  <c r="D270" i="79"/>
  <c r="F271" i="79"/>
  <c r="G271" i="79"/>
  <c r="E270" i="79" l="1"/>
  <c r="F272" i="79"/>
  <c r="G272" i="79" s="1"/>
  <c r="D271" i="79"/>
  <c r="E271" i="79" s="1"/>
  <c r="D272" i="79" l="1"/>
  <c r="E272" i="79" s="1"/>
  <c r="F273" i="79"/>
  <c r="D273" i="79" l="1"/>
  <c r="E273" i="79" s="1"/>
  <c r="F274" i="79"/>
  <c r="G274" i="79"/>
  <c r="G273" i="79"/>
  <c r="BQ95" i="38"/>
  <c r="BP95" i="38"/>
  <c r="BO95" i="38"/>
  <c r="BN95" i="38"/>
  <c r="BM95" i="38"/>
  <c r="BL95" i="38"/>
  <c r="BE95" i="38"/>
  <c r="BD95" i="38"/>
  <c r="BC95" i="38"/>
  <c r="BB95" i="38"/>
  <c r="D274" i="79" l="1"/>
  <c r="E274" i="79" s="1"/>
  <c r="F275" i="79"/>
  <c r="D275" i="79" l="1"/>
  <c r="E275" i="79" s="1"/>
  <c r="F276" i="79"/>
  <c r="G275" i="79"/>
  <c r="D276" i="79" l="1"/>
  <c r="E276" i="79" s="1"/>
  <c r="F277" i="79"/>
  <c r="G276" i="79"/>
  <c r="D30" i="86"/>
  <c r="H30" i="86" s="1"/>
  <c r="D7" i="86"/>
  <c r="D6" i="86"/>
  <c r="F278" i="79" l="1"/>
  <c r="D277" i="79"/>
  <c r="E277" i="79" s="1"/>
  <c r="G277" i="79"/>
  <c r="F30" i="86"/>
  <c r="D30" i="85"/>
  <c r="H30" i="85" s="1"/>
  <c r="D7" i="85"/>
  <c r="D6" i="85"/>
  <c r="D278" i="79" l="1"/>
  <c r="E278" i="79" s="1"/>
  <c r="G278" i="79"/>
  <c r="F30" i="85"/>
  <c r="CJ18" i="46" l="1"/>
  <c r="C262" i="79" l="1"/>
  <c r="C263" i="79"/>
  <c r="C264" i="79"/>
  <c r="C265" i="79"/>
  <c r="C266" i="79"/>
  <c r="C261" i="79"/>
  <c r="J164" i="84" l="1"/>
  <c r="J163" i="84"/>
  <c r="J162" i="84"/>
  <c r="J161" i="84"/>
  <c r="B72" i="47" l="1"/>
  <c r="B74" i="47" s="1"/>
  <c r="B68" i="47" l="1"/>
  <c r="B70" i="47" s="1"/>
  <c r="H73" i="47"/>
  <c r="F73" i="47"/>
  <c r="F72" i="47"/>
  <c r="D73" i="47"/>
  <c r="D72" i="47"/>
  <c r="F68" i="47"/>
  <c r="D68" i="47"/>
  <c r="F74" i="47" l="1"/>
  <c r="D74" i="47"/>
  <c r="BK69" i="38" l="1"/>
  <c r="BG69" i="38"/>
  <c r="AY69" i="38"/>
  <c r="AU69" i="38"/>
  <c r="AI69" i="38"/>
  <c r="AT71" i="38" s="1"/>
  <c r="W69" i="38"/>
  <c r="AH71" i="38" s="1"/>
  <c r="S69" i="38"/>
  <c r="AD71" i="38" s="1"/>
  <c r="BE30" i="38"/>
  <c r="AX58" i="38"/>
  <c r="AT58" i="38"/>
  <c r="AP58" i="38"/>
  <c r="AL58" i="38"/>
  <c r="AX60" i="38" s="1"/>
  <c r="AH58" i="38"/>
  <c r="AT60" i="38" s="1"/>
  <c r="AD58" i="38"/>
  <c r="AP60" i="38" s="1"/>
  <c r="Z58" i="38"/>
  <c r="AL60" i="38" s="1"/>
  <c r="V58" i="38"/>
  <c r="AH60" i="38" s="1"/>
  <c r="R58" i="38"/>
  <c r="AD60" i="38" s="1"/>
  <c r="BB34" i="29"/>
  <c r="BA34" i="29"/>
  <c r="D3" i="83"/>
  <c r="F3" i="83"/>
  <c r="D4" i="83"/>
  <c r="E4" i="83"/>
  <c r="F4" i="83"/>
  <c r="D26" i="82"/>
  <c r="D9" i="83" s="1"/>
  <c r="I26" i="82"/>
  <c r="E9" i="83" s="1"/>
  <c r="N26" i="82"/>
  <c r="F9" i="83" s="1"/>
  <c r="D35" i="82"/>
  <c r="N35" i="82"/>
  <c r="D36" i="82"/>
  <c r="I36" i="82"/>
  <c r="N36" i="82"/>
  <c r="D37" i="82"/>
  <c r="I37" i="82"/>
  <c r="N37" i="82"/>
  <c r="D38" i="82"/>
  <c r="I38" i="82"/>
  <c r="N38" i="82"/>
  <c r="D39" i="82"/>
  <c r="I39" i="82"/>
  <c r="N39" i="82"/>
  <c r="I40" i="82"/>
  <c r="N40" i="82"/>
  <c r="D41" i="82"/>
  <c r="I41" i="82"/>
  <c r="N41" i="82"/>
  <c r="D42" i="82"/>
  <c r="I42" i="82"/>
  <c r="N42" i="82"/>
  <c r="D43" i="82"/>
  <c r="I43" i="82"/>
  <c r="N43" i="82"/>
  <c r="D44" i="82"/>
  <c r="I44" i="82"/>
  <c r="N44" i="82"/>
  <c r="D45" i="82"/>
  <c r="I45" i="82"/>
  <c r="N45" i="82"/>
  <c r="D46" i="82"/>
  <c r="I46" i="82"/>
  <c r="N46" i="82"/>
  <c r="D47" i="82"/>
  <c r="I47" i="82"/>
  <c r="N47" i="82"/>
  <c r="D48" i="82"/>
  <c r="I48" i="82"/>
  <c r="N48" i="82"/>
  <c r="D49" i="82"/>
  <c r="I49" i="82"/>
  <c r="N49" i="82"/>
  <c r="D54" i="82"/>
  <c r="I54" i="82"/>
  <c r="N54" i="82"/>
  <c r="D55" i="82"/>
  <c r="D11" i="83" s="1"/>
  <c r="I55" i="82"/>
  <c r="E11" i="83" s="1"/>
  <c r="N55" i="82"/>
  <c r="F11" i="83" s="1"/>
  <c r="D56" i="82"/>
  <c r="D12" i="83" s="1"/>
  <c r="I56" i="82"/>
  <c r="E12" i="83" s="1"/>
  <c r="N56" i="82"/>
  <c r="F12" i="83" s="1"/>
  <c r="D57" i="82"/>
  <c r="I57" i="82"/>
  <c r="N57" i="82"/>
  <c r="D58" i="82"/>
  <c r="I58" i="82"/>
  <c r="N58" i="82"/>
  <c r="D59" i="82"/>
  <c r="I59" i="82"/>
  <c r="N59" i="82"/>
  <c r="D60" i="82"/>
  <c r="I60" i="82"/>
  <c r="N60" i="82"/>
  <c r="D61" i="82"/>
  <c r="I61" i="82"/>
  <c r="N61" i="82"/>
  <c r="D62" i="82"/>
  <c r="I62" i="82"/>
  <c r="N62" i="82"/>
  <c r="D63" i="82"/>
  <c r="I63" i="82"/>
  <c r="N63" i="82"/>
  <c r="D64" i="82"/>
  <c r="D13" i="83" s="1"/>
  <c r="I64" i="82"/>
  <c r="E13" i="83" s="1"/>
  <c r="N64" i="82"/>
  <c r="F13" i="83" s="1"/>
  <c r="D16" i="83"/>
  <c r="E16" i="83"/>
  <c r="F16" i="83"/>
  <c r="C24" i="81"/>
  <c r="I15" i="81"/>
  <c r="D15" i="81"/>
  <c r="E23" i="81"/>
  <c r="E24" i="81" s="1"/>
  <c r="J23" i="81"/>
  <c r="J24" i="81" s="1"/>
  <c r="I32" i="81"/>
  <c r="D33" i="81"/>
  <c r="I33" i="81"/>
  <c r="N33" i="81"/>
  <c r="D34" i="81"/>
  <c r="I34" i="81"/>
  <c r="D35" i="81"/>
  <c r="D36" i="81"/>
  <c r="I36" i="81"/>
  <c r="D37" i="81"/>
  <c r="I37" i="81"/>
  <c r="D38" i="81"/>
  <c r="I38" i="81"/>
  <c r="D39" i="81"/>
  <c r="I39" i="81"/>
  <c r="N39" i="81"/>
  <c r="D40" i="81"/>
  <c r="I40" i="81"/>
  <c r="N40" i="81"/>
  <c r="D41" i="81"/>
  <c r="I41" i="81"/>
  <c r="N41" i="81"/>
  <c r="D42" i="81"/>
  <c r="I42" i="81"/>
  <c r="D43" i="81"/>
  <c r="I43" i="81"/>
  <c r="D44" i="81"/>
  <c r="I44" i="81"/>
  <c r="D45" i="81"/>
  <c r="I45" i="81"/>
  <c r="D46" i="81"/>
  <c r="I46" i="81"/>
  <c r="I51" i="81"/>
  <c r="D52" i="81"/>
  <c r="I52" i="81"/>
  <c r="D53" i="81"/>
  <c r="I53" i="81"/>
  <c r="D54" i="81"/>
  <c r="I54" i="81"/>
  <c r="D55" i="81"/>
  <c r="I55" i="81"/>
  <c r="D56" i="81"/>
  <c r="I56" i="81"/>
  <c r="N56" i="81"/>
  <c r="D57" i="81"/>
  <c r="I57" i="81"/>
  <c r="D58" i="81"/>
  <c r="I58" i="81"/>
  <c r="D59" i="81"/>
  <c r="I59" i="81"/>
  <c r="D60" i="81"/>
  <c r="T30" i="60"/>
  <c r="B17" i="63"/>
  <c r="C17" i="63"/>
  <c r="D17" i="63"/>
  <c r="E17" i="63"/>
  <c r="H17" i="63"/>
  <c r="I17" i="63"/>
  <c r="J17" i="63"/>
  <c r="K17" i="63"/>
  <c r="B19" i="63"/>
  <c r="C19" i="63"/>
  <c r="D19" i="63"/>
  <c r="E19" i="63"/>
  <c r="H19" i="63"/>
  <c r="I19" i="63"/>
  <c r="J19" i="63"/>
  <c r="K19" i="63"/>
  <c r="B21" i="63"/>
  <c r="C21" i="63"/>
  <c r="D21" i="63"/>
  <c r="E21" i="63"/>
  <c r="H21" i="63"/>
  <c r="I21" i="63"/>
  <c r="J21" i="63"/>
  <c r="K21" i="63"/>
  <c r="B23" i="63"/>
  <c r="C23" i="63"/>
  <c r="D23" i="63"/>
  <c r="E23" i="63"/>
  <c r="H23" i="63"/>
  <c r="I23" i="63"/>
  <c r="J23" i="63"/>
  <c r="K23" i="63"/>
  <c r="C25" i="63"/>
  <c r="D25" i="63"/>
  <c r="I25" i="63"/>
  <c r="J25" i="63"/>
  <c r="D6" i="68"/>
  <c r="D7" i="68"/>
  <c r="D30" i="68"/>
  <c r="D6" i="55"/>
  <c r="D7" i="55"/>
  <c r="B15" i="55"/>
  <c r="B19" i="55"/>
  <c r="B22" i="55"/>
  <c r="B25" i="55"/>
  <c r="H30" i="47"/>
  <c r="D6" i="77"/>
  <c r="D7" i="77"/>
  <c r="O24" i="77"/>
  <c r="O25" i="77"/>
  <c r="D6" i="62"/>
  <c r="D7" i="62"/>
  <c r="D30" i="62"/>
  <c r="F30" i="62"/>
  <c r="H30" i="62"/>
  <c r="D6" i="61"/>
  <c r="D7" i="61"/>
  <c r="D30" i="61"/>
  <c r="F30" i="61" s="1"/>
  <c r="H30" i="61"/>
  <c r="F30" i="36"/>
  <c r="H30" i="36"/>
  <c r="D6" i="48"/>
  <c r="F9" i="48"/>
  <c r="H9" i="48"/>
  <c r="F10" i="48"/>
  <c r="H10" i="48"/>
  <c r="I15" i="48" s="1"/>
  <c r="F11" i="48"/>
  <c r="H11" i="48"/>
  <c r="F12" i="48"/>
  <c r="H12" i="48"/>
  <c r="F13" i="48"/>
  <c r="H13" i="48"/>
  <c r="F15" i="48"/>
  <c r="H15" i="48"/>
  <c r="F17" i="48"/>
  <c r="H17" i="48"/>
  <c r="F19" i="48"/>
  <c r="H19" i="48"/>
  <c r="F20" i="48"/>
  <c r="H20" i="48" s="1"/>
  <c r="F22" i="48"/>
  <c r="H22" i="48" s="1"/>
  <c r="F23" i="48"/>
  <c r="H23" i="48"/>
  <c r="F25" i="48"/>
  <c r="H25" i="48"/>
  <c r="F28" i="48"/>
  <c r="H28" i="48"/>
  <c r="I33" i="48" s="1"/>
  <c r="K33" i="48" s="1"/>
  <c r="F29" i="48"/>
  <c r="H29" i="48"/>
  <c r="F30" i="48"/>
  <c r="H30" i="48"/>
  <c r="F31" i="48"/>
  <c r="H31" i="48"/>
  <c r="F33" i="48"/>
  <c r="H33" i="48"/>
  <c r="I37" i="48" s="1"/>
  <c r="F36" i="48"/>
  <c r="H36" i="48"/>
  <c r="I36" i="48"/>
  <c r="K36" i="48"/>
  <c r="F37" i="48"/>
  <c r="H37" i="48"/>
  <c r="K37" i="48"/>
  <c r="H38" i="48"/>
  <c r="F41" i="48"/>
  <c r="H41" i="48"/>
  <c r="F42" i="48"/>
  <c r="H42" i="48"/>
  <c r="F43" i="48"/>
  <c r="H43" i="48"/>
  <c r="F44" i="48"/>
  <c r="H44" i="48"/>
  <c r="F45" i="48"/>
  <c r="H45" i="48"/>
  <c r="F46" i="48"/>
  <c r="H46" i="48"/>
  <c r="F47" i="48"/>
  <c r="H47" i="48"/>
  <c r="F48" i="48"/>
  <c r="H48" i="48"/>
  <c r="F49" i="48"/>
  <c r="H49" i="48"/>
  <c r="F50" i="48"/>
  <c r="H50" i="48"/>
  <c r="F51" i="48"/>
  <c r="H51" i="48"/>
  <c r="F52" i="48"/>
  <c r="H52" i="48"/>
  <c r="F53" i="48"/>
  <c r="H53" i="48"/>
  <c r="F54" i="48"/>
  <c r="H54" i="48"/>
  <c r="F55" i="48"/>
  <c r="H55" i="48"/>
  <c r="F56" i="48"/>
  <c r="H56" i="48"/>
  <c r="F57" i="48"/>
  <c r="H57" i="48"/>
  <c r="F58" i="48"/>
  <c r="H58" i="48"/>
  <c r="F59" i="48"/>
  <c r="H59" i="48"/>
  <c r="F60" i="48"/>
  <c r="H60" i="48"/>
  <c r="F62" i="48"/>
  <c r="F63" i="48"/>
  <c r="D6" i="70"/>
  <c r="D7" i="70"/>
  <c r="D30" i="70"/>
  <c r="F30" i="70" s="1"/>
  <c r="A4" i="67"/>
  <c r="A3" i="66"/>
  <c r="A3" i="65"/>
  <c r="G18" i="65"/>
  <c r="L16" i="57"/>
  <c r="L20" i="57"/>
  <c r="L22" i="57"/>
  <c r="K31" i="57"/>
  <c r="L31" i="57" s="1"/>
  <c r="K32" i="57"/>
  <c r="L32" i="57"/>
  <c r="K35" i="57"/>
  <c r="L35" i="57"/>
  <c r="I37" i="57"/>
  <c r="L37" i="57"/>
  <c r="E42" i="57"/>
  <c r="F42" i="57"/>
  <c r="I42" i="57"/>
  <c r="T69" i="53"/>
  <c r="J70" i="53"/>
  <c r="H75" i="53"/>
  <c r="T86" i="53"/>
  <c r="T88" i="53" s="1"/>
  <c r="L13" i="53" s="1"/>
  <c r="B88" i="53"/>
  <c r="D88" i="53"/>
  <c r="F88" i="53"/>
  <c r="H88" i="53"/>
  <c r="J88" i="53"/>
  <c r="L88" i="53"/>
  <c r="N88" i="53"/>
  <c r="P88" i="53"/>
  <c r="R88" i="53"/>
  <c r="J107" i="53"/>
  <c r="N123" i="53"/>
  <c r="R123" i="53"/>
  <c r="T134" i="53"/>
  <c r="T136" i="53" s="1"/>
  <c r="V134" i="53"/>
  <c r="V136" i="53" s="1"/>
  <c r="L11" i="53" s="1"/>
  <c r="B136" i="53"/>
  <c r="F136" i="53"/>
  <c r="L136" i="53"/>
  <c r="R136" i="53"/>
  <c r="L162" i="53"/>
  <c r="T162" i="53"/>
  <c r="AB166" i="53"/>
  <c r="H216" i="53"/>
  <c r="H218" i="53"/>
  <c r="H277" i="53"/>
  <c r="H279" i="53"/>
  <c r="L16" i="2"/>
  <c r="L20" i="2"/>
  <c r="L31" i="2"/>
  <c r="K32" i="2"/>
  <c r="L32" i="2"/>
  <c r="K35" i="2"/>
  <c r="L35" i="2" s="1"/>
  <c r="I37" i="2"/>
  <c r="L37" i="2" s="1"/>
  <c r="L39" i="2"/>
  <c r="F43" i="2"/>
  <c r="I43" i="2"/>
  <c r="C54" i="2"/>
  <c r="D14" i="57"/>
  <c r="C108" i="2"/>
  <c r="B109" i="2"/>
  <c r="C109" i="2"/>
  <c r="C111" i="2"/>
  <c r="C177" i="2"/>
  <c r="C178" i="2"/>
  <c r="C183" i="2"/>
  <c r="H187" i="2"/>
  <c r="C200" i="2"/>
  <c r="A3" i="1"/>
  <c r="A47" i="1" s="1"/>
  <c r="T71" i="1"/>
  <c r="D77" i="1"/>
  <c r="H77" i="1"/>
  <c r="T88" i="1"/>
  <c r="T90" i="1" s="1"/>
  <c r="L14" i="1" s="1"/>
  <c r="B90" i="1"/>
  <c r="D90" i="1"/>
  <c r="F90" i="1"/>
  <c r="H90" i="1"/>
  <c r="J90" i="1"/>
  <c r="L90" i="1"/>
  <c r="N90" i="1"/>
  <c r="P90" i="1"/>
  <c r="R90" i="1"/>
  <c r="L120" i="1"/>
  <c r="L117" i="53" s="1"/>
  <c r="T117" i="53" s="1"/>
  <c r="V117" i="53" s="1"/>
  <c r="L122" i="1"/>
  <c r="L125" i="1"/>
  <c r="T125" i="1" s="1"/>
  <c r="V125" i="1" s="1"/>
  <c r="D57" i="36" s="1"/>
  <c r="N126" i="1"/>
  <c r="R126" i="1"/>
  <c r="T137" i="1"/>
  <c r="V137" i="1" s="1"/>
  <c r="V139" i="1" s="1"/>
  <c r="B139" i="1"/>
  <c r="F139" i="1"/>
  <c r="L139" i="1"/>
  <c r="R139" i="1"/>
  <c r="H220" i="1"/>
  <c r="H222" i="1"/>
  <c r="H281" i="1"/>
  <c r="H283" i="1"/>
  <c r="J2" i="84"/>
  <c r="B3" i="84"/>
  <c r="S4" i="84"/>
  <c r="S2" i="84" s="1"/>
  <c r="J5" i="84"/>
  <c r="K4" i="84" s="1"/>
  <c r="K5" i="84" s="1"/>
  <c r="L4" i="84" s="1"/>
  <c r="L5" i="84" s="1"/>
  <c r="M4" i="84" s="1"/>
  <c r="M5" i="84" s="1"/>
  <c r="N4" i="84" s="1"/>
  <c r="N5" i="84" s="1"/>
  <c r="O4" i="84" s="1"/>
  <c r="O5" i="84" s="1"/>
  <c r="P4" i="84" s="1"/>
  <c r="P5" i="84" s="1"/>
  <c r="Q4" i="84" s="1"/>
  <c r="Q5" i="84" s="1"/>
  <c r="K6" i="84"/>
  <c r="L6" i="84" s="1"/>
  <c r="M6" i="84" s="1"/>
  <c r="N6" i="84" s="1"/>
  <c r="O6" i="84" s="1"/>
  <c r="P6" i="84" s="1"/>
  <c r="Q6" i="84" s="1"/>
  <c r="S6" i="84"/>
  <c r="S3" i="84" s="1" a="1"/>
  <c r="S3" i="84" s="1"/>
  <c r="K7" i="84"/>
  <c r="L7" i="84" s="1"/>
  <c r="M7" i="84" s="1"/>
  <c r="N7" i="84" s="1"/>
  <c r="O7" i="84" s="1"/>
  <c r="P7" i="84" s="1"/>
  <c r="Q7" i="84" s="1"/>
  <c r="S7" i="84"/>
  <c r="K8" i="84"/>
  <c r="L8" i="84" s="1"/>
  <c r="M8" i="84" s="1"/>
  <c r="N8" i="84" s="1"/>
  <c r="O8" i="84" s="1"/>
  <c r="P8" i="84" s="1"/>
  <c r="Q8" i="84" s="1"/>
  <c r="S8" i="84"/>
  <c r="T8" i="84" s="1"/>
  <c r="U8" i="84" s="1"/>
  <c r="V8" i="84" s="1"/>
  <c r="J9" i="84"/>
  <c r="K9" i="84"/>
  <c r="L9" i="84"/>
  <c r="M9" i="84"/>
  <c r="N9" i="84"/>
  <c r="O9" i="84"/>
  <c r="P9" i="84"/>
  <c r="Q9" i="84"/>
  <c r="J10" i="84"/>
  <c r="K10" i="84"/>
  <c r="L10" i="84"/>
  <c r="L12" i="84" s="1"/>
  <c r="M10" i="84"/>
  <c r="N10" i="84"/>
  <c r="O10" i="84"/>
  <c r="P10" i="84"/>
  <c r="Q10" i="84"/>
  <c r="J11" i="84"/>
  <c r="K11" i="84"/>
  <c r="L11" i="84"/>
  <c r="M11" i="84"/>
  <c r="N11" i="84"/>
  <c r="O11" i="84"/>
  <c r="P11" i="84"/>
  <c r="Q11" i="84"/>
  <c r="K17" i="84"/>
  <c r="L17" i="84" s="1"/>
  <c r="J165" i="84"/>
  <c r="B29" i="3"/>
  <c r="E38" i="3"/>
  <c r="B62" i="3"/>
  <c r="A24" i="69"/>
  <c r="A25" i="69"/>
  <c r="A26" i="69"/>
  <c r="A27" i="69"/>
  <c r="A28" i="69"/>
  <c r="A29" i="69"/>
  <c r="A30" i="69"/>
  <c r="A35" i="69"/>
  <c r="A36" i="69"/>
  <c r="A37" i="69"/>
  <c r="A38" i="69"/>
  <c r="A39" i="69"/>
  <c r="A40" i="69"/>
  <c r="A41" i="69"/>
  <c r="A46" i="69"/>
  <c r="A47" i="69"/>
  <c r="A48" i="69"/>
  <c r="A49" i="69"/>
  <c r="A3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T7" i="38"/>
  <c r="U7" i="38"/>
  <c r="V7" i="38"/>
  <c r="W7" i="38"/>
  <c r="X7" i="38"/>
  <c r="Y7" i="38"/>
  <c r="Z7" i="38"/>
  <c r="AA7" i="38"/>
  <c r="AA79" i="38" s="1"/>
  <c r="AB7" i="38"/>
  <c r="AB79" i="38" s="1"/>
  <c r="AC7" i="38"/>
  <c r="AC79" i="38" s="1"/>
  <c r="AD7" i="38"/>
  <c r="AD79" i="38" s="1"/>
  <c r="AE7" i="38"/>
  <c r="AE79" i="38" s="1"/>
  <c r="AF7" i="38"/>
  <c r="AF79" i="38" s="1"/>
  <c r="AG7" i="38"/>
  <c r="AG79" i="38" s="1"/>
  <c r="AH7" i="38"/>
  <c r="AH79" i="38" s="1"/>
  <c r="AI7" i="38"/>
  <c r="AI79" i="38" s="1"/>
  <c r="AJ7" i="38"/>
  <c r="AJ79" i="38" s="1"/>
  <c r="AK7" i="38"/>
  <c r="AK79" i="38" s="1"/>
  <c r="AL7" i="38"/>
  <c r="AM7" i="38"/>
  <c r="AM79" i="38" s="1"/>
  <c r="AN7" i="38"/>
  <c r="AN79" i="38" s="1"/>
  <c r="AO7" i="38"/>
  <c r="AO79" i="38" s="1"/>
  <c r="AP7" i="38"/>
  <c r="AP79" i="38" s="1"/>
  <c r="AQ7" i="38"/>
  <c r="AQ79" i="38" s="1"/>
  <c r="AR7" i="38"/>
  <c r="AR79" i="38" s="1"/>
  <c r="AS7" i="38"/>
  <c r="AS79" i="38" s="1"/>
  <c r="AT7" i="38"/>
  <c r="AT79" i="38" s="1"/>
  <c r="AU7" i="38"/>
  <c r="AU79" i="38" s="1"/>
  <c r="AV7" i="38"/>
  <c r="AV79" i="38" s="1"/>
  <c r="AW7" i="38"/>
  <c r="AW79" i="38" s="1"/>
  <c r="AX7" i="38"/>
  <c r="AX79" i="38" s="1"/>
  <c r="AY7" i="38"/>
  <c r="AY39" i="38" s="1"/>
  <c r="AZ7" i="38"/>
  <c r="AZ39" i="38" s="1"/>
  <c r="BA7" i="38"/>
  <c r="BA39" i="38" s="1"/>
  <c r="BB7" i="38"/>
  <c r="BC7" i="38"/>
  <c r="BC79" i="38" s="1"/>
  <c r="BD7" i="38"/>
  <c r="BD39" i="38" s="1"/>
  <c r="BE7" i="38"/>
  <c r="BE39" i="38" s="1"/>
  <c r="BF7" i="38"/>
  <c r="BF79" i="38" s="1"/>
  <c r="BG7" i="38"/>
  <c r="BG39" i="38" s="1"/>
  <c r="BH7" i="38"/>
  <c r="BH39" i="38" s="1"/>
  <c r="BI7" i="38"/>
  <c r="BI39" i="38" s="1"/>
  <c r="BJ7" i="38"/>
  <c r="BJ39" i="38" s="1"/>
  <c r="BK7" i="38"/>
  <c r="BK39" i="38" s="1"/>
  <c r="BL7" i="38"/>
  <c r="BL79" i="38" s="1"/>
  <c r="BM7" i="38"/>
  <c r="BM79" i="38" s="1"/>
  <c r="D8" i="38"/>
  <c r="D21" i="38" s="1"/>
  <c r="BL8" i="38"/>
  <c r="BL21" i="38" s="1"/>
  <c r="BM8" i="38"/>
  <c r="BM21" i="38" s="1"/>
  <c r="BN8" i="38"/>
  <c r="BN21" i="38" s="1"/>
  <c r="BO8" i="38"/>
  <c r="BO21" i="38" s="1"/>
  <c r="BP8" i="38"/>
  <c r="BP40" i="38" s="1"/>
  <c r="BQ8" i="38"/>
  <c r="BQ53" i="38" s="1"/>
  <c r="BR8" i="38"/>
  <c r="BR62" i="38" s="1"/>
  <c r="BS8" i="38"/>
  <c r="BS53" i="38" s="1"/>
  <c r="BT8" i="38"/>
  <c r="BT21" i="38" s="1"/>
  <c r="BU8" i="38"/>
  <c r="BU21" i="38" s="1"/>
  <c r="BV8" i="38"/>
  <c r="BV21" i="38" s="1"/>
  <c r="BW8" i="38"/>
  <c r="BW40" i="38" s="1"/>
  <c r="AX10" i="38"/>
  <c r="BF10" i="38"/>
  <c r="BG10" i="38"/>
  <c r="BH10" i="38"/>
  <c r="BI10" i="38"/>
  <c r="BJ10" i="38"/>
  <c r="BK10" i="38"/>
  <c r="AX11" i="38"/>
  <c r="BF11" i="38"/>
  <c r="BG11" i="38"/>
  <c r="BH11" i="38"/>
  <c r="BI11" i="38"/>
  <c r="BJ11" i="38"/>
  <c r="BK11" i="38"/>
  <c r="AX12" i="38"/>
  <c r="BF12" i="38"/>
  <c r="BG12" i="38"/>
  <c r="BH12" i="38"/>
  <c r="BI12" i="38"/>
  <c r="BJ12" i="38"/>
  <c r="BK12" i="38"/>
  <c r="D15" i="38"/>
  <c r="D36" i="38" s="1"/>
  <c r="E15" i="38"/>
  <c r="E36" i="38" s="1"/>
  <c r="F15" i="38"/>
  <c r="F36" i="38" s="1"/>
  <c r="G15" i="38"/>
  <c r="H15" i="38"/>
  <c r="I15" i="38"/>
  <c r="I36" i="38" s="1"/>
  <c r="J15" i="38"/>
  <c r="K15" i="38"/>
  <c r="K36" i="38" s="1"/>
  <c r="L15" i="38"/>
  <c r="L36" i="38" s="1"/>
  <c r="M15" i="38"/>
  <c r="M36" i="38" s="1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AL15" i="38"/>
  <c r="AM15" i="38"/>
  <c r="AN15" i="38"/>
  <c r="AO15" i="38"/>
  <c r="AP15" i="38"/>
  <c r="AQ15" i="38"/>
  <c r="AR15" i="38"/>
  <c r="AS15" i="38"/>
  <c r="AT15" i="38"/>
  <c r="AU15" i="38"/>
  <c r="AV15" i="38"/>
  <c r="AW15" i="38"/>
  <c r="AY15" i="38"/>
  <c r="AZ15" i="38"/>
  <c r="BA15" i="38"/>
  <c r="BB15" i="38"/>
  <c r="BC15" i="38"/>
  <c r="BD15" i="38"/>
  <c r="BE15" i="38"/>
  <c r="AX30" i="38"/>
  <c r="AZ30" i="38"/>
  <c r="BJ30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AL30" i="38"/>
  <c r="AM30" i="38"/>
  <c r="AN30" i="38"/>
  <c r="AO30" i="38"/>
  <c r="AP30" i="38"/>
  <c r="AQ30" i="38"/>
  <c r="AR30" i="38"/>
  <c r="AS30" i="38"/>
  <c r="AT30" i="38"/>
  <c r="AU30" i="38"/>
  <c r="AV30" i="38"/>
  <c r="AW30" i="38"/>
  <c r="AY30" i="38"/>
  <c r="BA30" i="38"/>
  <c r="BB30" i="38"/>
  <c r="BC30" i="38"/>
  <c r="BD30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G36" i="38"/>
  <c r="H36" i="38"/>
  <c r="N36" i="38"/>
  <c r="O36" i="38"/>
  <c r="BB39" i="38"/>
  <c r="BH44" i="38"/>
  <c r="BI44" i="38" s="1"/>
  <c r="BM46" i="38"/>
  <c r="BN46" i="38" s="1"/>
  <c r="BP46" i="38"/>
  <c r="BQ46" i="38" s="1"/>
  <c r="BS46" i="38"/>
  <c r="BT46" i="38" s="1"/>
  <c r="BV46" i="38"/>
  <c r="BW46" i="38" s="1"/>
  <c r="BX46" i="38" s="1"/>
  <c r="BL49" i="38"/>
  <c r="BK50" i="38"/>
  <c r="S58" i="38"/>
  <c r="AE60" i="38" s="1"/>
  <c r="W58" i="38"/>
  <c r="AI60" i="38" s="1"/>
  <c r="AA58" i="38"/>
  <c r="AM60" i="38" s="1"/>
  <c r="AE58" i="38"/>
  <c r="AQ60" i="38" s="1"/>
  <c r="AI58" i="38"/>
  <c r="AU60" i="38" s="1"/>
  <c r="AM58" i="38"/>
  <c r="AY60" i="38" s="1"/>
  <c r="AQ58" i="38"/>
  <c r="AU58" i="38"/>
  <c r="AY58" i="38"/>
  <c r="P58" i="38"/>
  <c r="AB60" i="38" s="1"/>
  <c r="Q58" i="38"/>
  <c r="AC60" i="38" s="1"/>
  <c r="T58" i="38"/>
  <c r="AF60" i="38" s="1"/>
  <c r="U58" i="38"/>
  <c r="AG60" i="38" s="1"/>
  <c r="X58" i="38"/>
  <c r="AJ60" i="38" s="1"/>
  <c r="Y58" i="38"/>
  <c r="AK60" i="38" s="1"/>
  <c r="AB58" i="38"/>
  <c r="AN60" i="38" s="1"/>
  <c r="AC58" i="38"/>
  <c r="AO60" i="38" s="1"/>
  <c r="AF58" i="38"/>
  <c r="AR60" i="38" s="1"/>
  <c r="AG58" i="38"/>
  <c r="AS60" i="38" s="1"/>
  <c r="AJ58" i="38"/>
  <c r="AV60" i="38" s="1"/>
  <c r="AK58" i="38"/>
  <c r="AW60" i="38" s="1"/>
  <c r="AN58" i="38"/>
  <c r="AZ60" i="38" s="1"/>
  <c r="AO58" i="38"/>
  <c r="BA60" i="38" s="1"/>
  <c r="AR58" i="38"/>
  <c r="AS58" i="38"/>
  <c r="AV58" i="38"/>
  <c r="AW58" i="38"/>
  <c r="AZ58" i="38"/>
  <c r="BA58" i="38"/>
  <c r="BO62" i="38"/>
  <c r="R69" i="38"/>
  <c r="AC71" i="38" s="1"/>
  <c r="V69" i="38"/>
  <c r="AG71" i="38" s="1"/>
  <c r="Z69" i="38"/>
  <c r="AK71" i="38" s="1"/>
  <c r="AD69" i="38"/>
  <c r="AO71" i="38" s="1"/>
  <c r="AH69" i="38"/>
  <c r="AS71" i="38" s="1"/>
  <c r="AL69" i="38"/>
  <c r="AW71" i="38" s="1"/>
  <c r="AP69" i="38"/>
  <c r="BA71" i="38" s="1"/>
  <c r="AT69" i="38"/>
  <c r="AX69" i="38"/>
  <c r="BB69" i="38"/>
  <c r="BF69" i="38"/>
  <c r="BJ69" i="38"/>
  <c r="P69" i="38"/>
  <c r="AA71" i="38" s="1"/>
  <c r="Q69" i="38"/>
  <c r="AB71" i="38" s="1"/>
  <c r="T69" i="38"/>
  <c r="AE71" i="38" s="1"/>
  <c r="U69" i="38"/>
  <c r="AF71" i="38" s="1"/>
  <c r="X69" i="38"/>
  <c r="AI71" i="38" s="1"/>
  <c r="Y69" i="38"/>
  <c r="AJ71" i="38" s="1"/>
  <c r="AA69" i="38"/>
  <c r="AL71" i="38" s="1"/>
  <c r="AB69" i="38"/>
  <c r="AM71" i="38" s="1"/>
  <c r="AC69" i="38"/>
  <c r="AN71" i="38" s="1"/>
  <c r="AE69" i="38"/>
  <c r="AP71" i="38" s="1"/>
  <c r="AF69" i="38"/>
  <c r="AQ71" i="38" s="1"/>
  <c r="AG69" i="38"/>
  <c r="AR71" i="38" s="1"/>
  <c r="AJ69" i="38"/>
  <c r="AU71" i="38" s="1"/>
  <c r="AK69" i="38"/>
  <c r="AV71" i="38" s="1"/>
  <c r="AM69" i="38"/>
  <c r="AX71" i="38" s="1"/>
  <c r="AN69" i="38"/>
  <c r="AY71" i="38" s="1"/>
  <c r="AO69" i="38"/>
  <c r="AZ71" i="38" s="1"/>
  <c r="AQ69" i="38"/>
  <c r="AR69" i="38"/>
  <c r="AS69" i="38"/>
  <c r="AV69" i="38"/>
  <c r="AW69" i="38"/>
  <c r="AZ69" i="38"/>
  <c r="BA69" i="38"/>
  <c r="BC69" i="38"/>
  <c r="BD69" i="38"/>
  <c r="BE69" i="38"/>
  <c r="BH69" i="38"/>
  <c r="BI69" i="38"/>
  <c r="AL79" i="38"/>
  <c r="BB79" i="38"/>
  <c r="BJ79" i="38"/>
  <c r="AA82" i="38"/>
  <c r="AB82" i="38"/>
  <c r="AC82" i="38"/>
  <c r="AX82" i="38"/>
  <c r="BF82" i="38"/>
  <c r="BG82" i="38"/>
  <c r="BH82" i="38"/>
  <c r="BI82" i="38"/>
  <c r="BJ82" i="38"/>
  <c r="BK82" i="38"/>
  <c r="AA83" i="38"/>
  <c r="AB83" i="38"/>
  <c r="AC83" i="38"/>
  <c r="AX83" i="38"/>
  <c r="BF83" i="38"/>
  <c r="BG83" i="38"/>
  <c r="BH83" i="38"/>
  <c r="BI83" i="38"/>
  <c r="BJ83" i="38"/>
  <c r="BK83" i="38"/>
  <c r="AA84" i="38"/>
  <c r="AB84" i="38"/>
  <c r="AC84" i="38"/>
  <c r="AX84" i="38"/>
  <c r="BF84" i="38"/>
  <c r="BG84" i="38"/>
  <c r="BH84" i="38"/>
  <c r="BI84" i="38"/>
  <c r="BJ84" i="38"/>
  <c r="BK84" i="38"/>
  <c r="AD85" i="38"/>
  <c r="AE85" i="38"/>
  <c r="AF85" i="38"/>
  <c r="AG85" i="38"/>
  <c r="AH85" i="38"/>
  <c r="AI85" i="38"/>
  <c r="AJ85" i="38"/>
  <c r="AK85" i="38"/>
  <c r="AL85" i="38"/>
  <c r="AM85" i="38"/>
  <c r="AN85" i="38"/>
  <c r="AO85" i="38"/>
  <c r="AP85" i="38"/>
  <c r="AQ85" i="38"/>
  <c r="AR85" i="38"/>
  <c r="AS85" i="38"/>
  <c r="AT85" i="38"/>
  <c r="AU85" i="38"/>
  <c r="AV85" i="38"/>
  <c r="AW85" i="38"/>
  <c r="AY85" i="38"/>
  <c r="AZ85" i="38"/>
  <c r="BA85" i="38"/>
  <c r="BB85" i="38"/>
  <c r="BC85" i="38"/>
  <c r="BD85" i="38"/>
  <c r="BE85" i="38"/>
  <c r="AB95" i="38"/>
  <c r="AM97" i="38" s="1"/>
  <c r="AC95" i="38"/>
  <c r="AN97" i="38" s="1"/>
  <c r="AA95" i="38"/>
  <c r="AD95" i="38"/>
  <c r="AE95" i="38"/>
  <c r="AF95" i="38"/>
  <c r="AG95" i="38"/>
  <c r="AH95" i="38"/>
  <c r="AI95" i="38"/>
  <c r="AJ95" i="38"/>
  <c r="AK95" i="38"/>
  <c r="AL95" i="38"/>
  <c r="AM95" i="38"/>
  <c r="AN95" i="38"/>
  <c r="AO95" i="38"/>
  <c r="AP95" i="38"/>
  <c r="AQ95" i="38"/>
  <c r="AR95" i="38"/>
  <c r="AS95" i="38"/>
  <c r="AT95" i="38"/>
  <c r="AU95" i="38"/>
  <c r="AV95" i="38"/>
  <c r="AW95" i="38"/>
  <c r="AY95" i="38"/>
  <c r="AZ95" i="38"/>
  <c r="BA95" i="38"/>
  <c r="CU4" i="15"/>
  <c r="B52" i="2" s="1"/>
  <c r="B108" i="2" s="1"/>
  <c r="D6" i="15"/>
  <c r="E8" i="38" s="1"/>
  <c r="C14" i="15"/>
  <c r="C16" i="15" s="1"/>
  <c r="D14" i="15"/>
  <c r="D16" i="15" s="1"/>
  <c r="E14" i="15"/>
  <c r="E16" i="15" s="1"/>
  <c r="F14" i="15"/>
  <c r="F16" i="15" s="1"/>
  <c r="G14" i="15"/>
  <c r="H14" i="15"/>
  <c r="H16" i="15" s="1"/>
  <c r="I14" i="15"/>
  <c r="I16" i="15" s="1"/>
  <c r="J14" i="15"/>
  <c r="J16" i="15" s="1"/>
  <c r="K14" i="15"/>
  <c r="K16" i="15" s="1"/>
  <c r="L14" i="15"/>
  <c r="L16" i="15" s="1"/>
  <c r="M14" i="15"/>
  <c r="M16" i="15" s="1"/>
  <c r="N14" i="15"/>
  <c r="N16" i="15" s="1"/>
  <c r="O14" i="15"/>
  <c r="O16" i="15" s="1"/>
  <c r="P14" i="15"/>
  <c r="P16" i="15" s="1"/>
  <c r="Q14" i="15"/>
  <c r="Q16" i="15" s="1"/>
  <c r="R14" i="15"/>
  <c r="R16" i="15" s="1"/>
  <c r="S14" i="15"/>
  <c r="S16" i="15" s="1"/>
  <c r="T14" i="15"/>
  <c r="T16" i="15" s="1"/>
  <c r="U14" i="15"/>
  <c r="U16" i="15" s="1"/>
  <c r="V14" i="15"/>
  <c r="V16" i="15" s="1"/>
  <c r="W14" i="15"/>
  <c r="W16" i="15" s="1"/>
  <c r="X14" i="15"/>
  <c r="X16" i="15" s="1"/>
  <c r="Y14" i="15"/>
  <c r="Y16" i="15" s="1"/>
  <c r="Z14" i="15"/>
  <c r="Z16" i="15" s="1"/>
  <c r="AA14" i="15"/>
  <c r="AA16" i="15" s="1"/>
  <c r="AB14" i="15"/>
  <c r="AB16" i="15" s="1"/>
  <c r="AC14" i="15"/>
  <c r="AC16" i="15" s="1"/>
  <c r="AD14" i="15"/>
  <c r="AD16" i="15" s="1"/>
  <c r="AE14" i="15"/>
  <c r="AE16" i="15" s="1"/>
  <c r="AF14" i="15"/>
  <c r="AF16" i="15" s="1"/>
  <c r="AG14" i="15"/>
  <c r="AG16" i="15" s="1"/>
  <c r="AH14" i="15"/>
  <c r="AH16" i="15" s="1"/>
  <c r="AI14" i="15"/>
  <c r="AI16" i="15" s="1"/>
  <c r="AJ14" i="15"/>
  <c r="AJ16" i="15" s="1"/>
  <c r="AK14" i="15"/>
  <c r="AK16" i="15" s="1"/>
  <c r="AL14" i="15"/>
  <c r="AL16" i="15" s="1"/>
  <c r="AM14" i="15"/>
  <c r="AM16" i="15" s="1"/>
  <c r="AN14" i="15"/>
  <c r="AN16" i="15" s="1"/>
  <c r="AO14" i="15"/>
  <c r="AO16" i="15" s="1"/>
  <c r="AP14" i="15"/>
  <c r="AP16" i="15" s="1"/>
  <c r="AQ14" i="15"/>
  <c r="AQ16" i="15" s="1"/>
  <c r="AR14" i="15"/>
  <c r="AR16" i="15" s="1"/>
  <c r="AS14" i="15"/>
  <c r="AS16" i="15" s="1"/>
  <c r="AT14" i="15"/>
  <c r="AT16" i="15" s="1"/>
  <c r="AU14" i="15"/>
  <c r="AU16" i="15" s="1"/>
  <c r="AV14" i="15"/>
  <c r="AV16" i="15" s="1"/>
  <c r="AW14" i="15"/>
  <c r="AW16" i="15" s="1"/>
  <c r="AX14" i="15"/>
  <c r="AX16" i="15" s="1"/>
  <c r="AY14" i="15"/>
  <c r="AY16" i="15" s="1"/>
  <c r="AZ14" i="15"/>
  <c r="AZ16" i="15" s="1"/>
  <c r="BA14" i="15"/>
  <c r="BA16" i="15" s="1"/>
  <c r="BB14" i="15"/>
  <c r="BB16" i="15" s="1"/>
  <c r="BC14" i="15"/>
  <c r="BC16" i="15" s="1"/>
  <c r="BD14" i="15"/>
  <c r="BD16" i="15" s="1"/>
  <c r="BE14" i="15"/>
  <c r="BE16" i="15" s="1"/>
  <c r="BF14" i="15"/>
  <c r="BF16" i="15" s="1"/>
  <c r="BG14" i="15"/>
  <c r="BG16" i="15" s="1"/>
  <c r="BH14" i="15"/>
  <c r="BH16" i="15" s="1"/>
  <c r="BI14" i="15"/>
  <c r="BI16" i="15" s="1"/>
  <c r="BJ14" i="15"/>
  <c r="BJ16" i="15" s="1"/>
  <c r="G16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C97" i="2"/>
  <c r="B200" i="2" s="1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C139" i="2"/>
  <c r="G187" i="2" s="1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BB99" i="15"/>
  <c r="BC99" i="15"/>
  <c r="BD99" i="15"/>
  <c r="BE99" i="15"/>
  <c r="BF99" i="15"/>
  <c r="BG99" i="15"/>
  <c r="BH99" i="15"/>
  <c r="BI99" i="15"/>
  <c r="BJ99" i="15"/>
  <c r="BK103" i="15"/>
  <c r="C156" i="2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BB103" i="15"/>
  <c r="BC103" i="15"/>
  <c r="BD103" i="15"/>
  <c r="BE103" i="15"/>
  <c r="BF103" i="15"/>
  <c r="BG103" i="15"/>
  <c r="BH103" i="15"/>
  <c r="BI103" i="15"/>
  <c r="BJ103" i="15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CY5" i="8"/>
  <c r="G6" i="8"/>
  <c r="H6" i="8"/>
  <c r="BO6" i="8"/>
  <c r="BP6" i="8"/>
  <c r="BQ6" i="8"/>
  <c r="BR6" i="8"/>
  <c r="BS6" i="8"/>
  <c r="BT6" i="8"/>
  <c r="BU6" i="8"/>
  <c r="BV6" i="8"/>
  <c r="BW6" i="8"/>
  <c r="BX6" i="8"/>
  <c r="BY6" i="8"/>
  <c r="BZ6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AU9" i="8"/>
  <c r="AV9" i="8"/>
  <c r="AW9" i="8"/>
  <c r="AX9" i="8"/>
  <c r="AY9" i="8"/>
  <c r="AZ9" i="8"/>
  <c r="BA9" i="8"/>
  <c r="BB9" i="8"/>
  <c r="BC9" i="8"/>
  <c r="BD9" i="8"/>
  <c r="BE9" i="8"/>
  <c r="BF9" i="8"/>
  <c r="BG9" i="8"/>
  <c r="BH9" i="8"/>
  <c r="BI9" i="8"/>
  <c r="BJ9" i="8"/>
  <c r="BK9" i="8"/>
  <c r="BL9" i="8"/>
  <c r="BM9" i="8"/>
  <c r="BN9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N32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8" i="79"/>
  <c r="D14" i="79"/>
  <c r="F15" i="79"/>
  <c r="F16" i="79" s="1"/>
  <c r="F17" i="79" s="1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17" i="79"/>
  <c r="C118" i="79"/>
  <c r="C119" i="79"/>
  <c r="C120" i="79"/>
  <c r="C121" i="79"/>
  <c r="C122" i="79"/>
  <c r="C123" i="79"/>
  <c r="C124" i="79"/>
  <c r="C125" i="79"/>
  <c r="C126" i="79"/>
  <c r="C127" i="79"/>
  <c r="C128" i="79"/>
  <c r="C129" i="79"/>
  <c r="C130" i="79"/>
  <c r="C131" i="79"/>
  <c r="C132" i="79"/>
  <c r="C133" i="79"/>
  <c r="C134" i="79"/>
  <c r="C135" i="79"/>
  <c r="C136" i="79"/>
  <c r="C137" i="79"/>
  <c r="C138" i="79"/>
  <c r="C139" i="79"/>
  <c r="C140" i="79"/>
  <c r="C141" i="79"/>
  <c r="C142" i="79"/>
  <c r="C143" i="79"/>
  <c r="C144" i="79"/>
  <c r="C145" i="79"/>
  <c r="C146" i="79"/>
  <c r="C147" i="79"/>
  <c r="C148" i="79"/>
  <c r="C149" i="79"/>
  <c r="C150" i="79"/>
  <c r="C151" i="79"/>
  <c r="C152" i="79"/>
  <c r="C153" i="79"/>
  <c r="C154" i="79"/>
  <c r="C155" i="79"/>
  <c r="C156" i="79"/>
  <c r="C157" i="79"/>
  <c r="C158" i="79"/>
  <c r="C159" i="79"/>
  <c r="C160" i="79"/>
  <c r="C161" i="79"/>
  <c r="C162" i="79"/>
  <c r="C163" i="79"/>
  <c r="C164" i="79"/>
  <c r="C165" i="79"/>
  <c r="C166" i="79"/>
  <c r="C167" i="79"/>
  <c r="C168" i="79"/>
  <c r="C169" i="79"/>
  <c r="C170" i="79"/>
  <c r="C171" i="79"/>
  <c r="C172" i="79"/>
  <c r="C173" i="79"/>
  <c r="C174" i="79"/>
  <c r="C175" i="79"/>
  <c r="C176" i="79"/>
  <c r="C177" i="79"/>
  <c r="C178" i="79"/>
  <c r="C179" i="79"/>
  <c r="C180" i="79"/>
  <c r="C181" i="79"/>
  <c r="C182" i="79"/>
  <c r="C183" i="79"/>
  <c r="C184" i="79"/>
  <c r="C185" i="79"/>
  <c r="C186" i="79"/>
  <c r="C187" i="79"/>
  <c r="C188" i="79"/>
  <c r="C189" i="79"/>
  <c r="C190" i="79"/>
  <c r="C191" i="79"/>
  <c r="C192" i="79"/>
  <c r="C193" i="79"/>
  <c r="C194" i="79"/>
  <c r="C195" i="79"/>
  <c r="C196" i="79"/>
  <c r="C197" i="79"/>
  <c r="C198" i="79"/>
  <c r="C199" i="79"/>
  <c r="C200" i="79"/>
  <c r="C201" i="79"/>
  <c r="C202" i="79"/>
  <c r="C203" i="79"/>
  <c r="C204" i="79"/>
  <c r="C205" i="79"/>
  <c r="C206" i="79"/>
  <c r="C207" i="79"/>
  <c r="C208" i="79"/>
  <c r="C209" i="79"/>
  <c r="C210" i="79"/>
  <c r="C211" i="79"/>
  <c r="C212" i="79"/>
  <c r="C213" i="79"/>
  <c r="C214" i="79"/>
  <c r="C215" i="79"/>
  <c r="C216" i="79"/>
  <c r="C217" i="79"/>
  <c r="C218" i="79"/>
  <c r="C219" i="79"/>
  <c r="C220" i="79"/>
  <c r="C221" i="79"/>
  <c r="C222" i="79"/>
  <c r="C223" i="79"/>
  <c r="C224" i="79"/>
  <c r="C225" i="79"/>
  <c r="L225" i="79"/>
  <c r="C226" i="79"/>
  <c r="L226" i="79"/>
  <c r="L227" i="79" s="1"/>
  <c r="C227" i="79"/>
  <c r="C228" i="79"/>
  <c r="C229" i="79"/>
  <c r="C230" i="79"/>
  <c r="C231" i="79"/>
  <c r="C232" i="79"/>
  <c r="C233" i="79"/>
  <c r="C234" i="79"/>
  <c r="C235" i="79"/>
  <c r="C236" i="79"/>
  <c r="C237" i="79"/>
  <c r="C238" i="79"/>
  <c r="C239" i="79"/>
  <c r="C240" i="79"/>
  <c r="C241" i="79"/>
  <c r="C242" i="79"/>
  <c r="F242" i="79"/>
  <c r="F243" i="79" s="1"/>
  <c r="C243" i="79"/>
  <c r="C244" i="79"/>
  <c r="C245" i="79"/>
  <c r="C246" i="79"/>
  <c r="C247" i="79"/>
  <c r="C248" i="79"/>
  <c r="C249" i="79"/>
  <c r="C250" i="79"/>
  <c r="C251" i="79"/>
  <c r="C252" i="79"/>
  <c r="C253" i="79"/>
  <c r="C254" i="79"/>
  <c r="C255" i="79"/>
  <c r="C256" i="79"/>
  <c r="C257" i="79"/>
  <c r="C258" i="79"/>
  <c r="C259" i="79"/>
  <c r="C260" i="79"/>
  <c r="B29" i="52"/>
  <c r="B30" i="52" s="1"/>
  <c r="C29" i="52"/>
  <c r="D29" i="52"/>
  <c r="E29" i="52"/>
  <c r="F29" i="52"/>
  <c r="G29" i="52"/>
  <c r="H29" i="52"/>
  <c r="H30" i="52" s="1"/>
  <c r="I29" i="52"/>
  <c r="I30" i="52" s="1"/>
  <c r="J29" i="52"/>
  <c r="J30" i="52" s="1"/>
  <c r="K29" i="52"/>
  <c r="K30" i="52" s="1"/>
  <c r="L29" i="52"/>
  <c r="M29" i="52"/>
  <c r="N29" i="52"/>
  <c r="C30" i="52"/>
  <c r="D30" i="52"/>
  <c r="E30" i="52"/>
  <c r="F30" i="52"/>
  <c r="G30" i="52"/>
  <c r="L30" i="52"/>
  <c r="M30" i="52"/>
  <c r="N30" i="52"/>
  <c r="B37" i="52"/>
  <c r="A2" i="46"/>
  <c r="AM2" i="46"/>
  <c r="AM36" i="46" s="1"/>
  <c r="AN2" i="46"/>
  <c r="AN36" i="46" s="1"/>
  <c r="AO2" i="46"/>
  <c r="AO36" i="46" s="1"/>
  <c r="AP2" i="46"/>
  <c r="AP14" i="46" s="1"/>
  <c r="AP25" i="46" s="1"/>
  <c r="AQ2" i="46"/>
  <c r="AQ14" i="46" s="1"/>
  <c r="AQ25" i="46" s="1"/>
  <c r="AR2" i="46"/>
  <c r="AR14" i="46" s="1"/>
  <c r="AR25" i="46" s="1"/>
  <c r="AS2" i="46"/>
  <c r="AS36" i="46" s="1"/>
  <c r="AT2" i="46"/>
  <c r="AT36" i="46" s="1"/>
  <c r="AU2" i="46"/>
  <c r="AU36" i="46" s="1"/>
  <c r="AV2" i="46"/>
  <c r="AV36" i="46" s="1"/>
  <c r="AW2" i="46"/>
  <c r="AW36" i="46" s="1"/>
  <c r="AX2" i="46"/>
  <c r="AX14" i="46" s="1"/>
  <c r="AX25" i="46" s="1"/>
  <c r="AY2" i="46"/>
  <c r="AY14" i="46" s="1"/>
  <c r="AY25" i="46" s="1"/>
  <c r="AZ2" i="46"/>
  <c r="AZ36" i="46" s="1"/>
  <c r="BA2" i="46"/>
  <c r="BA36" i="46" s="1"/>
  <c r="BB2" i="46"/>
  <c r="BB36" i="46" s="1"/>
  <c r="CJ7" i="46"/>
  <c r="CL7" i="46" s="1"/>
  <c r="CJ8" i="46"/>
  <c r="CL8" i="46" s="1"/>
  <c r="CJ9" i="46"/>
  <c r="CL9" i="46" s="1"/>
  <c r="CJ10" i="46"/>
  <c r="CL10" i="46" s="1"/>
  <c r="C11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AA11" i="46"/>
  <c r="AB11" i="46"/>
  <c r="AC11" i="46"/>
  <c r="AD11" i="46"/>
  <c r="AE11" i="46"/>
  <c r="AF11" i="46"/>
  <c r="AG11" i="46"/>
  <c r="AH11" i="46"/>
  <c r="AI11" i="46"/>
  <c r="AJ11" i="46"/>
  <c r="AK11" i="46"/>
  <c r="AL11" i="46"/>
  <c r="AM11" i="46"/>
  <c r="AN11" i="46"/>
  <c r="AO11" i="46"/>
  <c r="AP11" i="46"/>
  <c r="AQ11" i="46"/>
  <c r="AR11" i="46"/>
  <c r="AS11" i="46"/>
  <c r="P15" i="46"/>
  <c r="Q15" i="46"/>
  <c r="R15" i="46"/>
  <c r="S15" i="46"/>
  <c r="T15" i="46"/>
  <c r="U15" i="46"/>
  <c r="V15" i="46"/>
  <c r="W15" i="46"/>
  <c r="X15" i="46"/>
  <c r="Y15" i="46"/>
  <c r="Z15" i="46"/>
  <c r="AA15" i="46"/>
  <c r="AB15" i="46"/>
  <c r="AC15" i="46"/>
  <c r="AD15" i="46"/>
  <c r="AE15" i="46"/>
  <c r="AF15" i="46"/>
  <c r="AG15" i="46"/>
  <c r="AH15" i="46"/>
  <c r="AI15" i="46"/>
  <c r="AJ15" i="46"/>
  <c r="AK15" i="46"/>
  <c r="AL15" i="46"/>
  <c r="AM15" i="46"/>
  <c r="AN15" i="46"/>
  <c r="AO15" i="46"/>
  <c r="AP15" i="46"/>
  <c r="AQ15" i="46"/>
  <c r="AR15" i="46"/>
  <c r="AS15" i="46"/>
  <c r="AT15" i="46"/>
  <c r="AU15" i="46"/>
  <c r="AV15" i="46"/>
  <c r="AW15" i="46"/>
  <c r="AX15" i="46"/>
  <c r="AY15" i="46"/>
  <c r="AZ15" i="46"/>
  <c r="BA15" i="46"/>
  <c r="BB15" i="46"/>
  <c r="BC15" i="46"/>
  <c r="BD15" i="46"/>
  <c r="BE15" i="46"/>
  <c r="BF15" i="46"/>
  <c r="BG15" i="46"/>
  <c r="BH15" i="46"/>
  <c r="BI15" i="46"/>
  <c r="BJ15" i="46"/>
  <c r="BK15" i="46"/>
  <c r="AB16" i="46"/>
  <c r="AC16" i="46"/>
  <c r="AD16" i="46"/>
  <c r="AE16" i="46"/>
  <c r="AF16" i="46"/>
  <c r="AG16" i="46"/>
  <c r="AH16" i="46"/>
  <c r="AI16" i="46"/>
  <c r="AJ16" i="46"/>
  <c r="AK16" i="46"/>
  <c r="AL16" i="46"/>
  <c r="AM16" i="46"/>
  <c r="AN16" i="46"/>
  <c r="AO16" i="46"/>
  <c r="AP16" i="46"/>
  <c r="AQ16" i="46"/>
  <c r="AR16" i="46"/>
  <c r="AS16" i="46"/>
  <c r="AT16" i="46"/>
  <c r="AU16" i="46"/>
  <c r="AV16" i="46"/>
  <c r="AW16" i="46"/>
  <c r="AX16" i="46"/>
  <c r="AY16" i="46"/>
  <c r="AZ16" i="46"/>
  <c r="BA16" i="46"/>
  <c r="BB16" i="46"/>
  <c r="BC16" i="46"/>
  <c r="BD16" i="46"/>
  <c r="BE16" i="46"/>
  <c r="BF16" i="46"/>
  <c r="BG16" i="46"/>
  <c r="BH16" i="46"/>
  <c r="BI16" i="46"/>
  <c r="BJ16" i="46"/>
  <c r="BK16" i="46"/>
  <c r="CL18" i="46"/>
  <c r="CJ19" i="46"/>
  <c r="CJ20" i="46"/>
  <c r="CJ21" i="46"/>
  <c r="CJ22" i="46"/>
  <c r="C23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AJ23" i="46"/>
  <c r="AK23" i="46"/>
  <c r="AL23" i="46"/>
  <c r="AM23" i="46"/>
  <c r="AN23" i="46"/>
  <c r="AO23" i="46"/>
  <c r="AP23" i="46"/>
  <c r="AQ23" i="46"/>
  <c r="AR23" i="46"/>
  <c r="AS23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AA26" i="46"/>
  <c r="AB26" i="46"/>
  <c r="AC26" i="46"/>
  <c r="AD26" i="46"/>
  <c r="AE26" i="46"/>
  <c r="AF26" i="46"/>
  <c r="AG26" i="46"/>
  <c r="AH26" i="46"/>
  <c r="AI26" i="46"/>
  <c r="AJ26" i="46"/>
  <c r="AK26" i="46"/>
  <c r="AL26" i="46"/>
  <c r="AM26" i="46"/>
  <c r="AN26" i="46"/>
  <c r="AO26" i="46"/>
  <c r="AP26" i="46"/>
  <c r="AQ26" i="46"/>
  <c r="AR26" i="46"/>
  <c r="AS26" i="46"/>
  <c r="AT26" i="46"/>
  <c r="AU26" i="46"/>
  <c r="AV26" i="46"/>
  <c r="AW26" i="46"/>
  <c r="AX26" i="46"/>
  <c r="AY26" i="46"/>
  <c r="AZ26" i="46"/>
  <c r="BA26" i="46"/>
  <c r="BB26" i="46"/>
  <c r="BC26" i="46"/>
  <c r="BD26" i="46"/>
  <c r="BE26" i="46"/>
  <c r="BF26" i="46"/>
  <c r="BG26" i="46"/>
  <c r="BH26" i="46"/>
  <c r="BI26" i="46"/>
  <c r="BJ26" i="46"/>
  <c r="BK26" i="46"/>
  <c r="AB27" i="46"/>
  <c r="AC27" i="46"/>
  <c r="AD27" i="46"/>
  <c r="AE27" i="46"/>
  <c r="AF27" i="46"/>
  <c r="AG27" i="46"/>
  <c r="AH27" i="46"/>
  <c r="AI27" i="46"/>
  <c r="AJ27" i="46"/>
  <c r="AK27" i="46"/>
  <c r="AL27" i="46"/>
  <c r="AM27" i="46"/>
  <c r="AN27" i="46"/>
  <c r="AO27" i="46"/>
  <c r="AP27" i="46"/>
  <c r="AQ27" i="46"/>
  <c r="AR27" i="46"/>
  <c r="AS27" i="46"/>
  <c r="AT27" i="46"/>
  <c r="AU27" i="46"/>
  <c r="AV27" i="46"/>
  <c r="AW27" i="46"/>
  <c r="AX27" i="46"/>
  <c r="AY27" i="46"/>
  <c r="AZ27" i="46"/>
  <c r="BA27" i="46"/>
  <c r="BB27" i="46"/>
  <c r="BC27" i="46"/>
  <c r="BD27" i="46"/>
  <c r="BE27" i="46"/>
  <c r="BF27" i="46"/>
  <c r="BG27" i="46"/>
  <c r="BH27" i="46"/>
  <c r="BI27" i="46"/>
  <c r="BJ27" i="46"/>
  <c r="BK27" i="46"/>
  <c r="CJ29" i="46"/>
  <c r="CL29" i="46" s="1"/>
  <c r="CJ30" i="46"/>
  <c r="CL30" i="46" s="1"/>
  <c r="CJ31" i="46"/>
  <c r="CL31" i="46" s="1"/>
  <c r="CJ32" i="46"/>
  <c r="CL32" i="46" s="1"/>
  <c r="CJ33" i="46"/>
  <c r="CL33" i="46" s="1"/>
  <c r="C34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AN34" i="46"/>
  <c r="AO34" i="46"/>
  <c r="AP34" i="46"/>
  <c r="AQ34" i="46"/>
  <c r="AR34" i="46"/>
  <c r="AS34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AG37" i="46"/>
  <c r="AH37" i="46"/>
  <c r="AI37" i="46"/>
  <c r="AJ37" i="46"/>
  <c r="AK37" i="46"/>
  <c r="AL37" i="46"/>
  <c r="AM37" i="46"/>
  <c r="AN37" i="46"/>
  <c r="AO37" i="46"/>
  <c r="AP37" i="46"/>
  <c r="AQ37" i="46"/>
  <c r="AR37" i="46"/>
  <c r="AS37" i="46"/>
  <c r="AT37" i="46"/>
  <c r="AU37" i="46"/>
  <c r="AV37" i="46"/>
  <c r="AW37" i="46"/>
  <c r="AX37" i="46"/>
  <c r="AY37" i="46"/>
  <c r="AZ37" i="46"/>
  <c r="BA37" i="46"/>
  <c r="BB37" i="46"/>
  <c r="BC37" i="46"/>
  <c r="BD37" i="46"/>
  <c r="BE37" i="46"/>
  <c r="BF37" i="46"/>
  <c r="BG37" i="46"/>
  <c r="BH37" i="46"/>
  <c r="BI37" i="46"/>
  <c r="BJ37" i="46"/>
  <c r="BK37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AA38" i="46"/>
  <c r="AB38" i="46"/>
  <c r="AC38" i="46"/>
  <c r="AD38" i="46"/>
  <c r="AE38" i="46"/>
  <c r="AF38" i="46"/>
  <c r="AG38" i="46"/>
  <c r="AH38" i="46"/>
  <c r="AI38" i="46"/>
  <c r="AJ38" i="46"/>
  <c r="AK38" i="46"/>
  <c r="AL38" i="46"/>
  <c r="AM38" i="46"/>
  <c r="AN38" i="46"/>
  <c r="AO38" i="46"/>
  <c r="AP38" i="46"/>
  <c r="AQ38" i="46"/>
  <c r="AR38" i="46"/>
  <c r="AS38" i="46"/>
  <c r="AT38" i="46"/>
  <c r="AU38" i="46"/>
  <c r="AV38" i="46"/>
  <c r="AW38" i="46"/>
  <c r="AX38" i="46"/>
  <c r="AY38" i="46"/>
  <c r="AZ38" i="46"/>
  <c r="BA38" i="46"/>
  <c r="BB38" i="46"/>
  <c r="BC38" i="46"/>
  <c r="BD38" i="46"/>
  <c r="BE38" i="46"/>
  <c r="BF38" i="46"/>
  <c r="BG38" i="46"/>
  <c r="BH38" i="46"/>
  <c r="BI38" i="46"/>
  <c r="BJ38" i="46"/>
  <c r="BK38" i="46"/>
  <c r="N73" i="53"/>
  <c r="P73" i="53" s="1"/>
  <c r="T73" i="53" s="1"/>
  <c r="J38" i="57" s="1"/>
  <c r="D11" i="29"/>
  <c r="D39" i="29" s="1"/>
  <c r="E11" i="29"/>
  <c r="E39" i="29" s="1"/>
  <c r="F11" i="29"/>
  <c r="F39" i="29" s="1"/>
  <c r="G11" i="29"/>
  <c r="G39" i="29" s="1"/>
  <c r="H11" i="29"/>
  <c r="H39" i="29" s="1"/>
  <c r="I11" i="29"/>
  <c r="I39" i="29" s="1"/>
  <c r="J11" i="29"/>
  <c r="J39" i="29" s="1"/>
  <c r="K11" i="29"/>
  <c r="K39" i="29" s="1"/>
  <c r="L11" i="29"/>
  <c r="L39" i="29" s="1"/>
  <c r="M11" i="29"/>
  <c r="M39" i="29" s="1"/>
  <c r="N11" i="29"/>
  <c r="N39" i="29" s="1"/>
  <c r="O11" i="29"/>
  <c r="O39" i="29" s="1"/>
  <c r="P11" i="29"/>
  <c r="P39" i="29" s="1"/>
  <c r="Q11" i="29"/>
  <c r="Q39" i="29" s="1"/>
  <c r="R11" i="29"/>
  <c r="R39" i="29" s="1"/>
  <c r="S11" i="29"/>
  <c r="S39" i="29" s="1"/>
  <c r="T11" i="29"/>
  <c r="T39" i="29" s="1"/>
  <c r="U11" i="29"/>
  <c r="U39" i="29" s="1"/>
  <c r="V11" i="29"/>
  <c r="V39" i="29" s="1"/>
  <c r="W11" i="29"/>
  <c r="W39" i="29" s="1"/>
  <c r="X11" i="29"/>
  <c r="X39" i="29" s="1"/>
  <c r="Y11" i="29"/>
  <c r="Y39" i="29" s="1"/>
  <c r="Z11" i="29"/>
  <c r="Z39" i="29" s="1"/>
  <c r="AA11" i="29"/>
  <c r="AA39" i="29" s="1"/>
  <c r="AB11" i="29"/>
  <c r="AB39" i="29" s="1"/>
  <c r="AC11" i="29"/>
  <c r="AC39" i="29" s="1"/>
  <c r="AD11" i="29"/>
  <c r="AD39" i="29" s="1"/>
  <c r="AE11" i="29"/>
  <c r="AE39" i="29" s="1"/>
  <c r="AF11" i="29"/>
  <c r="AF39" i="29" s="1"/>
  <c r="AG11" i="29"/>
  <c r="AG39" i="29" s="1"/>
  <c r="AH11" i="29"/>
  <c r="AH39" i="29" s="1"/>
  <c r="AI11" i="29"/>
  <c r="AI39" i="29" s="1"/>
  <c r="AJ11" i="29"/>
  <c r="AJ39" i="29" s="1"/>
  <c r="AK11" i="29"/>
  <c r="AK39" i="29" s="1"/>
  <c r="AL11" i="29"/>
  <c r="AL39" i="29" s="1"/>
  <c r="AM11" i="29"/>
  <c r="AM39" i="29" s="1"/>
  <c r="AN11" i="29"/>
  <c r="AN39" i="29" s="1"/>
  <c r="AO11" i="29"/>
  <c r="AO39" i="29" s="1"/>
  <c r="AP11" i="29"/>
  <c r="AP39" i="29" s="1"/>
  <c r="AQ11" i="29"/>
  <c r="AQ39" i="29" s="1"/>
  <c r="AR11" i="29"/>
  <c r="AR39" i="29" s="1"/>
  <c r="AS11" i="29"/>
  <c r="AS39" i="29" s="1"/>
  <c r="AT11" i="29"/>
  <c r="AT39" i="29" s="1"/>
  <c r="AU11" i="29"/>
  <c r="AU39" i="29" s="1"/>
  <c r="AV11" i="29"/>
  <c r="AV39" i="29" s="1"/>
  <c r="AW11" i="29"/>
  <c r="AW39" i="29" s="1"/>
  <c r="AX11" i="29"/>
  <c r="AX39" i="29" s="1"/>
  <c r="AY11" i="29"/>
  <c r="AY39" i="29" s="1"/>
  <c r="AZ11" i="29"/>
  <c r="AZ39" i="29" s="1"/>
  <c r="BA11" i="29"/>
  <c r="BA39" i="29" s="1"/>
  <c r="BB11" i="29"/>
  <c r="BB39" i="29" s="1"/>
  <c r="BC11" i="29"/>
  <c r="BC39" i="29" s="1"/>
  <c r="BA12" i="29"/>
  <c r="BA40" i="29" s="1"/>
  <c r="BB12" i="29"/>
  <c r="BB40" i="29" s="1"/>
  <c r="BC12" i="29"/>
  <c r="BC40" i="29" s="1"/>
  <c r="BD12" i="29"/>
  <c r="BD40" i="29" s="1"/>
  <c r="BE12" i="29"/>
  <c r="BE40" i="29" s="1"/>
  <c r="BF12" i="29"/>
  <c r="BF40" i="29" s="1"/>
  <c r="BG12" i="29"/>
  <c r="BG40" i="29" s="1"/>
  <c r="BH12" i="29"/>
  <c r="BH40" i="29" s="1"/>
  <c r="BI12" i="29"/>
  <c r="BI40" i="29" s="1"/>
  <c r="BJ12" i="29"/>
  <c r="BJ40" i="29" s="1"/>
  <c r="BK12" i="29"/>
  <c r="BK40" i="29" s="1"/>
  <c r="BL12" i="29"/>
  <c r="BL40" i="29" s="1"/>
  <c r="AC24" i="29"/>
  <c r="AD24" i="29"/>
  <c r="AE24" i="29"/>
  <c r="AF24" i="29"/>
  <c r="AG24" i="29"/>
  <c r="AH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AZ24" i="29"/>
  <c r="BB28" i="29"/>
  <c r="AC28" i="29"/>
  <c r="AC30" i="29" s="1"/>
  <c r="AD28" i="29"/>
  <c r="AE28" i="29"/>
  <c r="AF28" i="29"/>
  <c r="AG28" i="29"/>
  <c r="AG30" i="29" s="1"/>
  <c r="AH28" i="29"/>
  <c r="AI28" i="29"/>
  <c r="AJ28" i="29"/>
  <c r="AK28" i="29"/>
  <c r="AK30" i="29" s="1"/>
  <c r="AL28" i="29"/>
  <c r="AM28" i="29"/>
  <c r="AN28" i="29"/>
  <c r="AO28" i="29"/>
  <c r="AO30" i="29" s="1"/>
  <c r="AP28" i="29"/>
  <c r="AQ28" i="29"/>
  <c r="AR28" i="29"/>
  <c r="AS28" i="29"/>
  <c r="AS30" i="29" s="1"/>
  <c r="AT28" i="29"/>
  <c r="AU28" i="29"/>
  <c r="AV28" i="29"/>
  <c r="AW28" i="29"/>
  <c r="AW30" i="29" s="1"/>
  <c r="AX28" i="29"/>
  <c r="AY28" i="29"/>
  <c r="AZ28" i="29"/>
  <c r="BA28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G34" i="29"/>
  <c r="AH34" i="29"/>
  <c r="AI34" i="29"/>
  <c r="AJ34" i="29"/>
  <c r="AK34" i="29"/>
  <c r="AL34" i="29"/>
  <c r="AP34" i="29"/>
  <c r="AQ34" i="29"/>
  <c r="AR34" i="29"/>
  <c r="AS34" i="29"/>
  <c r="AT34" i="29"/>
  <c r="AU34" i="29"/>
  <c r="AV34" i="29"/>
  <c r="AW34" i="29"/>
  <c r="AX34" i="29"/>
  <c r="AY34" i="29"/>
  <c r="AZ34" i="29"/>
  <c r="BA43" i="29"/>
  <c r="BM43" i="29" s="1"/>
  <c r="BB43" i="29"/>
  <c r="BN43" i="29" s="1"/>
  <c r="BC43" i="29"/>
  <c r="BO43" i="29" s="1"/>
  <c r="BD43" i="29"/>
  <c r="BP43" i="29" s="1"/>
  <c r="BE43" i="29"/>
  <c r="BQ43" i="29" s="1"/>
  <c r="BF43" i="29"/>
  <c r="BR43" i="29" s="1"/>
  <c r="BG43" i="29"/>
  <c r="BS43" i="29" s="1"/>
  <c r="BH43" i="29"/>
  <c r="BT43" i="29" s="1"/>
  <c r="BU43" i="29"/>
  <c r="CG43" i="29" s="1"/>
  <c r="BV43" i="29"/>
  <c r="CH43" i="29" s="1"/>
  <c r="BW43" i="29"/>
  <c r="CI43" i="29" s="1"/>
  <c r="BA44" i="29"/>
  <c r="BM44" i="29" s="1"/>
  <c r="BB44" i="29"/>
  <c r="BN44" i="29" s="1"/>
  <c r="BC44" i="29"/>
  <c r="BO44" i="29" s="1"/>
  <c r="BD44" i="29"/>
  <c r="BP44" i="29" s="1"/>
  <c r="BE44" i="29"/>
  <c r="BQ44" i="29" s="1"/>
  <c r="BF44" i="29"/>
  <c r="BR44" i="29" s="1"/>
  <c r="BG44" i="29"/>
  <c r="BS44" i="29" s="1"/>
  <c r="BH44" i="29"/>
  <c r="BT44" i="29" s="1"/>
  <c r="BU44" i="29"/>
  <c r="CG44" i="29" s="1"/>
  <c r="BV44" i="29"/>
  <c r="CH44" i="29" s="1"/>
  <c r="BW44" i="29"/>
  <c r="CI44" i="29" s="1"/>
  <c r="B121" i="1"/>
  <c r="CF48" i="29"/>
  <c r="CF49" i="29"/>
  <c r="CG49" i="29"/>
  <c r="CH49" i="29"/>
  <c r="CI49" i="29"/>
  <c r="CF50" i="29"/>
  <c r="CG50" i="29"/>
  <c r="CH50" i="29"/>
  <c r="CI50" i="29"/>
  <c r="CG57" i="29"/>
  <c r="CH57" i="29"/>
  <c r="CI57" i="29"/>
  <c r="B74" i="1"/>
  <c r="B72" i="53"/>
  <c r="F74" i="1"/>
  <c r="F72" i="53"/>
  <c r="N74" i="1"/>
  <c r="N72" i="53"/>
  <c r="B124" i="1"/>
  <c r="B123" i="1" s="1"/>
  <c r="L123" i="1" s="1"/>
  <c r="AW68" i="29"/>
  <c r="AW74" i="29" s="1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X74" i="29"/>
  <c r="AY74" i="29"/>
  <c r="AZ74" i="29"/>
  <c r="BA74" i="29"/>
  <c r="BB74" i="29"/>
  <c r="BC74" i="29"/>
  <c r="BD74" i="29"/>
  <c r="BE74" i="29"/>
  <c r="BF74" i="29"/>
  <c r="BG74" i="29"/>
  <c r="BH74" i="29"/>
  <c r="BI74" i="29"/>
  <c r="BJ74" i="29"/>
  <c r="BK74" i="29"/>
  <c r="BL74" i="29"/>
  <c r="H30" i="70" l="1"/>
  <c r="T139" i="1"/>
  <c r="L122" i="53"/>
  <c r="T122" i="53" s="1"/>
  <c r="V122" i="53" s="1"/>
  <c r="AH30" i="29"/>
  <c r="AC22" i="8"/>
  <c r="AC43" i="8" s="1"/>
  <c r="BI22" i="8"/>
  <c r="BK22" i="8"/>
  <c r="BK43" i="8" s="1"/>
  <c r="BC22" i="8"/>
  <c r="AU22" i="8"/>
  <c r="AM22" i="8"/>
  <c r="AM43" i="8" s="1"/>
  <c r="AE22" i="8"/>
  <c r="AE43" i="8" s="1"/>
  <c r="W22" i="8"/>
  <c r="W43" i="8" s="1"/>
  <c r="O22" i="8"/>
  <c r="O43" i="8" s="1"/>
  <c r="G22" i="8"/>
  <c r="AX30" i="29"/>
  <c r="AP30" i="29"/>
  <c r="CE51" i="29"/>
  <c r="AT30" i="29"/>
  <c r="AL30" i="29"/>
  <c r="AD30" i="29"/>
  <c r="AY30" i="29"/>
  <c r="AQ30" i="29"/>
  <c r="AI30" i="29"/>
  <c r="D57" i="89"/>
  <c r="D57" i="88"/>
  <c r="D57" i="87"/>
  <c r="D57" i="86"/>
  <c r="D57" i="85"/>
  <c r="CH48" i="29"/>
  <c r="AZ30" i="29"/>
  <c r="AR30" i="29"/>
  <c r="CG48" i="29"/>
  <c r="AV30" i="29"/>
  <c r="AN30" i="29"/>
  <c r="AF30" i="29"/>
  <c r="CI48" i="29"/>
  <c r="AU30" i="29"/>
  <c r="AM30" i="29"/>
  <c r="AE30" i="29"/>
  <c r="BR53" i="38"/>
  <c r="BC39" i="38"/>
  <c r="BQ21" i="38"/>
  <c r="BK79" i="38"/>
  <c r="BP21" i="38"/>
  <c r="BP80" i="38"/>
  <c r="BP91" i="38" s="1"/>
  <c r="BP62" i="38"/>
  <c r="BP53" i="38"/>
  <c r="BR40" i="38"/>
  <c r="BQ40" i="38"/>
  <c r="BE79" i="38"/>
  <c r="BW80" i="38"/>
  <c r="BW91" i="38" s="1"/>
  <c r="BR80" i="38"/>
  <c r="BR91" i="38" s="1"/>
  <c r="AT14" i="46"/>
  <c r="AT25" i="46" s="1"/>
  <c r="AU14" i="46"/>
  <c r="AU25" i="46" s="1"/>
  <c r="BM39" i="38"/>
  <c r="BO80" i="38"/>
  <c r="BO91" i="38" s="1"/>
  <c r="BW62" i="38"/>
  <c r="BW53" i="38"/>
  <c r="BW21" i="38"/>
  <c r="BQ80" i="38"/>
  <c r="BQ91" i="38" s="1"/>
  <c r="BD79" i="38"/>
  <c r="BL39" i="38"/>
  <c r="BQ62" i="38"/>
  <c r="AZ14" i="46"/>
  <c r="AZ25" i="46" s="1"/>
  <c r="AP36" i="46"/>
  <c r="BO40" i="38"/>
  <c r="CJ50" i="29"/>
  <c r="CJ57" i="29"/>
  <c r="CJ48" i="29"/>
  <c r="BX43" i="29"/>
  <c r="CJ43" i="29" s="1"/>
  <c r="AJ30" i="29"/>
  <c r="AR31" i="29" s="1"/>
  <c r="CJ49" i="29"/>
  <c r="BX44" i="29"/>
  <c r="CJ44" i="29" s="1"/>
  <c r="BA22" i="8"/>
  <c r="AS22" i="8"/>
  <c r="AK22" i="8"/>
  <c r="U22" i="8"/>
  <c r="U43" i="8" s="1"/>
  <c r="M22" i="8"/>
  <c r="M43" i="8" s="1"/>
  <c r="AO22" i="8"/>
  <c r="AO43" i="8" s="1"/>
  <c r="AR97" i="38"/>
  <c r="AR101" i="38" s="1"/>
  <c r="BO53" i="38"/>
  <c r="AC17" i="38"/>
  <c r="U17" i="38"/>
  <c r="AW97" i="38"/>
  <c r="AW101" i="38" s="1"/>
  <c r="AT97" i="38"/>
  <c r="AT101" i="38" s="1"/>
  <c r="AS17" i="38"/>
  <c r="AK17" i="38"/>
  <c r="BY46" i="38"/>
  <c r="AM32" i="38"/>
  <c r="AM36" i="38" s="1"/>
  <c r="AE32" i="38"/>
  <c r="AE36" i="38" s="1"/>
  <c r="W32" i="38"/>
  <c r="W36" i="38" s="1"/>
  <c r="AM101" i="38"/>
  <c r="AQ87" i="38"/>
  <c r="AU32" i="38"/>
  <c r="AU36" i="38" s="1"/>
  <c r="AQ32" i="38"/>
  <c r="AQ36" i="38" s="1"/>
  <c r="AA32" i="38"/>
  <c r="S32" i="38"/>
  <c r="S36" i="38" s="1"/>
  <c r="F61" i="53"/>
  <c r="F75" i="53" s="1"/>
  <c r="B61" i="53"/>
  <c r="BE70" i="15"/>
  <c r="BE105" i="15" s="1"/>
  <c r="AG70" i="15"/>
  <c r="AG105" i="15" s="1"/>
  <c r="AY36" i="46"/>
  <c r="BA14" i="46"/>
  <c r="BA25" i="46" s="1"/>
  <c r="BF70" i="15"/>
  <c r="BF105" i="15" s="1"/>
  <c r="AX70" i="15"/>
  <c r="AX105" i="15" s="1"/>
  <c r="AP70" i="15"/>
  <c r="AP105" i="15" s="1"/>
  <c r="AH70" i="15"/>
  <c r="AH105" i="15" s="1"/>
  <c r="Z70" i="15"/>
  <c r="Z105" i="15" s="1"/>
  <c r="R70" i="15"/>
  <c r="R105" i="15" s="1"/>
  <c r="J70" i="15"/>
  <c r="AX36" i="46"/>
  <c r="AR36" i="46"/>
  <c r="BJ70" i="15"/>
  <c r="BJ105" i="15" s="1"/>
  <c r="BB70" i="15"/>
  <c r="BB105" i="15" s="1"/>
  <c r="AT70" i="15"/>
  <c r="AT105" i="15" s="1"/>
  <c r="AL70" i="15"/>
  <c r="AL105" i="15" s="1"/>
  <c r="AD70" i="15"/>
  <c r="AD105" i="15" s="1"/>
  <c r="V70" i="15"/>
  <c r="N70" i="15"/>
  <c r="N105" i="15" s="1"/>
  <c r="F70" i="15"/>
  <c r="F105" i="15" s="1"/>
  <c r="AM14" i="46"/>
  <c r="AM25" i="46" s="1"/>
  <c r="AW70" i="15"/>
  <c r="AW105" i="15" s="1"/>
  <c r="AO70" i="15"/>
  <c r="AO105" i="15" s="1"/>
  <c r="Y70" i="15"/>
  <c r="Y105" i="15" s="1"/>
  <c r="Q70" i="15"/>
  <c r="Q105" i="15" s="1"/>
  <c r="I70" i="15"/>
  <c r="BJ55" i="15"/>
  <c r="AC85" i="38"/>
  <c r="BH70" i="15"/>
  <c r="BH105" i="15" s="1"/>
  <c r="AZ70" i="15"/>
  <c r="AZ105" i="15" s="1"/>
  <c r="AR70" i="15"/>
  <c r="AR105" i="15" s="1"/>
  <c r="AJ70" i="15"/>
  <c r="AJ105" i="15" s="1"/>
  <c r="AB70" i="15"/>
  <c r="AB105" i="15" s="1"/>
  <c r="T70" i="15"/>
  <c r="L70" i="15"/>
  <c r="L105" i="15" s="1"/>
  <c r="D70" i="15"/>
  <c r="D105" i="15" s="1"/>
  <c r="BH55" i="15"/>
  <c r="AJ55" i="15"/>
  <c r="AZ55" i="15"/>
  <c r="AW55" i="15"/>
  <c r="AQ36" i="46"/>
  <c r="BB55" i="15"/>
  <c r="AL55" i="15"/>
  <c r="AD55" i="15"/>
  <c r="V55" i="15"/>
  <c r="N55" i="15"/>
  <c r="F55" i="15"/>
  <c r="BG55" i="15"/>
  <c r="AY55" i="15"/>
  <c r="AQ55" i="15"/>
  <c r="AI55" i="15"/>
  <c r="AA55" i="15"/>
  <c r="S55" i="15"/>
  <c r="K55" i="15"/>
  <c r="C55" i="15"/>
  <c r="BF55" i="15"/>
  <c r="AX55" i="15"/>
  <c r="J105" i="15"/>
  <c r="AX85" i="38"/>
  <c r="BB87" i="38" s="1"/>
  <c r="V105" i="15"/>
  <c r="T105" i="15"/>
  <c r="T55" i="15"/>
  <c r="BA79" i="38"/>
  <c r="BM53" i="38"/>
  <c r="AO14" i="46"/>
  <c r="AO25" i="46" s="1"/>
  <c r="BE55" i="15"/>
  <c r="AR55" i="15"/>
  <c r="BD55" i="15"/>
  <c r="AV55" i="15"/>
  <c r="AN55" i="15"/>
  <c r="AF55" i="15"/>
  <c r="X55" i="15"/>
  <c r="P55" i="15"/>
  <c r="H55" i="15"/>
  <c r="BH85" i="38"/>
  <c r="BJ85" i="38"/>
  <c r="AA85" i="38"/>
  <c r="BI79" i="38"/>
  <c r="AZ79" i="38"/>
  <c r="BN62" i="38"/>
  <c r="BV53" i="38"/>
  <c r="BV40" i="38"/>
  <c r="BN40" i="38"/>
  <c r="AW14" i="46"/>
  <c r="AW25" i="46" s="1"/>
  <c r="AN14" i="46"/>
  <c r="AN25" i="46" s="1"/>
  <c r="BC55" i="15"/>
  <c r="D55" i="15"/>
  <c r="BN80" i="38"/>
  <c r="BN91" i="38" s="1"/>
  <c r="BH79" i="38"/>
  <c r="AY79" i="38"/>
  <c r="BL62" i="38"/>
  <c r="BU53" i="38"/>
  <c r="BU40" i="38"/>
  <c r="BM40" i="38"/>
  <c r="AV14" i="46"/>
  <c r="AV25" i="46" s="1"/>
  <c r="BI70" i="15"/>
  <c r="BI105" i="15" s="1"/>
  <c r="BA70" i="15"/>
  <c r="BA105" i="15" s="1"/>
  <c r="AS70" i="15"/>
  <c r="AS105" i="15" s="1"/>
  <c r="AK70" i="15"/>
  <c r="AK105" i="15" s="1"/>
  <c r="AC70" i="15"/>
  <c r="AC105" i="15" s="1"/>
  <c r="U70" i="15"/>
  <c r="U105" i="15" s="1"/>
  <c r="M70" i="15"/>
  <c r="M105" i="15" s="1"/>
  <c r="E70" i="15"/>
  <c r="E105" i="15" s="1"/>
  <c r="AB55" i="15"/>
  <c r="BV80" i="38"/>
  <c r="BV91" i="38" s="1"/>
  <c r="BM80" i="38"/>
  <c r="BM91" i="38" s="1"/>
  <c r="BG79" i="38"/>
  <c r="BT40" i="38"/>
  <c r="BL40" i="38"/>
  <c r="BN53" i="38"/>
  <c r="BD70" i="15"/>
  <c r="BD105" i="15" s="1"/>
  <c r="AV70" i="15"/>
  <c r="AV105" i="15" s="1"/>
  <c r="AN70" i="15"/>
  <c r="AN105" i="15" s="1"/>
  <c r="AF70" i="15"/>
  <c r="AF105" i="15" s="1"/>
  <c r="X70" i="15"/>
  <c r="X105" i="15" s="1"/>
  <c r="P70" i="15"/>
  <c r="P105" i="15" s="1"/>
  <c r="H70" i="15"/>
  <c r="H105" i="15" s="1"/>
  <c r="AP55" i="15"/>
  <c r="AH55" i="15"/>
  <c r="Z55" i="15"/>
  <c r="R55" i="15"/>
  <c r="J55" i="15"/>
  <c r="BI55" i="15"/>
  <c r="BA55" i="15"/>
  <c r="AK55" i="15"/>
  <c r="AC55" i="15"/>
  <c r="U55" i="15"/>
  <c r="M55" i="15"/>
  <c r="E55" i="15"/>
  <c r="BU80" i="38"/>
  <c r="BU91" i="38" s="1"/>
  <c r="BL80" i="38"/>
  <c r="BL91" i="38" s="1"/>
  <c r="BV62" i="38"/>
  <c r="BS40" i="38"/>
  <c r="D40" i="38"/>
  <c r="BF39" i="38"/>
  <c r="AX39" i="38"/>
  <c r="I105" i="15"/>
  <c r="BG70" i="15"/>
  <c r="BG105" i="15" s="1"/>
  <c r="AY70" i="15"/>
  <c r="AQ70" i="15"/>
  <c r="AI70" i="15"/>
  <c r="AI105" i="15" s="1"/>
  <c r="AA70" i="15"/>
  <c r="AA105" i="15" s="1"/>
  <c r="S70" i="15"/>
  <c r="S105" i="15" s="1"/>
  <c r="K70" i="15"/>
  <c r="K105" i="15" s="1"/>
  <c r="C70" i="15"/>
  <c r="C105" i="15" s="1"/>
  <c r="BC70" i="15"/>
  <c r="BC105" i="15" s="1"/>
  <c r="AU70" i="15"/>
  <c r="AU105" i="15" s="1"/>
  <c r="AM70" i="15"/>
  <c r="AE70" i="15"/>
  <c r="AE105" i="15" s="1"/>
  <c r="W70" i="15"/>
  <c r="W105" i="15" s="1"/>
  <c r="O70" i="15"/>
  <c r="O105" i="15" s="1"/>
  <c r="G70" i="15"/>
  <c r="G105" i="15" s="1"/>
  <c r="AO55" i="15"/>
  <c r="AG55" i="15"/>
  <c r="Y55" i="15"/>
  <c r="Q55" i="15"/>
  <c r="I55" i="15"/>
  <c r="AM55" i="15"/>
  <c r="AE55" i="15"/>
  <c r="W55" i="15"/>
  <c r="O55" i="15"/>
  <c r="G55" i="15"/>
  <c r="L55" i="15"/>
  <c r="BT80" i="38"/>
  <c r="BT91" i="38" s="1"/>
  <c r="BT62" i="38"/>
  <c r="BI43" i="8"/>
  <c r="AS43" i="8"/>
  <c r="BE22" i="8"/>
  <c r="BE43" i="8" s="1"/>
  <c r="BM22" i="8"/>
  <c r="BM43" i="8" s="1"/>
  <c r="AW22" i="8"/>
  <c r="AW43" i="8" s="1"/>
  <c r="AG22" i="8"/>
  <c r="AG43" i="8" s="1"/>
  <c r="Y22" i="8"/>
  <c r="Y43" i="8" s="1"/>
  <c r="Q22" i="8"/>
  <c r="Q43" i="8" s="1"/>
  <c r="I22" i="8"/>
  <c r="I43" i="8" s="1"/>
  <c r="AQ22" i="8"/>
  <c r="AQ43" i="8" s="1"/>
  <c r="AU43" i="8"/>
  <c r="BN22" i="8"/>
  <c r="BN43" i="8" s="1"/>
  <c r="BF22" i="8"/>
  <c r="BF43" i="8" s="1"/>
  <c r="AX22" i="8"/>
  <c r="AX43" i="8" s="1"/>
  <c r="AP22" i="8"/>
  <c r="AP43" i="8" s="1"/>
  <c r="AH22" i="8"/>
  <c r="AH43" i="8" s="1"/>
  <c r="Z22" i="8"/>
  <c r="Z43" i="8" s="1"/>
  <c r="R22" i="8"/>
  <c r="R43" i="8" s="1"/>
  <c r="J22" i="8"/>
  <c r="J43" i="8" s="1"/>
  <c r="AI22" i="8"/>
  <c r="AI43" i="8" s="1"/>
  <c r="G43" i="8"/>
  <c r="K22" i="8"/>
  <c r="K43" i="8" s="1"/>
  <c r="AA22" i="8"/>
  <c r="AA43" i="8" s="1"/>
  <c r="AY22" i="8"/>
  <c r="AY43" i="8" s="1"/>
  <c r="AK43" i="8"/>
  <c r="BJ22" i="8"/>
  <c r="BJ43" i="8" s="1"/>
  <c r="BB22" i="8"/>
  <c r="BB43" i="8" s="1"/>
  <c r="AT22" i="8"/>
  <c r="AT43" i="8" s="1"/>
  <c r="AL22" i="8"/>
  <c r="AL43" i="8" s="1"/>
  <c r="AD22" i="8"/>
  <c r="AD43" i="8" s="1"/>
  <c r="V22" i="8"/>
  <c r="V43" i="8" s="1"/>
  <c r="N22" i="8"/>
  <c r="N43" i="8" s="1"/>
  <c r="BG22" i="8"/>
  <c r="BG43" i="8" s="1"/>
  <c r="BC43" i="8"/>
  <c r="S22" i="8"/>
  <c r="S43" i="8" s="1"/>
  <c r="BA43" i="8"/>
  <c r="BH22" i="8"/>
  <c r="BH43" i="8" s="1"/>
  <c r="AZ22" i="8"/>
  <c r="AZ43" i="8" s="1"/>
  <c r="AR22" i="8"/>
  <c r="AR43" i="8" s="1"/>
  <c r="AJ22" i="8"/>
  <c r="AJ43" i="8" s="1"/>
  <c r="AB22" i="8"/>
  <c r="AB43" i="8" s="1"/>
  <c r="T22" i="8"/>
  <c r="T43" i="8" s="1"/>
  <c r="L22" i="8"/>
  <c r="L43" i="8" s="1"/>
  <c r="AN101" i="38"/>
  <c r="AB85" i="38"/>
  <c r="BS80" i="38"/>
  <c r="BS91" i="38" s="1"/>
  <c r="J36" i="38"/>
  <c r="BS21" i="38"/>
  <c r="AO97" i="38"/>
  <c r="BR21" i="38"/>
  <c r="AI32" i="38"/>
  <c r="AI36" i="38" s="1"/>
  <c r="AR87" i="38"/>
  <c r="AR17" i="38"/>
  <c r="AJ17" i="38"/>
  <c r="AB17" i="38"/>
  <c r="T17" i="38"/>
  <c r="BI85" i="38"/>
  <c r="BU62" i="38"/>
  <c r="BM62" i="38"/>
  <c r="AU17" i="38"/>
  <c r="AM17" i="38"/>
  <c r="AE17" i="38"/>
  <c r="W17" i="38"/>
  <c r="W34" i="38" s="1"/>
  <c r="Q17" i="38"/>
  <c r="AS97" i="38"/>
  <c r="AS101" i="38" s="1"/>
  <c r="AP97" i="38"/>
  <c r="AP101" i="38" s="1"/>
  <c r="AU87" i="38"/>
  <c r="BS62" i="38"/>
  <c r="BT53" i="38"/>
  <c r="BL53" i="38"/>
  <c r="AW32" i="38"/>
  <c r="AO32" i="38"/>
  <c r="AG32" i="38"/>
  <c r="Y32" i="38"/>
  <c r="Q32" i="38"/>
  <c r="Q34" i="38" s="1"/>
  <c r="AQ97" i="38"/>
  <c r="AQ101" i="38" s="1"/>
  <c r="BF85" i="38"/>
  <c r="AV17" i="38"/>
  <c r="AN17" i="38"/>
  <c r="AF17" i="38"/>
  <c r="X17" i="38"/>
  <c r="P17" i="38"/>
  <c r="D15" i="79"/>
  <c r="D16" i="79"/>
  <c r="CL19" i="46"/>
  <c r="CL22" i="46"/>
  <c r="CL21" i="46"/>
  <c r="CL20" i="46"/>
  <c r="A179" i="1"/>
  <c r="B74" i="29"/>
  <c r="AE73" i="38"/>
  <c r="K2" i="84"/>
  <c r="K190" i="84" s="1" a="1"/>
  <c r="K190" i="84" s="1"/>
  <c r="A151" i="1"/>
  <c r="N17" i="82"/>
  <c r="F7" i="83" s="1"/>
  <c r="I17" i="82"/>
  <c r="E7" i="83" s="1"/>
  <c r="O13" i="82"/>
  <c r="O15" i="82" s="1"/>
  <c r="E13" i="82"/>
  <c r="E15" i="82" s="1"/>
  <c r="H24" i="81"/>
  <c r="AQ75" i="38"/>
  <c r="AA60" i="38"/>
  <c r="AA73" i="38" s="1"/>
  <c r="N21" i="82"/>
  <c r="F8" i="83" s="1"/>
  <c r="H65" i="82"/>
  <c r="M24" i="82"/>
  <c r="H24" i="82"/>
  <c r="D17" i="81"/>
  <c r="B15" i="77"/>
  <c r="N15" i="82"/>
  <c r="BA73" i="38"/>
  <c r="BF30" i="38"/>
  <c r="BG30" i="38"/>
  <c r="BK30" i="38"/>
  <c r="CJ40" i="46"/>
  <c r="N75" i="1" s="1"/>
  <c r="P75" i="1" s="1"/>
  <c r="T75" i="1" s="1"/>
  <c r="CJ34" i="46"/>
  <c r="CJ23" i="46"/>
  <c r="CJ11" i="46"/>
  <c r="AU73" i="38"/>
  <c r="AG73" i="38"/>
  <c r="AM73" i="38"/>
  <c r="BB14" i="46"/>
  <c r="BB25" i="46" s="1"/>
  <c r="BC32" i="38"/>
  <c r="BC36" i="38" s="1"/>
  <c r="AY75" i="38"/>
  <c r="AI75" i="38"/>
  <c r="AK73" i="38"/>
  <c r="AA75" i="38"/>
  <c r="C77" i="2"/>
  <c r="R60" i="1" s="1"/>
  <c r="T60" i="1" s="1"/>
  <c r="AG75" i="38"/>
  <c r="AP73" i="38"/>
  <c r="BA24" i="29"/>
  <c r="BA30" i="29" s="1"/>
  <c r="AC73" i="38"/>
  <c r="AC75" i="38"/>
  <c r="AH97" i="38"/>
  <c r="AG97" i="38"/>
  <c r="BI30" i="38"/>
  <c r="C69" i="2"/>
  <c r="B178" i="2" s="1"/>
  <c r="AY73" i="38"/>
  <c r="AQ73" i="38"/>
  <c r="AI73" i="38"/>
  <c r="BH30" i="38"/>
  <c r="D66" i="81"/>
  <c r="BE32" i="38"/>
  <c r="BE36" i="38" s="1"/>
  <c r="AY32" i="38"/>
  <c r="AY36" i="38" s="1"/>
  <c r="D21" i="81"/>
  <c r="N70" i="82"/>
  <c r="D15" i="82"/>
  <c r="C118" i="2"/>
  <c r="D70" i="82"/>
  <c r="F5" i="83"/>
  <c r="F18" i="83" s="1"/>
  <c r="N12" i="84"/>
  <c r="J12" i="84"/>
  <c r="J185" i="84" a="1"/>
  <c r="J185" i="84" s="1"/>
  <c r="K130" i="84" a="1"/>
  <c r="K130" i="84" s="1"/>
  <c r="J94" i="84" a="1"/>
  <c r="J94" i="84" s="1"/>
  <c r="J170" i="84"/>
  <c r="J61" i="84" a="1"/>
  <c r="J61" i="84" s="1"/>
  <c r="J99" i="84" a="1"/>
  <c r="J99" i="84" s="1"/>
  <c r="K180" i="84" a="1"/>
  <c r="K180" i="84" s="1"/>
  <c r="K122" i="84" a="1"/>
  <c r="K122" i="84" s="1"/>
  <c r="J142" i="84"/>
  <c r="J143" i="84" s="1"/>
  <c r="J129" i="84" a="1"/>
  <c r="J129" i="84" s="1"/>
  <c r="J151" i="84" a="1"/>
  <c r="J151" i="84" s="1"/>
  <c r="K137" i="84" a="1"/>
  <c r="K137" i="84" s="1"/>
  <c r="J125" i="84" a="1"/>
  <c r="J125" i="84" s="1"/>
  <c r="K164" i="84"/>
  <c r="J149" i="84" a="1"/>
  <c r="J149" i="84" s="1"/>
  <c r="K121" i="84" a="1"/>
  <c r="K121" i="84" s="1"/>
  <c r="J38" i="84"/>
  <c r="J114" i="84" a="1"/>
  <c r="J114" i="84" s="1"/>
  <c r="J66" i="84" a="1"/>
  <c r="J66" i="84" s="1"/>
  <c r="J191" i="84" a="1"/>
  <c r="J191" i="84" s="1"/>
  <c r="J189" i="84" a="1"/>
  <c r="J189" i="84" s="1"/>
  <c r="J175" i="84" a="1"/>
  <c r="J175" i="84" s="1"/>
  <c r="K163" i="84"/>
  <c r="J134" i="84" a="1"/>
  <c r="J134" i="84" s="1"/>
  <c r="J107" i="84" a="1"/>
  <c r="J107" i="84" s="1"/>
  <c r="K98" i="84" a="1"/>
  <c r="K98" i="84" s="1"/>
  <c r="J88" i="84" a="1"/>
  <c r="J88" i="84" s="1"/>
  <c r="K184" i="84" a="1"/>
  <c r="K184" i="84" s="1"/>
  <c r="J173" i="84" a="1"/>
  <c r="J173" i="84" s="1"/>
  <c r="J150" i="84" a="1"/>
  <c r="J150" i="84" s="1"/>
  <c r="K142" i="84"/>
  <c r="K143" i="84" s="1"/>
  <c r="K123" i="84" a="1"/>
  <c r="K123" i="84" s="1"/>
  <c r="J192" i="84" a="1"/>
  <c r="J192" i="84" s="1"/>
  <c r="J190" i="84" a="1"/>
  <c r="J190" i="84" s="1"/>
  <c r="J180" i="84" a="1"/>
  <c r="J180" i="84" s="1"/>
  <c r="J176" i="84" a="1"/>
  <c r="J176" i="84" s="1"/>
  <c r="K174" i="84" a="1"/>
  <c r="K174" i="84" s="1"/>
  <c r="K151" i="84" a="1"/>
  <c r="K151" i="84" s="1"/>
  <c r="K149" i="84" a="1"/>
  <c r="K149" i="84" s="1"/>
  <c r="J135" i="84" a="1"/>
  <c r="J135" i="84" s="1"/>
  <c r="J113" i="84" a="1"/>
  <c r="J113" i="84" s="1"/>
  <c r="J101" i="84" a="1"/>
  <c r="J101" i="84" s="1"/>
  <c r="J183" i="84" a="1"/>
  <c r="J183" i="84" s="1"/>
  <c r="K170" i="84"/>
  <c r="J138" i="84" a="1"/>
  <c r="J138" i="84" s="1"/>
  <c r="J128" i="84" a="1"/>
  <c r="J128" i="84" s="1"/>
  <c r="J62" i="84" a="1"/>
  <c r="J62" i="84" s="1"/>
  <c r="J36" i="84"/>
  <c r="K183" i="84" a="1"/>
  <c r="K183" i="84" s="1"/>
  <c r="J182" i="84" a="1"/>
  <c r="J182" i="84" s="1"/>
  <c r="K173" i="84" a="1"/>
  <c r="K173" i="84" s="1"/>
  <c r="J172" i="84" a="1"/>
  <c r="J172" i="84" s="1"/>
  <c r="K135" i="84" a="1"/>
  <c r="K135" i="84" s="1"/>
  <c r="K134" i="84" a="1"/>
  <c r="K134" i="84" s="1"/>
  <c r="J133" i="84" a="1"/>
  <c r="J133" i="84" s="1"/>
  <c r="J132" i="84" a="1"/>
  <c r="J132" i="84" s="1"/>
  <c r="J131" i="84" a="1"/>
  <c r="J131" i="84" s="1"/>
  <c r="K125" i="84" a="1"/>
  <c r="K125" i="84" s="1"/>
  <c r="K96" i="84" a="1"/>
  <c r="K96" i="84" s="1"/>
  <c r="J87" i="84"/>
  <c r="J81" i="84" a="1"/>
  <c r="J81" i="84" s="1"/>
  <c r="J68" i="84" a="1"/>
  <c r="J68" i="84" s="1"/>
  <c r="J60" i="84" a="1"/>
  <c r="J60" i="84" s="1"/>
  <c r="K25" i="84"/>
  <c r="K189" i="84" a="1"/>
  <c r="K189" i="84" s="1"/>
  <c r="K185" i="84" a="1"/>
  <c r="K185" i="84" s="1"/>
  <c r="J184" i="84" a="1"/>
  <c r="J184" i="84" s="1"/>
  <c r="K175" i="84" a="1"/>
  <c r="K175" i="84" s="1"/>
  <c r="J174" i="84" a="1"/>
  <c r="J174" i="84" s="1"/>
  <c r="K138" i="84" a="1"/>
  <c r="K138" i="84" s="1"/>
  <c r="J137" i="84" a="1"/>
  <c r="J137" i="84" s="1"/>
  <c r="J136" i="84" a="1"/>
  <c r="J136" i="84" s="1"/>
  <c r="K126" i="84" a="1"/>
  <c r="K126" i="84" s="1"/>
  <c r="J122" i="84" a="1"/>
  <c r="J122" i="84" s="1"/>
  <c r="K120" i="84" a="1"/>
  <c r="K120" i="84" s="1"/>
  <c r="K115" i="84" a="1"/>
  <c r="K115" i="84" s="1"/>
  <c r="K105" i="84"/>
  <c r="J100" i="84" a="1"/>
  <c r="J100" i="84" s="1"/>
  <c r="J67" i="84" a="1"/>
  <c r="J67" i="84" s="1"/>
  <c r="J63" i="84" a="1"/>
  <c r="J63" i="84" s="1"/>
  <c r="J126" i="84" a="1"/>
  <c r="J126" i="84" s="1"/>
  <c r="J120" i="84" a="1"/>
  <c r="J120" i="84" s="1"/>
  <c r="K95" i="84" a="1"/>
  <c r="K95" i="84" s="1"/>
  <c r="K92" i="84"/>
  <c r="J80" i="84" a="1"/>
  <c r="J80" i="84" s="1"/>
  <c r="K55" i="84"/>
  <c r="J43" i="84"/>
  <c r="J44" i="84" s="1"/>
  <c r="K128" i="84" a="1"/>
  <c r="K128" i="84" s="1"/>
  <c r="J127" i="84" a="1"/>
  <c r="J127" i="84" s="1"/>
  <c r="J123" i="84" a="1"/>
  <c r="J123" i="84" s="1"/>
  <c r="K114" i="84" a="1"/>
  <c r="K114" i="84" s="1"/>
  <c r="J97" i="84" a="1"/>
  <c r="J97" i="84" s="1"/>
  <c r="K82" i="84" a="1"/>
  <c r="K82" i="84" s="1"/>
  <c r="K27" i="84"/>
  <c r="K182" i="84" a="1"/>
  <c r="K182" i="84" s="1"/>
  <c r="J181" i="84" a="1"/>
  <c r="J181" i="84" s="1"/>
  <c r="K172" i="84" a="1"/>
  <c r="K172" i="84" s="1"/>
  <c r="J171" i="84" a="1"/>
  <c r="J171" i="84" s="1"/>
  <c r="J153" i="84" a="1"/>
  <c r="J153" i="84" s="1"/>
  <c r="J152" i="84" a="1"/>
  <c r="J152" i="84" s="1"/>
  <c r="K133" i="84" a="1"/>
  <c r="K133" i="84" s="1"/>
  <c r="K132" i="84" a="1"/>
  <c r="K132" i="84" s="1"/>
  <c r="K131" i="84" a="1"/>
  <c r="K131" i="84" s="1"/>
  <c r="J130" i="84" a="1"/>
  <c r="J130" i="84" s="1"/>
  <c r="J124" i="84" a="1"/>
  <c r="J124" i="84" s="1"/>
  <c r="J121" i="84" a="1"/>
  <c r="J121" i="84" s="1"/>
  <c r="J119" i="84"/>
  <c r="J106" i="84" a="1"/>
  <c r="J106" i="84" s="1"/>
  <c r="K113" i="84" a="1"/>
  <c r="K113" i="84" s="1"/>
  <c r="J112" i="84"/>
  <c r="K94" i="84" a="1"/>
  <c r="K94" i="84" s="1"/>
  <c r="J93" i="84" a="1"/>
  <c r="J93" i="84" s="1"/>
  <c r="K81" i="84" a="1"/>
  <c r="K81" i="84" s="1"/>
  <c r="K80" i="84" a="1"/>
  <c r="K80" i="84" s="1"/>
  <c r="J79" i="84" a="1"/>
  <c r="J79" i="84" s="1"/>
  <c r="J64" i="84" a="1"/>
  <c r="J64" i="84" s="1"/>
  <c r="J39" i="84"/>
  <c r="J37" i="84"/>
  <c r="J32" i="84"/>
  <c r="J96" i="84" a="1"/>
  <c r="J96" i="84" s="1"/>
  <c r="J95" i="84" a="1"/>
  <c r="J95" i="84" s="1"/>
  <c r="K83" i="84" a="1"/>
  <c r="K83" i="84" s="1"/>
  <c r="J82" i="84" a="1"/>
  <c r="J82" i="84" s="1"/>
  <c r="J70" i="84" a="1"/>
  <c r="J70" i="84" s="1"/>
  <c r="K53" i="84"/>
  <c r="K48" i="84"/>
  <c r="K31" i="84"/>
  <c r="K26" i="84"/>
  <c r="K119" i="84"/>
  <c r="J115" i="84" a="1"/>
  <c r="J115" i="84" s="1"/>
  <c r="K101" i="84" a="1"/>
  <c r="K101" i="84" s="1"/>
  <c r="K100" i="84" a="1"/>
  <c r="K100" i="84" s="1"/>
  <c r="K99" i="84" a="1"/>
  <c r="K99" i="84" s="1"/>
  <c r="J98" i="84" a="1"/>
  <c r="J98" i="84" s="1"/>
  <c r="K87" i="84"/>
  <c r="J83" i="84" a="1"/>
  <c r="J83" i="84" s="1"/>
  <c r="J65" i="84" a="1"/>
  <c r="J65" i="84" s="1"/>
  <c r="J59" i="84"/>
  <c r="J53" i="84"/>
  <c r="J48" i="84"/>
  <c r="J31" i="84"/>
  <c r="J26" i="84"/>
  <c r="K107" i="84" a="1"/>
  <c r="K107" i="84" s="1"/>
  <c r="K106" i="84" a="1"/>
  <c r="K106" i="84" s="1"/>
  <c r="J105" i="84"/>
  <c r="K88" i="84" a="1"/>
  <c r="K88" i="84" s="1"/>
  <c r="J77" i="84"/>
  <c r="K112" i="84"/>
  <c r="J108" i="84" a="1"/>
  <c r="J108" i="84" s="1"/>
  <c r="K93" i="84" a="1"/>
  <c r="K93" i="84" s="1"/>
  <c r="J92" i="84"/>
  <c r="K79" i="84" a="1"/>
  <c r="K79" i="84" s="1"/>
  <c r="J78" i="84" a="1"/>
  <c r="J78" i="84" s="1"/>
  <c r="J69" i="84" a="1"/>
  <c r="J69" i="84" s="1"/>
  <c r="J55" i="84"/>
  <c r="J52" i="84"/>
  <c r="J47" i="84"/>
  <c r="K32" i="84"/>
  <c r="J27" i="84"/>
  <c r="J25" i="84"/>
  <c r="Q12" i="84"/>
  <c r="P12" i="84"/>
  <c r="T7" i="84"/>
  <c r="T6" i="84" s="1"/>
  <c r="T3" i="84" s="1" a="1"/>
  <c r="T3" i="84" s="1"/>
  <c r="T11" i="84" s="1"/>
  <c r="K12" i="84"/>
  <c r="S5" i="84"/>
  <c r="T4" i="84" s="1"/>
  <c r="O12" i="84"/>
  <c r="M12" i="84"/>
  <c r="D17" i="79"/>
  <c r="F18" i="79"/>
  <c r="B118" i="53"/>
  <c r="L121" i="1"/>
  <c r="CL34" i="46"/>
  <c r="H110" i="1" s="1"/>
  <c r="F244" i="79"/>
  <c r="D243" i="79"/>
  <c r="AC31" i="29"/>
  <c r="AF31" i="29"/>
  <c r="B75" i="53"/>
  <c r="H120" i="53"/>
  <c r="AT75" i="38"/>
  <c r="AT73" i="38"/>
  <c r="AL75" i="38"/>
  <c r="AL73" i="38"/>
  <c r="AD75" i="38"/>
  <c r="AD73" i="38"/>
  <c r="AS14" i="46"/>
  <c r="AS25" i="46" s="1"/>
  <c r="F120" i="53"/>
  <c r="J72" i="53"/>
  <c r="P72" i="53" s="1"/>
  <c r="T72" i="53" s="1"/>
  <c r="D242" i="79"/>
  <c r="AZ75" i="38"/>
  <c r="AZ73" i="38"/>
  <c r="AR75" i="38"/>
  <c r="AR73" i="38"/>
  <c r="AJ75" i="38"/>
  <c r="AJ73" i="38"/>
  <c r="AB75" i="38"/>
  <c r="AB73" i="38"/>
  <c r="J74" i="1"/>
  <c r="P74" i="1" s="1"/>
  <c r="T74" i="1" s="1"/>
  <c r="AY105" i="15"/>
  <c r="AQ105" i="15"/>
  <c r="F67" i="8"/>
  <c r="AX75" i="38"/>
  <c r="AX73" i="38"/>
  <c r="AH73" i="38"/>
  <c r="AH75" i="38"/>
  <c r="B72" i="29"/>
  <c r="BB24" i="29"/>
  <c r="BB30" i="29" s="1"/>
  <c r="BL22" i="8"/>
  <c r="BL43" i="8" s="1"/>
  <c r="BD22" i="8"/>
  <c r="BD43" i="8" s="1"/>
  <c r="AV22" i="8"/>
  <c r="AV43" i="8" s="1"/>
  <c r="AN22" i="8"/>
  <c r="AN43" i="8" s="1"/>
  <c r="AF22" i="8"/>
  <c r="AF43" i="8" s="1"/>
  <c r="X22" i="8"/>
  <c r="X43" i="8" s="1"/>
  <c r="P22" i="8"/>
  <c r="P43" i="8" s="1"/>
  <c r="H22" i="8"/>
  <c r="H43" i="8" s="1"/>
  <c r="AM105" i="15"/>
  <c r="AW73" i="38"/>
  <c r="AW75" i="38"/>
  <c r="AO73" i="38"/>
  <c r="AO75" i="38"/>
  <c r="B121" i="53"/>
  <c r="L124" i="1"/>
  <c r="L38" i="57"/>
  <c r="AS73" i="38"/>
  <c r="AS75" i="38"/>
  <c r="N75" i="53"/>
  <c r="AV75" i="38"/>
  <c r="AV73" i="38"/>
  <c r="AN75" i="38"/>
  <c r="AN73" i="38"/>
  <c r="AF75" i="38"/>
  <c r="AF73" i="38"/>
  <c r="AU97" i="38"/>
  <c r="AT87" i="38"/>
  <c r="BG85" i="38"/>
  <c r="AO36" i="38"/>
  <c r="AG36" i="38"/>
  <c r="Y36" i="38"/>
  <c r="AA97" i="38"/>
  <c r="AI97" i="38"/>
  <c r="AE97" i="38"/>
  <c r="AF97" i="38"/>
  <c r="AW87" i="38"/>
  <c r="BA75" i="38"/>
  <c r="AP75" i="38"/>
  <c r="AE75" i="38"/>
  <c r="AD97" i="38"/>
  <c r="AV87" i="38"/>
  <c r="C68" i="2"/>
  <c r="AC97" i="38"/>
  <c r="AP87" i="38"/>
  <c r="BK85" i="38"/>
  <c r="AM75" i="38"/>
  <c r="AA36" i="38"/>
  <c r="AL97" i="38"/>
  <c r="AB97" i="38"/>
  <c r="AS87" i="38"/>
  <c r="E6" i="15"/>
  <c r="BN5" i="15"/>
  <c r="BN7" i="38"/>
  <c r="AV97" i="38"/>
  <c r="AK97" i="38"/>
  <c r="AU75" i="38"/>
  <c r="AK75" i="38"/>
  <c r="E40" i="38"/>
  <c r="E21" i="38"/>
  <c r="AJ97" i="38"/>
  <c r="BM49" i="38"/>
  <c r="BJ44" i="38"/>
  <c r="BD32" i="38"/>
  <c r="AV32" i="38"/>
  <c r="AN32" i="38"/>
  <c r="AF32" i="38"/>
  <c r="X32" i="38"/>
  <c r="P32" i="38"/>
  <c r="AT17" i="38"/>
  <c r="AL17" i="38"/>
  <c r="AD17" i="38"/>
  <c r="V17" i="38"/>
  <c r="BB32" i="38"/>
  <c r="AT32" i="38"/>
  <c r="AL32" i="38"/>
  <c r="AD32" i="38"/>
  <c r="V32" i="38"/>
  <c r="BA32" i="38"/>
  <c r="AS32" i="38"/>
  <c r="AK32" i="38"/>
  <c r="AC32" i="38"/>
  <c r="U32" i="38"/>
  <c r="AQ17" i="38"/>
  <c r="AI17" i="38"/>
  <c r="AA17" i="38"/>
  <c r="AA34" i="38" s="1"/>
  <c r="S17" i="38"/>
  <c r="AZ32" i="38"/>
  <c r="AR32" i="38"/>
  <c r="AJ32" i="38"/>
  <c r="AB32" i="38"/>
  <c r="T32" i="38"/>
  <c r="AP17" i="38"/>
  <c r="AH17" i="38"/>
  <c r="Z17" i="38"/>
  <c r="R17" i="38"/>
  <c r="AW17" i="38"/>
  <c r="AO17" i="38"/>
  <c r="AO34" i="38" s="1"/>
  <c r="AG17" i="38"/>
  <c r="AG34" i="38" s="1"/>
  <c r="Y17" i="38"/>
  <c r="AX32" i="38"/>
  <c r="AP32" i="38"/>
  <c r="AH32" i="38"/>
  <c r="Z32" i="38"/>
  <c r="R32" i="38"/>
  <c r="W8" i="84"/>
  <c r="D35" i="36"/>
  <c r="L12" i="1"/>
  <c r="S9" i="84"/>
  <c r="S10" i="84"/>
  <c r="S11" i="84"/>
  <c r="T57" i="60"/>
  <c r="D57" i="68"/>
  <c r="F57" i="36"/>
  <c r="D57" i="70"/>
  <c r="H57" i="47"/>
  <c r="D57" i="62"/>
  <c r="D57" i="61"/>
  <c r="H57" i="36"/>
  <c r="K77" i="84"/>
  <c r="K43" i="84"/>
  <c r="K44" i="84" s="1"/>
  <c r="K70" i="84" a="1"/>
  <c r="K70" i="84" s="1"/>
  <c r="K69" i="84" a="1"/>
  <c r="K69" i="84" s="1"/>
  <c r="K68" i="84" a="1"/>
  <c r="K68" i="84" s="1"/>
  <c r="K67" i="84" a="1"/>
  <c r="K67" i="84" s="1"/>
  <c r="K66" i="84" a="1"/>
  <c r="K66" i="84" s="1"/>
  <c r="K65" i="84" a="1"/>
  <c r="K65" i="84" s="1"/>
  <c r="K64" i="84" a="1"/>
  <c r="K64" i="84" s="1"/>
  <c r="K63" i="84" a="1"/>
  <c r="K63" i="84" s="1"/>
  <c r="K62" i="84" a="1"/>
  <c r="K62" i="84" s="1"/>
  <c r="K61" i="84" a="1"/>
  <c r="K61" i="84" s="1"/>
  <c r="K60" i="84" a="1"/>
  <c r="K60" i="84" s="1"/>
  <c r="K59" i="84"/>
  <c r="K39" i="84"/>
  <c r="K38" i="84"/>
  <c r="K37" i="84"/>
  <c r="K36" i="84"/>
  <c r="I19" i="48"/>
  <c r="K19" i="48" s="1"/>
  <c r="K15" i="48"/>
  <c r="G18" i="57"/>
  <c r="L18" i="57" s="1"/>
  <c r="R58" i="53"/>
  <c r="T58" i="53" s="1"/>
  <c r="I25" i="48"/>
  <c r="K25" i="48" s="1"/>
  <c r="B3" i="39"/>
  <c r="A3" i="53"/>
  <c r="B3" i="57"/>
  <c r="E172" i="2"/>
  <c r="E5" i="3" s="1"/>
  <c r="A97" i="1"/>
  <c r="A240" i="1"/>
  <c r="C51" i="2"/>
  <c r="C107" i="2" s="1"/>
  <c r="B3" i="2"/>
  <c r="L109" i="53"/>
  <c r="T109" i="53" s="1"/>
  <c r="V109" i="53" s="1"/>
  <c r="T112" i="1"/>
  <c r="V112" i="1" s="1"/>
  <c r="L119" i="53"/>
  <c r="T120" i="1"/>
  <c r="V120" i="1" s="1"/>
  <c r="D52" i="36" s="1"/>
  <c r="P70" i="53"/>
  <c r="T70" i="53" s="1"/>
  <c r="K36" i="57"/>
  <c r="H36" i="57"/>
  <c r="L14" i="57"/>
  <c r="I60" i="81"/>
  <c r="H61" i="81"/>
  <c r="D40" i="82"/>
  <c r="C50" i="82"/>
  <c r="F30" i="68"/>
  <c r="H30" i="68"/>
  <c r="I35" i="81"/>
  <c r="H47" i="81"/>
  <c r="I22" i="48"/>
  <c r="K22" i="48" s="1"/>
  <c r="C61" i="81"/>
  <c r="D51" i="81"/>
  <c r="D75" i="53"/>
  <c r="I17" i="81"/>
  <c r="I21" i="81"/>
  <c r="I35" i="82"/>
  <c r="H50" i="82"/>
  <c r="C47" i="81"/>
  <c r="D32" i="81"/>
  <c r="D64" i="81" s="1"/>
  <c r="D72" i="81" s="1"/>
  <c r="M65" i="82"/>
  <c r="D21" i="82"/>
  <c r="D8" i="83" s="1"/>
  <c r="E3" i="83"/>
  <c r="E5" i="83" s="1"/>
  <c r="E18" i="83" s="1"/>
  <c r="J13" i="82"/>
  <c r="J15" i="82" s="1"/>
  <c r="I66" i="81"/>
  <c r="I70" i="82"/>
  <c r="M50" i="82"/>
  <c r="D17" i="82"/>
  <c r="D7" i="83" s="1"/>
  <c r="I15" i="82"/>
  <c r="C65" i="82"/>
  <c r="C24" i="82"/>
  <c r="I21" i="82"/>
  <c r="E8" i="83" s="1"/>
  <c r="D5" i="83"/>
  <c r="D18" i="83" s="1"/>
  <c r="J61" i="53" l="1"/>
  <c r="CJ51" i="29"/>
  <c r="L36" i="57"/>
  <c r="AE31" i="29"/>
  <c r="AH31" i="29"/>
  <c r="AQ31" i="29"/>
  <c r="AI31" i="29"/>
  <c r="AD31" i="29"/>
  <c r="AG31" i="29"/>
  <c r="CG51" i="29"/>
  <c r="CH51" i="29"/>
  <c r="AV31" i="29"/>
  <c r="D35" i="89"/>
  <c r="D35" i="88"/>
  <c r="D35" i="87"/>
  <c r="D35" i="86"/>
  <c r="D35" i="85"/>
  <c r="D52" i="89"/>
  <c r="D52" i="88"/>
  <c r="D52" i="87"/>
  <c r="D52" i="86"/>
  <c r="D52" i="85"/>
  <c r="H57" i="85"/>
  <c r="F57" i="85"/>
  <c r="H57" i="86"/>
  <c r="F57" i="86"/>
  <c r="H57" i="87"/>
  <c r="F57" i="87"/>
  <c r="H57" i="88"/>
  <c r="F57" i="88"/>
  <c r="F57" i="89"/>
  <c r="H57" i="89"/>
  <c r="AX31" i="29"/>
  <c r="AZ31" i="29"/>
  <c r="AU31" i="29"/>
  <c r="AK31" i="29"/>
  <c r="AY31" i="29"/>
  <c r="AT31" i="29"/>
  <c r="AW31" i="29"/>
  <c r="BA31" i="29"/>
  <c r="AP31" i="29"/>
  <c r="AM31" i="29"/>
  <c r="AN31" i="29"/>
  <c r="AL31" i="29"/>
  <c r="AO31" i="29"/>
  <c r="AJ31" i="29"/>
  <c r="AS31" i="29"/>
  <c r="AF107" i="15"/>
  <c r="AE34" i="38"/>
  <c r="AQ34" i="38"/>
  <c r="AR99" i="38"/>
  <c r="AM34" i="38"/>
  <c r="AS99" i="38"/>
  <c r="S34" i="38"/>
  <c r="AI34" i="38"/>
  <c r="AL110" i="15"/>
  <c r="U107" i="15"/>
  <c r="AZ87" i="38"/>
  <c r="AN87" i="38"/>
  <c r="AN99" i="38" s="1"/>
  <c r="AW99" i="38"/>
  <c r="AU34" i="38"/>
  <c r="Q36" i="38"/>
  <c r="Y34" i="38"/>
  <c r="AP99" i="38"/>
  <c r="BZ46" i="38"/>
  <c r="AT99" i="38"/>
  <c r="AW34" i="38"/>
  <c r="J84" i="84"/>
  <c r="AC87" i="38"/>
  <c r="AO87" i="38"/>
  <c r="AO99" i="38" s="1"/>
  <c r="BE87" i="38"/>
  <c r="D107" i="15"/>
  <c r="S107" i="15"/>
  <c r="K107" i="15"/>
  <c r="AJ107" i="15"/>
  <c r="W107" i="15"/>
  <c r="F107" i="15"/>
  <c r="X107" i="15"/>
  <c r="AS107" i="15"/>
  <c r="Y107" i="15"/>
  <c r="AH107" i="15"/>
  <c r="V107" i="15"/>
  <c r="M107" i="15"/>
  <c r="AE87" i="38"/>
  <c r="C107" i="15"/>
  <c r="P107" i="15"/>
  <c r="BI107" i="15"/>
  <c r="O107" i="15"/>
  <c r="AA87" i="38"/>
  <c r="BD87" i="38"/>
  <c r="BA87" i="38"/>
  <c r="BC87" i="38"/>
  <c r="I107" i="15"/>
  <c r="AK87" i="38"/>
  <c r="AY87" i="38"/>
  <c r="E107" i="15"/>
  <c r="R107" i="15"/>
  <c r="AX87" i="38"/>
  <c r="AL107" i="15"/>
  <c r="AG107" i="15"/>
  <c r="AB107" i="15"/>
  <c r="AP107" i="15"/>
  <c r="AC107" i="15"/>
  <c r="BH107" i="15"/>
  <c r="H107" i="15"/>
  <c r="T107" i="15"/>
  <c r="L107" i="15"/>
  <c r="N107" i="15"/>
  <c r="AE107" i="15"/>
  <c r="G107" i="15"/>
  <c r="AD107" i="15"/>
  <c r="BE107" i="15"/>
  <c r="Z107" i="15"/>
  <c r="BF107" i="15"/>
  <c r="AN107" i="15"/>
  <c r="AA107" i="15"/>
  <c r="Q107" i="15"/>
  <c r="AK107" i="15"/>
  <c r="AJ87" i="38"/>
  <c r="AZ107" i="15"/>
  <c r="J107" i="15"/>
  <c r="BB107" i="15"/>
  <c r="AW107" i="15"/>
  <c r="AH87" i="38"/>
  <c r="BD107" i="15"/>
  <c r="AG87" i="38"/>
  <c r="AI87" i="38"/>
  <c r="AB87" i="38"/>
  <c r="AL87" i="38"/>
  <c r="AM87" i="38"/>
  <c r="AM99" i="38" s="1"/>
  <c r="AD87" i="38"/>
  <c r="AX107" i="15"/>
  <c r="AF87" i="38"/>
  <c r="BI87" i="38"/>
  <c r="AR107" i="15"/>
  <c r="AT107" i="15"/>
  <c r="BG87" i="38"/>
  <c r="AO107" i="15"/>
  <c r="AV107" i="15"/>
  <c r="BA107" i="15"/>
  <c r="AO101" i="38"/>
  <c r="AQ99" i="38"/>
  <c r="BF87" i="38"/>
  <c r="AW36" i="38"/>
  <c r="CL23" i="46"/>
  <c r="F63" i="1" s="1"/>
  <c r="K52" i="84"/>
  <c r="K56" i="84" s="1"/>
  <c r="K129" i="84" a="1"/>
  <c r="K129" i="84" s="1"/>
  <c r="K47" i="84"/>
  <c r="K49" i="84" s="1"/>
  <c r="K192" i="84" a="1"/>
  <c r="K192" i="84" s="1"/>
  <c r="K181" i="84" a="1"/>
  <c r="K181" i="84" s="1"/>
  <c r="K186" i="84" s="1"/>
  <c r="K124" i="84" a="1"/>
  <c r="K124" i="84" s="1"/>
  <c r="K176" i="84" a="1"/>
  <c r="K176" i="84" s="1"/>
  <c r="K136" i="84" a="1"/>
  <c r="K136" i="84" s="1"/>
  <c r="K162" i="84"/>
  <c r="K78" i="84" a="1"/>
  <c r="K78" i="84" s="1"/>
  <c r="K84" i="84" s="1"/>
  <c r="K108" i="84" a="1"/>
  <c r="K108" i="84" s="1"/>
  <c r="K109" i="84" s="1"/>
  <c r="K161" i="84"/>
  <c r="K153" i="84" a="1"/>
  <c r="K153" i="84" s="1"/>
  <c r="K97" i="84" a="1"/>
  <c r="K97" i="84" s="1"/>
  <c r="K102" i="84" s="1"/>
  <c r="K150" i="84" a="1"/>
  <c r="K150" i="84" s="1"/>
  <c r="K191" i="84" a="1"/>
  <c r="K191" i="84" s="1"/>
  <c r="K127" i="84" a="1"/>
  <c r="K127" i="84" s="1"/>
  <c r="K152" i="84" a="1"/>
  <c r="K152" i="84" s="1"/>
  <c r="K171" i="84" a="1"/>
  <c r="K171" i="84" s="1"/>
  <c r="L2" i="84"/>
  <c r="D31" i="82"/>
  <c r="D10" i="83" s="1"/>
  <c r="BI32" i="38"/>
  <c r="BH32" i="38"/>
  <c r="BG32" i="38"/>
  <c r="BK32" i="38"/>
  <c r="BF32" i="38"/>
  <c r="BJ32" i="38"/>
  <c r="D14" i="83"/>
  <c r="N31" i="82"/>
  <c r="L53" i="84"/>
  <c r="N77" i="1"/>
  <c r="B183" i="2"/>
  <c r="G18" i="2"/>
  <c r="L18" i="2" s="1"/>
  <c r="K116" i="84"/>
  <c r="J89" i="84"/>
  <c r="J116" i="84"/>
  <c r="J139" i="84"/>
  <c r="K89" i="84"/>
  <c r="J102" i="84"/>
  <c r="J109" i="84"/>
  <c r="J155" i="84"/>
  <c r="K28" i="84"/>
  <c r="J177" i="84"/>
  <c r="J186" i="84"/>
  <c r="J33" i="84"/>
  <c r="U7" i="84"/>
  <c r="V7" i="84" s="1"/>
  <c r="W7" i="84" s="1"/>
  <c r="X7" i="84" s="1"/>
  <c r="J71" i="84"/>
  <c r="J40" i="84"/>
  <c r="J56" i="84"/>
  <c r="K33" i="84"/>
  <c r="J28" i="84"/>
  <c r="J49" i="84"/>
  <c r="S12" i="84"/>
  <c r="T10" i="84"/>
  <c r="T9" i="84"/>
  <c r="T5" i="84"/>
  <c r="U4" i="84" s="1"/>
  <c r="T2" i="84"/>
  <c r="K40" i="84"/>
  <c r="BB31" i="29"/>
  <c r="P34" i="38"/>
  <c r="P36" i="38"/>
  <c r="BN39" i="38"/>
  <c r="BN79" i="38"/>
  <c r="AI107" i="15"/>
  <c r="M45" i="81"/>
  <c r="N45" i="81" s="1"/>
  <c r="R48" i="82"/>
  <c r="S48" i="82" s="1"/>
  <c r="R19" i="82"/>
  <c r="M19" i="81"/>
  <c r="J38" i="2"/>
  <c r="L118" i="53"/>
  <c r="T118" i="53" s="1"/>
  <c r="V118" i="53" s="1"/>
  <c r="T121" i="1"/>
  <c r="V121" i="1" s="1"/>
  <c r="L135" i="84" a="1"/>
  <c r="L135" i="84" s="1"/>
  <c r="U34" i="38"/>
  <c r="U36" i="38"/>
  <c r="V34" i="38"/>
  <c r="V36" i="38"/>
  <c r="X34" i="38"/>
  <c r="X36" i="38"/>
  <c r="BO7" i="38"/>
  <c r="BO5" i="15"/>
  <c r="BP5" i="15" s="1"/>
  <c r="BQ5" i="15" s="1"/>
  <c r="BR5" i="15" s="1"/>
  <c r="BR5" i="8"/>
  <c r="BC2" i="46"/>
  <c r="BD11" i="29"/>
  <c r="BD39" i="29" s="1"/>
  <c r="M23" i="81"/>
  <c r="R47" i="82"/>
  <c r="S47" i="82" s="1"/>
  <c r="R23" i="82"/>
  <c r="M44" i="81"/>
  <c r="N44" i="81" s="1"/>
  <c r="H41" i="2"/>
  <c r="J41" i="2"/>
  <c r="L129" i="84" a="1"/>
  <c r="L129" i="84" s="1"/>
  <c r="L130" i="84" a="1"/>
  <c r="L130" i="84" s="1"/>
  <c r="I64" i="81"/>
  <c r="I68" i="81" s="1"/>
  <c r="H57" i="61"/>
  <c r="F57" i="61"/>
  <c r="T34" i="38"/>
  <c r="T36" i="38"/>
  <c r="AC34" i="38"/>
  <c r="AC36" i="38"/>
  <c r="AD34" i="38"/>
  <c r="AD36" i="38"/>
  <c r="AF34" i="38"/>
  <c r="AF36" i="38"/>
  <c r="F8" i="38"/>
  <c r="I6" i="8"/>
  <c r="F6" i="15"/>
  <c r="AQ107" i="15"/>
  <c r="H57" i="62"/>
  <c r="F57" i="62"/>
  <c r="D35" i="68"/>
  <c r="D35" i="62"/>
  <c r="T35" i="60"/>
  <c r="D35" i="70"/>
  <c r="H35" i="47"/>
  <c r="D35" i="61"/>
  <c r="R34" i="38"/>
  <c r="R36" i="38"/>
  <c r="AB34" i="38"/>
  <c r="AB36" i="38"/>
  <c r="AK34" i="38"/>
  <c r="AK36" i="38"/>
  <c r="AL34" i="38"/>
  <c r="AL36" i="38"/>
  <c r="AN34" i="38"/>
  <c r="AN36" i="38"/>
  <c r="BH87" i="38"/>
  <c r="BJ87" i="38"/>
  <c r="L121" i="53"/>
  <c r="T121" i="53" s="1"/>
  <c r="V121" i="53" s="1"/>
  <c r="T124" i="1"/>
  <c r="V124" i="1" s="1"/>
  <c r="L138" i="84" a="1"/>
  <c r="L138" i="84" s="1"/>
  <c r="AM107" i="15"/>
  <c r="L95" i="84" a="1"/>
  <c r="L95" i="84" s="1"/>
  <c r="Z34" i="38"/>
  <c r="Z36" i="38"/>
  <c r="AJ34" i="38"/>
  <c r="AJ36" i="38"/>
  <c r="AS34" i="38"/>
  <c r="AS36" i="38"/>
  <c r="AT34" i="38"/>
  <c r="AT36" i="38"/>
  <c r="AV34" i="38"/>
  <c r="AV36" i="38"/>
  <c r="D14" i="2"/>
  <c r="B177" i="2"/>
  <c r="J120" i="53"/>
  <c r="L115" i="84" a="1"/>
  <c r="L115" i="84" s="1"/>
  <c r="AU107" i="15"/>
  <c r="AY107" i="15"/>
  <c r="A148" i="53"/>
  <c r="A95" i="53"/>
  <c r="A46" i="53"/>
  <c r="A175" i="53"/>
  <c r="A236" i="53"/>
  <c r="K71" i="84"/>
  <c r="F57" i="70"/>
  <c r="H57" i="70"/>
  <c r="AH34" i="38"/>
  <c r="AH36" i="38"/>
  <c r="AR34" i="38"/>
  <c r="AR36" i="38"/>
  <c r="BA36" i="38"/>
  <c r="BB36" i="38"/>
  <c r="BD36" i="38"/>
  <c r="BK87" i="38"/>
  <c r="BC107" i="15"/>
  <c r="H40" i="57"/>
  <c r="J40" i="57"/>
  <c r="J42" i="57" s="1"/>
  <c r="F19" i="79"/>
  <c r="D18" i="79"/>
  <c r="D68" i="82"/>
  <c r="I31" i="82"/>
  <c r="E10" i="83" s="1"/>
  <c r="E14" i="83" s="1"/>
  <c r="AP34" i="38"/>
  <c r="AP36" i="38"/>
  <c r="AZ36" i="38"/>
  <c r="BN49" i="38"/>
  <c r="BJ107" i="15"/>
  <c r="AU101" i="38"/>
  <c r="AU99" i="38"/>
  <c r="BG107" i="15"/>
  <c r="F245" i="79"/>
  <c r="D244" i="79"/>
  <c r="L110" i="1"/>
  <c r="T110" i="1" s="1"/>
  <c r="V110" i="1" s="1"/>
  <c r="H107" i="53"/>
  <c r="L106" i="84" a="1"/>
  <c r="L106" i="84" s="1"/>
  <c r="D52" i="68"/>
  <c r="H52" i="47"/>
  <c r="T52" i="60"/>
  <c r="D52" i="62"/>
  <c r="D52" i="70"/>
  <c r="D52" i="61"/>
  <c r="H52" i="36"/>
  <c r="F52" i="36"/>
  <c r="M53" i="81"/>
  <c r="N53" i="81" s="1"/>
  <c r="R56" i="82"/>
  <c r="D44" i="36"/>
  <c r="F57" i="68"/>
  <c r="H57" i="68"/>
  <c r="X8" i="84"/>
  <c r="AV101" i="38"/>
  <c r="AV99" i="38"/>
  <c r="B120" i="53"/>
  <c r="L82" i="84" a="1"/>
  <c r="L82" i="84" s="1"/>
  <c r="G34" i="57"/>
  <c r="H34" i="57"/>
  <c r="J75" i="53"/>
  <c r="P61" i="53"/>
  <c r="T61" i="53" s="1"/>
  <c r="B44" i="29" l="1"/>
  <c r="F118" i="1" s="1"/>
  <c r="F115" i="53" s="1"/>
  <c r="C44" i="29"/>
  <c r="B43" i="29"/>
  <c r="F117" i="1" s="1"/>
  <c r="F114" i="53" s="1"/>
  <c r="C43" i="29"/>
  <c r="B57" i="29"/>
  <c r="B130" i="1" s="1"/>
  <c r="L130" i="1" s="1"/>
  <c r="T130" i="1" s="1"/>
  <c r="V130" i="1" s="1"/>
  <c r="C57" i="29"/>
  <c r="CF51" i="29"/>
  <c r="C48" i="29"/>
  <c r="B48" i="29"/>
  <c r="B49" i="29"/>
  <c r="C49" i="29"/>
  <c r="CI51" i="29"/>
  <c r="C50" i="29"/>
  <c r="B50" i="29"/>
  <c r="H52" i="87"/>
  <c r="F52" i="87"/>
  <c r="H52" i="88"/>
  <c r="F52" i="88"/>
  <c r="D44" i="89"/>
  <c r="D44" i="88"/>
  <c r="D44" i="87"/>
  <c r="D44" i="86"/>
  <c r="D44" i="85"/>
  <c r="H52" i="89"/>
  <c r="F52" i="89"/>
  <c r="H52" i="85"/>
  <c r="F52" i="85"/>
  <c r="H52" i="86"/>
  <c r="F52" i="86"/>
  <c r="CA46" i="38"/>
  <c r="L37" i="84"/>
  <c r="K165" i="84"/>
  <c r="K155" i="84"/>
  <c r="K177" i="84"/>
  <c r="K139" i="84"/>
  <c r="M2" i="84"/>
  <c r="L192" i="84" a="1"/>
  <c r="L192" i="84" s="1"/>
  <c r="L96" i="84" a="1"/>
  <c r="L96" i="84" s="1"/>
  <c r="L132" i="84" a="1"/>
  <c r="L132" i="84" s="1"/>
  <c r="L100" i="84" a="1"/>
  <c r="L100" i="84" s="1"/>
  <c r="L32" i="84"/>
  <c r="L134" i="84" a="1"/>
  <c r="L134" i="84" s="1"/>
  <c r="L185" i="84" a="1"/>
  <c r="L185" i="84" s="1"/>
  <c r="L164" i="84"/>
  <c r="L99" i="84" a="1"/>
  <c r="L99" i="84" s="1"/>
  <c r="L131" i="84" a="1"/>
  <c r="L131" i="84" s="1"/>
  <c r="L136" i="84" a="1"/>
  <c r="L136" i="84" s="1"/>
  <c r="L123" i="84" a="1"/>
  <c r="L123" i="84" s="1"/>
  <c r="L98" i="84" a="1"/>
  <c r="L98" i="84" s="1"/>
  <c r="L83" i="84" a="1"/>
  <c r="L83" i="84" s="1"/>
  <c r="L128" i="84" a="1"/>
  <c r="L128" i="84" s="1"/>
  <c r="L97" i="84" a="1"/>
  <c r="L97" i="84" s="1"/>
  <c r="L55" i="84"/>
  <c r="L101" i="84" a="1"/>
  <c r="L101" i="84" s="1"/>
  <c r="L81" i="84" a="1"/>
  <c r="L81" i="84" s="1"/>
  <c r="L108" i="84" a="1"/>
  <c r="L108" i="84" s="1"/>
  <c r="L39" i="84"/>
  <c r="L27" i="84"/>
  <c r="F10" i="83"/>
  <c r="F14" i="83" s="1"/>
  <c r="N68" i="82"/>
  <c r="L40" i="57"/>
  <c r="T12" i="84"/>
  <c r="U2" i="84"/>
  <c r="U6" i="84"/>
  <c r="U3" i="84" s="1" a="1"/>
  <c r="U3" i="84" s="1"/>
  <c r="U5" i="84"/>
  <c r="V4" i="84" s="1"/>
  <c r="V5" i="84" s="1"/>
  <c r="F52" i="70"/>
  <c r="H52" i="70"/>
  <c r="G8" i="38"/>
  <c r="G6" i="15"/>
  <c r="J6" i="8"/>
  <c r="BC14" i="46"/>
  <c r="BC25" i="46" s="1"/>
  <c r="BC36" i="46"/>
  <c r="I68" i="82"/>
  <c r="D44" i="68"/>
  <c r="H44" i="47"/>
  <c r="D44" i="62"/>
  <c r="D44" i="70"/>
  <c r="T44" i="60"/>
  <c r="F44" i="36"/>
  <c r="D44" i="61"/>
  <c r="H44" i="36"/>
  <c r="H52" i="62"/>
  <c r="F52" i="62"/>
  <c r="R54" i="82"/>
  <c r="M51" i="81"/>
  <c r="D42" i="36"/>
  <c r="BO49" i="38"/>
  <c r="L120" i="53"/>
  <c r="T120" i="53" s="1"/>
  <c r="V120" i="53" s="1"/>
  <c r="L137" i="84" a="1"/>
  <c r="L137" i="84" s="1"/>
  <c r="T123" i="1"/>
  <c r="V123" i="1" s="1"/>
  <c r="Y7" i="84"/>
  <c r="Y8" i="84"/>
  <c r="L107" i="53"/>
  <c r="T107" i="53" s="1"/>
  <c r="V107" i="53" s="1"/>
  <c r="L121" i="84" a="1"/>
  <c r="L121" i="84" s="1"/>
  <c r="F40" i="38"/>
  <c r="F21" i="38"/>
  <c r="L41" i="2"/>
  <c r="BP7" i="38"/>
  <c r="BS5" i="8"/>
  <c r="BD2" i="46"/>
  <c r="BE11" i="29"/>
  <c r="BE39" i="29" s="1"/>
  <c r="I72" i="81"/>
  <c r="F20" i="79"/>
  <c r="D19" i="79"/>
  <c r="BO79" i="38"/>
  <c r="BO39" i="38"/>
  <c r="F52" i="68"/>
  <c r="H52" i="68"/>
  <c r="T23" i="82"/>
  <c r="T24" i="82" s="1"/>
  <c r="F246" i="79"/>
  <c r="D245" i="79"/>
  <c r="L14" i="2"/>
  <c r="L126" i="84" a="1"/>
  <c r="L126" i="84" s="1"/>
  <c r="R62" i="82"/>
  <c r="M59" i="81"/>
  <c r="N59" i="81" s="1"/>
  <c r="D53" i="36"/>
  <c r="P126" i="1"/>
  <c r="T122" i="1"/>
  <c r="V122" i="1" s="1"/>
  <c r="R22" i="82"/>
  <c r="M60" i="81"/>
  <c r="N60" i="81" s="1"/>
  <c r="M22" i="81"/>
  <c r="R63" i="82"/>
  <c r="S63" i="82" s="1"/>
  <c r="D56" i="36"/>
  <c r="O23" i="81"/>
  <c r="O24" i="81" s="1"/>
  <c r="L34" i="57"/>
  <c r="F52" i="61"/>
  <c r="H52" i="61"/>
  <c r="L38" i="2"/>
  <c r="J43" i="2"/>
  <c r="B51" i="29" l="1"/>
  <c r="F115" i="1" s="1"/>
  <c r="F112" i="53" s="1"/>
  <c r="C51" i="29"/>
  <c r="L118" i="1"/>
  <c r="T118" i="1" s="1"/>
  <c r="V118" i="1" s="1"/>
  <c r="R61" i="82" s="1"/>
  <c r="B127" i="53"/>
  <c r="L127" i="53" s="1"/>
  <c r="T127" i="53" s="1"/>
  <c r="V127" i="53" s="1"/>
  <c r="L117" i="1"/>
  <c r="T117" i="1" s="1"/>
  <c r="V117" i="1" s="1"/>
  <c r="D49" i="36" s="1"/>
  <c r="D49" i="85" s="1"/>
  <c r="H49" i="85" s="1"/>
  <c r="H44" i="86"/>
  <c r="F44" i="86"/>
  <c r="H44" i="87"/>
  <c r="F44" i="87"/>
  <c r="H44" i="88"/>
  <c r="F44" i="88"/>
  <c r="H44" i="89"/>
  <c r="F44" i="89"/>
  <c r="H44" i="85"/>
  <c r="F44" i="85"/>
  <c r="D56" i="88"/>
  <c r="H56" i="88" s="1"/>
  <c r="D56" i="89"/>
  <c r="D42" i="88"/>
  <c r="H42" i="88" s="1"/>
  <c r="D42" i="89"/>
  <c r="D53" i="88"/>
  <c r="F53" i="88" s="1"/>
  <c r="D53" i="89"/>
  <c r="D56" i="87"/>
  <c r="H56" i="87" s="1"/>
  <c r="D42" i="87"/>
  <c r="H42" i="87" s="1"/>
  <c r="D53" i="87"/>
  <c r="F53" i="87" s="1"/>
  <c r="CB46" i="38"/>
  <c r="D54" i="36"/>
  <c r="D55" i="36"/>
  <c r="D42" i="85"/>
  <c r="H42" i="85" s="1"/>
  <c r="D42" i="86"/>
  <c r="D56" i="85"/>
  <c r="F56" i="85" s="1"/>
  <c r="D56" i="86"/>
  <c r="D53" i="85"/>
  <c r="F53" i="85" s="1"/>
  <c r="D53" i="86"/>
  <c r="N2" i="84"/>
  <c r="M129" i="84" a="1"/>
  <c r="M129" i="84" s="1"/>
  <c r="M130" i="84" a="1"/>
  <c r="M130" i="84" s="1"/>
  <c r="M98" i="84" a="1"/>
  <c r="M98" i="84" s="1"/>
  <c r="M123" i="84" a="1"/>
  <c r="M123" i="84" s="1"/>
  <c r="M136" i="84" a="1"/>
  <c r="M136" i="84" s="1"/>
  <c r="M128" i="84" a="1"/>
  <c r="M128" i="84" s="1"/>
  <c r="M107" i="84" a="1"/>
  <c r="M107" i="84" s="1"/>
  <c r="M101" i="84" a="1"/>
  <c r="M101" i="84" s="1"/>
  <c r="M115" i="84" a="1"/>
  <c r="M115" i="84" s="1"/>
  <c r="M83" i="84" a="1"/>
  <c r="M83" i="84" s="1"/>
  <c r="M133" i="84" a="1"/>
  <c r="M133" i="84" s="1"/>
  <c r="M164" i="84"/>
  <c r="M192" i="84" a="1"/>
  <c r="M192" i="84" s="1"/>
  <c r="M137" i="84" a="1"/>
  <c r="M137" i="84" s="1"/>
  <c r="M39" i="84"/>
  <c r="M99" i="84" a="1"/>
  <c r="M99" i="84" s="1"/>
  <c r="M121" i="84" a="1"/>
  <c r="M121" i="84" s="1"/>
  <c r="M108" i="84" a="1"/>
  <c r="M108" i="84" s="1"/>
  <c r="M38" i="84"/>
  <c r="M131" i="84" a="1"/>
  <c r="M131" i="84" s="1"/>
  <c r="M134" i="84" a="1"/>
  <c r="M134" i="84" s="1"/>
  <c r="M132" i="84" a="1"/>
  <c r="M132" i="84" s="1"/>
  <c r="M185" i="84" a="1"/>
  <c r="M185" i="84" s="1"/>
  <c r="M100" i="84" a="1"/>
  <c r="M100" i="84" s="1"/>
  <c r="M97" i="84" a="1"/>
  <c r="M97" i="84" s="1"/>
  <c r="M82" i="84" a="1"/>
  <c r="M82" i="84" s="1"/>
  <c r="M27" i="84"/>
  <c r="M96" i="84" a="1"/>
  <c r="M96" i="84" s="1"/>
  <c r="M81" i="84" a="1"/>
  <c r="M81" i="84" s="1"/>
  <c r="M138" i="84" a="1"/>
  <c r="M138" i="84" s="1"/>
  <c r="M135" i="84" a="1"/>
  <c r="M135" i="84" s="1"/>
  <c r="M32" i="84"/>
  <c r="M95" i="84" a="1"/>
  <c r="M95" i="84" s="1"/>
  <c r="M106" i="84" a="1"/>
  <c r="M106" i="84" s="1"/>
  <c r="M55" i="84"/>
  <c r="M37" i="84"/>
  <c r="M53" i="84"/>
  <c r="V6" i="84"/>
  <c r="V3" i="84" s="1" a="1"/>
  <c r="V3" i="84" s="1"/>
  <c r="V10" i="84" s="1"/>
  <c r="V2" i="84"/>
  <c r="U10" i="84"/>
  <c r="U9" i="84"/>
  <c r="U11" i="84"/>
  <c r="D246" i="79"/>
  <c r="F247" i="79"/>
  <c r="BQ7" i="38"/>
  <c r="BT5" i="8"/>
  <c r="BE2" i="46"/>
  <c r="BF11" i="29"/>
  <c r="BF39" i="29" s="1"/>
  <c r="F44" i="61"/>
  <c r="H44" i="61"/>
  <c r="BP39" i="38"/>
  <c r="BP79" i="38"/>
  <c r="H42" i="47"/>
  <c r="T42" i="60"/>
  <c r="D42" i="68"/>
  <c r="D42" i="62"/>
  <c r="F42" i="36"/>
  <c r="D42" i="61"/>
  <c r="H42" i="36"/>
  <c r="D42" i="70"/>
  <c r="P23" i="81"/>
  <c r="W4" i="84"/>
  <c r="N51" i="81"/>
  <c r="F44" i="70"/>
  <c r="H44" i="70"/>
  <c r="F21" i="79"/>
  <c r="D20" i="79"/>
  <c r="F44" i="62"/>
  <c r="H44" i="62"/>
  <c r="BP49" i="38"/>
  <c r="U23" i="82"/>
  <c r="Z8" i="84"/>
  <c r="Z7" i="84"/>
  <c r="BD14" i="46"/>
  <c r="BD25" i="46" s="1"/>
  <c r="BD36" i="46"/>
  <c r="F44" i="68"/>
  <c r="H44" i="68"/>
  <c r="H8" i="38"/>
  <c r="H6" i="15"/>
  <c r="K6" i="8"/>
  <c r="T56" i="60"/>
  <c r="H56" i="47"/>
  <c r="D56" i="68"/>
  <c r="D56" i="61"/>
  <c r="H56" i="36"/>
  <c r="D56" i="70"/>
  <c r="D56" i="62"/>
  <c r="F56" i="36"/>
  <c r="D53" i="68"/>
  <c r="D53" i="62"/>
  <c r="H53" i="47"/>
  <c r="D53" i="70"/>
  <c r="T53" i="60"/>
  <c r="F53" i="36"/>
  <c r="D53" i="61"/>
  <c r="H53" i="36"/>
  <c r="G21" i="38"/>
  <c r="G40" i="38"/>
  <c r="L115" i="1" l="1"/>
  <c r="M126" i="84" s="1" a="1"/>
  <c r="M126" i="84" s="1"/>
  <c r="L115" i="53"/>
  <c r="T115" i="53" s="1"/>
  <c r="V115" i="53" s="1"/>
  <c r="M58" i="81"/>
  <c r="N58" i="81" s="1"/>
  <c r="L114" i="53"/>
  <c r="T114" i="53" s="1"/>
  <c r="V114" i="53" s="1"/>
  <c r="D50" i="36"/>
  <c r="D50" i="62" s="1"/>
  <c r="F50" i="62" s="1"/>
  <c r="R60" i="82"/>
  <c r="M57" i="81"/>
  <c r="N57" i="81" s="1"/>
  <c r="D49" i="70"/>
  <c r="F49" i="70" s="1"/>
  <c r="D49" i="68"/>
  <c r="F49" i="68" s="1"/>
  <c r="T49" i="60"/>
  <c r="D49" i="86"/>
  <c r="F49" i="86" s="1"/>
  <c r="F49" i="36"/>
  <c r="H49" i="47"/>
  <c r="D49" i="62"/>
  <c r="F49" i="62" s="1"/>
  <c r="H49" i="36"/>
  <c r="D49" i="89"/>
  <c r="F49" i="89" s="1"/>
  <c r="D49" i="88"/>
  <c r="H49" i="88" s="1"/>
  <c r="D49" i="61"/>
  <c r="H49" i="61" s="1"/>
  <c r="D49" i="87"/>
  <c r="H49" i="87" s="1"/>
  <c r="F56" i="88"/>
  <c r="F42" i="88"/>
  <c r="D54" i="88"/>
  <c r="H54" i="88" s="1"/>
  <c r="D54" i="89"/>
  <c r="F53" i="89"/>
  <c r="H53" i="89"/>
  <c r="H42" i="89"/>
  <c r="F42" i="89"/>
  <c r="H53" i="88"/>
  <c r="H56" i="89"/>
  <c r="F56" i="89"/>
  <c r="D55" i="88"/>
  <c r="F55" i="88" s="1"/>
  <c r="D55" i="89"/>
  <c r="T115" i="1"/>
  <c r="V115" i="1" s="1"/>
  <c r="F56" i="87"/>
  <c r="F42" i="87"/>
  <c r="H53" i="87"/>
  <c r="F49" i="85"/>
  <c r="D55" i="68"/>
  <c r="H55" i="68" s="1"/>
  <c r="D55" i="87"/>
  <c r="H54" i="47"/>
  <c r="D54" i="87"/>
  <c r="CC46" i="38"/>
  <c r="D54" i="70"/>
  <c r="H54" i="70" s="1"/>
  <c r="F54" i="36"/>
  <c r="D54" i="62"/>
  <c r="F54" i="62" s="1"/>
  <c r="D55" i="85"/>
  <c r="H55" i="85" s="1"/>
  <c r="H54" i="36"/>
  <c r="D54" i="86"/>
  <c r="F54" i="86" s="1"/>
  <c r="D54" i="61"/>
  <c r="F54" i="61" s="1"/>
  <c r="D54" i="85"/>
  <c r="F54" i="85" s="1"/>
  <c r="T54" i="60"/>
  <c r="D54" i="68"/>
  <c r="F54" i="68" s="1"/>
  <c r="H55" i="36"/>
  <c r="F55" i="36"/>
  <c r="D55" i="61"/>
  <c r="H55" i="61" s="1"/>
  <c r="T55" i="60"/>
  <c r="D55" i="70"/>
  <c r="H55" i="70" s="1"/>
  <c r="D55" i="86"/>
  <c r="H55" i="86" s="1"/>
  <c r="D55" i="62"/>
  <c r="H55" i="62" s="1"/>
  <c r="H55" i="47"/>
  <c r="F42" i="85"/>
  <c r="H56" i="85"/>
  <c r="F53" i="86"/>
  <c r="H53" i="86"/>
  <c r="H56" i="86"/>
  <c r="F56" i="86"/>
  <c r="H53" i="85"/>
  <c r="H42" i="86"/>
  <c r="F42" i="86"/>
  <c r="O2" i="84"/>
  <c r="N151" i="84" a="1"/>
  <c r="N151" i="84" s="1"/>
  <c r="N152" i="84" a="1"/>
  <c r="N152" i="84" s="1"/>
  <c r="N150" i="84" a="1"/>
  <c r="N150" i="84" s="1"/>
  <c r="N27" i="84"/>
  <c r="N192" i="84" a="1"/>
  <c r="N192" i="84" s="1"/>
  <c r="N128" i="84" a="1"/>
  <c r="N128" i="84" s="1"/>
  <c r="N96" i="84" a="1"/>
  <c r="N96" i="84" s="1"/>
  <c r="N100" i="84" a="1"/>
  <c r="N100" i="84" s="1"/>
  <c r="N37" i="84"/>
  <c r="N32" i="84"/>
  <c r="N149" i="84" a="1"/>
  <c r="N149" i="84" s="1"/>
  <c r="N136" i="84" a="1"/>
  <c r="N136" i="84" s="1"/>
  <c r="N99" i="84" a="1"/>
  <c r="N99" i="84" s="1"/>
  <c r="N55" i="84"/>
  <c r="N131" i="84" a="1"/>
  <c r="N131" i="84" s="1"/>
  <c r="N123" i="84" a="1"/>
  <c r="N123" i="84" s="1"/>
  <c r="N39" i="84"/>
  <c r="N132" i="84" a="1"/>
  <c r="N132" i="84" s="1"/>
  <c r="N38" i="84"/>
  <c r="N134" i="84" a="1"/>
  <c r="N134" i="84" s="1"/>
  <c r="N53" i="84"/>
  <c r="V11" i="84"/>
  <c r="V9" i="84"/>
  <c r="V12" i="84" s="1"/>
  <c r="U12" i="84"/>
  <c r="H21" i="38"/>
  <c r="H40" i="38"/>
  <c r="U28" i="82"/>
  <c r="U30" i="82" s="1"/>
  <c r="H42" i="61"/>
  <c r="F42" i="61"/>
  <c r="F53" i="70"/>
  <c r="H53" i="70"/>
  <c r="F56" i="61"/>
  <c r="H56" i="61"/>
  <c r="AA7" i="84"/>
  <c r="AA8" i="84"/>
  <c r="BR7" i="38"/>
  <c r="BU5" i="8"/>
  <c r="BF2" i="46"/>
  <c r="BG11" i="29"/>
  <c r="BG39" i="29" s="1"/>
  <c r="F56" i="68"/>
  <c r="H56" i="68"/>
  <c r="BQ49" i="38"/>
  <c r="F22" i="79"/>
  <c r="D21" i="79"/>
  <c r="W2" i="84"/>
  <c r="W5" i="84"/>
  <c r="W6" i="84"/>
  <c r="W3" i="84" s="1" a="1"/>
  <c r="W3" i="84" s="1"/>
  <c r="F42" i="62"/>
  <c r="H42" i="62"/>
  <c r="BQ39" i="38"/>
  <c r="BQ79" i="38"/>
  <c r="F53" i="62"/>
  <c r="H53" i="62"/>
  <c r="F42" i="68"/>
  <c r="H42" i="68"/>
  <c r="F53" i="68"/>
  <c r="H53" i="68"/>
  <c r="F53" i="61"/>
  <c r="H53" i="61"/>
  <c r="H56" i="62"/>
  <c r="F56" i="62"/>
  <c r="F42" i="70"/>
  <c r="H42" i="70"/>
  <c r="F248" i="79"/>
  <c r="D247" i="79"/>
  <c r="F56" i="70"/>
  <c r="H56" i="70"/>
  <c r="I8" i="38"/>
  <c r="I6" i="15"/>
  <c r="L6" i="8"/>
  <c r="BE14" i="46"/>
  <c r="BE25" i="46" s="1"/>
  <c r="BE36" i="46"/>
  <c r="N106" i="84" a="1"/>
  <c r="N121" i="84" a="1"/>
  <c r="N97" i="84" a="1"/>
  <c r="N98" i="84" a="1"/>
  <c r="N115" i="84" a="1"/>
  <c r="N82" i="84" a="1"/>
  <c r="N129" i="84" a="1"/>
  <c r="N108" i="84" a="1"/>
  <c r="N101" i="84" a="1"/>
  <c r="N95" i="84" a="1"/>
  <c r="N83" i="84" a="1"/>
  <c r="N130" i="84" a="1"/>
  <c r="N137" i="84" a="1"/>
  <c r="N81" i="84" a="1"/>
  <c r="N135" i="84" a="1"/>
  <c r="N138" i="84" a="1"/>
  <c r="N138" i="84" l="1"/>
  <c r="N135" i="84"/>
  <c r="N81" i="84"/>
  <c r="N137" i="84"/>
  <c r="N130" i="84"/>
  <c r="N83" i="84"/>
  <c r="N95" i="84"/>
  <c r="N101" i="84"/>
  <c r="N108" i="84"/>
  <c r="N129" i="84"/>
  <c r="N82" i="84"/>
  <c r="N115" i="84"/>
  <c r="N98" i="84"/>
  <c r="N97" i="84"/>
  <c r="N121" i="84"/>
  <c r="N106" i="84"/>
  <c r="L112" i="53"/>
  <c r="T112" i="53" s="1"/>
  <c r="V112" i="53" s="1"/>
  <c r="D50" i="68"/>
  <c r="F50" i="68" s="1"/>
  <c r="D50" i="89"/>
  <c r="H50" i="89" s="1"/>
  <c r="H50" i="36"/>
  <c r="H49" i="70"/>
  <c r="D50" i="86"/>
  <c r="H50" i="86" s="1"/>
  <c r="D50" i="85"/>
  <c r="H50" i="85" s="1"/>
  <c r="D50" i="88"/>
  <c r="H50" i="88" s="1"/>
  <c r="D50" i="70"/>
  <c r="F50" i="70" s="1"/>
  <c r="T50" i="60"/>
  <c r="D50" i="61"/>
  <c r="H50" i="61" s="1"/>
  <c r="F50" i="36"/>
  <c r="D50" i="87"/>
  <c r="H50" i="87" s="1"/>
  <c r="H50" i="47"/>
  <c r="H49" i="68"/>
  <c r="H49" i="89"/>
  <c r="F49" i="61"/>
  <c r="H49" i="62"/>
  <c r="H49" i="86"/>
  <c r="F49" i="87"/>
  <c r="F49" i="88"/>
  <c r="F54" i="88"/>
  <c r="H55" i="88"/>
  <c r="H55" i="89"/>
  <c r="F55" i="89"/>
  <c r="H54" i="89"/>
  <c r="F54" i="89"/>
  <c r="R58" i="82"/>
  <c r="M55" i="81"/>
  <c r="N55" i="81" s="1"/>
  <c r="D47" i="36"/>
  <c r="F55" i="68"/>
  <c r="H50" i="62"/>
  <c r="H55" i="87"/>
  <c r="F55" i="87"/>
  <c r="H54" i="87"/>
  <c r="F54" i="87"/>
  <c r="F54" i="70"/>
  <c r="H54" i="62"/>
  <c r="CD46" i="38"/>
  <c r="F55" i="85"/>
  <c r="F55" i="61"/>
  <c r="H54" i="85"/>
  <c r="H54" i="68"/>
  <c r="H54" i="86"/>
  <c r="F55" i="70"/>
  <c r="H54" i="61"/>
  <c r="F55" i="62"/>
  <c r="F55" i="86"/>
  <c r="P2" i="84"/>
  <c r="O153" i="84" a="1"/>
  <c r="O153" i="84" s="1"/>
  <c r="O161" i="84"/>
  <c r="O151" i="84" a="1"/>
  <c r="O151" i="84" s="1"/>
  <c r="O78" i="84" a="1"/>
  <c r="O78" i="84" s="1"/>
  <c r="O52" i="84"/>
  <c r="O191" i="84" a="1"/>
  <c r="O191" i="84" s="1"/>
  <c r="O82" i="84" a="1"/>
  <c r="O82" i="84" s="1"/>
  <c r="O114" i="84" a="1"/>
  <c r="O114" i="84" s="1"/>
  <c r="O171" i="84" a="1"/>
  <c r="O171" i="84" s="1"/>
  <c r="O192" i="84" a="1"/>
  <c r="O192" i="84" s="1"/>
  <c r="O149" i="84" a="1"/>
  <c r="O149" i="84" s="1"/>
  <c r="O95" i="84" a="1"/>
  <c r="O95" i="84" s="1"/>
  <c r="O43" i="84"/>
  <c r="O44" i="84" s="1"/>
  <c r="O112" i="84"/>
  <c r="O79" i="84" a="1"/>
  <c r="O79" i="84" s="1"/>
  <c r="O150" i="84" a="1"/>
  <c r="O150" i="84" s="1"/>
  <c r="O120" i="84" a="1"/>
  <c r="O120" i="84" s="1"/>
  <c r="O170" i="84"/>
  <c r="O125" i="84" a="1"/>
  <c r="O125" i="84" s="1"/>
  <c r="O189" i="84" a="1"/>
  <c r="O189" i="84" s="1"/>
  <c r="O92" i="84"/>
  <c r="O173" i="84" a="1"/>
  <c r="O173" i="84" s="1"/>
  <c r="O59" i="84"/>
  <c r="O164" i="84"/>
  <c r="O129" i="84" a="1"/>
  <c r="O129" i="84" s="1"/>
  <c r="O119" i="84"/>
  <c r="O101" i="84" a="1"/>
  <c r="O101" i="84" s="1"/>
  <c r="O127" i="84" a="1"/>
  <c r="O127" i="84" s="1"/>
  <c r="O185" i="84" a="1"/>
  <c r="O185" i="84" s="1"/>
  <c r="O174" i="84" a="1"/>
  <c r="O174" i="84" s="1"/>
  <c r="O184" i="84" a="1"/>
  <c r="O184" i="84" s="1"/>
  <c r="O137" i="84" a="1"/>
  <c r="O137" i="84" s="1"/>
  <c r="O183" i="84" a="1"/>
  <c r="O183" i="84" s="1"/>
  <c r="O176" i="84" a="1"/>
  <c r="O176" i="84" s="1"/>
  <c r="O180" i="84" a="1"/>
  <c r="O180" i="84" s="1"/>
  <c r="O122" i="84" a="1"/>
  <c r="O122" i="84" s="1"/>
  <c r="O99" i="84" a="1"/>
  <c r="O99" i="84" s="1"/>
  <c r="O172" i="84" a="1"/>
  <c r="O172" i="84" s="1"/>
  <c r="O136" i="84" a="1"/>
  <c r="O136" i="84" s="1"/>
  <c r="O182" i="84" a="1"/>
  <c r="O182" i="84" s="1"/>
  <c r="O123" i="84" a="1"/>
  <c r="O123" i="84" s="1"/>
  <c r="O181" i="84" a="1"/>
  <c r="O181" i="84" s="1"/>
  <c r="O128" i="84" a="1"/>
  <c r="O128" i="84" s="1"/>
  <c r="O190" i="84" a="1"/>
  <c r="O190" i="84" s="1"/>
  <c r="O107" i="84" a="1"/>
  <c r="O107" i="84" s="1"/>
  <c r="O132" i="84" a="1"/>
  <c r="O132" i="84" s="1"/>
  <c r="O97" i="84" a="1"/>
  <c r="O97" i="84" s="1"/>
  <c r="O142" i="84"/>
  <c r="O143" i="84" s="1"/>
  <c r="O93" i="84" a="1"/>
  <c r="O93" i="84" s="1"/>
  <c r="O38" i="84"/>
  <c r="O96" i="84" a="1"/>
  <c r="O96" i="84" s="1"/>
  <c r="O81" i="84" a="1"/>
  <c r="O81" i="84" s="1"/>
  <c r="O98" i="84" a="1"/>
  <c r="O98" i="84" s="1"/>
  <c r="O83" i="84" a="1"/>
  <c r="O83" i="84" s="1"/>
  <c r="O67" i="84" a="1"/>
  <c r="O67" i="84" s="1"/>
  <c r="O63" i="84" a="1"/>
  <c r="O63" i="84" s="1"/>
  <c r="O48" i="84"/>
  <c r="O27" i="84"/>
  <c r="O135" i="84" a="1"/>
  <c r="O135" i="84" s="1"/>
  <c r="O121" i="84" a="1"/>
  <c r="O121" i="84" s="1"/>
  <c r="O163" i="84"/>
  <c r="O152" i="84" a="1"/>
  <c r="O152" i="84" s="1"/>
  <c r="O130" i="84" a="1"/>
  <c r="O130" i="84" s="1"/>
  <c r="O162" i="84"/>
  <c r="O88" i="84" a="1"/>
  <c r="O88" i="84" s="1"/>
  <c r="O108" i="84" a="1"/>
  <c r="O108" i="84" s="1"/>
  <c r="O94" i="84" a="1"/>
  <c r="O94" i="84" s="1"/>
  <c r="O37" i="84"/>
  <c r="O53" i="84"/>
  <c r="O70" i="84" a="1"/>
  <c r="O70" i="84" s="1"/>
  <c r="O66" i="84" a="1"/>
  <c r="O66" i="84" s="1"/>
  <c r="O62" i="84" a="1"/>
  <c r="O62" i="84" s="1"/>
  <c r="O25" i="84"/>
  <c r="O32" i="84"/>
  <c r="O113" i="84" a="1"/>
  <c r="O113" i="84" s="1"/>
  <c r="O31" i="84"/>
  <c r="O105" i="84"/>
  <c r="O106" i="84" a="1"/>
  <c r="O106" i="84" s="1"/>
  <c r="O87" i="84"/>
  <c r="O80" i="84" a="1"/>
  <c r="O80" i="84" s="1"/>
  <c r="O115" i="84" a="1"/>
  <c r="O115" i="84" s="1"/>
  <c r="O175" i="84" a="1"/>
  <c r="O175" i="84" s="1"/>
  <c r="O131" i="84" a="1"/>
  <c r="O131" i="84" s="1"/>
  <c r="O55" i="84"/>
  <c r="O134" i="84" a="1"/>
  <c r="O134" i="84" s="1"/>
  <c r="O133" i="84" a="1"/>
  <c r="O133" i="84" s="1"/>
  <c r="O36" i="84"/>
  <c r="O65" i="84" a="1"/>
  <c r="O65" i="84" s="1"/>
  <c r="O60" i="84" a="1"/>
  <c r="O60" i="84" s="1"/>
  <c r="O39" i="84"/>
  <c r="O126" i="84" a="1"/>
  <c r="O126" i="84" s="1"/>
  <c r="O77" i="84"/>
  <c r="O124" i="84" a="1"/>
  <c r="O124" i="84" s="1"/>
  <c r="O100" i="84" a="1"/>
  <c r="O100" i="84" s="1"/>
  <c r="O69" i="84" a="1"/>
  <c r="O69" i="84" s="1"/>
  <c r="O64" i="84" a="1"/>
  <c r="O64" i="84" s="1"/>
  <c r="O26" i="84"/>
  <c r="O138" i="84" a="1"/>
  <c r="O138" i="84" s="1"/>
  <c r="O68" i="84" a="1"/>
  <c r="O68" i="84" s="1"/>
  <c r="O47" i="84"/>
  <c r="O61" i="84" a="1"/>
  <c r="O61" i="84" s="1"/>
  <c r="N155" i="84"/>
  <c r="BR49" i="38"/>
  <c r="BS7" i="38"/>
  <c r="BV5" i="8"/>
  <c r="BH11" i="29"/>
  <c r="BH39" i="29" s="1"/>
  <c r="BG2" i="46"/>
  <c r="J8" i="38"/>
  <c r="J6" i="15"/>
  <c r="M6" i="8"/>
  <c r="BR39" i="38"/>
  <c r="BR79" i="38"/>
  <c r="I21" i="38"/>
  <c r="I40" i="38"/>
  <c r="D248" i="79"/>
  <c r="F249" i="79"/>
  <c r="F23" i="79"/>
  <c r="D22" i="79"/>
  <c r="W11" i="84"/>
  <c r="W9" i="84"/>
  <c r="W10" i="84"/>
  <c r="BF14" i="46"/>
  <c r="BF25" i="46" s="1"/>
  <c r="BF36" i="46"/>
  <c r="X4" i="84"/>
  <c r="AB8" i="84"/>
  <c r="AB7" i="84"/>
  <c r="N126" i="84" a="1"/>
  <c r="N126" i="84" l="1"/>
  <c r="H50" i="68"/>
  <c r="F50" i="89"/>
  <c r="F50" i="86"/>
  <c r="F50" i="85"/>
  <c r="H50" i="70"/>
  <c r="F50" i="88"/>
  <c r="F50" i="61"/>
  <c r="F50" i="87"/>
  <c r="D47" i="88"/>
  <c r="H47" i="88" s="1"/>
  <c r="D47" i="89"/>
  <c r="H47" i="47"/>
  <c r="D47" i="70"/>
  <c r="D47" i="87"/>
  <c r="D47" i="62"/>
  <c r="D47" i="61"/>
  <c r="T47" i="60"/>
  <c r="D47" i="68"/>
  <c r="F47" i="36"/>
  <c r="D47" i="85"/>
  <c r="H47" i="36"/>
  <c r="D47" i="86"/>
  <c r="CE46" i="38"/>
  <c r="O33" i="84"/>
  <c r="O177" i="84"/>
  <c r="O40" i="84"/>
  <c r="O109" i="84"/>
  <c r="O102" i="84"/>
  <c r="O56" i="84"/>
  <c r="O49" i="84"/>
  <c r="O84" i="84"/>
  <c r="O155" i="84"/>
  <c r="O139" i="84"/>
  <c r="O165" i="84"/>
  <c r="O186" i="84"/>
  <c r="O28" i="84"/>
  <c r="O89" i="84"/>
  <c r="O71" i="84"/>
  <c r="Q2" i="84"/>
  <c r="P161" i="84"/>
  <c r="P162" i="84"/>
  <c r="P107" i="84" a="1"/>
  <c r="P107" i="84" s="1"/>
  <c r="P81" i="84" a="1"/>
  <c r="P81" i="84" s="1"/>
  <c r="P53" i="84"/>
  <c r="P138" i="84" a="1"/>
  <c r="P138" i="84" s="1"/>
  <c r="P150" i="84" a="1"/>
  <c r="P150" i="84" s="1"/>
  <c r="P123" i="84" a="1"/>
  <c r="P123" i="84" s="1"/>
  <c r="P132" i="84" a="1"/>
  <c r="P132" i="84" s="1"/>
  <c r="P176" i="84" a="1"/>
  <c r="P176" i="84" s="1"/>
  <c r="P38" i="84"/>
  <c r="P60" i="84" a="1"/>
  <c r="P60" i="84" s="1"/>
  <c r="P67" i="84" a="1"/>
  <c r="P67" i="84" s="1"/>
  <c r="P151" i="84" a="1"/>
  <c r="P151" i="84" s="1"/>
  <c r="P126" i="84" a="1"/>
  <c r="P126" i="84" s="1"/>
  <c r="P136" i="84" a="1"/>
  <c r="P136" i="84" s="1"/>
  <c r="P171" i="84" a="1"/>
  <c r="P171" i="84" s="1"/>
  <c r="P131" i="84" a="1"/>
  <c r="P131" i="84" s="1"/>
  <c r="P122" i="84" a="1"/>
  <c r="P122" i="84" s="1"/>
  <c r="P172" i="84" a="1"/>
  <c r="P172" i="84" s="1"/>
  <c r="P96" i="84" a="1"/>
  <c r="P96" i="84" s="1"/>
  <c r="P185" i="84" a="1"/>
  <c r="P185" i="84" s="1"/>
  <c r="P88" i="84" a="1"/>
  <c r="P88" i="84" s="1"/>
  <c r="P94" i="84" a="1"/>
  <c r="P94" i="84" s="1"/>
  <c r="P130" i="84" a="1"/>
  <c r="P130" i="84" s="1"/>
  <c r="P100" i="84" a="1"/>
  <c r="P100" i="84" s="1"/>
  <c r="P120" i="84" a="1"/>
  <c r="P120" i="84" s="1"/>
  <c r="P105" i="84"/>
  <c r="P114" i="84" a="1"/>
  <c r="P114" i="84" s="1"/>
  <c r="P52" i="84"/>
  <c r="P119" i="84"/>
  <c r="P101" i="84" a="1"/>
  <c r="P101" i="84" s="1"/>
  <c r="P182" i="84" a="1"/>
  <c r="P182" i="84" s="1"/>
  <c r="P152" i="84" a="1"/>
  <c r="P152" i="84" s="1"/>
  <c r="P129" i="84" a="1"/>
  <c r="P129" i="84" s="1"/>
  <c r="P80" i="84" a="1"/>
  <c r="P80" i="84" s="1"/>
  <c r="P175" i="84" a="1"/>
  <c r="P175" i="84" s="1"/>
  <c r="P192" i="84" a="1"/>
  <c r="P192" i="84" s="1"/>
  <c r="P163" i="84"/>
  <c r="P115" i="84" a="1"/>
  <c r="P115" i="84" s="1"/>
  <c r="P181" i="84" a="1"/>
  <c r="P181" i="84" s="1"/>
  <c r="P134" i="84" a="1"/>
  <c r="P134" i="84" s="1"/>
  <c r="P61" i="84" a="1"/>
  <c r="P61" i="84" s="1"/>
  <c r="P98" i="84" a="1"/>
  <c r="P98" i="84" s="1"/>
  <c r="P59" i="84"/>
  <c r="P170" i="84"/>
  <c r="P77" i="84"/>
  <c r="P173" i="84" a="1"/>
  <c r="P173" i="84" s="1"/>
  <c r="P108" i="84" a="1"/>
  <c r="P108" i="84" s="1"/>
  <c r="P191" i="84" a="1"/>
  <c r="P191" i="84" s="1"/>
  <c r="P128" i="84" a="1"/>
  <c r="P128" i="84" s="1"/>
  <c r="P133" i="84" a="1"/>
  <c r="P133" i="84" s="1"/>
  <c r="P124" i="84" a="1"/>
  <c r="P124" i="84" s="1"/>
  <c r="P99" i="84" a="1"/>
  <c r="P99" i="84" s="1"/>
  <c r="P149" i="84" a="1"/>
  <c r="P149" i="84" s="1"/>
  <c r="P66" i="84" a="1"/>
  <c r="P66" i="84" s="1"/>
  <c r="P97" i="84" a="1"/>
  <c r="P97" i="84" s="1"/>
  <c r="P82" i="84" a="1"/>
  <c r="P82" i="84" s="1"/>
  <c r="P174" i="84" a="1"/>
  <c r="P174" i="84" s="1"/>
  <c r="P135" i="84" a="1"/>
  <c r="P135" i="84" s="1"/>
  <c r="P39" i="84"/>
  <c r="P127" i="84" a="1"/>
  <c r="P127" i="84" s="1"/>
  <c r="P37" i="84"/>
  <c r="P87" i="84"/>
  <c r="P78" i="84" a="1"/>
  <c r="P78" i="84" s="1"/>
  <c r="P125" i="84" a="1"/>
  <c r="P125" i="84" s="1"/>
  <c r="P64" i="84" a="1"/>
  <c r="P64" i="84" s="1"/>
  <c r="P142" i="84"/>
  <c r="P143" i="84" s="1"/>
  <c r="P137" i="84" a="1"/>
  <c r="P137" i="84" s="1"/>
  <c r="P189" i="84" a="1"/>
  <c r="P189" i="84" s="1"/>
  <c r="P113" i="84" a="1"/>
  <c r="P113" i="84" s="1"/>
  <c r="P65" i="84" a="1"/>
  <c r="P65" i="84" s="1"/>
  <c r="P79" i="84" a="1"/>
  <c r="P79" i="84" s="1"/>
  <c r="P31" i="84"/>
  <c r="P26" i="84"/>
  <c r="P183" i="84" a="1"/>
  <c r="P183" i="84" s="1"/>
  <c r="P190" i="84" a="1"/>
  <c r="P190" i="84" s="1"/>
  <c r="P93" i="84" a="1"/>
  <c r="P93" i="84" s="1"/>
  <c r="P63" i="84" a="1"/>
  <c r="P63" i="84" s="1"/>
  <c r="P164" i="84"/>
  <c r="P106" i="84" a="1"/>
  <c r="P106" i="84" s="1"/>
  <c r="P184" i="84" a="1"/>
  <c r="P184" i="84" s="1"/>
  <c r="P112" i="84"/>
  <c r="P92" i="84"/>
  <c r="P36" i="84"/>
  <c r="P27" i="84"/>
  <c r="P180" i="84" a="1"/>
  <c r="P180" i="84" s="1"/>
  <c r="P68" i="84" a="1"/>
  <c r="P68" i="84" s="1"/>
  <c r="P62" i="84" a="1"/>
  <c r="P62" i="84" s="1"/>
  <c r="P25" i="84"/>
  <c r="P121" i="84" a="1"/>
  <c r="P121" i="84" s="1"/>
  <c r="P69" i="84" a="1"/>
  <c r="P69" i="84" s="1"/>
  <c r="P43" i="84"/>
  <c r="P44" i="84" s="1"/>
  <c r="P32" i="84"/>
  <c r="P83" i="84" a="1"/>
  <c r="P83" i="84" s="1"/>
  <c r="P153" i="84" a="1"/>
  <c r="P153" i="84" s="1"/>
  <c r="P95" i="84" a="1"/>
  <c r="P95" i="84" s="1"/>
  <c r="P55" i="84"/>
  <c r="P70" i="84" a="1"/>
  <c r="P70" i="84" s="1"/>
  <c r="P48" i="84"/>
  <c r="P47" i="84"/>
  <c r="O116" i="84"/>
  <c r="W12" i="84"/>
  <c r="F24" i="79"/>
  <c r="D23" i="79"/>
  <c r="F250" i="79"/>
  <c r="D249" i="79"/>
  <c r="BT7" i="38"/>
  <c r="BT5" i="15"/>
  <c r="BW5" i="8"/>
  <c r="BI11" i="29"/>
  <c r="BI39" i="29" s="1"/>
  <c r="BH2" i="46"/>
  <c r="BS79" i="38"/>
  <c r="BS39" i="38"/>
  <c r="AC8" i="84"/>
  <c r="AC7" i="84"/>
  <c r="X5" i="84"/>
  <c r="X2" i="84"/>
  <c r="X6" i="84"/>
  <c r="X3" i="84" s="1" a="1"/>
  <c r="X3" i="84" s="1"/>
  <c r="K6" i="15"/>
  <c r="K8" i="38"/>
  <c r="N6" i="8"/>
  <c r="J21" i="38"/>
  <c r="J40" i="38"/>
  <c r="BG14" i="46"/>
  <c r="BG25" i="46" s="1"/>
  <c r="BG36" i="46"/>
  <c r="BS49" i="38"/>
  <c r="F47" i="88" l="1"/>
  <c r="H47" i="89"/>
  <c r="F47" i="89"/>
  <c r="H47" i="68"/>
  <c r="F47" i="68"/>
  <c r="F47" i="61"/>
  <c r="H47" i="61"/>
  <c r="F47" i="62"/>
  <c r="H47" i="62"/>
  <c r="H47" i="86"/>
  <c r="F47" i="86"/>
  <c r="F47" i="87"/>
  <c r="H47" i="87"/>
  <c r="H47" i="70"/>
  <c r="F47" i="70"/>
  <c r="H47" i="85"/>
  <c r="F47" i="85"/>
  <c r="CF46" i="38"/>
  <c r="P56" i="84"/>
  <c r="P139" i="84"/>
  <c r="P155" i="84"/>
  <c r="P177" i="84"/>
  <c r="P102" i="84"/>
  <c r="P116" i="84"/>
  <c r="P84" i="84"/>
  <c r="P109" i="84"/>
  <c r="P28" i="84"/>
  <c r="P33" i="84"/>
  <c r="P165" i="84"/>
  <c r="P89" i="84"/>
  <c r="P186" i="84"/>
  <c r="Q43" i="84"/>
  <c r="Q44" i="84" s="1"/>
  <c r="Q135" i="84" a="1"/>
  <c r="Q135" i="84" s="1"/>
  <c r="Q184" i="84" a="1"/>
  <c r="Q184" i="84" s="1"/>
  <c r="Q172" i="84" a="1"/>
  <c r="Q172" i="84" s="1"/>
  <c r="Q97" i="84" a="1"/>
  <c r="Q97" i="84" s="1"/>
  <c r="Q55" i="84"/>
  <c r="Q114" i="84" a="1"/>
  <c r="Q114" i="84" s="1"/>
  <c r="Q82" i="84" a="1"/>
  <c r="Q82" i="84" s="1"/>
  <c r="Q108" i="84" a="1"/>
  <c r="Q108" i="84" s="1"/>
  <c r="Q191" i="84" a="1"/>
  <c r="Q191" i="84" s="1"/>
  <c r="Q127" i="84" a="1"/>
  <c r="Q127" i="84" s="1"/>
  <c r="Q122" i="84" a="1"/>
  <c r="Q122" i="84" s="1"/>
  <c r="Q107" i="84" a="1"/>
  <c r="Q107" i="84" s="1"/>
  <c r="Q94" i="84" a="1"/>
  <c r="Q94" i="84" s="1"/>
  <c r="Q106" i="84" a="1"/>
  <c r="Q106" i="84" s="1"/>
  <c r="Q62" i="84" a="1"/>
  <c r="Q62" i="84" s="1"/>
  <c r="Q136" i="84" a="1"/>
  <c r="Q136" i="84" s="1"/>
  <c r="Q170" i="84"/>
  <c r="Q138" i="84" a="1"/>
  <c r="Q138" i="84" s="1"/>
  <c r="Q131" i="84" a="1"/>
  <c r="Q131" i="84" s="1"/>
  <c r="Q176" i="84" a="1"/>
  <c r="Q176" i="84" s="1"/>
  <c r="Q164" i="84"/>
  <c r="Q36" i="84"/>
  <c r="Q182" i="84" a="1"/>
  <c r="Q182" i="84" s="1"/>
  <c r="Q70" i="84" a="1"/>
  <c r="Q70" i="84" s="1"/>
  <c r="Q69" i="84" a="1"/>
  <c r="Q69" i="84" s="1"/>
  <c r="Q99" i="84" a="1"/>
  <c r="Q99" i="84" s="1"/>
  <c r="Q59" i="84"/>
  <c r="Q137" i="84" a="1"/>
  <c r="Q137" i="84" s="1"/>
  <c r="Q153" i="84" a="1"/>
  <c r="Q153" i="84" s="1"/>
  <c r="Q174" i="84" a="1"/>
  <c r="Q174" i="84" s="1"/>
  <c r="Q132" i="84" a="1"/>
  <c r="Q132" i="84" s="1"/>
  <c r="Q142" i="84"/>
  <c r="Q143" i="84" s="1"/>
  <c r="Q180" i="84" a="1"/>
  <c r="Q180" i="84" s="1"/>
  <c r="Q129" i="84" a="1"/>
  <c r="Q129" i="84" s="1"/>
  <c r="Q101" i="84" a="1"/>
  <c r="Q101" i="84" s="1"/>
  <c r="Q150" i="84" a="1"/>
  <c r="Q150" i="84" s="1"/>
  <c r="Q77" i="84"/>
  <c r="Q80" i="84" a="1"/>
  <c r="Q80" i="84" s="1"/>
  <c r="Q60" i="84" a="1"/>
  <c r="Q60" i="84" s="1"/>
  <c r="Q183" i="84" a="1"/>
  <c r="Q183" i="84" s="1"/>
  <c r="Q189" i="84" a="1"/>
  <c r="Q189" i="84" s="1"/>
  <c r="Q161" i="84"/>
  <c r="Q130" i="84" a="1"/>
  <c r="Q130" i="84" s="1"/>
  <c r="Q64" i="84" a="1"/>
  <c r="Q64" i="84" s="1"/>
  <c r="Q112" i="84"/>
  <c r="Q52" i="84"/>
  <c r="Q88" i="84" a="1"/>
  <c r="Q88" i="84" s="1"/>
  <c r="Q53" i="84"/>
  <c r="Q79" i="84" a="1"/>
  <c r="Q79" i="84" s="1"/>
  <c r="Q126" i="84" a="1"/>
  <c r="Q126" i="84" s="1"/>
  <c r="Q39" i="84"/>
  <c r="Q87" i="84"/>
  <c r="Q25" i="84"/>
  <c r="Q119" i="84"/>
  <c r="Q149" i="84" a="1"/>
  <c r="Q149" i="84" s="1"/>
  <c r="Q125" i="84" a="1"/>
  <c r="Q125" i="84" s="1"/>
  <c r="Q190" i="84" a="1"/>
  <c r="Q190" i="84" s="1"/>
  <c r="Q171" i="84" a="1"/>
  <c r="Q171" i="84" s="1"/>
  <c r="Q38" i="84"/>
  <c r="Q68" i="84" a="1"/>
  <c r="Q68" i="84" s="1"/>
  <c r="Q93" i="84" a="1"/>
  <c r="Q93" i="84" s="1"/>
  <c r="Q113" i="84" a="1"/>
  <c r="Q113" i="84" s="1"/>
  <c r="Q37" i="84"/>
  <c r="Q181" i="84" a="1"/>
  <c r="Q181" i="84" s="1"/>
  <c r="Q175" i="84" a="1"/>
  <c r="Q175" i="84" s="1"/>
  <c r="Q95" i="84" a="1"/>
  <c r="Q95" i="84" s="1"/>
  <c r="Q162" i="84"/>
  <c r="Q78" i="84" a="1"/>
  <c r="Q78" i="84" s="1"/>
  <c r="Q151" i="84" a="1"/>
  <c r="Q151" i="84" s="1"/>
  <c r="Q63" i="84" a="1"/>
  <c r="Q63" i="84" s="1"/>
  <c r="Q133" i="84" a="1"/>
  <c r="Q133" i="84" s="1"/>
  <c r="Q124" i="84" a="1"/>
  <c r="Q124" i="84" s="1"/>
  <c r="Q31" i="84"/>
  <c r="Q192" i="84" a="1"/>
  <c r="Q192" i="84" s="1"/>
  <c r="Q128" i="84" a="1"/>
  <c r="Q128" i="84" s="1"/>
  <c r="Q123" i="84" a="1"/>
  <c r="Q123" i="84" s="1"/>
  <c r="Q96" i="84" a="1"/>
  <c r="Q96" i="84" s="1"/>
  <c r="Q61" i="84" a="1"/>
  <c r="Q61" i="84" s="1"/>
  <c r="Q115" i="84" a="1"/>
  <c r="Q115" i="84" s="1"/>
  <c r="Q173" i="84" a="1"/>
  <c r="Q173" i="84" s="1"/>
  <c r="Q92" i="84"/>
  <c r="Q66" i="84" a="1"/>
  <c r="Q66" i="84" s="1"/>
  <c r="Q32" i="84"/>
  <c r="Q152" i="84" a="1"/>
  <c r="Q152" i="84" s="1"/>
  <c r="Q83" i="84" a="1"/>
  <c r="Q83" i="84" s="1"/>
  <c r="Q120" i="84" a="1"/>
  <c r="Q120" i="84" s="1"/>
  <c r="Q27" i="84"/>
  <c r="Q26" i="84"/>
  <c r="Q134" i="84" a="1"/>
  <c r="Q134" i="84" s="1"/>
  <c r="Q47" i="84"/>
  <c r="Q81" i="84" a="1"/>
  <c r="Q81" i="84" s="1"/>
  <c r="Q100" i="84" a="1"/>
  <c r="Q100" i="84" s="1"/>
  <c r="Q67" i="84" a="1"/>
  <c r="Q67" i="84" s="1"/>
  <c r="Q48" i="84"/>
  <c r="Q163" i="84"/>
  <c r="Q98" i="84" a="1"/>
  <c r="Q98" i="84" s="1"/>
  <c r="Q105" i="84"/>
  <c r="Q185" i="84" a="1"/>
  <c r="Q185" i="84" s="1"/>
  <c r="Q121" i="84" a="1"/>
  <c r="Q121" i="84" s="1"/>
  <c r="Q65" i="84" a="1"/>
  <c r="Q65" i="84" s="1"/>
  <c r="P49" i="84"/>
  <c r="P40" i="84"/>
  <c r="P71" i="84"/>
  <c r="L8" i="38"/>
  <c r="L6" i="15"/>
  <c r="O6" i="8"/>
  <c r="BT49" i="38"/>
  <c r="D24" i="79"/>
  <c r="F25" i="79"/>
  <c r="AD7" i="84"/>
  <c r="AD8" i="84"/>
  <c r="BH36" i="46"/>
  <c r="BH14" i="46"/>
  <c r="BH25" i="46" s="1"/>
  <c r="Y4" i="84"/>
  <c r="X10" i="84"/>
  <c r="X9" i="84"/>
  <c r="X11" i="84"/>
  <c r="BU7" i="38"/>
  <c r="BX5" i="8"/>
  <c r="BU5" i="15"/>
  <c r="BJ11" i="29"/>
  <c r="BJ39" i="29" s="1"/>
  <c r="BI2" i="46"/>
  <c r="K21" i="38"/>
  <c r="K40" i="38"/>
  <c r="BT39" i="38"/>
  <c r="BT79" i="38"/>
  <c r="D250" i="79"/>
  <c r="F251" i="79"/>
  <c r="CG46" i="38" l="1"/>
  <c r="Q49" i="84"/>
  <c r="Q155" i="84"/>
  <c r="Q28" i="84"/>
  <c r="Q116" i="84"/>
  <c r="Q84" i="84"/>
  <c r="Q71" i="84"/>
  <c r="Q89" i="84"/>
  <c r="Q177" i="84"/>
  <c r="Q165" i="84"/>
  <c r="Q109" i="84"/>
  <c r="Q102" i="84"/>
  <c r="Q33" i="84"/>
  <c r="Q186" i="84"/>
  <c r="Q139" i="84"/>
  <c r="Q56" i="84"/>
  <c r="Q40" i="84"/>
  <c r="AE7" i="84"/>
  <c r="AE8" i="84"/>
  <c r="BU49" i="38"/>
  <c r="Y2" i="84"/>
  <c r="Y5" i="84"/>
  <c r="Y6" i="84"/>
  <c r="Y3" i="84" s="1" a="1"/>
  <c r="Y3" i="84" s="1"/>
  <c r="BI36" i="46"/>
  <c r="BI14" i="46"/>
  <c r="BI25" i="46" s="1"/>
  <c r="BV5" i="15"/>
  <c r="BV7" i="38"/>
  <c r="BY5" i="8"/>
  <c r="BK11" i="29"/>
  <c r="BK39" i="29" s="1"/>
  <c r="BJ2" i="46"/>
  <c r="F26" i="79"/>
  <c r="D25" i="79"/>
  <c r="F252" i="79"/>
  <c r="D251" i="79"/>
  <c r="BU39" i="38"/>
  <c r="BU79" i="38"/>
  <c r="X12" i="84"/>
  <c r="M8" i="38"/>
  <c r="P6" i="8"/>
  <c r="M6" i="15"/>
  <c r="L21" i="38"/>
  <c r="L40" i="38"/>
  <c r="CH46" i="38" l="1"/>
  <c r="Y10" i="84"/>
  <c r="Y11" i="84"/>
  <c r="Y9" i="84"/>
  <c r="Z4" i="84"/>
  <c r="BV49" i="38"/>
  <c r="BW7" i="38"/>
  <c r="BZ5" i="8"/>
  <c r="BK2" i="46"/>
  <c r="BL11" i="29"/>
  <c r="BL39" i="29" s="1"/>
  <c r="D26" i="79"/>
  <c r="F27" i="79"/>
  <c r="AF7" i="84"/>
  <c r="AF8" i="84"/>
  <c r="BV39" i="38"/>
  <c r="BV79" i="38"/>
  <c r="N8" i="38"/>
  <c r="N6" i="15"/>
  <c r="Q6" i="8"/>
  <c r="M40" i="38"/>
  <c r="M21" i="38"/>
  <c r="F253" i="79"/>
  <c r="D252" i="79"/>
  <c r="BJ36" i="46"/>
  <c r="BJ14" i="46"/>
  <c r="BJ25" i="46" s="1"/>
  <c r="CI46" i="38" l="1"/>
  <c r="BW79" i="38"/>
  <c r="BW39" i="38"/>
  <c r="AG8" i="84"/>
  <c r="AG7" i="84"/>
  <c r="Y12" i="84"/>
  <c r="F28" i="79"/>
  <c r="D27" i="79"/>
  <c r="BK14" i="46"/>
  <c r="BK25" i="46" s="1"/>
  <c r="BK36" i="46"/>
  <c r="N40" i="38"/>
  <c r="N21" i="38"/>
  <c r="F254" i="79"/>
  <c r="D253" i="79"/>
  <c r="E26" i="79"/>
  <c r="O8" i="38"/>
  <c r="O6" i="15"/>
  <c r="D12" i="29"/>
  <c r="D40" i="29" s="1"/>
  <c r="R6" i="8"/>
  <c r="Z6" i="84"/>
  <c r="Z3" i="84" s="1" a="1"/>
  <c r="Z3" i="84" s="1"/>
  <c r="Z5" i="84"/>
  <c r="AA4" i="84" s="1"/>
  <c r="Z2" i="84"/>
  <c r="AA5" i="84" l="1"/>
  <c r="AB4" i="84" s="1"/>
  <c r="AA2" i="84"/>
  <c r="AA6" i="84"/>
  <c r="AA3" i="84" s="1" a="1"/>
  <c r="AA3" i="84" s="1"/>
  <c r="O21" i="38"/>
  <c r="O40" i="38"/>
  <c r="F255" i="79"/>
  <c r="D254" i="79"/>
  <c r="T268" i="79"/>
  <c r="G254" i="79"/>
  <c r="E27" i="79"/>
  <c r="Z10" i="84"/>
  <c r="Z11" i="84"/>
  <c r="Z9" i="84"/>
  <c r="F29" i="79"/>
  <c r="D28" i="79"/>
  <c r="AH7" i="84"/>
  <c r="AH8" i="84"/>
  <c r="P8" i="38"/>
  <c r="P6" i="15"/>
  <c r="S6" i="8"/>
  <c r="E12" i="29"/>
  <c r="E40" i="29" s="1"/>
  <c r="E254" i="79" l="1"/>
  <c r="E28" i="79"/>
  <c r="F30" i="79"/>
  <c r="D29" i="79"/>
  <c r="D255" i="79"/>
  <c r="E255" i="79" s="1"/>
  <c r="F256" i="79"/>
  <c r="T269" i="79"/>
  <c r="G255" i="79"/>
  <c r="AA10" i="84"/>
  <c r="AA11" i="84"/>
  <c r="AA9" i="84"/>
  <c r="AI7" i="84"/>
  <c r="AI8" i="84"/>
  <c r="Q8" i="38"/>
  <c r="Q6" i="15"/>
  <c r="T6" i="8"/>
  <c r="F12" i="29"/>
  <c r="F40" i="29" s="1"/>
  <c r="Z12" i="84"/>
  <c r="P21" i="38"/>
  <c r="P40" i="38"/>
  <c r="P53" i="38"/>
  <c r="P62" i="38"/>
  <c r="AB5" i="84"/>
  <c r="AC4" i="84" s="1"/>
  <c r="AB6" i="84"/>
  <c r="AB3" i="84" s="1" a="1"/>
  <c r="AB3" i="84" s="1"/>
  <c r="AB2" i="84"/>
  <c r="AB9" i="84" l="1"/>
  <c r="AB10" i="84"/>
  <c r="AB11" i="84"/>
  <c r="Q62" i="38"/>
  <c r="Q21" i="38"/>
  <c r="Q40" i="38"/>
  <c r="Q53" i="38"/>
  <c r="F31" i="79"/>
  <c r="D30" i="79"/>
  <c r="R8" i="38"/>
  <c r="R6" i="15"/>
  <c r="U6" i="8"/>
  <c r="G12" i="29"/>
  <c r="G40" i="29" s="1"/>
  <c r="AJ8" i="84"/>
  <c r="AJ7" i="84"/>
  <c r="AA12" i="84"/>
  <c r="AC5" i="84"/>
  <c r="AD4" i="84" s="1"/>
  <c r="AC2" i="84"/>
  <c r="AC6" i="84"/>
  <c r="AC3" i="84" s="1" a="1"/>
  <c r="AC3" i="84" s="1"/>
  <c r="D256" i="79"/>
  <c r="T270" i="79"/>
  <c r="F257" i="79"/>
  <c r="G256" i="79"/>
  <c r="E29" i="79"/>
  <c r="E256" i="79" l="1"/>
  <c r="AB12" i="84"/>
  <c r="AK7" i="84"/>
  <c r="AK8" i="84"/>
  <c r="F32" i="79"/>
  <c r="D31" i="79"/>
  <c r="AC9" i="84"/>
  <c r="AC11" i="84"/>
  <c r="AC10" i="84"/>
  <c r="AD2" i="84"/>
  <c r="AD5" i="84"/>
  <c r="AE4" i="84" s="1"/>
  <c r="AD6" i="84"/>
  <c r="AD3" i="84" s="1" a="1"/>
  <c r="AD3" i="84" s="1"/>
  <c r="T271" i="79"/>
  <c r="D257" i="79"/>
  <c r="E257" i="79" s="1"/>
  <c r="F258" i="79"/>
  <c r="G257" i="79"/>
  <c r="S6" i="15"/>
  <c r="S8" i="38"/>
  <c r="V6" i="8"/>
  <c r="H12" i="29"/>
  <c r="H40" i="29" s="1"/>
  <c r="R53" i="38"/>
  <c r="R62" i="38"/>
  <c r="R21" i="38"/>
  <c r="R40" i="38"/>
  <c r="E30" i="79"/>
  <c r="S53" i="38" l="1"/>
  <c r="S62" i="38"/>
  <c r="S21" i="38"/>
  <c r="S40" i="38"/>
  <c r="AE2" i="84"/>
  <c r="AE6" i="84"/>
  <c r="AE3" i="84" s="1" a="1"/>
  <c r="AE3" i="84" s="1"/>
  <c r="AE5" i="84"/>
  <c r="AF4" i="84" s="1"/>
  <c r="AC12" i="84"/>
  <c r="T8" i="38"/>
  <c r="T6" i="15"/>
  <c r="W6" i="8"/>
  <c r="I12" i="29"/>
  <c r="I40" i="29" s="1"/>
  <c r="D32" i="79"/>
  <c r="F33" i="79"/>
  <c r="E31" i="79"/>
  <c r="T272" i="79"/>
  <c r="F259" i="79"/>
  <c r="D258" i="79"/>
  <c r="E258" i="79" s="1"/>
  <c r="G258" i="79"/>
  <c r="AL8" i="84"/>
  <c r="AL7" i="84"/>
  <c r="AD10" i="84"/>
  <c r="AD9" i="84"/>
  <c r="AD11" i="84"/>
  <c r="AM7" i="84" l="1"/>
  <c r="AM8" i="84"/>
  <c r="F260" i="79"/>
  <c r="D259" i="79"/>
  <c r="E259" i="79" s="1"/>
  <c r="T273" i="79"/>
  <c r="G259" i="79"/>
  <c r="E32" i="79"/>
  <c r="AF2" i="84"/>
  <c r="AF5" i="84"/>
  <c r="AG4" i="84" s="1"/>
  <c r="AF6" i="84"/>
  <c r="AF3" i="84" s="1" a="1"/>
  <c r="AF3" i="84" s="1"/>
  <c r="AD12" i="84"/>
  <c r="AE9" i="84"/>
  <c r="AE11" i="84"/>
  <c r="AE10" i="84"/>
  <c r="U8" i="38"/>
  <c r="X6" i="8"/>
  <c r="U6" i="15"/>
  <c r="J12" i="29"/>
  <c r="J40" i="29" s="1"/>
  <c r="T53" i="38"/>
  <c r="T62" i="38"/>
  <c r="T21" i="38"/>
  <c r="T40" i="38"/>
  <c r="F34" i="79"/>
  <c r="D33" i="79"/>
  <c r="AE12" i="84" l="1"/>
  <c r="E33" i="79"/>
  <c r="D34" i="79"/>
  <c r="F35" i="79"/>
  <c r="V8" i="38"/>
  <c r="Y6" i="8"/>
  <c r="V6" i="15"/>
  <c r="K12" i="29"/>
  <c r="K40" i="29" s="1"/>
  <c r="AF10" i="84"/>
  <c r="AF9" i="84"/>
  <c r="AF11" i="84"/>
  <c r="T274" i="79"/>
  <c r="F261" i="79"/>
  <c r="F262" i="79" s="1"/>
  <c r="D260" i="79"/>
  <c r="E260" i="79" s="1"/>
  <c r="G260" i="79"/>
  <c r="AG2" i="84"/>
  <c r="AG5" i="84"/>
  <c r="AH4" i="84" s="1"/>
  <c r="AG6" i="84"/>
  <c r="AG3" i="84" s="1" a="1"/>
  <c r="AG3" i="84" s="1"/>
  <c r="AN7" i="84"/>
  <c r="AN8" i="84"/>
  <c r="U40" i="38"/>
  <c r="U53" i="38"/>
  <c r="U62" i="38"/>
  <c r="U21" i="38"/>
  <c r="G262" i="79" l="1"/>
  <c r="F263" i="79"/>
  <c r="D262" i="79"/>
  <c r="AF12" i="84"/>
  <c r="AG9" i="84"/>
  <c r="AG11" i="84"/>
  <c r="AG10" i="84"/>
  <c r="AH6" i="84"/>
  <c r="AH3" i="84" s="1" a="1"/>
  <c r="AH3" i="84" s="1"/>
  <c r="AH5" i="84"/>
  <c r="AI4" i="84" s="1"/>
  <c r="AH2" i="84"/>
  <c r="W8" i="38"/>
  <c r="W6" i="15"/>
  <c r="Z6" i="8"/>
  <c r="L12" i="29"/>
  <c r="L40" i="29" s="1"/>
  <c r="D261" i="79"/>
  <c r="E261" i="79" s="1"/>
  <c r="T275" i="79"/>
  <c r="T276" i="79" s="1"/>
  <c r="T277" i="79" s="1"/>
  <c r="T278" i="79" s="1"/>
  <c r="T279" i="79" s="1"/>
  <c r="T280" i="79" s="1"/>
  <c r="H119" i="1" s="1"/>
  <c r="N107" i="84" s="1" a="1"/>
  <c r="N107" i="84" s="1"/>
  <c r="G261" i="79"/>
  <c r="V40" i="38"/>
  <c r="V53" i="38"/>
  <c r="V62" i="38"/>
  <c r="V21" i="38"/>
  <c r="AO7" i="84"/>
  <c r="AO8" i="84"/>
  <c r="F36" i="79"/>
  <c r="D35" i="79"/>
  <c r="E34" i="79"/>
  <c r="E262" i="79" l="1"/>
  <c r="G263" i="79"/>
  <c r="F264" i="79"/>
  <c r="D263" i="79"/>
  <c r="E263" i="79" s="1"/>
  <c r="AG12" i="84"/>
  <c r="E35" i="79"/>
  <c r="F37" i="79"/>
  <c r="D36" i="79"/>
  <c r="AP8" i="84"/>
  <c r="AP7" i="84"/>
  <c r="X8" i="38"/>
  <c r="AA6" i="8"/>
  <c r="X6" i="15"/>
  <c r="M12" i="29"/>
  <c r="M40" i="29" s="1"/>
  <c r="H116" i="53"/>
  <c r="L119" i="1"/>
  <c r="N133" i="84" s="1" a="1"/>
  <c r="N133" i="84" s="1"/>
  <c r="L107" i="84" a="1"/>
  <c r="L107" i="84" s="1"/>
  <c r="H126" i="1"/>
  <c r="W21" i="38"/>
  <c r="W40" i="38"/>
  <c r="W53" i="38"/>
  <c r="W62" i="38"/>
  <c r="AI5" i="84"/>
  <c r="AJ4" i="84" s="1"/>
  <c r="AI2" i="84"/>
  <c r="AI6" i="84"/>
  <c r="AI3" i="84" s="1" a="1"/>
  <c r="AI3" i="84" s="1"/>
  <c r="AH10" i="84"/>
  <c r="AH9" i="84"/>
  <c r="AH11" i="84"/>
  <c r="D264" i="79" l="1"/>
  <c r="E264" i="79" s="1"/>
  <c r="F265" i="79"/>
  <c r="G264" i="79"/>
  <c r="AH12" i="84"/>
  <c r="AJ5" i="84"/>
  <c r="AK4" i="84" s="1"/>
  <c r="AJ2" i="84"/>
  <c r="AJ6" i="84"/>
  <c r="AJ3" i="84" s="1" a="1"/>
  <c r="AJ3" i="84" s="1"/>
  <c r="L116" i="53"/>
  <c r="T116" i="53" s="1"/>
  <c r="V116" i="53" s="1"/>
  <c r="L133" i="84" a="1"/>
  <c r="L133" i="84" s="1"/>
  <c r="E36" i="79"/>
  <c r="H123" i="53"/>
  <c r="F38" i="79"/>
  <c r="D37" i="79"/>
  <c r="Y8" i="38"/>
  <c r="Y6" i="15"/>
  <c r="AB6" i="8"/>
  <c r="N12" i="29"/>
  <c r="N40" i="29" s="1"/>
  <c r="X21" i="38"/>
  <c r="X40" i="38"/>
  <c r="X53" i="38"/>
  <c r="X62" i="38"/>
  <c r="AI9" i="84"/>
  <c r="AI10" i="84"/>
  <c r="AI11" i="84"/>
  <c r="T119" i="1"/>
  <c r="AQ7" i="84"/>
  <c r="AQ8" i="84"/>
  <c r="D265" i="79" l="1"/>
  <c r="E265" i="79" s="1"/>
  <c r="F266" i="79"/>
  <c r="G265" i="79"/>
  <c r="E37" i="79"/>
  <c r="F39" i="79"/>
  <c r="D38" i="79"/>
  <c r="AR8" i="84"/>
  <c r="AR7" i="84"/>
  <c r="AI12" i="84"/>
  <c r="V119" i="1"/>
  <c r="Z8" i="38"/>
  <c r="Z6" i="15"/>
  <c r="AC6" i="8"/>
  <c r="O12" i="29"/>
  <c r="O40" i="29" s="1"/>
  <c r="AJ9" i="84"/>
  <c r="AJ10" i="84"/>
  <c r="AJ11" i="84"/>
  <c r="Y62" i="38"/>
  <c r="Y21" i="38"/>
  <c r="Y40" i="38"/>
  <c r="Y53" i="38"/>
  <c r="AK5" i="84"/>
  <c r="AL4" i="84" s="1"/>
  <c r="AK2" i="84"/>
  <c r="AK6" i="84"/>
  <c r="AK3" i="84" s="1" a="1"/>
  <c r="AK3" i="84" s="1"/>
  <c r="D266" i="79" l="1"/>
  <c r="E266" i="79" s="1"/>
  <c r="G266" i="79"/>
  <c r="Z53" i="38"/>
  <c r="Z62" i="38"/>
  <c r="Z21" i="38"/>
  <c r="Z40" i="38"/>
  <c r="AA6" i="15"/>
  <c r="AA8" i="38"/>
  <c r="P12" i="29"/>
  <c r="P40" i="29" s="1"/>
  <c r="AD6" i="8"/>
  <c r="AK10" i="84"/>
  <c r="AK11" i="84"/>
  <c r="AK9" i="84"/>
  <c r="AJ12" i="84"/>
  <c r="D51" i="36"/>
  <c r="E38" i="79"/>
  <c r="AS8" i="84"/>
  <c r="AS7" i="84"/>
  <c r="F40" i="79"/>
  <c r="D39" i="79"/>
  <c r="AL5" i="84"/>
  <c r="AM4" i="84" s="1"/>
  <c r="AL6" i="84"/>
  <c r="AL3" i="84" s="1" a="1"/>
  <c r="AL3" i="84" s="1"/>
  <c r="AL2" i="84"/>
  <c r="D51" i="89" l="1"/>
  <c r="D51" i="88"/>
  <c r="D51" i="87"/>
  <c r="D51" i="86"/>
  <c r="D51" i="85"/>
  <c r="AM2" i="84"/>
  <c r="AM6" i="84"/>
  <c r="AM3" i="84" s="1" a="1"/>
  <c r="AM3" i="84" s="1"/>
  <c r="AM5" i="84"/>
  <c r="AN4" i="84" s="1"/>
  <c r="AB8" i="38"/>
  <c r="AB6" i="15"/>
  <c r="AE6" i="8"/>
  <c r="Q12" i="29"/>
  <c r="Q40" i="29" s="1"/>
  <c r="E39" i="79"/>
  <c r="AL9" i="84"/>
  <c r="AL10" i="84"/>
  <c r="AL11" i="84"/>
  <c r="D40" i="79"/>
  <c r="F41" i="79"/>
  <c r="AK12" i="84"/>
  <c r="H51" i="47"/>
  <c r="T51" i="60"/>
  <c r="D51" i="68"/>
  <c r="F51" i="36"/>
  <c r="D51" i="61"/>
  <c r="H51" i="36"/>
  <c r="D51" i="62"/>
  <c r="D51" i="70"/>
  <c r="AT7" i="84"/>
  <c r="AT8" i="84"/>
  <c r="AA53" i="38"/>
  <c r="AA62" i="38"/>
  <c r="AA21" i="38"/>
  <c r="AA40" i="38"/>
  <c r="AA80" i="38"/>
  <c r="AA91" i="38" s="1"/>
  <c r="H51" i="87" l="1"/>
  <c r="F51" i="87"/>
  <c r="H51" i="88"/>
  <c r="F51" i="88"/>
  <c r="F51" i="89"/>
  <c r="H51" i="89"/>
  <c r="F77" i="1"/>
  <c r="L38" i="84"/>
  <c r="J72" i="1"/>
  <c r="F51" i="85"/>
  <c r="H51" i="85"/>
  <c r="F51" i="86"/>
  <c r="H51" i="86"/>
  <c r="F51" i="62"/>
  <c r="H51" i="62"/>
  <c r="F51" i="61"/>
  <c r="H51" i="61"/>
  <c r="AL12" i="84"/>
  <c r="AC8" i="38"/>
  <c r="AF6" i="8"/>
  <c r="AC6" i="15"/>
  <c r="R12" i="29"/>
  <c r="R40" i="29" s="1"/>
  <c r="F42" i="79"/>
  <c r="D41" i="79"/>
  <c r="AB53" i="38"/>
  <c r="AB62" i="38"/>
  <c r="AB21" i="38"/>
  <c r="AB40" i="38"/>
  <c r="AB80" i="38"/>
  <c r="AB91" i="38" s="1"/>
  <c r="AU8" i="84"/>
  <c r="AU7" i="84"/>
  <c r="H51" i="68"/>
  <c r="F51" i="68"/>
  <c r="AN2" i="84"/>
  <c r="AN6" i="84"/>
  <c r="AN3" i="84" s="1" a="1"/>
  <c r="AN3" i="84" s="1"/>
  <c r="AN5" i="84"/>
  <c r="AO4" i="84" s="1"/>
  <c r="AM10" i="84"/>
  <c r="AM11" i="84"/>
  <c r="AM9" i="84"/>
  <c r="F51" i="70"/>
  <c r="H51" i="70"/>
  <c r="E40" i="79"/>
  <c r="H36" i="2" l="1"/>
  <c r="K36" i="2"/>
  <c r="P72" i="1"/>
  <c r="T72" i="1" s="1"/>
  <c r="AD8" i="38"/>
  <c r="AG6" i="8"/>
  <c r="AD6" i="15"/>
  <c r="S12" i="29"/>
  <c r="S40" i="29" s="1"/>
  <c r="AO2" i="84"/>
  <c r="AO5" i="84"/>
  <c r="AP4" i="84" s="1"/>
  <c r="AO6" i="84"/>
  <c r="AO3" i="84" s="1" a="1"/>
  <c r="AO3" i="84" s="1"/>
  <c r="E41" i="79"/>
  <c r="AN9" i="84"/>
  <c r="AN10" i="84"/>
  <c r="AN11" i="84"/>
  <c r="AV7" i="84"/>
  <c r="AV8" i="84"/>
  <c r="D42" i="79"/>
  <c r="F43" i="79"/>
  <c r="AC40" i="38"/>
  <c r="AC53" i="38"/>
  <c r="AC62" i="38"/>
  <c r="AC21" i="38"/>
  <c r="AC80" i="38"/>
  <c r="AC91" i="38" s="1"/>
  <c r="AM12" i="84"/>
  <c r="L36" i="2" l="1"/>
  <c r="AO10" i="84"/>
  <c r="AO11" i="84"/>
  <c r="AO9" i="84"/>
  <c r="AP6" i="84"/>
  <c r="AP3" i="84" s="1" a="1"/>
  <c r="AP3" i="84" s="1"/>
  <c r="AP2" i="84"/>
  <c r="AP5" i="84"/>
  <c r="AQ4" i="84" s="1"/>
  <c r="AN12" i="84"/>
  <c r="AE8" i="38"/>
  <c r="AE6" i="15"/>
  <c r="AH6" i="8"/>
  <c r="T12" i="29"/>
  <c r="T40" i="29" s="1"/>
  <c r="F44" i="79"/>
  <c r="D43" i="79"/>
  <c r="AD40" i="38"/>
  <c r="AD80" i="38"/>
  <c r="AD91" i="38" s="1"/>
  <c r="AD53" i="38"/>
  <c r="AD62" i="38"/>
  <c r="AD21" i="38"/>
  <c r="E42" i="79"/>
  <c r="AW7" i="84"/>
  <c r="AW8" i="84"/>
  <c r="AF8" i="38" l="1"/>
  <c r="AI6" i="8"/>
  <c r="AF6" i="15"/>
  <c r="U12" i="29"/>
  <c r="U40" i="29" s="1"/>
  <c r="AE21" i="38"/>
  <c r="AE40" i="38"/>
  <c r="AE53" i="38"/>
  <c r="AE62" i="38"/>
  <c r="AE80" i="38"/>
  <c r="AE91" i="38" s="1"/>
  <c r="AQ5" i="84"/>
  <c r="AR4" i="84" s="1"/>
  <c r="AQ2" i="84"/>
  <c r="AQ6" i="84"/>
  <c r="AQ3" i="84" s="1" a="1"/>
  <c r="AQ3" i="84" s="1"/>
  <c r="AP9" i="84"/>
  <c r="AP10" i="84"/>
  <c r="AP11" i="84"/>
  <c r="AO12" i="84"/>
  <c r="AX7" i="84"/>
  <c r="AX8" i="84"/>
  <c r="E43" i="79"/>
  <c r="F45" i="79"/>
  <c r="D44" i="79"/>
  <c r="AP12" i="84" l="1"/>
  <c r="AY7" i="84"/>
  <c r="AY8" i="84"/>
  <c r="E44" i="79"/>
  <c r="AQ10" i="84"/>
  <c r="AQ9" i="84"/>
  <c r="AQ11" i="84"/>
  <c r="F46" i="79"/>
  <c r="D45" i="79"/>
  <c r="AG8" i="38"/>
  <c r="AJ6" i="8"/>
  <c r="AG6" i="15"/>
  <c r="V12" i="29"/>
  <c r="V40" i="29" s="1"/>
  <c r="AF21" i="38"/>
  <c r="AF40" i="38"/>
  <c r="AF53" i="38"/>
  <c r="AF62" i="38"/>
  <c r="AF80" i="38"/>
  <c r="AF91" i="38" s="1"/>
  <c r="AR5" i="84"/>
  <c r="AS4" i="84" s="1"/>
  <c r="AR2" i="84"/>
  <c r="AR6" i="84"/>
  <c r="AR3" i="84" s="1" a="1"/>
  <c r="AR3" i="84" s="1"/>
  <c r="AR9" i="84" l="1"/>
  <c r="AR10" i="84"/>
  <c r="AR11" i="84"/>
  <c r="AG62" i="38"/>
  <c r="AG21" i="38"/>
  <c r="AG40" i="38"/>
  <c r="AG53" i="38"/>
  <c r="AG80" i="38"/>
  <c r="AG91" i="38" s="1"/>
  <c r="AQ12" i="84"/>
  <c r="AS5" i="84"/>
  <c r="AT4" i="84" s="1"/>
  <c r="AS2" i="84"/>
  <c r="AS6" i="84"/>
  <c r="AS3" i="84" s="1" a="1"/>
  <c r="AS3" i="84" s="1"/>
  <c r="E45" i="79"/>
  <c r="AZ8" i="84"/>
  <c r="AZ7" i="84"/>
  <c r="F47" i="79"/>
  <c r="D46" i="79"/>
  <c r="AH8" i="38"/>
  <c r="AK6" i="8"/>
  <c r="AH6" i="15"/>
  <c r="W12" i="29"/>
  <c r="W40" i="29" s="1"/>
  <c r="AS11" i="84" l="1"/>
  <c r="AS9" i="84"/>
  <c r="AS10" i="84"/>
  <c r="AI6" i="15"/>
  <c r="AI8" i="38"/>
  <c r="X12" i="29"/>
  <c r="X40" i="29" s="1"/>
  <c r="AL6" i="8"/>
  <c r="AR12" i="84"/>
  <c r="AT5" i="84"/>
  <c r="AU4" i="84" s="1"/>
  <c r="AT2" i="84"/>
  <c r="AT6" i="84"/>
  <c r="AT3" i="84" s="1" a="1"/>
  <c r="AT3" i="84" s="1"/>
  <c r="AH53" i="38"/>
  <c r="AH62" i="38"/>
  <c r="AH21" i="38"/>
  <c r="AH40" i="38"/>
  <c r="AH80" i="38"/>
  <c r="AH91" i="38" s="1"/>
  <c r="E46" i="79"/>
  <c r="F48" i="79"/>
  <c r="D47" i="79"/>
  <c r="BA8" i="84"/>
  <c r="BA7" i="84"/>
  <c r="AI53" i="38" l="1"/>
  <c r="AI62" i="38"/>
  <c r="AI21" i="38"/>
  <c r="AI40" i="38"/>
  <c r="AI80" i="38"/>
  <c r="AI91" i="38" s="1"/>
  <c r="AJ8" i="38"/>
  <c r="AJ6" i="15"/>
  <c r="AM6" i="8"/>
  <c r="Y12" i="29"/>
  <c r="Y40" i="29" s="1"/>
  <c r="AT9" i="84"/>
  <c r="AT10" i="84"/>
  <c r="AT11" i="84"/>
  <c r="BB8" i="84"/>
  <c r="BB7" i="84"/>
  <c r="E47" i="79"/>
  <c r="D48" i="79"/>
  <c r="F49" i="79"/>
  <c r="AU5" i="84"/>
  <c r="AV4" i="84" s="1"/>
  <c r="AU2" i="84"/>
  <c r="AU6" i="84"/>
  <c r="AU3" i="84" s="1" a="1"/>
  <c r="AU3" i="84" s="1"/>
  <c r="AS12" i="84"/>
  <c r="AT12" i="84" l="1"/>
  <c r="F50" i="79"/>
  <c r="D49" i="79"/>
  <c r="BC7" i="84"/>
  <c r="BC8" i="84"/>
  <c r="AU9" i="84"/>
  <c r="AU11" i="84"/>
  <c r="AU10" i="84"/>
  <c r="AV2" i="84"/>
  <c r="AV5" i="84"/>
  <c r="AW4" i="84" s="1"/>
  <c r="AV6" i="84"/>
  <c r="AV3" i="84" s="1" a="1"/>
  <c r="AV3" i="84" s="1"/>
  <c r="E48" i="79"/>
  <c r="AK8" i="38"/>
  <c r="AN6" i="8"/>
  <c r="AK6" i="15"/>
  <c r="Z12" i="29"/>
  <c r="Z40" i="29" s="1"/>
  <c r="AJ53" i="38"/>
  <c r="AJ62" i="38"/>
  <c r="AJ21" i="38"/>
  <c r="AJ40" i="38"/>
  <c r="AJ80" i="38"/>
  <c r="AJ91" i="38" s="1"/>
  <c r="AK40" i="38" l="1"/>
  <c r="AK53" i="38"/>
  <c r="AK62" i="38"/>
  <c r="AK21" i="38"/>
  <c r="AK80" i="38"/>
  <c r="AK91" i="38" s="1"/>
  <c r="AU12" i="84"/>
  <c r="BD8" i="84"/>
  <c r="BD7" i="84"/>
  <c r="AV9" i="84"/>
  <c r="AV10" i="84"/>
  <c r="AV11" i="84"/>
  <c r="AW2" i="84"/>
  <c r="AW5" i="84"/>
  <c r="AX4" i="84" s="1"/>
  <c r="AW6" i="84"/>
  <c r="AW3" i="84" s="1" a="1"/>
  <c r="AW3" i="84" s="1"/>
  <c r="E49" i="79"/>
  <c r="AL8" i="38"/>
  <c r="AO6" i="8"/>
  <c r="AL6" i="15"/>
  <c r="AA12" i="29"/>
  <c r="AA40" i="29" s="1"/>
  <c r="D50" i="79"/>
  <c r="F51" i="79"/>
  <c r="AV12" i="84" l="1"/>
  <c r="E50" i="79"/>
  <c r="AW9" i="84"/>
  <c r="AW11" i="84"/>
  <c r="AW10" i="84"/>
  <c r="AX6" i="84"/>
  <c r="AX3" i="84" s="1" a="1"/>
  <c r="AX3" i="84" s="1"/>
  <c r="AX2" i="84"/>
  <c r="AX5" i="84"/>
  <c r="AY4" i="84" s="1"/>
  <c r="BE7" i="84"/>
  <c r="BE8" i="84"/>
  <c r="F52" i="79"/>
  <c r="D51" i="79"/>
  <c r="AM8" i="38"/>
  <c r="AM6" i="15"/>
  <c r="AP6" i="8"/>
  <c r="AB12" i="29"/>
  <c r="AB40" i="29" s="1"/>
  <c r="AL40" i="38"/>
  <c r="AL80" i="38"/>
  <c r="AL91" i="38" s="1"/>
  <c r="AL53" i="38"/>
  <c r="AL62" i="38"/>
  <c r="AL21" i="38"/>
  <c r="AW12" i="84" l="1"/>
  <c r="AY2" i="84"/>
  <c r="AY5" i="84"/>
  <c r="AZ4" i="84" s="1"/>
  <c r="AY6" i="84"/>
  <c r="AY3" i="84" s="1" a="1"/>
  <c r="AY3" i="84" s="1"/>
  <c r="AN8" i="38"/>
  <c r="AN6" i="15"/>
  <c r="AQ6" i="8"/>
  <c r="AC12" i="29"/>
  <c r="AC40" i="29" s="1"/>
  <c r="BF7" i="84"/>
  <c r="BF8" i="84"/>
  <c r="AX9" i="84"/>
  <c r="AX10" i="84"/>
  <c r="AX11" i="84"/>
  <c r="AM21" i="38"/>
  <c r="AM40" i="38"/>
  <c r="AM53" i="38"/>
  <c r="AM62" i="38"/>
  <c r="AM80" i="38"/>
  <c r="AM91" i="38" s="1"/>
  <c r="E51" i="79"/>
  <c r="F53" i="79"/>
  <c r="D52" i="79"/>
  <c r="E52" i="79" l="1"/>
  <c r="AX12" i="84"/>
  <c r="AY10" i="84"/>
  <c r="AY9" i="84"/>
  <c r="AY11" i="84"/>
  <c r="BG7" i="84"/>
  <c r="BG8" i="84"/>
  <c r="AZ5" i="84"/>
  <c r="BA4" i="84" s="1"/>
  <c r="AZ2" i="84"/>
  <c r="AZ6" i="84"/>
  <c r="AZ3" i="84" s="1" a="1"/>
  <c r="AZ3" i="84" s="1"/>
  <c r="F54" i="79"/>
  <c r="D53" i="79"/>
  <c r="AO8" i="38"/>
  <c r="AO6" i="15"/>
  <c r="AR6" i="8"/>
  <c r="AD12" i="29"/>
  <c r="AD40" i="29" s="1"/>
  <c r="AN21" i="38"/>
  <c r="AN40" i="38"/>
  <c r="AN53" i="38"/>
  <c r="AN62" i="38"/>
  <c r="AN80" i="38"/>
  <c r="AN91" i="38" s="1"/>
  <c r="AY12" i="84" l="1"/>
  <c r="AP8" i="38"/>
  <c r="AP6" i="15"/>
  <c r="AS6" i="8"/>
  <c r="AE12" i="29"/>
  <c r="AE40" i="29" s="1"/>
  <c r="AZ10" i="84"/>
  <c r="AZ9" i="84"/>
  <c r="AZ12" i="84" s="1"/>
  <c r="AZ11" i="84"/>
  <c r="AO62" i="38"/>
  <c r="AO21" i="38"/>
  <c r="AO40" i="38"/>
  <c r="AO53" i="38"/>
  <c r="AO80" i="38"/>
  <c r="AO91" i="38" s="1"/>
  <c r="E53" i="79"/>
  <c r="BA5" i="84"/>
  <c r="BB4" i="84" s="1"/>
  <c r="BA2" i="84"/>
  <c r="BA6" i="84"/>
  <c r="BA3" i="84" s="1" a="1"/>
  <c r="BA3" i="84" s="1"/>
  <c r="F55" i="79"/>
  <c r="D54" i="79"/>
  <c r="BH8" i="84"/>
  <c r="BH7" i="84"/>
  <c r="BI8" i="84" l="1"/>
  <c r="BI7" i="84"/>
  <c r="E54" i="79"/>
  <c r="AQ6" i="15"/>
  <c r="AQ8" i="38"/>
  <c r="AF12" i="29"/>
  <c r="AF40" i="29" s="1"/>
  <c r="AT6" i="8"/>
  <c r="F56" i="79"/>
  <c r="D55" i="79"/>
  <c r="AP53" i="38"/>
  <c r="AP62" i="38"/>
  <c r="AP21" i="38"/>
  <c r="AP40" i="38"/>
  <c r="AP80" i="38"/>
  <c r="AP91" i="38" s="1"/>
  <c r="BA11" i="84"/>
  <c r="BA10" i="84"/>
  <c r="BA9" i="84"/>
  <c r="BB5" i="84"/>
  <c r="BC4" i="84" s="1"/>
  <c r="BB2" i="84"/>
  <c r="BB6" i="84"/>
  <c r="BB3" i="84" s="1" a="1"/>
  <c r="BB3" i="84" s="1"/>
  <c r="BA12" i="84" l="1"/>
  <c r="BC5" i="84"/>
  <c r="BD4" i="84" s="1"/>
  <c r="BC2" i="84"/>
  <c r="BC6" i="84"/>
  <c r="BC3" i="84" s="1" a="1"/>
  <c r="BC3" i="84" s="1"/>
  <c r="E55" i="79"/>
  <c r="BJ7" i="84"/>
  <c r="BJ8" i="84"/>
  <c r="D56" i="79"/>
  <c r="F57" i="79"/>
  <c r="BB9" i="84"/>
  <c r="BB10" i="84"/>
  <c r="BB11" i="84"/>
  <c r="AQ53" i="38"/>
  <c r="AQ62" i="38"/>
  <c r="AQ21" i="38"/>
  <c r="AQ40" i="38"/>
  <c r="AQ80" i="38"/>
  <c r="AQ91" i="38" s="1"/>
  <c r="AR8" i="38"/>
  <c r="AR6" i="15"/>
  <c r="AU6" i="8"/>
  <c r="AG12" i="29"/>
  <c r="AG40" i="29" s="1"/>
  <c r="BK8" i="84" l="1"/>
  <c r="BK7" i="84"/>
  <c r="BB12" i="84"/>
  <c r="AS8" i="38"/>
  <c r="AV6" i="8"/>
  <c r="AS6" i="15"/>
  <c r="AH12" i="29"/>
  <c r="AH40" i="29" s="1"/>
  <c r="BC11" i="84"/>
  <c r="BC10" i="84"/>
  <c r="BC9" i="84"/>
  <c r="AR53" i="38"/>
  <c r="AR62" i="38"/>
  <c r="AR21" i="38"/>
  <c r="AR40" i="38"/>
  <c r="AR80" i="38"/>
  <c r="AR91" i="38" s="1"/>
  <c r="BD5" i="84"/>
  <c r="BE4" i="84" s="1"/>
  <c r="BD6" i="84"/>
  <c r="BD3" i="84" s="1" a="1"/>
  <c r="BD3" i="84" s="1"/>
  <c r="BD2" i="84"/>
  <c r="F58" i="79"/>
  <c r="D57" i="79"/>
  <c r="E56" i="79"/>
  <c r="BC12" i="84" l="1"/>
  <c r="E57" i="79"/>
  <c r="D58" i="79"/>
  <c r="F59" i="79"/>
  <c r="AT8" i="38"/>
  <c r="AT6" i="15"/>
  <c r="AW6" i="8"/>
  <c r="AI12" i="29"/>
  <c r="AI40" i="29" s="1"/>
  <c r="BD9" i="84"/>
  <c r="BD10" i="84"/>
  <c r="BD11" i="84"/>
  <c r="BE2" i="84"/>
  <c r="BE5" i="84"/>
  <c r="BF4" i="84" s="1"/>
  <c r="BE6" i="84"/>
  <c r="BE3" i="84" s="1" a="1"/>
  <c r="BE3" i="84" s="1"/>
  <c r="AS40" i="38"/>
  <c r="AS53" i="38"/>
  <c r="AS62" i="38"/>
  <c r="AS21" i="38"/>
  <c r="AS80" i="38"/>
  <c r="AS91" i="38" s="1"/>
  <c r="BL7" i="84"/>
  <c r="BL8" i="84"/>
  <c r="BM8" i="84" l="1"/>
  <c r="BM7" i="84"/>
  <c r="AT40" i="38"/>
  <c r="AT80" i="38"/>
  <c r="AT91" i="38" s="1"/>
  <c r="AT53" i="38"/>
  <c r="AT62" i="38"/>
  <c r="AT21" i="38"/>
  <c r="F60" i="79"/>
  <c r="D59" i="79"/>
  <c r="BE9" i="84"/>
  <c r="BE10" i="84"/>
  <c r="BE11" i="84"/>
  <c r="BD12" i="84"/>
  <c r="E58" i="79"/>
  <c r="BF6" i="84"/>
  <c r="BF3" i="84" s="1" a="1"/>
  <c r="BF3" i="84" s="1"/>
  <c r="BF2" i="84"/>
  <c r="BF5" i="84"/>
  <c r="BG4" i="84" s="1"/>
  <c r="AU8" i="38"/>
  <c r="AU6" i="15"/>
  <c r="AJ12" i="29"/>
  <c r="AJ40" i="29" s="1"/>
  <c r="AX6" i="8"/>
  <c r="E59" i="79" l="1"/>
  <c r="AV8" i="38"/>
  <c r="AV6" i="15"/>
  <c r="AY6" i="8"/>
  <c r="AK12" i="29"/>
  <c r="AK40" i="29" s="1"/>
  <c r="BF9" i="84"/>
  <c r="BF10" i="84"/>
  <c r="BF11" i="84"/>
  <c r="F61" i="79"/>
  <c r="D60" i="79"/>
  <c r="AU21" i="38"/>
  <c r="AU40" i="38"/>
  <c r="AU53" i="38"/>
  <c r="AU62" i="38"/>
  <c r="AU80" i="38"/>
  <c r="AU91" i="38" s="1"/>
  <c r="BE12" i="84"/>
  <c r="BN7" i="84"/>
  <c r="BN8" i="84"/>
  <c r="BG2" i="84"/>
  <c r="BG6" i="84"/>
  <c r="BG3" i="84" s="1" a="1"/>
  <c r="BG3" i="84" s="1"/>
  <c r="BG5" i="84"/>
  <c r="BH4" i="84" s="1"/>
  <c r="BF12" i="84" l="1"/>
  <c r="BO7" i="84"/>
  <c r="BO8" i="84"/>
  <c r="AW8" i="38"/>
  <c r="AW6" i="15"/>
  <c r="AZ6" i="8"/>
  <c r="AL12" i="29"/>
  <c r="AL40" i="29" s="1"/>
  <c r="AV21" i="38"/>
  <c r="AV40" i="38"/>
  <c r="AV53" i="38"/>
  <c r="AV62" i="38"/>
  <c r="AV80" i="38"/>
  <c r="AV91" i="38" s="1"/>
  <c r="BG9" i="84"/>
  <c r="BG10" i="84"/>
  <c r="BG11" i="84"/>
  <c r="BH2" i="84"/>
  <c r="BH6" i="84"/>
  <c r="BH3" i="84" s="1" a="1"/>
  <c r="BH3" i="84" s="1"/>
  <c r="BH5" i="84"/>
  <c r="BI4" i="84" s="1"/>
  <c r="E60" i="79"/>
  <c r="F62" i="79"/>
  <c r="D61" i="79"/>
  <c r="BI5" i="84" l="1"/>
  <c r="BJ4" i="84" s="1"/>
  <c r="BI2" i="84"/>
  <c r="BI6" i="84"/>
  <c r="BI3" i="84" s="1" a="1"/>
  <c r="BI3" i="84" s="1"/>
  <c r="F63" i="79"/>
  <c r="D62" i="79"/>
  <c r="BH9" i="84"/>
  <c r="BH11" i="84"/>
  <c r="BH10" i="84"/>
  <c r="BG12" i="84"/>
  <c r="AW62" i="38"/>
  <c r="AW21" i="38"/>
  <c r="AW40" i="38"/>
  <c r="AW53" i="38"/>
  <c r="AW80" i="38"/>
  <c r="AW91" i="38" s="1"/>
  <c r="E61" i="79"/>
  <c r="BP8" i="84"/>
  <c r="BP7" i="84"/>
  <c r="AX8" i="38"/>
  <c r="AX6" i="15"/>
  <c r="BA6" i="8"/>
  <c r="AM12" i="29"/>
  <c r="AM40" i="29" s="1"/>
  <c r="BH12" i="84" l="1"/>
  <c r="BQ7" i="84"/>
  <c r="BQ8" i="84"/>
  <c r="E62" i="79"/>
  <c r="F64" i="79"/>
  <c r="D63" i="79"/>
  <c r="BI11" i="84"/>
  <c r="BI9" i="84"/>
  <c r="BI10" i="84"/>
  <c r="AY6" i="15"/>
  <c r="AY8" i="38"/>
  <c r="BB6" i="8"/>
  <c r="AN12" i="29"/>
  <c r="AN40" i="29" s="1"/>
  <c r="AX53" i="38"/>
  <c r="AX62" i="38"/>
  <c r="AX21" i="38"/>
  <c r="AX40" i="38"/>
  <c r="AX80" i="38"/>
  <c r="AX91" i="38" s="1"/>
  <c r="BJ5" i="84"/>
  <c r="BK4" i="84" s="1"/>
  <c r="BJ2" i="84"/>
  <c r="BJ6" i="84"/>
  <c r="BJ3" i="84" s="1" a="1"/>
  <c r="BJ3" i="84" s="1"/>
  <c r="BI12" i="84" l="1"/>
  <c r="D64" i="79"/>
  <c r="F65" i="79"/>
  <c r="AY53" i="38"/>
  <c r="AY62" i="38"/>
  <c r="AY21" i="38"/>
  <c r="AY40" i="38"/>
  <c r="AY80" i="38"/>
  <c r="AY91" i="38" s="1"/>
  <c r="BJ9" i="84"/>
  <c r="BJ10" i="84"/>
  <c r="BJ11" i="84"/>
  <c r="AZ8" i="38"/>
  <c r="AZ6" i="15"/>
  <c r="BC6" i="8"/>
  <c r="AO12" i="29"/>
  <c r="AO40" i="29" s="1"/>
  <c r="BK5" i="84"/>
  <c r="BL4" i="84" s="1"/>
  <c r="BK2" i="84"/>
  <c r="BK6" i="84"/>
  <c r="BK3" i="84" s="1" a="1"/>
  <c r="BK3" i="84" s="1"/>
  <c r="BR8" i="84"/>
  <c r="BR7" i="84"/>
  <c r="E63" i="79"/>
  <c r="BJ12" i="84" l="1"/>
  <c r="AZ53" i="38"/>
  <c r="AZ62" i="38"/>
  <c r="AZ21" i="38"/>
  <c r="AZ40" i="38"/>
  <c r="AZ80" i="38"/>
  <c r="AZ91" i="38" s="1"/>
  <c r="BK10" i="84"/>
  <c r="BK11" i="84"/>
  <c r="BK9" i="84"/>
  <c r="BL5" i="84"/>
  <c r="BM4" i="84" s="1"/>
  <c r="BL6" i="84"/>
  <c r="BL3" i="84" s="1" a="1"/>
  <c r="BL3" i="84" s="1"/>
  <c r="BL2" i="84"/>
  <c r="F66" i="79"/>
  <c r="D65" i="79"/>
  <c r="BS8" i="84"/>
  <c r="BS7" i="84"/>
  <c r="E64" i="79"/>
  <c r="BA8" i="38"/>
  <c r="BD6" i="8"/>
  <c r="BA6" i="15"/>
  <c r="AP12" i="29"/>
  <c r="AP40" i="29" s="1"/>
  <c r="BA40" i="38" l="1"/>
  <c r="BA53" i="38"/>
  <c r="BA62" i="38"/>
  <c r="BA21" i="38"/>
  <c r="BA80" i="38"/>
  <c r="BA91" i="38" s="1"/>
  <c r="D66" i="79"/>
  <c r="F67" i="79"/>
  <c r="BK12" i="84"/>
  <c r="BL9" i="84"/>
  <c r="BL10" i="84"/>
  <c r="BL11" i="84"/>
  <c r="BB8" i="38"/>
  <c r="BE6" i="8"/>
  <c r="BB6" i="15"/>
  <c r="AQ12" i="29"/>
  <c r="AQ40" i="29" s="1"/>
  <c r="BT8" i="84"/>
  <c r="BT7" i="84"/>
  <c r="BM2" i="84"/>
  <c r="BM5" i="84"/>
  <c r="BN4" i="84" s="1"/>
  <c r="BM6" i="84"/>
  <c r="BM3" i="84" s="1" a="1"/>
  <c r="BM3" i="84" s="1"/>
  <c r="E65" i="79"/>
  <c r="BL12" i="84" l="1"/>
  <c r="E66" i="79"/>
  <c r="BN6" i="84"/>
  <c r="BN3" i="84" s="1" a="1"/>
  <c r="BN3" i="84" s="1"/>
  <c r="BN5" i="84"/>
  <c r="BO4" i="84" s="1"/>
  <c r="BN2" i="84"/>
  <c r="BC8" i="38"/>
  <c r="BC6" i="15"/>
  <c r="BF6" i="8"/>
  <c r="AR12" i="29"/>
  <c r="AR40" i="29" s="1"/>
  <c r="BM10" i="84"/>
  <c r="BM11" i="84"/>
  <c r="BM9" i="84"/>
  <c r="BM12" i="84" s="1"/>
  <c r="BU7" i="84"/>
  <c r="BU8" i="84"/>
  <c r="BB40" i="38"/>
  <c r="BB80" i="38"/>
  <c r="BB91" i="38" s="1"/>
  <c r="BB53" i="38"/>
  <c r="BB62" i="38"/>
  <c r="BB21" i="38"/>
  <c r="F68" i="79"/>
  <c r="D67" i="79"/>
  <c r="BC21" i="38" l="1"/>
  <c r="BC40" i="38"/>
  <c r="BC53" i="38"/>
  <c r="BC62" i="38"/>
  <c r="BC80" i="38"/>
  <c r="BC91" i="38" s="1"/>
  <c r="E67" i="79"/>
  <c r="F69" i="79"/>
  <c r="D68" i="79"/>
  <c r="BV8" i="84"/>
  <c r="BV7" i="84"/>
  <c r="BO2" i="84"/>
  <c r="BO6" i="84"/>
  <c r="BO3" i="84" s="1" a="1"/>
  <c r="BO3" i="84" s="1"/>
  <c r="BO5" i="84"/>
  <c r="BP4" i="84" s="1"/>
  <c r="BN9" i="84"/>
  <c r="BN10" i="84"/>
  <c r="BN11" i="84"/>
  <c r="BD8" i="38"/>
  <c r="BG6" i="8"/>
  <c r="BD6" i="15"/>
  <c r="AS12" i="29"/>
  <c r="AS40" i="29" s="1"/>
  <c r="BO10" i="84" l="1"/>
  <c r="BO9" i="84"/>
  <c r="BO11" i="84"/>
  <c r="BE8" i="38"/>
  <c r="BE6" i="15"/>
  <c r="BH6" i="8"/>
  <c r="AT12" i="29"/>
  <c r="AT40" i="29" s="1"/>
  <c r="BP2" i="84"/>
  <c r="BP6" i="84"/>
  <c r="BP3" i="84" s="1" a="1"/>
  <c r="BP3" i="84" s="1"/>
  <c r="BP5" i="84"/>
  <c r="BQ4" i="84" s="1"/>
  <c r="BD21" i="38"/>
  <c r="BD40" i="38"/>
  <c r="BD53" i="38"/>
  <c r="BD62" i="38"/>
  <c r="BD80" i="38"/>
  <c r="BD91" i="38" s="1"/>
  <c r="BW7" i="84"/>
  <c r="BW8" i="84"/>
  <c r="E68" i="79"/>
  <c r="BN12" i="84"/>
  <c r="F70" i="79"/>
  <c r="D69" i="79"/>
  <c r="BO12" i="84" l="1"/>
  <c r="BF8" i="38"/>
  <c r="BF6" i="15"/>
  <c r="BI6" i="8"/>
  <c r="AU12" i="29"/>
  <c r="AU40" i="29" s="1"/>
  <c r="BX8" i="84"/>
  <c r="BX7" i="84"/>
  <c r="BE62" i="38"/>
  <c r="BE21" i="38"/>
  <c r="BE40" i="38"/>
  <c r="BE53" i="38"/>
  <c r="BE80" i="38"/>
  <c r="BE91" i="38" s="1"/>
  <c r="E69" i="79"/>
  <c r="F71" i="79"/>
  <c r="D70" i="79"/>
  <c r="BQ2" i="84"/>
  <c r="BQ5" i="84"/>
  <c r="BR4" i="84" s="1"/>
  <c r="BQ6" i="84"/>
  <c r="BQ3" i="84" s="1" a="1"/>
  <c r="BQ3" i="84" s="1"/>
  <c r="BP10" i="84"/>
  <c r="BP9" i="84"/>
  <c r="BP11" i="84"/>
  <c r="BP12" i="84" l="1"/>
  <c r="BR5" i="84"/>
  <c r="BS4" i="84" s="1"/>
  <c r="BR2" i="84"/>
  <c r="BR6" i="84"/>
  <c r="BR3" i="84" s="1" a="1"/>
  <c r="BR3" i="84" s="1"/>
  <c r="E70" i="79"/>
  <c r="BG6" i="15"/>
  <c r="BG8" i="38"/>
  <c r="AV12" i="29"/>
  <c r="AV40" i="29" s="1"/>
  <c r="BJ6" i="8"/>
  <c r="F72" i="79"/>
  <c r="D71" i="79"/>
  <c r="BF53" i="38"/>
  <c r="BF62" i="38"/>
  <c r="BF21" i="38"/>
  <c r="BF40" i="38"/>
  <c r="BF80" i="38"/>
  <c r="BF91" i="38" s="1"/>
  <c r="BQ9" i="84"/>
  <c r="BQ11" i="84"/>
  <c r="BQ10" i="84"/>
  <c r="BY7" i="84"/>
  <c r="BY8" i="84"/>
  <c r="BG53" i="38" l="1"/>
  <c r="BG62" i="38"/>
  <c r="BG21" i="38"/>
  <c r="BG40" i="38"/>
  <c r="BG80" i="38"/>
  <c r="BG91" i="38" s="1"/>
  <c r="E71" i="79"/>
  <c r="BH8" i="38"/>
  <c r="BH6" i="15"/>
  <c r="BK6" i="8"/>
  <c r="AW12" i="29"/>
  <c r="AW40" i="29" s="1"/>
  <c r="D72" i="79"/>
  <c r="F73" i="79"/>
  <c r="BQ12" i="84"/>
  <c r="BR9" i="84"/>
  <c r="BR10" i="84"/>
  <c r="BR11" i="84"/>
  <c r="BZ7" i="84"/>
  <c r="BZ8" i="84"/>
  <c r="BS2" i="84"/>
  <c r="BS6" i="84"/>
  <c r="BS3" i="84" s="1" a="1"/>
  <c r="BS3" i="84" s="1"/>
  <c r="BS5" i="84"/>
  <c r="BT4" i="84" s="1"/>
  <c r="BR12" i="84" l="1"/>
  <c r="F74" i="79"/>
  <c r="D73" i="79"/>
  <c r="E72" i="79"/>
  <c r="BT5" i="84"/>
  <c r="BU4" i="84" s="1"/>
  <c r="BT2" i="84"/>
  <c r="BT6" i="84"/>
  <c r="BT3" i="84" s="1" a="1"/>
  <c r="BT3" i="84" s="1"/>
  <c r="BI8" i="38"/>
  <c r="BL6" i="8"/>
  <c r="BI6" i="15"/>
  <c r="AX12" i="29"/>
  <c r="AX40" i="29" s="1"/>
  <c r="BH53" i="38"/>
  <c r="BH62" i="38"/>
  <c r="BH21" i="38"/>
  <c r="BH40" i="38"/>
  <c r="BH80" i="38"/>
  <c r="BH91" i="38" s="1"/>
  <c r="BS9" i="84"/>
  <c r="BS11" i="84"/>
  <c r="BS10" i="84"/>
  <c r="CA8" i="84"/>
  <c r="CA7" i="84"/>
  <c r="BS12" i="84" l="1"/>
  <c r="BI40" i="38"/>
  <c r="BI53" i="38"/>
  <c r="BI62" i="38"/>
  <c r="BI21" i="38"/>
  <c r="BI80" i="38"/>
  <c r="BI91" i="38" s="1"/>
  <c r="CB7" i="84"/>
  <c r="CB8" i="84"/>
  <c r="E73" i="79"/>
  <c r="BT9" i="84"/>
  <c r="BT10" i="84"/>
  <c r="BT11" i="84"/>
  <c r="D74" i="79"/>
  <c r="F75" i="79"/>
  <c r="BJ8" i="38"/>
  <c r="BM6" i="8"/>
  <c r="BJ6" i="15"/>
  <c r="AY12" i="29"/>
  <c r="AY40" i="29" s="1"/>
  <c r="BU2" i="84"/>
  <c r="BU5" i="84"/>
  <c r="BV4" i="84" s="1"/>
  <c r="BU6" i="84"/>
  <c r="BU3" i="84" s="1" a="1"/>
  <c r="BU3" i="84" s="1"/>
  <c r="BT12" i="84" l="1"/>
  <c r="BJ40" i="38"/>
  <c r="BJ80" i="38"/>
  <c r="BJ91" i="38" s="1"/>
  <c r="BJ53" i="38"/>
  <c r="BJ62" i="38"/>
  <c r="BJ21" i="38"/>
  <c r="E74" i="79"/>
  <c r="BU9" i="84"/>
  <c r="BU11" i="84"/>
  <c r="BU10" i="84"/>
  <c r="BV6" i="84"/>
  <c r="BV3" i="84" s="1" a="1"/>
  <c r="BV3" i="84" s="1"/>
  <c r="BV5" i="84"/>
  <c r="BW4" i="84" s="1"/>
  <c r="BV2" i="84"/>
  <c r="BK8" i="38"/>
  <c r="BN6" i="8"/>
  <c r="AZ12" i="29"/>
  <c r="AZ40" i="29" s="1"/>
  <c r="CC8" i="84"/>
  <c r="CC7" i="84"/>
  <c r="F76" i="79"/>
  <c r="D75" i="79"/>
  <c r="E75" i="79" l="1"/>
  <c r="BU12" i="84"/>
  <c r="BK21" i="38"/>
  <c r="BK40" i="38"/>
  <c r="BK53" i="38"/>
  <c r="BK62" i="38"/>
  <c r="BK80" i="38"/>
  <c r="BK91" i="38" s="1"/>
  <c r="F77" i="79"/>
  <c r="D76" i="79"/>
  <c r="CD7" i="84"/>
  <c r="CD8" i="84"/>
  <c r="BW5" i="84"/>
  <c r="BX4" i="84" s="1"/>
  <c r="BW6" i="84"/>
  <c r="BW3" i="84" s="1" a="1"/>
  <c r="BW3" i="84" s="1"/>
  <c r="BW2" i="84"/>
  <c r="BV9" i="84"/>
  <c r="BV10" i="84"/>
  <c r="BV11" i="84"/>
  <c r="BV12" i="84" l="1"/>
  <c r="E76" i="79"/>
  <c r="F78" i="79"/>
  <c r="D77" i="79"/>
  <c r="CE7" i="84"/>
  <c r="CE8" i="84"/>
  <c r="BW9" i="84"/>
  <c r="BW10" i="84"/>
  <c r="BW11" i="84"/>
  <c r="BX2" i="84"/>
  <c r="BX6" i="84"/>
  <c r="BX3" i="84" s="1" a="1"/>
  <c r="BX3" i="84" s="1"/>
  <c r="BX5" i="84"/>
  <c r="BY4" i="84" s="1"/>
  <c r="BW12" i="84" l="1"/>
  <c r="BX10" i="84"/>
  <c r="BX9" i="84"/>
  <c r="BX11" i="84"/>
  <c r="E77" i="79"/>
  <c r="BY2" i="84"/>
  <c r="BY6" i="84"/>
  <c r="BY3" i="84" s="1" a="1"/>
  <c r="BY3" i="84" s="1"/>
  <c r="BY5" i="84"/>
  <c r="BZ4" i="84" s="1"/>
  <c r="CF8" i="84"/>
  <c r="CF7" i="84"/>
  <c r="F79" i="79"/>
  <c r="D78" i="79"/>
  <c r="F80" i="79" l="1"/>
  <c r="D79" i="79"/>
  <c r="BY11" i="84"/>
  <c r="BY10" i="84"/>
  <c r="BY9" i="84"/>
  <c r="BZ2" i="84"/>
  <c r="BZ6" i="84"/>
  <c r="BZ3" i="84" s="1" a="1"/>
  <c r="BZ3" i="84" s="1"/>
  <c r="BZ5" i="84"/>
  <c r="CA4" i="84" s="1"/>
  <c r="CG7" i="84"/>
  <c r="CG8" i="84"/>
  <c r="E78" i="79"/>
  <c r="BX12" i="84"/>
  <c r="CA5" i="84" l="1"/>
  <c r="CB4" i="84" s="1"/>
  <c r="CA2" i="84"/>
  <c r="CA6" i="84"/>
  <c r="CA3" i="84" s="1" a="1"/>
  <c r="CA3" i="84" s="1"/>
  <c r="BY12" i="84"/>
  <c r="E79" i="79"/>
  <c r="BZ9" i="84"/>
  <c r="BZ10" i="84"/>
  <c r="BZ11" i="84"/>
  <c r="D80" i="79"/>
  <c r="F81" i="79"/>
  <c r="CH7" i="84"/>
  <c r="CH8" i="84"/>
  <c r="F82" i="79" l="1"/>
  <c r="D81" i="79"/>
  <c r="E80" i="79"/>
  <c r="CI7" i="84"/>
  <c r="CI8" i="84"/>
  <c r="BZ12" i="84"/>
  <c r="CA10" i="84"/>
  <c r="CA11" i="84"/>
  <c r="CA9" i="84"/>
  <c r="CB2" i="84"/>
  <c r="CB6" i="84"/>
  <c r="CB3" i="84" s="1" a="1"/>
  <c r="CB3" i="84" s="1"/>
  <c r="CB5" i="84"/>
  <c r="CC4" i="84" s="1"/>
  <c r="CJ8" i="84" l="1"/>
  <c r="CJ7" i="84"/>
  <c r="CA12" i="84"/>
  <c r="CC2" i="84"/>
  <c r="CC5" i="84"/>
  <c r="CD4" i="84" s="1"/>
  <c r="CC6" i="84"/>
  <c r="CC3" i="84" s="1" a="1"/>
  <c r="CC3" i="84" s="1"/>
  <c r="E81" i="79"/>
  <c r="CB9" i="84"/>
  <c r="CB10" i="84"/>
  <c r="CB11" i="84"/>
  <c r="D82" i="79"/>
  <c r="F83" i="79"/>
  <c r="F84" i="79" l="1"/>
  <c r="D83" i="79"/>
  <c r="CB12" i="84"/>
  <c r="E82" i="79"/>
  <c r="CC10" i="84"/>
  <c r="CC11" i="84"/>
  <c r="CC9" i="84"/>
  <c r="CD6" i="84"/>
  <c r="CD3" i="84" s="1" a="1"/>
  <c r="CD3" i="84" s="1"/>
  <c r="CD5" i="84"/>
  <c r="CE4" i="84" s="1"/>
  <c r="CD2" i="84"/>
  <c r="CK8" i="84"/>
  <c r="CK7" i="84"/>
  <c r="CD9" i="84" l="1"/>
  <c r="CD10" i="84"/>
  <c r="CD11" i="84"/>
  <c r="CC12" i="84"/>
  <c r="CL8" i="84"/>
  <c r="CL7" i="84"/>
  <c r="E83" i="79"/>
  <c r="F85" i="79"/>
  <c r="D84" i="79"/>
  <c r="CE5" i="84"/>
  <c r="CF4" i="84" s="1"/>
  <c r="CE2" i="84"/>
  <c r="CE6" i="84"/>
  <c r="CE3" i="84" s="1" a="1"/>
  <c r="CE3" i="84" s="1"/>
  <c r="CF5" i="84" l="1"/>
  <c r="CG4" i="84" s="1"/>
  <c r="CF2" i="84"/>
  <c r="CF6" i="84"/>
  <c r="CF3" i="84" s="1" a="1"/>
  <c r="CF3" i="84" s="1"/>
  <c r="E84" i="79"/>
  <c r="CD12" i="84"/>
  <c r="CE9" i="84"/>
  <c r="CE10" i="84"/>
  <c r="CE11" i="84"/>
  <c r="F86" i="79"/>
  <c r="D85" i="79"/>
  <c r="CM7" i="84"/>
  <c r="CM8" i="84"/>
  <c r="CE12" i="84" l="1"/>
  <c r="E85" i="79"/>
  <c r="CG2" i="84"/>
  <c r="CG6" i="84"/>
  <c r="CG3" i="84" s="1" a="1"/>
  <c r="CG3" i="84" s="1"/>
  <c r="CG5" i="84"/>
  <c r="CH4" i="84" s="1"/>
  <c r="F87" i="79"/>
  <c r="D86" i="79"/>
  <c r="CN8" i="84"/>
  <c r="CN7" i="84"/>
  <c r="CF9" i="84"/>
  <c r="CF10" i="84"/>
  <c r="CF11" i="84"/>
  <c r="E86" i="79" l="1"/>
  <c r="D87" i="79"/>
  <c r="F88" i="79"/>
  <c r="G87" i="79"/>
  <c r="CO8" i="84"/>
  <c r="CO7" i="84"/>
  <c r="CH2" i="84"/>
  <c r="CH6" i="84"/>
  <c r="CH3" i="84" s="1" a="1"/>
  <c r="CH3" i="84" s="1"/>
  <c r="CH5" i="84"/>
  <c r="CI4" i="84" s="1"/>
  <c r="CG11" i="84"/>
  <c r="CG9" i="84"/>
  <c r="CG10" i="84"/>
  <c r="CF12" i="84"/>
  <c r="CG12" i="84" l="1"/>
  <c r="F89" i="79"/>
  <c r="D88" i="79"/>
  <c r="G88" i="79"/>
  <c r="CI2" i="84"/>
  <c r="CI5" i="84"/>
  <c r="CJ4" i="84" s="1"/>
  <c r="CI6" i="84"/>
  <c r="CI3" i="84" s="1" a="1"/>
  <c r="CI3" i="84" s="1"/>
  <c r="CH9" i="84"/>
  <c r="CH10" i="84"/>
  <c r="CH11" i="84"/>
  <c r="E87" i="79"/>
  <c r="CP7" i="84"/>
  <c r="CP8" i="84"/>
  <c r="CJ5" i="84" l="1"/>
  <c r="CK4" i="84" s="1"/>
  <c r="CJ2" i="84"/>
  <c r="CJ6" i="84"/>
  <c r="CJ3" i="84" s="1" a="1"/>
  <c r="CJ3" i="84" s="1"/>
  <c r="E88" i="79"/>
  <c r="F90" i="79"/>
  <c r="D89" i="79"/>
  <c r="G89" i="79"/>
  <c r="CQ7" i="84"/>
  <c r="CQ8" i="84"/>
  <c r="CH12" i="84"/>
  <c r="CI11" i="84"/>
  <c r="CI9" i="84"/>
  <c r="CI10" i="84"/>
  <c r="CK2" i="84" l="1"/>
  <c r="CK5" i="84"/>
  <c r="CL4" i="84" s="1"/>
  <c r="CK6" i="84"/>
  <c r="CK3" i="84" s="1" a="1"/>
  <c r="CK3" i="84" s="1"/>
  <c r="CI12" i="84"/>
  <c r="E89" i="79"/>
  <c r="CJ9" i="84"/>
  <c r="CJ10" i="84"/>
  <c r="CJ11" i="84"/>
  <c r="CR7" i="84"/>
  <c r="CR8" i="84"/>
  <c r="F91" i="79"/>
  <c r="D90" i="79"/>
  <c r="G90" i="79"/>
  <c r="CJ12" i="84" l="1"/>
  <c r="E90" i="79"/>
  <c r="F92" i="79"/>
  <c r="D91" i="79"/>
  <c r="G91" i="79"/>
  <c r="CS8" i="84"/>
  <c r="CS7" i="84"/>
  <c r="CK10" i="84"/>
  <c r="CK9" i="84"/>
  <c r="CK11" i="84"/>
  <c r="CL6" i="84"/>
  <c r="CL3" i="84" s="1" a="1"/>
  <c r="CL3" i="84" s="1"/>
  <c r="CL2" i="84"/>
  <c r="CL5" i="84"/>
  <c r="CM4" i="84" s="1"/>
  <c r="CK12" i="84" l="1"/>
  <c r="E91" i="79"/>
  <c r="F93" i="79"/>
  <c r="D92" i="79"/>
  <c r="G92" i="79"/>
  <c r="CM5" i="84"/>
  <c r="CN4" i="84" s="1"/>
  <c r="CM2" i="84"/>
  <c r="CM6" i="84"/>
  <c r="CM3" i="84" s="1" a="1"/>
  <c r="CM3" i="84" s="1"/>
  <c r="CL9" i="84"/>
  <c r="CL10" i="84"/>
  <c r="CL11" i="84"/>
  <c r="CT7" i="84"/>
  <c r="CT8" i="84"/>
  <c r="CL12" i="84" l="1"/>
  <c r="CU7" i="84"/>
  <c r="CU8" i="84"/>
  <c r="CM10" i="84"/>
  <c r="CM9" i="84"/>
  <c r="CM11" i="84"/>
  <c r="D93" i="79"/>
  <c r="F94" i="79"/>
  <c r="G93" i="79"/>
  <c r="CN5" i="84"/>
  <c r="CO4" i="84" s="1"/>
  <c r="CN2" i="84"/>
  <c r="CN6" i="84"/>
  <c r="CN3" i="84" s="1" a="1"/>
  <c r="CN3" i="84" s="1"/>
  <c r="E92" i="79"/>
  <c r="CM12" i="84" l="1"/>
  <c r="CO5" i="84"/>
  <c r="CP4" i="84" s="1"/>
  <c r="CO6" i="84"/>
  <c r="CO3" i="84" s="1" a="1"/>
  <c r="CO3" i="84" s="1"/>
  <c r="CO2" i="84"/>
  <c r="E93" i="79"/>
  <c r="CV8" i="84"/>
  <c r="CV7" i="84"/>
  <c r="CN10" i="84"/>
  <c r="CN11" i="84"/>
  <c r="CN9" i="84"/>
  <c r="F95" i="79"/>
  <c r="D94" i="79"/>
  <c r="G94" i="79"/>
  <c r="CW7" i="84" l="1"/>
  <c r="CW8" i="84"/>
  <c r="D95" i="79"/>
  <c r="F96" i="79"/>
  <c r="G95" i="79"/>
  <c r="E94" i="79"/>
  <c r="CN12" i="84"/>
  <c r="CO11" i="84"/>
  <c r="CO10" i="84"/>
  <c r="CO9" i="84"/>
  <c r="CP2" i="84"/>
  <c r="CP6" i="84"/>
  <c r="CP3" i="84" s="1" a="1"/>
  <c r="CP3" i="84" s="1"/>
  <c r="CP5" i="84"/>
  <c r="CQ4" i="84" s="1"/>
  <c r="E95" i="79" l="1"/>
  <c r="CP9" i="84"/>
  <c r="CP10" i="84"/>
  <c r="CP11" i="84"/>
  <c r="CX8" i="84"/>
  <c r="CX7" i="84"/>
  <c r="CQ2" i="84"/>
  <c r="CQ6" i="84"/>
  <c r="CQ3" i="84" s="1" a="1"/>
  <c r="CQ3" i="84" s="1"/>
  <c r="CQ5" i="84"/>
  <c r="CR4" i="84" s="1"/>
  <c r="F97" i="79"/>
  <c r="D96" i="79"/>
  <c r="G96" i="79"/>
  <c r="CO12" i="84"/>
  <c r="CP12" i="84" l="1"/>
  <c r="CY7" i="84"/>
  <c r="CY8" i="84"/>
  <c r="E96" i="79"/>
  <c r="F98" i="79"/>
  <c r="D97" i="79"/>
  <c r="G97" i="79"/>
  <c r="CR2" i="84"/>
  <c r="CR6" i="84"/>
  <c r="CR3" i="84" s="1" a="1"/>
  <c r="CR3" i="84" s="1"/>
  <c r="CR5" i="84"/>
  <c r="CS4" i="84" s="1"/>
  <c r="CQ9" i="84"/>
  <c r="CQ11" i="84"/>
  <c r="CQ10" i="84"/>
  <c r="CQ12" i="84" l="1"/>
  <c r="E97" i="79"/>
  <c r="F99" i="79"/>
  <c r="D98" i="79"/>
  <c r="G98" i="79"/>
  <c r="CZ7" i="84"/>
  <c r="CZ8" i="84"/>
  <c r="CS2" i="84"/>
  <c r="CS5" i="84"/>
  <c r="CT4" i="84" s="1"/>
  <c r="CS6" i="84"/>
  <c r="CS3" i="84" s="1" a="1"/>
  <c r="CS3" i="84" s="1"/>
  <c r="CR9" i="84"/>
  <c r="CR11" i="84"/>
  <c r="CR10" i="84"/>
  <c r="CR12" i="84" l="1"/>
  <c r="E98" i="79"/>
  <c r="DA7" i="84"/>
  <c r="DA8" i="84"/>
  <c r="F100" i="79"/>
  <c r="D99" i="79"/>
  <c r="G99" i="79"/>
  <c r="CS9" i="84"/>
  <c r="CS11" i="84"/>
  <c r="CS10" i="84"/>
  <c r="CT6" i="84"/>
  <c r="CT3" i="84" s="1" a="1"/>
  <c r="CT3" i="84" s="1"/>
  <c r="CT5" i="84"/>
  <c r="CU4" i="84" s="1"/>
  <c r="CT2" i="84"/>
  <c r="CU2" i="84" l="1"/>
  <c r="CU6" i="84"/>
  <c r="CU3" i="84" s="1" a="1"/>
  <c r="CU3" i="84" s="1"/>
  <c r="CU5" i="84"/>
  <c r="CV4" i="84" s="1"/>
  <c r="CS12" i="84"/>
  <c r="E99" i="79"/>
  <c r="F101" i="79"/>
  <c r="D100" i="79"/>
  <c r="G100" i="79"/>
  <c r="CT9" i="84"/>
  <c r="CT10" i="84"/>
  <c r="CT11" i="84"/>
  <c r="DB8" i="84"/>
  <c r="DB7" i="84"/>
  <c r="D101" i="79" l="1"/>
  <c r="F102" i="79"/>
  <c r="G101" i="79"/>
  <c r="CV5" i="84"/>
  <c r="CW4" i="84" s="1"/>
  <c r="CV2" i="84"/>
  <c r="CV6" i="84"/>
  <c r="CV3" i="84" s="1" a="1"/>
  <c r="CV3" i="84" s="1"/>
  <c r="CU9" i="84"/>
  <c r="CU11" i="84"/>
  <c r="CU10" i="84"/>
  <c r="DC7" i="84"/>
  <c r="DC8" i="84"/>
  <c r="E100" i="79"/>
  <c r="CT12" i="84"/>
  <c r="CU12" i="84" l="1"/>
  <c r="CV10" i="84"/>
  <c r="CV9" i="84"/>
  <c r="CV11" i="84"/>
  <c r="CW5" i="84"/>
  <c r="CX4" i="84" s="1"/>
  <c r="CW6" i="84"/>
  <c r="CW3" i="84" s="1" a="1"/>
  <c r="CW3" i="84" s="1"/>
  <c r="CW2" i="84"/>
  <c r="F103" i="79"/>
  <c r="D102" i="79"/>
  <c r="G102" i="79"/>
  <c r="DD8" i="84"/>
  <c r="DD7" i="84"/>
  <c r="E101" i="79"/>
  <c r="CV12" i="84" l="1"/>
  <c r="CW11" i="84"/>
  <c r="CW10" i="84"/>
  <c r="CW9" i="84"/>
  <c r="CX5" i="84"/>
  <c r="CY4" i="84" s="1"/>
  <c r="CX2" i="84"/>
  <c r="CX6" i="84"/>
  <c r="CX3" i="84" s="1" a="1"/>
  <c r="CX3" i="84" s="1"/>
  <c r="DE8" i="84"/>
  <c r="DE7" i="84"/>
  <c r="E102" i="79"/>
  <c r="D103" i="79"/>
  <c r="F104" i="79"/>
  <c r="G103" i="79"/>
  <c r="CW12" i="84" l="1"/>
  <c r="CY2" i="84"/>
  <c r="CY6" i="84"/>
  <c r="CY3" i="84" s="1" a="1"/>
  <c r="CY3" i="84" s="1"/>
  <c r="CY5" i="84"/>
  <c r="CZ4" i="84" s="1"/>
  <c r="DF7" i="84"/>
  <c r="DF8" i="84"/>
  <c r="F105" i="79"/>
  <c r="D104" i="79"/>
  <c r="G104" i="79"/>
  <c r="CX9" i="84"/>
  <c r="CX10" i="84"/>
  <c r="CX11" i="84"/>
  <c r="E103" i="79"/>
  <c r="CX12" i="84" l="1"/>
  <c r="E104" i="79"/>
  <c r="F106" i="79"/>
  <c r="D105" i="79"/>
  <c r="G105" i="79"/>
  <c r="CZ2" i="84"/>
  <c r="CZ6" i="84"/>
  <c r="CZ3" i="84" s="1" a="1"/>
  <c r="CZ3" i="84" s="1"/>
  <c r="CZ5" i="84"/>
  <c r="DA4" i="84" s="1"/>
  <c r="CY10" i="84"/>
  <c r="CY11" i="84"/>
  <c r="CY9" i="84"/>
  <c r="DG8" i="84"/>
  <c r="DG7" i="84"/>
  <c r="CY12" i="84" l="1"/>
  <c r="DH7" i="84"/>
  <c r="DH8" i="84"/>
  <c r="E105" i="79"/>
  <c r="DA2" i="84"/>
  <c r="DA5" i="84"/>
  <c r="DB4" i="84" s="1"/>
  <c r="DA6" i="84"/>
  <c r="DA3" i="84" s="1" a="1"/>
  <c r="DA3" i="84" s="1"/>
  <c r="F107" i="79"/>
  <c r="D106" i="79"/>
  <c r="G106" i="79"/>
  <c r="CZ9" i="84"/>
  <c r="CZ10" i="84"/>
  <c r="CZ11" i="84"/>
  <c r="CZ12" i="84" l="1"/>
  <c r="F108" i="79"/>
  <c r="D107" i="79"/>
  <c r="G107" i="79"/>
  <c r="DA10" i="84"/>
  <c r="DA11" i="84"/>
  <c r="DA9" i="84"/>
  <c r="DB6" i="84"/>
  <c r="DB3" i="84" s="1" a="1"/>
  <c r="DB3" i="84" s="1"/>
  <c r="DB2" i="84"/>
  <c r="DB5" i="84"/>
  <c r="DC4" i="84" s="1"/>
  <c r="DI7" i="84"/>
  <c r="DI8" i="84"/>
  <c r="E106" i="79"/>
  <c r="DA12" i="84" l="1"/>
  <c r="DJ7" i="84"/>
  <c r="DJ8" i="84"/>
  <c r="E107" i="79"/>
  <c r="DC5" i="84"/>
  <c r="DD4" i="84" s="1"/>
  <c r="DC2" i="84"/>
  <c r="DC6" i="84"/>
  <c r="DC3" i="84" s="1" a="1"/>
  <c r="DC3" i="84" s="1"/>
  <c r="F109" i="79"/>
  <c r="D108" i="79"/>
  <c r="G108" i="79"/>
  <c r="DB9" i="84"/>
  <c r="DB10" i="84"/>
  <c r="DB11" i="84"/>
  <c r="DB12" i="84" l="1"/>
  <c r="DD2" i="84"/>
  <c r="DD6" i="84"/>
  <c r="DD3" i="84" s="1" a="1"/>
  <c r="DD3" i="84" s="1"/>
  <c r="DD5" i="84"/>
  <c r="DE4" i="84" s="1"/>
  <c r="E108" i="79"/>
  <c r="D109" i="79"/>
  <c r="F110" i="79"/>
  <c r="G109" i="79"/>
  <c r="DC9" i="84"/>
  <c r="DC11" i="84"/>
  <c r="DC10" i="84"/>
  <c r="DC12" i="84" l="1"/>
  <c r="DE5" i="84"/>
  <c r="DF4" i="84" s="1"/>
  <c r="DE2" i="84"/>
  <c r="DE6" i="84"/>
  <c r="DE3" i="84" s="1" a="1"/>
  <c r="DE3" i="84" s="1"/>
  <c r="DD9" i="84"/>
  <c r="DD10" i="84"/>
  <c r="DD11" i="84"/>
  <c r="F111" i="79"/>
  <c r="D110" i="79"/>
  <c r="G110" i="79"/>
  <c r="E109" i="79"/>
  <c r="D111" i="79" l="1"/>
  <c r="F112" i="79"/>
  <c r="G111" i="79"/>
  <c r="DE10" i="84"/>
  <c r="DE11" i="84"/>
  <c r="DE9" i="84"/>
  <c r="DF5" i="84"/>
  <c r="DG4" i="84" s="1"/>
  <c r="DF2" i="84"/>
  <c r="DF6" i="84"/>
  <c r="DF3" i="84" s="1" a="1"/>
  <c r="DF3" i="84" s="1"/>
  <c r="DD12" i="84"/>
  <c r="E110" i="79"/>
  <c r="DE12" i="84" l="1"/>
  <c r="F113" i="79"/>
  <c r="D112" i="79"/>
  <c r="G112" i="79"/>
  <c r="DF9" i="84"/>
  <c r="DF10" i="84"/>
  <c r="DF11" i="84"/>
  <c r="E111" i="79"/>
  <c r="DG5" i="84"/>
  <c r="DH4" i="84" s="1"/>
  <c r="DG6" i="84"/>
  <c r="DG3" i="84" s="1" a="1"/>
  <c r="DG3" i="84" s="1"/>
  <c r="DG2" i="84"/>
  <c r="DF12" i="84" l="1"/>
  <c r="E112" i="79"/>
  <c r="F114" i="79"/>
  <c r="D113" i="79"/>
  <c r="G113" i="79"/>
  <c r="DG9" i="84"/>
  <c r="DG10" i="84"/>
  <c r="DG11" i="84"/>
  <c r="DH2" i="84"/>
  <c r="DH6" i="84"/>
  <c r="DH3" i="84" s="1" a="1"/>
  <c r="DH3" i="84" s="1"/>
  <c r="DH5" i="84"/>
  <c r="DI4" i="84" s="1"/>
  <c r="DI2" i="84" l="1"/>
  <c r="DI5" i="84"/>
  <c r="DJ4" i="84" s="1"/>
  <c r="DI6" i="84"/>
  <c r="DI3" i="84" s="1" a="1"/>
  <c r="DI3" i="84" s="1"/>
  <c r="DH9" i="84"/>
  <c r="DH10" i="84"/>
  <c r="DH11" i="84"/>
  <c r="E113" i="79"/>
  <c r="F115" i="79"/>
  <c r="D114" i="79"/>
  <c r="G114" i="79"/>
  <c r="DG12" i="84"/>
  <c r="DH12" i="84" l="1"/>
  <c r="E114" i="79"/>
  <c r="DI9" i="84"/>
  <c r="DI10" i="84"/>
  <c r="DI11" i="84"/>
  <c r="F116" i="79"/>
  <c r="D115" i="79"/>
  <c r="G115" i="79"/>
  <c r="DJ6" i="84"/>
  <c r="DJ3" i="84" s="1" a="1"/>
  <c r="DJ3" i="84" s="1"/>
  <c r="DJ2" i="84"/>
  <c r="DJ5" i="84"/>
  <c r="E115" i="79" l="1"/>
  <c r="F117" i="79"/>
  <c r="D116" i="79"/>
  <c r="G116" i="79"/>
  <c r="DJ9" i="84"/>
  <c r="DJ10" i="84"/>
  <c r="DJ11" i="84"/>
  <c r="DI12" i="84"/>
  <c r="DJ12" i="84" l="1"/>
  <c r="E116" i="79"/>
  <c r="D117" i="79"/>
  <c r="F118" i="79"/>
  <c r="G117" i="79"/>
  <c r="F119" i="79" l="1"/>
  <c r="D118" i="79"/>
  <c r="G118" i="79"/>
  <c r="E117" i="79"/>
  <c r="E118" i="79" l="1"/>
  <c r="D119" i="79"/>
  <c r="F120" i="79"/>
  <c r="G119" i="79"/>
  <c r="F121" i="79" l="1"/>
  <c r="D120" i="79"/>
  <c r="G120" i="79"/>
  <c r="E119" i="79"/>
  <c r="E120" i="79" l="1"/>
  <c r="F122" i="79"/>
  <c r="D121" i="79"/>
  <c r="G121" i="79"/>
  <c r="E121" i="79" l="1"/>
  <c r="F123" i="79"/>
  <c r="D122" i="79"/>
  <c r="G122" i="79"/>
  <c r="F124" i="79" l="1"/>
  <c r="D123" i="79"/>
  <c r="G123" i="79"/>
  <c r="E122" i="79"/>
  <c r="E123" i="79" l="1"/>
  <c r="F125" i="79"/>
  <c r="D124" i="79"/>
  <c r="G124" i="79"/>
  <c r="E124" i="79" l="1"/>
  <c r="D125" i="79"/>
  <c r="F126" i="79"/>
  <c r="G125" i="79"/>
  <c r="F127" i="79" l="1"/>
  <c r="D126" i="79"/>
  <c r="G126" i="79"/>
  <c r="E125" i="79"/>
  <c r="E126" i="79" l="1"/>
  <c r="D127" i="79"/>
  <c r="F128" i="79"/>
  <c r="G127" i="79"/>
  <c r="F129" i="79" l="1"/>
  <c r="D128" i="79"/>
  <c r="G128" i="79"/>
  <c r="E127" i="79"/>
  <c r="E128" i="79" l="1"/>
  <c r="F130" i="79"/>
  <c r="D129" i="79"/>
  <c r="G129" i="79"/>
  <c r="E129" i="79" l="1"/>
  <c r="F131" i="79"/>
  <c r="D130" i="79"/>
  <c r="G130" i="79"/>
  <c r="E130" i="79" l="1"/>
  <c r="F132" i="79"/>
  <c r="D131" i="79"/>
  <c r="G131" i="79"/>
  <c r="E131" i="79" l="1"/>
  <c r="F133" i="79"/>
  <c r="D132" i="79"/>
  <c r="G132" i="79"/>
  <c r="E132" i="79" l="1"/>
  <c r="D133" i="79"/>
  <c r="F134" i="79"/>
  <c r="G133" i="79"/>
  <c r="F135" i="79" l="1"/>
  <c r="D134" i="79"/>
  <c r="G134" i="79"/>
  <c r="E133" i="79"/>
  <c r="E134" i="79" l="1"/>
  <c r="D135" i="79"/>
  <c r="F136" i="79"/>
  <c r="G135" i="79"/>
  <c r="F137" i="79" l="1"/>
  <c r="D136" i="79"/>
  <c r="G136" i="79"/>
  <c r="E135" i="79"/>
  <c r="E136" i="79" l="1"/>
  <c r="F138" i="79"/>
  <c r="D137" i="79"/>
  <c r="G137" i="79"/>
  <c r="E137" i="79" l="1"/>
  <c r="F139" i="79"/>
  <c r="D138" i="79"/>
  <c r="G138" i="79"/>
  <c r="F140" i="79" l="1"/>
  <c r="D139" i="79"/>
  <c r="G139" i="79"/>
  <c r="E138" i="79"/>
  <c r="E139" i="79" l="1"/>
  <c r="F141" i="79"/>
  <c r="D140" i="79"/>
  <c r="G140" i="79"/>
  <c r="D141" i="79" l="1"/>
  <c r="F142" i="79"/>
  <c r="G141" i="79"/>
  <c r="E140" i="79"/>
  <c r="F143" i="79" l="1"/>
  <c r="D142" i="79"/>
  <c r="G142" i="79"/>
  <c r="E141" i="79"/>
  <c r="E142" i="79" l="1"/>
  <c r="D143" i="79"/>
  <c r="F144" i="79"/>
  <c r="G143" i="79"/>
  <c r="F145" i="79" l="1"/>
  <c r="D144" i="79"/>
  <c r="G144" i="79"/>
  <c r="E143" i="79"/>
  <c r="E144" i="79" l="1"/>
  <c r="F146" i="79"/>
  <c r="D145" i="79"/>
  <c r="G145" i="79"/>
  <c r="F147" i="79" l="1"/>
  <c r="D146" i="79"/>
  <c r="G146" i="79"/>
  <c r="E145" i="79"/>
  <c r="E146" i="79" l="1"/>
  <c r="F148" i="79"/>
  <c r="D147" i="79"/>
  <c r="G147" i="79"/>
  <c r="E147" i="79" l="1"/>
  <c r="F149" i="79"/>
  <c r="D148" i="79"/>
  <c r="G148" i="79"/>
  <c r="D149" i="79" l="1"/>
  <c r="F150" i="79"/>
  <c r="G149" i="79"/>
  <c r="E148" i="79"/>
  <c r="F151" i="79" l="1"/>
  <c r="D150" i="79"/>
  <c r="G150" i="79"/>
  <c r="E149" i="79"/>
  <c r="E150" i="79" l="1"/>
  <c r="D151" i="79"/>
  <c r="F152" i="79"/>
  <c r="G151" i="79"/>
  <c r="F153" i="79" l="1"/>
  <c r="D152" i="79"/>
  <c r="G152" i="79"/>
  <c r="E151" i="79"/>
  <c r="E152" i="79" l="1"/>
  <c r="F154" i="79"/>
  <c r="D153" i="79"/>
  <c r="G153" i="79"/>
  <c r="E153" i="79" l="1"/>
  <c r="F155" i="79"/>
  <c r="D154" i="79"/>
  <c r="G154" i="79"/>
  <c r="F156" i="79" l="1"/>
  <c r="D155" i="79"/>
  <c r="G155" i="79"/>
  <c r="E154" i="79"/>
  <c r="E155" i="79" l="1"/>
  <c r="F157" i="79"/>
  <c r="D156" i="79"/>
  <c r="G156" i="79"/>
  <c r="E156" i="79" l="1"/>
  <c r="D157" i="79"/>
  <c r="F158" i="79"/>
  <c r="G157" i="79"/>
  <c r="F159" i="79" l="1"/>
  <c r="D158" i="79"/>
  <c r="G158" i="79"/>
  <c r="E157" i="79"/>
  <c r="E158" i="79" l="1"/>
  <c r="D159" i="79"/>
  <c r="F160" i="79"/>
  <c r="G159" i="79"/>
  <c r="F161" i="79" l="1"/>
  <c r="D160" i="79"/>
  <c r="G160" i="79"/>
  <c r="E159" i="79"/>
  <c r="E160" i="79" l="1"/>
  <c r="F162" i="79"/>
  <c r="D161" i="79"/>
  <c r="G161" i="79"/>
  <c r="E161" i="79" l="1"/>
  <c r="F163" i="79"/>
  <c r="D162" i="79"/>
  <c r="G162" i="79"/>
  <c r="E162" i="79" l="1"/>
  <c r="F164" i="79"/>
  <c r="D163" i="79"/>
  <c r="G163" i="79"/>
  <c r="E163" i="79" l="1"/>
  <c r="F165" i="79"/>
  <c r="D164" i="79"/>
  <c r="G164" i="79"/>
  <c r="E164" i="79" l="1"/>
  <c r="D165" i="79"/>
  <c r="F166" i="79"/>
  <c r="G165" i="79"/>
  <c r="E165" i="79" l="1"/>
  <c r="F167" i="79"/>
  <c r="D166" i="79"/>
  <c r="G166" i="79"/>
  <c r="E166" i="79" l="1"/>
  <c r="D167" i="79"/>
  <c r="F168" i="79"/>
  <c r="G167" i="79"/>
  <c r="F169" i="79" l="1"/>
  <c r="D168" i="79"/>
  <c r="G168" i="79"/>
  <c r="E167" i="79"/>
  <c r="E168" i="79" l="1"/>
  <c r="F170" i="79"/>
  <c r="D169" i="79"/>
  <c r="G169" i="79"/>
  <c r="E169" i="79" l="1"/>
  <c r="F171" i="79"/>
  <c r="D170" i="79"/>
  <c r="G170" i="79"/>
  <c r="E170" i="79" l="1"/>
  <c r="F172" i="79"/>
  <c r="D171" i="79"/>
  <c r="G171" i="79"/>
  <c r="E171" i="79" l="1"/>
  <c r="F173" i="79"/>
  <c r="D172" i="79"/>
  <c r="G172" i="79"/>
  <c r="E172" i="79" l="1"/>
  <c r="F174" i="79"/>
  <c r="D173" i="79"/>
  <c r="G173" i="79"/>
  <c r="E173" i="79" l="1"/>
  <c r="D174" i="79"/>
  <c r="F175" i="79"/>
  <c r="G174" i="79"/>
  <c r="D175" i="79" l="1"/>
  <c r="F176" i="79"/>
  <c r="G175" i="79"/>
  <c r="E174" i="79"/>
  <c r="F177" i="79" l="1"/>
  <c r="D176" i="79"/>
  <c r="G176" i="79"/>
  <c r="E175" i="79"/>
  <c r="E176" i="79" l="1"/>
  <c r="F178" i="79"/>
  <c r="D177" i="79"/>
  <c r="G177" i="79"/>
  <c r="E177" i="79" l="1"/>
  <c r="F179" i="79"/>
  <c r="D178" i="79"/>
  <c r="G178" i="79"/>
  <c r="E178" i="79" l="1"/>
  <c r="F180" i="79"/>
  <c r="D179" i="79"/>
  <c r="G179" i="79"/>
  <c r="E179" i="79" l="1"/>
  <c r="F181" i="79"/>
  <c r="D180" i="79"/>
  <c r="G180" i="79"/>
  <c r="E180" i="79" l="1"/>
  <c r="D181" i="79"/>
  <c r="F182" i="79"/>
  <c r="G181" i="79"/>
  <c r="F183" i="79" l="1"/>
  <c r="D182" i="79"/>
  <c r="G182" i="79"/>
  <c r="E181" i="79"/>
  <c r="E182" i="79" l="1"/>
  <c r="D183" i="79"/>
  <c r="F184" i="79"/>
  <c r="G183" i="79"/>
  <c r="F185" i="79" l="1"/>
  <c r="D184" i="79"/>
  <c r="G184" i="79"/>
  <c r="E183" i="79"/>
  <c r="E184" i="79" l="1"/>
  <c r="F186" i="79"/>
  <c r="D185" i="79"/>
  <c r="G185" i="79"/>
  <c r="E185" i="79" l="1"/>
  <c r="F187" i="79"/>
  <c r="D186" i="79"/>
  <c r="G186" i="79"/>
  <c r="E186" i="79" l="1"/>
  <c r="F188" i="79"/>
  <c r="D187" i="79"/>
  <c r="G187" i="79"/>
  <c r="E187" i="79" l="1"/>
  <c r="F189" i="79"/>
  <c r="D188" i="79"/>
  <c r="G188" i="79"/>
  <c r="E188" i="79" l="1"/>
  <c r="F190" i="79"/>
  <c r="D189" i="79"/>
  <c r="G189" i="79"/>
  <c r="E189" i="79" l="1"/>
  <c r="D190" i="79"/>
  <c r="F191" i="79"/>
  <c r="G190" i="79"/>
  <c r="D191" i="79" l="1"/>
  <c r="F192" i="79"/>
  <c r="G191" i="79"/>
  <c r="E190" i="79"/>
  <c r="F193" i="79" l="1"/>
  <c r="D192" i="79"/>
  <c r="G192" i="79"/>
  <c r="E191" i="79"/>
  <c r="E192" i="79" l="1"/>
  <c r="F194" i="79"/>
  <c r="D193" i="79"/>
  <c r="G193" i="79"/>
  <c r="E193" i="79" l="1"/>
  <c r="F195" i="79"/>
  <c r="D194" i="79"/>
  <c r="G194" i="79"/>
  <c r="E194" i="79" l="1"/>
  <c r="F196" i="79"/>
  <c r="D195" i="79"/>
  <c r="G195" i="79"/>
  <c r="E195" i="79" l="1"/>
  <c r="F197" i="79"/>
  <c r="D196" i="79"/>
  <c r="G196" i="79"/>
  <c r="E196" i="79" l="1"/>
  <c r="D197" i="79"/>
  <c r="F198" i="79"/>
  <c r="G197" i="79"/>
  <c r="F199" i="79" l="1"/>
  <c r="D198" i="79"/>
  <c r="G198" i="79"/>
  <c r="E197" i="79"/>
  <c r="E198" i="79" l="1"/>
  <c r="D199" i="79"/>
  <c r="F200" i="79"/>
  <c r="G199" i="79"/>
  <c r="F201" i="79" l="1"/>
  <c r="D200" i="79"/>
  <c r="G200" i="79"/>
  <c r="E199" i="79"/>
  <c r="E200" i="79" l="1"/>
  <c r="F202" i="79"/>
  <c r="D201" i="79"/>
  <c r="G201" i="79"/>
  <c r="E201" i="79" l="1"/>
  <c r="F203" i="79"/>
  <c r="D202" i="79"/>
  <c r="G202" i="79"/>
  <c r="E202" i="79" l="1"/>
  <c r="F204" i="79"/>
  <c r="D203" i="79"/>
  <c r="G203" i="79"/>
  <c r="E203" i="79" l="1"/>
  <c r="F205" i="79"/>
  <c r="D204" i="79"/>
  <c r="G204" i="79"/>
  <c r="E204" i="79" l="1"/>
  <c r="F206" i="79"/>
  <c r="D205" i="79"/>
  <c r="G205" i="79"/>
  <c r="E205" i="79" l="1"/>
  <c r="D206" i="79"/>
  <c r="F207" i="79"/>
  <c r="G206" i="79"/>
  <c r="D207" i="79" l="1"/>
  <c r="F208" i="79"/>
  <c r="G207" i="79"/>
  <c r="E206" i="79"/>
  <c r="F209" i="79" l="1"/>
  <c r="D208" i="79"/>
  <c r="G208" i="79"/>
  <c r="E207" i="79"/>
  <c r="E208" i="79" l="1"/>
  <c r="F210" i="79"/>
  <c r="D209" i="79"/>
  <c r="G209" i="79"/>
  <c r="E209" i="79" l="1"/>
  <c r="F211" i="79"/>
  <c r="D210" i="79"/>
  <c r="G210" i="79"/>
  <c r="E210" i="79" l="1"/>
  <c r="F212" i="79"/>
  <c r="D211" i="79"/>
  <c r="G211" i="79"/>
  <c r="E211" i="79" l="1"/>
  <c r="F213" i="79"/>
  <c r="D212" i="79"/>
  <c r="G212" i="79"/>
  <c r="E212" i="79" l="1"/>
  <c r="D213" i="79"/>
  <c r="F214" i="79"/>
  <c r="G213" i="79"/>
  <c r="F215" i="79" l="1"/>
  <c r="D214" i="79"/>
  <c r="G214" i="79"/>
  <c r="E213" i="79"/>
  <c r="E214" i="79" l="1"/>
  <c r="D215" i="79"/>
  <c r="F216" i="79"/>
  <c r="G215" i="79"/>
  <c r="F217" i="79" l="1"/>
  <c r="D216" i="79"/>
  <c r="G216" i="79"/>
  <c r="E215" i="79"/>
  <c r="E216" i="79" l="1"/>
  <c r="F218" i="79"/>
  <c r="D217" i="79"/>
  <c r="G217" i="79"/>
  <c r="E217" i="79" l="1"/>
  <c r="F219" i="79"/>
  <c r="D218" i="79"/>
  <c r="G218" i="79"/>
  <c r="F220" i="79" l="1"/>
  <c r="D219" i="79"/>
  <c r="G219" i="79"/>
  <c r="E218" i="79"/>
  <c r="E219" i="79" l="1"/>
  <c r="F221" i="79"/>
  <c r="D220" i="79"/>
  <c r="G220" i="79"/>
  <c r="E220" i="79" l="1"/>
  <c r="F222" i="79"/>
  <c r="D221" i="79"/>
  <c r="G221" i="79"/>
  <c r="E221" i="79" l="1"/>
  <c r="D222" i="79"/>
  <c r="F223" i="79"/>
  <c r="G222" i="79"/>
  <c r="D223" i="79" l="1"/>
  <c r="F224" i="79"/>
  <c r="G223" i="79"/>
  <c r="E222" i="79"/>
  <c r="F225" i="79" l="1"/>
  <c r="D224" i="79"/>
  <c r="G224" i="79"/>
  <c r="E223" i="79"/>
  <c r="E224" i="79" l="1"/>
  <c r="F226" i="79"/>
  <c r="D225" i="79"/>
  <c r="G225" i="79"/>
  <c r="E225" i="79" l="1"/>
  <c r="D226" i="79"/>
  <c r="F227" i="79"/>
  <c r="G226" i="79"/>
  <c r="F228" i="79" l="1"/>
  <c r="D227" i="79"/>
  <c r="G227" i="79"/>
  <c r="E226" i="79"/>
  <c r="E227" i="79" l="1"/>
  <c r="F229" i="79"/>
  <c r="D228" i="79"/>
  <c r="G228" i="79"/>
  <c r="E228" i="79" l="1"/>
  <c r="F230" i="79"/>
  <c r="D229" i="79"/>
  <c r="G229" i="79"/>
  <c r="D230" i="79" l="1"/>
  <c r="F231" i="79"/>
  <c r="G230" i="79"/>
  <c r="E229" i="79"/>
  <c r="F232" i="79" l="1"/>
  <c r="D231" i="79"/>
  <c r="G231" i="79"/>
  <c r="E230" i="79"/>
  <c r="E231" i="79" l="1"/>
  <c r="D232" i="79"/>
  <c r="F233" i="79"/>
  <c r="G232" i="79"/>
  <c r="F234" i="79" l="1"/>
  <c r="D233" i="79"/>
  <c r="T259" i="79"/>
  <c r="G233" i="79"/>
  <c r="E232" i="79"/>
  <c r="E233" i="79" l="1"/>
  <c r="D234" i="79"/>
  <c r="F235" i="79"/>
  <c r="T260" i="79"/>
  <c r="G234" i="79"/>
  <c r="F236" i="79" l="1"/>
  <c r="D235" i="79"/>
  <c r="T261" i="79"/>
  <c r="G235" i="79"/>
  <c r="E234" i="79"/>
  <c r="E235" i="79" l="1"/>
  <c r="F237" i="79"/>
  <c r="D236" i="79"/>
  <c r="T262" i="79"/>
  <c r="G236" i="79"/>
  <c r="E236" i="79" l="1"/>
  <c r="F238" i="79"/>
  <c r="D237" i="79"/>
  <c r="T263" i="79"/>
  <c r="G237" i="79"/>
  <c r="F239" i="79" l="1"/>
  <c r="D238" i="79"/>
  <c r="T264" i="79"/>
  <c r="G238" i="79"/>
  <c r="E237" i="79"/>
  <c r="E238" i="79" l="1"/>
  <c r="D239" i="79"/>
  <c r="F240" i="79"/>
  <c r="T265" i="79"/>
  <c r="G239" i="79"/>
  <c r="D240" i="79" l="1"/>
  <c r="F241" i="79"/>
  <c r="G248" i="79" s="1"/>
  <c r="G252" i="79"/>
  <c r="T266" i="79"/>
  <c r="G240" i="79"/>
  <c r="G247" i="79"/>
  <c r="G245" i="79"/>
  <c r="G250" i="79"/>
  <c r="E239" i="79"/>
  <c r="G249" i="79"/>
  <c r="G246" i="79"/>
  <c r="G251" i="79" l="1"/>
  <c r="D241" i="79"/>
  <c r="E252" i="79" s="1"/>
  <c r="G253" i="79"/>
  <c r="T267" i="79"/>
  <c r="G241" i="79"/>
  <c r="G242" i="79"/>
  <c r="G243" i="79"/>
  <c r="G244" i="79"/>
  <c r="E240" i="79"/>
  <c r="E253" i="79" l="1"/>
  <c r="E241" i="79"/>
  <c r="E242" i="79"/>
  <c r="E245" i="79"/>
  <c r="E244" i="79"/>
  <c r="E243" i="79"/>
  <c r="E246" i="79"/>
  <c r="E250" i="79"/>
  <c r="E251" i="79"/>
  <c r="E249" i="79"/>
  <c r="E248" i="79"/>
  <c r="E247" i="79"/>
  <c r="BE24" i="29" l="1"/>
  <c r="BD28" i="29"/>
  <c r="BF24" i="29"/>
  <c r="BF28" i="29"/>
  <c r="BD24" i="29"/>
  <c r="BC28" i="29"/>
  <c r="BE28" i="29"/>
  <c r="BC24" i="29"/>
  <c r="L94" i="84" l="1" a="1"/>
  <c r="L94" i="84" s="1"/>
  <c r="M113" i="84" a="1"/>
  <c r="M113" i="84" s="1"/>
  <c r="BE30" i="29"/>
  <c r="BF30" i="29"/>
  <c r="BD30" i="29"/>
  <c r="L113" i="84" a="1"/>
  <c r="L113" i="84" s="1"/>
  <c r="BC30" i="29"/>
  <c r="L142" i="84"/>
  <c r="L143" i="84" s="1"/>
  <c r="L125" i="84" l="1" a="1"/>
  <c r="L125" i="84" s="1"/>
  <c r="L78" i="84" a="1"/>
  <c r="L78" i="84" s="1"/>
  <c r="L80" i="84" a="1"/>
  <c r="L80" i="84" s="1"/>
  <c r="L93" i="84" a="1"/>
  <c r="L93" i="84" s="1"/>
  <c r="BF31" i="29"/>
  <c r="BE31" i="29"/>
  <c r="BD31" i="29"/>
  <c r="BC31" i="29"/>
  <c r="L127" i="84" l="1" a="1"/>
  <c r="L127" i="84" s="1"/>
  <c r="L120" i="84" a="1"/>
  <c r="L120" i="84" s="1"/>
  <c r="L114" i="84" a="1"/>
  <c r="L114" i="84" s="1"/>
  <c r="BD34" i="29" l="1"/>
  <c r="BF34" i="29"/>
  <c r="BE34" i="29"/>
  <c r="BC34" i="29" l="1"/>
  <c r="BQ85" i="38" l="1"/>
  <c r="BM85" i="38"/>
  <c r="BP85" i="38"/>
  <c r="BK99" i="15"/>
  <c r="BK68" i="15"/>
  <c r="BO85" i="38"/>
  <c r="BN85" i="38"/>
  <c r="BP15" i="38" l="1"/>
  <c r="BN15" i="38"/>
  <c r="BO15" i="38"/>
  <c r="BQ15" i="38"/>
  <c r="BO20" i="8"/>
  <c r="BO9" i="8"/>
  <c r="BO32" i="8"/>
  <c r="BO41" i="8"/>
  <c r="BK16" i="15"/>
  <c r="BM15" i="38"/>
  <c r="BL15" i="38"/>
  <c r="BL85" i="38"/>
  <c r="AS110" i="15"/>
  <c r="AW110" i="15"/>
  <c r="AU110" i="15"/>
  <c r="AV110" i="15"/>
  <c r="AT110" i="15"/>
  <c r="BL87" i="38" l="1"/>
  <c r="BN87" i="38"/>
  <c r="BQ87" i="38"/>
  <c r="BO87" i="38"/>
  <c r="BM87" i="38"/>
  <c r="BP87" i="38"/>
  <c r="BO22" i="8"/>
  <c r="BO43" i="8" s="1"/>
  <c r="AO110" i="15"/>
  <c r="AP110" i="15"/>
  <c r="AM110" i="15"/>
  <c r="AN110" i="15"/>
  <c r="AQ110" i="15"/>
  <c r="AR110" i="15"/>
  <c r="BK21" i="15" l="1"/>
  <c r="BK63" i="15" l="1"/>
  <c r="BK70" i="15" l="1"/>
  <c r="B63" i="47" l="1"/>
  <c r="B64" i="47" s="1"/>
  <c r="B66" i="47" s="1"/>
  <c r="D63" i="47" l="1"/>
  <c r="D69" i="47" s="1"/>
  <c r="D70" i="47" s="1"/>
  <c r="D64" i="47" l="1"/>
  <c r="D66" i="47" s="1"/>
  <c r="BR50" i="38" l="1"/>
  <c r="BR44" i="38" s="1"/>
  <c r="CD42" i="38" s="1"/>
  <c r="BQ50" i="38" l="1"/>
  <c r="BQ44" i="38" s="1"/>
  <c r="CC42" i="38" l="1"/>
  <c r="CB42" i="38"/>
  <c r="CA42" i="38"/>
  <c r="BZ42" i="38"/>
  <c r="BY42" i="38"/>
  <c r="BX42" i="38"/>
  <c r="BQ42" i="38"/>
  <c r="BR42" i="38"/>
  <c r="BS42" i="38"/>
  <c r="BV42" i="38"/>
  <c r="BW42" i="38"/>
  <c r="BP50" i="38" l="1"/>
  <c r="BN50" i="38"/>
  <c r="BO50" i="38" l="1"/>
  <c r="BM50" i="38" l="1"/>
  <c r="BL50" i="38" l="1"/>
  <c r="BI15" i="38" l="1"/>
  <c r="BC110" i="15"/>
  <c r="BJ34" i="29"/>
  <c r="BH15" i="38"/>
  <c r="BB110" i="15"/>
  <c r="BG15" i="38"/>
  <c r="BI110" i="15"/>
  <c r="BA110" i="15"/>
  <c r="BJ15" i="38"/>
  <c r="BD110" i="15"/>
  <c r="BK34" i="29"/>
  <c r="AY110" i="15"/>
  <c r="BQ58" i="38"/>
  <c r="BP58" i="38"/>
  <c r="AX110" i="15"/>
  <c r="AX15" i="38"/>
  <c r="BH58" i="38"/>
  <c r="BF110" i="15"/>
  <c r="BI34" i="29"/>
  <c r="BG110" i="15"/>
  <c r="BH34" i="29"/>
  <c r="BR58" i="38"/>
  <c r="BJ58" i="38"/>
  <c r="BF15" i="38"/>
  <c r="BH110" i="15"/>
  <c r="BE110" i="15"/>
  <c r="AZ110" i="15"/>
  <c r="BC58" i="38" l="1"/>
  <c r="BB58" i="38"/>
  <c r="BJ36" i="38"/>
  <c r="BN58" i="38"/>
  <c r="BG58" i="38"/>
  <c r="BG34" i="29"/>
  <c r="BO58" i="38"/>
  <c r="BJ110" i="15"/>
  <c r="BH17" i="38"/>
  <c r="BH34" i="38" s="1"/>
  <c r="BF36" i="38"/>
  <c r="BI58" i="38"/>
  <c r="BG36" i="38"/>
  <c r="BH36" i="38"/>
  <c r="BK15" i="38"/>
  <c r="BP17" i="38" s="1"/>
  <c r="BE58" i="38"/>
  <c r="BI36" i="38"/>
  <c r="BL34" i="29"/>
  <c r="BA17" i="38"/>
  <c r="BA34" i="38" s="1"/>
  <c r="BE17" i="38"/>
  <c r="BE34" i="38" s="1"/>
  <c r="AY17" i="38"/>
  <c r="AY34" i="38" s="1"/>
  <c r="BD17" i="38"/>
  <c r="BD34" i="38" s="1"/>
  <c r="BB17" i="38"/>
  <c r="BB34" i="38" s="1"/>
  <c r="AX17" i="38"/>
  <c r="AX34" i="38" s="1"/>
  <c r="AZ17" i="38"/>
  <c r="AZ34" i="38" s="1"/>
  <c r="BC17" i="38"/>
  <c r="BC34" i="38" s="1"/>
  <c r="BF17" i="38"/>
  <c r="BF34" i="38" s="1"/>
  <c r="AX36" i="38"/>
  <c r="BG17" i="38"/>
  <c r="BG34" i="38" s="1"/>
  <c r="BJ17" i="38"/>
  <c r="BJ34" i="38" s="1"/>
  <c r="BI17" i="38"/>
  <c r="BI34" i="38" s="1"/>
  <c r="BK58" i="38"/>
  <c r="BD58" i="38"/>
  <c r="BM58" i="38"/>
  <c r="BL58" i="38"/>
  <c r="BF58" i="38"/>
  <c r="C193" i="2" l="1"/>
  <c r="BQ60" i="38"/>
  <c r="BP60" i="38"/>
  <c r="BM17" i="38"/>
  <c r="BQ17" i="38"/>
  <c r="L68" i="84" a="1"/>
  <c r="L68" i="84" s="1"/>
  <c r="BN17" i="38"/>
  <c r="BR60" i="38"/>
  <c r="BL17" i="38"/>
  <c r="BN60" i="38"/>
  <c r="BO60" i="38"/>
  <c r="BK36" i="38"/>
  <c r="BK17" i="38"/>
  <c r="BK34" i="38" s="1"/>
  <c r="BO17" i="38"/>
  <c r="M67" i="84" l="1" a="1"/>
  <c r="M67" i="84" s="1"/>
  <c r="M68" i="84" a="1"/>
  <c r="M68" i="84" s="1"/>
  <c r="L67" i="84" a="1"/>
  <c r="L67" i="84" s="1"/>
  <c r="L31" i="84" l="1"/>
  <c r="L33" i="84" s="1"/>
  <c r="L43" i="84"/>
  <c r="L44" i="84" s="1"/>
  <c r="L52" i="84"/>
  <c r="L56" i="84" s="1"/>
  <c r="BW122" i="15" l="1"/>
  <c r="L182" i="84" a="1"/>
  <c r="L182" i="84" s="1"/>
  <c r="L61" i="84" a="1"/>
  <c r="L61" i="84" s="1"/>
  <c r="L36" i="84"/>
  <c r="L40" i="84" s="1"/>
  <c r="L66" i="84" a="1"/>
  <c r="L66" i="84" s="1"/>
  <c r="L60" i="84" a="1"/>
  <c r="L60" i="84" s="1"/>
  <c r="L87" i="84"/>
  <c r="L47" i="84"/>
  <c r="L105" i="84"/>
  <c r="L109" i="84" s="1"/>
  <c r="L64" i="84" a="1"/>
  <c r="L64" i="84" s="1"/>
  <c r="L63" i="84" a="1"/>
  <c r="L63" i="84" s="1"/>
  <c r="L112" i="84"/>
  <c r="L116" i="84" s="1"/>
  <c r="L69" i="84" a="1"/>
  <c r="L69" i="84" s="1"/>
  <c r="L62" i="84" a="1"/>
  <c r="L62" i="84" s="1"/>
  <c r="L65" i="84" a="1"/>
  <c r="L65" i="84" s="1"/>
  <c r="L184" i="84" a="1"/>
  <c r="L184" i="84" s="1"/>
  <c r="L25" i="84"/>
  <c r="L180" i="84" a="1"/>
  <c r="L180" i="84" s="1"/>
  <c r="BW136" i="15" l="1"/>
  <c r="L191" i="84" a="1"/>
  <c r="L191" i="84" s="1"/>
  <c r="L119" i="84"/>
  <c r="L92" i="84"/>
  <c r="L102" i="84" s="1"/>
  <c r="L77" i="84"/>
  <c r="L48" i="84"/>
  <c r="L49" i="84" s="1"/>
  <c r="L79" i="84" a="1"/>
  <c r="L79" i="84" s="1"/>
  <c r="L88" i="84" a="1"/>
  <c r="L88" i="84" s="1"/>
  <c r="L89" i="84" s="1"/>
  <c r="L84" i="84" l="1"/>
  <c r="L189" i="84" a="1"/>
  <c r="L189" i="84" s="1"/>
  <c r="L124" i="84" a="1"/>
  <c r="L124" i="84" s="1"/>
  <c r="L70" i="84" l="1" a="1"/>
  <c r="L70" i="84" s="1"/>
  <c r="L59" i="84"/>
  <c r="L71" i="84" l="1"/>
  <c r="L183" i="84" l="1" a="1"/>
  <c r="L183" i="84" s="1"/>
  <c r="BS50" i="38" l="1"/>
  <c r="BS44" i="38" s="1"/>
  <c r="BS58" i="38" l="1"/>
  <c r="BS60" i="38" l="1"/>
  <c r="BT42" i="38" l="1"/>
  <c r="BU42" i="38" l="1"/>
  <c r="CE42" i="38" l="1"/>
  <c r="L181" i="84" l="1" a="1"/>
  <c r="L181" i="84" s="1"/>
  <c r="L186" i="84" l="1"/>
  <c r="L190" i="84" l="1" a="1"/>
  <c r="L190" i="84" s="1"/>
  <c r="CJ6" i="46" l="1"/>
  <c r="CL6" i="46" s="1"/>
  <c r="CL11" i="46" s="1"/>
  <c r="B63" i="1" s="1"/>
  <c r="M26" i="84" l="1"/>
  <c r="N26" i="84"/>
  <c r="L26" i="84"/>
  <c r="L28" i="84" s="1"/>
  <c r="B77" i="1"/>
  <c r="J63" i="1"/>
  <c r="H34" i="2" l="1"/>
  <c r="P63" i="1"/>
  <c r="J77" i="1"/>
  <c r="G34" i="2"/>
  <c r="L34" i="2" l="1"/>
  <c r="T63" i="1"/>
  <c r="M36" i="81" l="1"/>
  <c r="R39" i="82"/>
  <c r="N36" i="81" l="1"/>
  <c r="L170" i="84" l="1"/>
  <c r="L175" i="84" l="1" a="1"/>
  <c r="L175" i="84" s="1"/>
  <c r="L153" i="84" a="1"/>
  <c r="L153" i="84" s="1"/>
  <c r="L176" i="84" a="1"/>
  <c r="L176" i="84" s="1"/>
  <c r="L151" i="84" a="1"/>
  <c r="L151" i="84" s="1"/>
  <c r="L173" i="84" a="1"/>
  <c r="L173" i="84" s="1"/>
  <c r="L163" i="84" l="1"/>
  <c r="L150" i="84" l="1" a="1"/>
  <c r="L150" i="84" s="1"/>
  <c r="L172" i="84" a="1"/>
  <c r="L172" i="84" s="1"/>
  <c r="L174" i="84" a="1"/>
  <c r="L174" i="84" s="1"/>
  <c r="L152" i="84" a="1"/>
  <c r="L152" i="84" s="1"/>
  <c r="L171" i="84" a="1"/>
  <c r="L171" i="84" s="1"/>
  <c r="L149" i="84" a="1"/>
  <c r="L149" i="84" s="1"/>
  <c r="L155" i="84" l="1"/>
  <c r="L177" i="84"/>
  <c r="L161" i="84" l="1"/>
  <c r="L162" i="84"/>
  <c r="L122" i="84" a="1"/>
  <c r="L122" i="84" s="1"/>
  <c r="L139" i="84" s="1"/>
  <c r="L165" i="84" l="1"/>
  <c r="CI69" i="38" l="1"/>
  <c r="CH69" i="38"/>
  <c r="CG69" i="38"/>
  <c r="CF69" i="38"/>
  <c r="CE69" i="38"/>
  <c r="CD69" i="38"/>
  <c r="BW69" i="38" l="1"/>
  <c r="BV69" i="38"/>
  <c r="BU69" i="38"/>
  <c r="BT69" i="38"/>
  <c r="BS69" i="38" l="1"/>
  <c r="BS30" i="38" l="1"/>
  <c r="BX69" i="38" l="1"/>
  <c r="F55" i="8" l="1"/>
  <c r="F61" i="8"/>
  <c r="CC69" i="38" l="1"/>
  <c r="CB69" i="38"/>
  <c r="CA69" i="38"/>
  <c r="BZ69" i="38"/>
  <c r="F58" i="8" l="1"/>
  <c r="F62" i="8"/>
  <c r="F64" i="8"/>
  <c r="F59" i="8"/>
  <c r="F56" i="8"/>
  <c r="F60" i="8"/>
  <c r="F63" i="8"/>
  <c r="F57" i="8"/>
  <c r="CB30" i="38"/>
  <c r="BY69" i="38"/>
  <c r="BX30" i="38"/>
  <c r="BY30" i="38"/>
  <c r="BZ30" i="38"/>
  <c r="CA30" i="38"/>
  <c r="F54" i="8" l="1"/>
  <c r="F65" i="8"/>
  <c r="M94" i="84" a="1"/>
  <c r="M94" i="84" s="1"/>
  <c r="M142" i="84"/>
  <c r="M143" i="84" s="1"/>
  <c r="CI71" i="38"/>
  <c r="CH71" i="38"/>
  <c r="CE71" i="38"/>
  <c r="CG71" i="38"/>
  <c r="CF71" i="38"/>
  <c r="CD71" i="38"/>
  <c r="M125" i="84" l="1" a="1"/>
  <c r="M125" i="84" s="1"/>
  <c r="BR69" i="38" l="1"/>
  <c r="CC71" i="38" s="1"/>
  <c r="BR30" i="38" l="1"/>
  <c r="BU30" i="38" l="1"/>
  <c r="BV30" i="38"/>
  <c r="BT30" i="38"/>
  <c r="BW30" i="38"/>
  <c r="D30" i="8" l="1"/>
  <c r="D27" i="8"/>
  <c r="D26" i="8"/>
  <c r="D25" i="8"/>
  <c r="BU85" i="38" l="1"/>
  <c r="D28" i="8"/>
  <c r="BT85" i="38"/>
  <c r="CE95" i="38"/>
  <c r="BW95" i="38"/>
  <c r="CD95" i="38"/>
  <c r="BV95" i="38"/>
  <c r="CC95" i="38"/>
  <c r="BU95" i="38"/>
  <c r="CB95" i="38"/>
  <c r="BT95" i="38"/>
  <c r="D31" i="8"/>
  <c r="CI95" i="38"/>
  <c r="CA95" i="38"/>
  <c r="CH95" i="38"/>
  <c r="BZ95" i="38"/>
  <c r="CG95" i="38"/>
  <c r="BY95" i="38"/>
  <c r="CF95" i="38"/>
  <c r="BS85" i="38"/>
  <c r="BR85" i="38"/>
  <c r="BV85" i="38"/>
  <c r="BS15" i="38" l="1"/>
  <c r="BR87" i="38"/>
  <c r="BU87" i="38"/>
  <c r="BV87" i="38"/>
  <c r="BT87" i="38"/>
  <c r="BS87" i="38"/>
  <c r="BL28" i="29"/>
  <c r="BX95" i="38"/>
  <c r="CI97" i="38" s="1"/>
  <c r="BW85" i="38"/>
  <c r="BR15" i="38"/>
  <c r="BT15" i="38"/>
  <c r="BL24" i="29"/>
  <c r="BU15" i="38"/>
  <c r="BW15" i="38"/>
  <c r="BW97" i="38"/>
  <c r="BV15" i="38"/>
  <c r="D29" i="8" l="1"/>
  <c r="CE97" i="38"/>
  <c r="BX97" i="38"/>
  <c r="CA97" i="38"/>
  <c r="CC97" i="38"/>
  <c r="CD97" i="38"/>
  <c r="BY97" i="38"/>
  <c r="BZ97" i="38"/>
  <c r="CB97" i="38"/>
  <c r="BW101" i="38"/>
  <c r="CG97" i="38"/>
  <c r="BW87" i="38"/>
  <c r="BW99" i="38" s="1"/>
  <c r="CH97" i="38"/>
  <c r="M78" i="84" a="1"/>
  <c r="M78" i="84" s="1"/>
  <c r="BL30" i="29"/>
  <c r="CF97" i="38"/>
  <c r="BU17" i="38"/>
  <c r="BV17" i="38"/>
  <c r="BS17" i="38"/>
  <c r="BT17" i="38"/>
  <c r="BR17" i="38"/>
  <c r="BW17" i="38"/>
  <c r="M120" i="84" l="1" a="1"/>
  <c r="M120" i="84" s="1"/>
  <c r="D32" i="8"/>
  <c r="BX122" i="15"/>
  <c r="M80" i="84" a="1"/>
  <c r="M80" i="84" s="1"/>
  <c r="M114" i="84" a="1"/>
  <c r="M114" i="84" s="1"/>
  <c r="BY122" i="15"/>
  <c r="M93" i="84" a="1"/>
  <c r="M93" i="84" s="1"/>
  <c r="BY136" i="15" l="1"/>
  <c r="BX136" i="15"/>
  <c r="BZ122" i="15"/>
  <c r="M127" i="84" a="1"/>
  <c r="M127" i="84" s="1"/>
  <c r="BZ136" i="15" l="1"/>
  <c r="CA122" i="15" l="1"/>
  <c r="CA136" i="15" l="1"/>
  <c r="F63" i="47" l="1"/>
  <c r="F64" i="47" l="1"/>
  <c r="F66" i="47" s="1"/>
  <c r="F69" i="47"/>
  <c r="F70" i="47" s="1"/>
  <c r="H63" i="47" l="1"/>
  <c r="N14" i="81"/>
  <c r="H69" i="47" l="1"/>
  <c r="H64" i="47"/>
  <c r="BT58" i="38" l="1"/>
  <c r="BT50" i="38"/>
  <c r="BT44" i="38" s="1"/>
  <c r="BT60" i="38" l="1"/>
  <c r="BU58" i="38" l="1"/>
  <c r="BU50" i="38"/>
  <c r="BU44" i="38" s="1"/>
  <c r="BU60" i="38" l="1"/>
  <c r="BV58" i="38" l="1"/>
  <c r="BV50" i="38"/>
  <c r="BV44" i="38" s="1"/>
  <c r="BV60" i="38" l="1"/>
  <c r="BW50" i="38" l="1"/>
  <c r="BW44" i="38" s="1"/>
  <c r="BW58" i="38" l="1"/>
  <c r="BW60" i="38" l="1"/>
  <c r="BX58" i="38" l="1"/>
  <c r="BX50" i="38"/>
  <c r="BX44" i="38" s="1"/>
  <c r="BX60" i="38" l="1"/>
  <c r="BY58" i="38" l="1"/>
  <c r="BY50" i="38"/>
  <c r="BY44" i="38" s="1"/>
  <c r="BY60" i="38" l="1"/>
  <c r="BZ58" i="38" l="1"/>
  <c r="BZ50" i="38"/>
  <c r="BZ44" i="38" s="1"/>
  <c r="BZ60" i="38" l="1"/>
  <c r="CA58" i="38" l="1"/>
  <c r="CA50" i="38"/>
  <c r="CA44" i="38" s="1"/>
  <c r="CA60" i="38" l="1"/>
  <c r="CB58" i="38"/>
  <c r="CB50" i="38" l="1"/>
  <c r="CB44" i="38" s="1"/>
  <c r="CB60" i="38"/>
  <c r="CI30" i="38" l="1"/>
  <c r="CH30" i="38"/>
  <c r="CG30" i="38"/>
  <c r="CE30" i="38"/>
  <c r="CD30" i="38"/>
  <c r="CF30" i="38" l="1"/>
  <c r="CC30" i="38" l="1"/>
  <c r="CI32" i="38" l="1"/>
  <c r="CH32" i="38"/>
  <c r="CE32" i="38"/>
  <c r="CC32" i="38"/>
  <c r="CG32" i="38"/>
  <c r="CF32" i="38"/>
  <c r="CD32" i="38"/>
  <c r="M36" i="84" l="1"/>
  <c r="M40" i="84" s="1"/>
  <c r="M52" i="84"/>
  <c r="M56" i="84" s="1"/>
  <c r="M43" i="84"/>
  <c r="M44" i="84" s="1"/>
  <c r="M31" i="84"/>
  <c r="M33" i="84" s="1"/>
  <c r="M60" i="84" l="1" a="1"/>
  <c r="M60" i="84" s="1"/>
  <c r="M77" i="84"/>
  <c r="M66" i="84" a="1"/>
  <c r="M66" i="84" s="1"/>
  <c r="M47" i="84"/>
  <c r="M87" i="84"/>
  <c r="M62" i="84" a="1"/>
  <c r="M62" i="84" s="1"/>
  <c r="M105" i="84"/>
  <c r="M109" i="84" s="1"/>
  <c r="M184" i="84" a="1"/>
  <c r="M184" i="84" s="1"/>
  <c r="M64" i="84" a="1"/>
  <c r="M64" i="84" s="1"/>
  <c r="M61" i="84" a="1"/>
  <c r="M61" i="84" s="1"/>
  <c r="M65" i="84" a="1"/>
  <c r="M65" i="84" s="1"/>
  <c r="M69" i="84" a="1"/>
  <c r="M69" i="84" s="1"/>
  <c r="M182" i="84" a="1"/>
  <c r="M182" i="84" s="1"/>
  <c r="M112" i="84"/>
  <c r="M116" i="84" s="1"/>
  <c r="M92" i="84"/>
  <c r="M102" i="84" s="1"/>
  <c r="M88" i="84" l="1" a="1"/>
  <c r="M88" i="84" s="1"/>
  <c r="M89" i="84" s="1"/>
  <c r="M119" i="84"/>
  <c r="M79" i="84" a="1"/>
  <c r="M79" i="84" s="1"/>
  <c r="M84" i="84" s="1"/>
  <c r="M48" i="84"/>
  <c r="M49" i="84" s="1"/>
  <c r="M191" i="84" l="1" a="1"/>
  <c r="M191" i="84" s="1"/>
  <c r="M124" i="84" a="1"/>
  <c r="M124" i="84" s="1"/>
  <c r="M70" i="84" l="1" a="1"/>
  <c r="M70" i="84" s="1"/>
  <c r="M180" i="84" l="1" a="1"/>
  <c r="M180" i="84" s="1"/>
  <c r="CY44" i="8"/>
  <c r="M59" i="84" l="1"/>
  <c r="M63" i="84" a="1"/>
  <c r="M63" i="84" s="1"/>
  <c r="M71" i="84" l="1"/>
  <c r="M189" i="84" a="1"/>
  <c r="M189" i="84" s="1"/>
  <c r="M183" i="84" l="1" a="1"/>
  <c r="M183" i="84" s="1"/>
  <c r="CC50" i="38" l="1"/>
  <c r="CC44" i="38" s="1"/>
  <c r="M25" i="84" l="1"/>
  <c r="M28" i="84" s="1"/>
  <c r="CC58" i="38"/>
  <c r="CC60" i="38" l="1"/>
  <c r="CC73" i="38" s="1"/>
  <c r="CC75" i="38"/>
  <c r="CD50" i="38" l="1"/>
  <c r="CD44" i="38" s="1"/>
  <c r="CD58" i="38"/>
  <c r="CE50" i="38" l="1"/>
  <c r="CE44" i="38" s="1"/>
  <c r="CD75" i="38"/>
  <c r="CD60" i="38"/>
  <c r="CD73" i="38" s="1"/>
  <c r="M170" i="84" l="1"/>
  <c r="CE58" i="38"/>
  <c r="CF50" i="38" l="1"/>
  <c r="CF44" i="38" s="1"/>
  <c r="CE75" i="38"/>
  <c r="CE60" i="38"/>
  <c r="CE73" i="38" s="1"/>
  <c r="CF42" i="38" l="1"/>
  <c r="CF58" i="38"/>
  <c r="CF75" i="38" l="1"/>
  <c r="CF60" i="38"/>
  <c r="CF73" i="38" s="1"/>
  <c r="CG50" i="38"/>
  <c r="CG44" i="38" s="1"/>
  <c r="CG58" i="38" l="1"/>
  <c r="CG42" i="38"/>
  <c r="CH58" i="38" l="1"/>
  <c r="CH50" i="38"/>
  <c r="CH44" i="38" s="1"/>
  <c r="CG75" i="38"/>
  <c r="CG60" i="38"/>
  <c r="CG73" i="38" s="1"/>
  <c r="CH75" i="38" l="1"/>
  <c r="CH60" i="38"/>
  <c r="CH73" i="38" s="1"/>
  <c r="C44" i="38"/>
  <c r="C42" i="38" s="1"/>
  <c r="CH42" i="38"/>
  <c r="CI58" i="38" l="1"/>
  <c r="CI75" i="38" l="1"/>
  <c r="CI60" i="38"/>
  <c r="CI73" i="38" s="1"/>
  <c r="M190" i="84" l="1" a="1"/>
  <c r="M190" i="84" s="1"/>
  <c r="M181" i="84" a="1"/>
  <c r="M181" i="84" s="1"/>
  <c r="M186" i="84" s="1"/>
  <c r="M173" i="84" l="1" a="1"/>
  <c r="M173" i="84" s="1"/>
  <c r="M151" i="84" a="1"/>
  <c r="M151" i="84" s="1"/>
  <c r="M176" i="84" a="1"/>
  <c r="M176" i="84" s="1"/>
  <c r="M153" i="84" a="1"/>
  <c r="M153" i="84" s="1"/>
  <c r="M175" i="84" a="1"/>
  <c r="M175" i="84" s="1"/>
  <c r="M174" i="84" l="1" a="1"/>
  <c r="M174" i="84" s="1"/>
  <c r="M152" i="84" a="1"/>
  <c r="M152" i="84" s="1"/>
  <c r="M163" i="84"/>
  <c r="M149" i="84" a="1"/>
  <c r="M149" i="84" s="1"/>
  <c r="M171" i="84" a="1"/>
  <c r="M171" i="84" s="1"/>
  <c r="M150" i="84" l="1" a="1"/>
  <c r="M150" i="84" s="1"/>
  <c r="M155" i="84" s="1"/>
  <c r="M172" i="84" a="1"/>
  <c r="M172" i="84" s="1"/>
  <c r="M177" i="84" s="1"/>
  <c r="M161" i="84" l="1"/>
  <c r="M162" i="84" l="1"/>
  <c r="M165" i="84" s="1"/>
  <c r="M122" i="84" a="1"/>
  <c r="M122" i="84" s="1"/>
  <c r="M139" i="84" s="1"/>
  <c r="CI50" i="38" l="1"/>
  <c r="CI44" i="38" s="1"/>
  <c r="CI42" i="38" l="1"/>
  <c r="CK42" i="38" l="1"/>
  <c r="CL42" i="38" l="1"/>
  <c r="CN42" i="38" l="1"/>
  <c r="CO42" i="38" l="1"/>
  <c r="CP42" i="38" l="1"/>
  <c r="CQ42" i="38" l="1"/>
  <c r="CR42" i="38" l="1"/>
  <c r="BZ99" i="15" l="1"/>
  <c r="CG99" i="15"/>
  <c r="BY99" i="15"/>
  <c r="CF99" i="15"/>
  <c r="BX99" i="15"/>
  <c r="CE99" i="15"/>
  <c r="BX85" i="38"/>
  <c r="BW99" i="15"/>
  <c r="CD99" i="15"/>
  <c r="CA99" i="15"/>
  <c r="CC99" i="15"/>
  <c r="CB99" i="15"/>
  <c r="CB85" i="38"/>
  <c r="CA85" i="38"/>
  <c r="BY85" i="38"/>
  <c r="CH85" i="38"/>
  <c r="CG85" i="38"/>
  <c r="CH99" i="15"/>
  <c r="CD85" i="38"/>
  <c r="CC85" i="38"/>
  <c r="BZ85" i="38" l="1"/>
  <c r="CF85" i="38"/>
  <c r="CE85" i="38"/>
  <c r="CC101" i="38"/>
  <c r="BZ101" i="38"/>
  <c r="CG101" i="38"/>
  <c r="CH101" i="38"/>
  <c r="BY101" i="38"/>
  <c r="CD101" i="38"/>
  <c r="CA101" i="38"/>
  <c r="CF101" i="38"/>
  <c r="CE101" i="38"/>
  <c r="BZ87" i="38"/>
  <c r="BZ99" i="38" s="1"/>
  <c r="CA87" i="38"/>
  <c r="CA99" i="38" s="1"/>
  <c r="BX87" i="38"/>
  <c r="BX99" i="38" s="1"/>
  <c r="CB87" i="38"/>
  <c r="CB99" i="38" s="1"/>
  <c r="BY87" i="38"/>
  <c r="BY99" i="38" s="1"/>
  <c r="BX101" i="38"/>
  <c r="CD87" i="38"/>
  <c r="CD99" i="38" s="1"/>
  <c r="CF87" i="38"/>
  <c r="CF99" i="38" s="1"/>
  <c r="CE87" i="38"/>
  <c r="CE99" i="38" s="1"/>
  <c r="CG87" i="38"/>
  <c r="CG99" i="38" s="1"/>
  <c r="CH87" i="38"/>
  <c r="CH99" i="38" s="1"/>
  <c r="CC87" i="38"/>
  <c r="CC99" i="38" s="1"/>
  <c r="BW133" i="15"/>
  <c r="BW134" i="15" s="1"/>
  <c r="BW139" i="15" s="1"/>
  <c r="BW145" i="15" s="1"/>
  <c r="BX15" i="38"/>
  <c r="BX133" i="15"/>
  <c r="BX134" i="15" s="1"/>
  <c r="BX139" i="15" s="1"/>
  <c r="BX145" i="15" s="1"/>
  <c r="CB101" i="38"/>
  <c r="BY133" i="15"/>
  <c r="BY134" i="15" s="1"/>
  <c r="BY139" i="15" s="1"/>
  <c r="BY145" i="15" s="1"/>
  <c r="BZ15" i="38"/>
  <c r="CI85" i="38"/>
  <c r="BY15" i="38"/>
  <c r="BZ133" i="15" l="1"/>
  <c r="BZ134" i="15" s="1"/>
  <c r="BZ139" i="15" s="1"/>
  <c r="BZ145" i="15" s="1"/>
  <c r="CA15" i="38"/>
  <c r="CI87" i="38"/>
  <c r="CI99" i="38" s="1"/>
  <c r="CI101" i="38"/>
  <c r="BX17" i="38"/>
  <c r="BY17" i="38"/>
  <c r="BZ17" i="38"/>
  <c r="CA17" i="38"/>
  <c r="CA133" i="15" l="1"/>
  <c r="CA134" i="15" s="1"/>
  <c r="CA139" i="15" s="1"/>
  <c r="CA145" i="15" s="1"/>
  <c r="CB15" i="38"/>
  <c r="CB17" i="38" l="1"/>
  <c r="CC15" i="38" l="1"/>
  <c r="CC36" i="38" l="1"/>
  <c r="CC17" i="38"/>
  <c r="CC34" i="38" s="1"/>
  <c r="CD15" i="38" l="1"/>
  <c r="CD36" i="38" l="1"/>
  <c r="CD17" i="38"/>
  <c r="CD34" i="38" s="1"/>
  <c r="CE15" i="38"/>
  <c r="CE17" i="38" l="1"/>
  <c r="CE34" i="38" s="1"/>
  <c r="CE36" i="38"/>
  <c r="CF15" i="38"/>
  <c r="CF36" i="38" l="1"/>
  <c r="CF17" i="38"/>
  <c r="CF34" i="38" s="1"/>
  <c r="CG15" i="38"/>
  <c r="CG36" i="38" l="1"/>
  <c r="CG17" i="38"/>
  <c r="CG34" i="38" s="1"/>
  <c r="CH15" i="38"/>
  <c r="CH36" i="38" l="1"/>
  <c r="CH17" i="38"/>
  <c r="CH34" i="38" s="1"/>
  <c r="CI15" i="38" l="1"/>
  <c r="CI36" i="38" l="1"/>
  <c r="CI17" i="38"/>
  <c r="CI34" i="38" s="1"/>
  <c r="BW89" i="15" l="1"/>
  <c r="BW105" i="15" s="1"/>
  <c r="BX89" i="15" l="1"/>
  <c r="BX105" i="15" s="1"/>
  <c r="BY89" i="15" l="1"/>
  <c r="BY105" i="15" s="1"/>
  <c r="BZ89" i="15" l="1"/>
  <c r="BZ105" i="15" s="1"/>
  <c r="CA89" i="15" l="1"/>
  <c r="CA105" i="15" s="1"/>
  <c r="CB89" i="15" l="1"/>
  <c r="CB105" i="15" s="1"/>
  <c r="CC89" i="15" l="1"/>
  <c r="CC105" i="15" s="1"/>
  <c r="CD89" i="15" l="1"/>
  <c r="CD105" i="15" s="1"/>
  <c r="CE89" i="15" l="1"/>
  <c r="CE105" i="15" s="1"/>
  <c r="CF89" i="15" l="1"/>
  <c r="CF105" i="15" s="1"/>
  <c r="CG89" i="15" l="1"/>
  <c r="CG105" i="15" s="1"/>
  <c r="CH89" i="15" l="1"/>
  <c r="CH105" i="15" s="1"/>
  <c r="BQ69" i="38" l="1"/>
  <c r="CB71" i="38" s="1"/>
  <c r="BQ30" i="38" l="1"/>
  <c r="CB32" i="38" s="1"/>
  <c r="CB75" i="38"/>
  <c r="CB73" i="38"/>
  <c r="CB36" i="38" l="1"/>
  <c r="CB34" i="38"/>
  <c r="BP69" i="38" l="1"/>
  <c r="CA71" i="38" s="1"/>
  <c r="BN69" i="38"/>
  <c r="BN30" i="38" l="1"/>
  <c r="BP30" i="38"/>
  <c r="CA32" i="38" s="1"/>
  <c r="CA75" i="38"/>
  <c r="CA73" i="38"/>
  <c r="CA34" i="38" l="1"/>
  <c r="CA36" i="38"/>
  <c r="BO69" i="38"/>
  <c r="BO30" i="38" l="1"/>
  <c r="BZ71" i="38"/>
  <c r="BY71" i="38"/>
  <c r="BY75" i="38" l="1"/>
  <c r="BY73" i="38"/>
  <c r="BZ75" i="38"/>
  <c r="BZ73" i="38"/>
  <c r="BZ32" i="38"/>
  <c r="BY32" i="38"/>
  <c r="BZ36" i="38" l="1"/>
  <c r="BZ34" i="38"/>
  <c r="BY36" i="38"/>
  <c r="BY34" i="38"/>
  <c r="BM69" i="38" l="1"/>
  <c r="BX71" i="38" s="1"/>
  <c r="BM30" i="38"/>
  <c r="BX32" i="38" s="1"/>
  <c r="BX36" i="38" l="1"/>
  <c r="BX34" i="38"/>
  <c r="BX75" i="38"/>
  <c r="BX73" i="38"/>
  <c r="BL69" i="38" l="1"/>
  <c r="BP71" i="38" l="1"/>
  <c r="BS71" i="38"/>
  <c r="BW71" i="38"/>
  <c r="BV71" i="38"/>
  <c r="BO71" i="38"/>
  <c r="BQ71" i="38"/>
  <c r="BR71" i="38"/>
  <c r="BT71" i="38"/>
  <c r="BN71" i="38"/>
  <c r="BU71" i="38"/>
  <c r="BV75" i="38" l="1"/>
  <c r="BV73" i="38"/>
  <c r="BR73" i="38"/>
  <c r="BR75" i="38"/>
  <c r="BW75" i="38"/>
  <c r="BW73" i="38"/>
  <c r="BT75" i="38"/>
  <c r="BT73" i="38"/>
  <c r="BO75" i="38"/>
  <c r="BO73" i="38"/>
  <c r="BU75" i="38"/>
  <c r="BU73" i="38"/>
  <c r="BS75" i="38"/>
  <c r="BS73" i="38"/>
  <c r="BQ75" i="38"/>
  <c r="BQ73" i="38"/>
  <c r="BN75" i="38"/>
  <c r="BN73" i="38"/>
  <c r="BP75" i="38"/>
  <c r="BP73" i="38"/>
  <c r="BL30" i="38" l="1"/>
  <c r="BL32" i="38" l="1"/>
  <c r="BM32" i="38"/>
  <c r="BO32" i="38"/>
  <c r="BS32" i="38"/>
  <c r="BN32" i="38"/>
  <c r="BP32" i="38"/>
  <c r="BQ32" i="38"/>
  <c r="BR32" i="38"/>
  <c r="BU32" i="38"/>
  <c r="BV32" i="38"/>
  <c r="BW32" i="38"/>
  <c r="BT32" i="38"/>
  <c r="BR36" i="38" l="1"/>
  <c r="BR34" i="38"/>
  <c r="BQ34" i="38"/>
  <c r="BQ36" i="38"/>
  <c r="BP36" i="38"/>
  <c r="BP34" i="38"/>
  <c r="BN36" i="38"/>
  <c r="BN34" i="38"/>
  <c r="BT36" i="38"/>
  <c r="BT34" i="38"/>
  <c r="BS36" i="38"/>
  <c r="BS34" i="38"/>
  <c r="BW36" i="38"/>
  <c r="G12" i="65" s="1"/>
  <c r="BW34" i="38"/>
  <c r="BO34" i="38"/>
  <c r="BO36" i="38"/>
  <c r="BV36" i="38"/>
  <c r="BV34" i="38"/>
  <c r="BM36" i="38"/>
  <c r="BM34" i="38"/>
  <c r="BU36" i="38"/>
  <c r="BU34" i="38"/>
  <c r="BL34" i="38"/>
  <c r="BL36" i="38"/>
  <c r="BK40" i="15" l="1"/>
  <c r="BK53" i="15"/>
  <c r="BK89" i="15"/>
  <c r="BK105" i="15" s="1"/>
  <c r="BV80" i="29" l="1"/>
  <c r="BN80" i="29"/>
  <c r="BF80" i="29"/>
  <c r="AX80" i="29"/>
  <c r="AP80" i="29"/>
  <c r="AH80" i="29"/>
  <c r="Z80" i="29"/>
  <c r="BU80" i="29"/>
  <c r="BM80" i="29"/>
  <c r="BE80" i="29"/>
  <c r="AW80" i="29"/>
  <c r="AO80" i="29"/>
  <c r="AG80" i="29"/>
  <c r="Y80" i="29"/>
  <c r="BV79" i="29"/>
  <c r="BN79" i="29"/>
  <c r="BF79" i="29"/>
  <c r="AX79" i="29"/>
  <c r="AP79" i="29"/>
  <c r="AH79" i="29"/>
  <c r="Z79" i="29"/>
  <c r="BW78" i="29"/>
  <c r="BO78" i="29"/>
  <c r="BG78" i="29"/>
  <c r="BT80" i="29"/>
  <c r="BL80" i="29"/>
  <c r="BD80" i="29"/>
  <c r="AV80" i="29"/>
  <c r="AN80" i="29"/>
  <c r="AF80" i="29"/>
  <c r="X80" i="29"/>
  <c r="BU79" i="29"/>
  <c r="BM79" i="29"/>
  <c r="BE79" i="29"/>
  <c r="AW79" i="29"/>
  <c r="AO79" i="29"/>
  <c r="AG79" i="29"/>
  <c r="Y79" i="29"/>
  <c r="BV78" i="29"/>
  <c r="BS80" i="29"/>
  <c r="BK80" i="29"/>
  <c r="BC80" i="29"/>
  <c r="AU80" i="29"/>
  <c r="AM80" i="29"/>
  <c r="AE80" i="29"/>
  <c r="BT79" i="29"/>
  <c r="BL79" i="29"/>
  <c r="BD79" i="29"/>
  <c r="AV79" i="29"/>
  <c r="AN79" i="29"/>
  <c r="AF79" i="29"/>
  <c r="X79" i="29"/>
  <c r="BU78" i="29"/>
  <c r="BM78" i="29"/>
  <c r="BE78" i="29"/>
  <c r="AW78" i="29"/>
  <c r="BR80" i="29"/>
  <c r="BJ80" i="29"/>
  <c r="BB80" i="29"/>
  <c r="AT80" i="29"/>
  <c r="AL80" i="29"/>
  <c r="AD80" i="29"/>
  <c r="BS79" i="29"/>
  <c r="BK79" i="29"/>
  <c r="BC79" i="29"/>
  <c r="AU79" i="29"/>
  <c r="AM79" i="29"/>
  <c r="AE79" i="29"/>
  <c r="BT78" i="29"/>
  <c r="BL78" i="29"/>
  <c r="BD78" i="29"/>
  <c r="AV78" i="29"/>
  <c r="AN78" i="29"/>
  <c r="AF78" i="29"/>
  <c r="X78" i="29"/>
  <c r="BQ80" i="29"/>
  <c r="BI80" i="29"/>
  <c r="BA80" i="29"/>
  <c r="AS80" i="29"/>
  <c r="AK80" i="29"/>
  <c r="AC80" i="29"/>
  <c r="BR79" i="29"/>
  <c r="BJ79" i="29"/>
  <c r="BB79" i="29"/>
  <c r="AT79" i="29"/>
  <c r="AL79" i="29"/>
  <c r="AD79" i="29"/>
  <c r="BS78" i="29"/>
  <c r="BK78" i="29"/>
  <c r="BC78" i="29"/>
  <c r="AU78" i="29"/>
  <c r="AM78" i="29"/>
  <c r="AE78" i="29"/>
  <c r="BP80" i="29"/>
  <c r="BH80" i="29"/>
  <c r="AZ80" i="29"/>
  <c r="AR80" i="29"/>
  <c r="AJ80" i="29"/>
  <c r="AB80" i="29"/>
  <c r="BQ79" i="29"/>
  <c r="BI79" i="29"/>
  <c r="BA79" i="29"/>
  <c r="AS79" i="29"/>
  <c r="AK79" i="29"/>
  <c r="AC79" i="29"/>
  <c r="BW80" i="29"/>
  <c r="BO80" i="29"/>
  <c r="BG80" i="29"/>
  <c r="AY80" i="29"/>
  <c r="AQ80" i="29"/>
  <c r="AI80" i="29"/>
  <c r="AA80" i="29"/>
  <c r="BP79" i="29"/>
  <c r="BH79" i="29"/>
  <c r="AZ79" i="29"/>
  <c r="AR79" i="29"/>
  <c r="AJ79" i="29"/>
  <c r="AB79" i="29"/>
  <c r="BQ78" i="29"/>
  <c r="BI78" i="29"/>
  <c r="BA78" i="29"/>
  <c r="AY79" i="29"/>
  <c r="BP78" i="29"/>
  <c r="AX78" i="29"/>
  <c r="AK78" i="29"/>
  <c r="AA78" i="29"/>
  <c r="AQ79" i="29"/>
  <c r="BN78" i="29"/>
  <c r="AT78" i="29"/>
  <c r="AJ78" i="29"/>
  <c r="Z78" i="29"/>
  <c r="AI79" i="29"/>
  <c r="BJ78" i="29"/>
  <c r="AS78" i="29"/>
  <c r="AI78" i="29"/>
  <c r="Y78" i="29"/>
  <c r="AA79" i="29"/>
  <c r="BH78" i="29"/>
  <c r="AR78" i="29"/>
  <c r="AH78" i="29"/>
  <c r="BF78" i="29"/>
  <c r="AQ78" i="29"/>
  <c r="AG78" i="29"/>
  <c r="BW79" i="29"/>
  <c r="BB78" i="29"/>
  <c r="AP78" i="29"/>
  <c r="AD78" i="29"/>
  <c r="BO79" i="29"/>
  <c r="AZ78" i="29"/>
  <c r="AO78" i="29"/>
  <c r="AC78" i="29"/>
  <c r="BG79" i="29"/>
  <c r="BR78" i="29"/>
  <c r="AY78" i="29"/>
  <c r="AL78" i="29"/>
  <c r="AB78" i="29"/>
  <c r="BW28" i="29"/>
  <c r="BN107" i="15"/>
  <c r="BK55" i="15"/>
  <c r="BK95" i="38"/>
  <c r="BV97" i="38" s="1"/>
  <c r="BJ95" i="38"/>
  <c r="BI95" i="38"/>
  <c r="BH95" i="38"/>
  <c r="BG95" i="38"/>
  <c r="BF95" i="38"/>
  <c r="AX95" i="38"/>
  <c r="BQ24" i="29" l="1"/>
  <c r="BR24" i="29"/>
  <c r="BT24" i="29"/>
  <c r="BM24" i="29"/>
  <c r="BI24" i="29"/>
  <c r="BS24" i="29"/>
  <c r="BK24" i="29"/>
  <c r="BM28" i="29"/>
  <c r="BH24" i="29"/>
  <c r="BJ24" i="29"/>
  <c r="BS28" i="29"/>
  <c r="BO28" i="29"/>
  <c r="BS97" i="38"/>
  <c r="BS101" i="38" s="1"/>
  <c r="BU97" i="38"/>
  <c r="BU99" i="38" s="1"/>
  <c r="BJ28" i="29"/>
  <c r="BH28" i="29"/>
  <c r="BR28" i="29"/>
  <c r="BU24" i="29"/>
  <c r="BR97" i="38"/>
  <c r="BR99" i="38" s="1"/>
  <c r="BO107" i="15"/>
  <c r="BP107" i="15"/>
  <c r="BQ28" i="29"/>
  <c r="BQ30" i="29" s="1"/>
  <c r="BX24" i="29"/>
  <c r="BT97" i="38"/>
  <c r="BN24" i="29"/>
  <c r="BT28" i="29"/>
  <c r="BT30" i="29" s="1"/>
  <c r="BK28" i="29"/>
  <c r="BV24" i="29"/>
  <c r="BO24" i="29"/>
  <c r="BG24" i="29"/>
  <c r="BU28" i="29"/>
  <c r="BW24" i="29"/>
  <c r="BW30" i="29" s="1"/>
  <c r="BP24" i="29"/>
  <c r="BG97" i="38"/>
  <c r="BH97" i="38"/>
  <c r="AY97" i="38"/>
  <c r="BA97" i="38"/>
  <c r="BF97" i="38"/>
  <c r="AX97" i="38"/>
  <c r="BI97" i="38"/>
  <c r="BE97" i="38"/>
  <c r="AZ97" i="38"/>
  <c r="BB97" i="38"/>
  <c r="BD97" i="38"/>
  <c r="BC97" i="38"/>
  <c r="BX28" i="29"/>
  <c r="BO67" i="8"/>
  <c r="BV101" i="38"/>
  <c r="BV99" i="38"/>
  <c r="BL107" i="15"/>
  <c r="BM107" i="15"/>
  <c r="BP28" i="29"/>
  <c r="BN28" i="29"/>
  <c r="BK97" i="38"/>
  <c r="BM97" i="38"/>
  <c r="BJ97" i="38"/>
  <c r="BL97" i="38"/>
  <c r="BN97" i="38"/>
  <c r="BQ97" i="38"/>
  <c r="BO97" i="38"/>
  <c r="BP97" i="38"/>
  <c r="BK107" i="15"/>
  <c r="BG28" i="29"/>
  <c r="BI28" i="29"/>
  <c r="BV28" i="29"/>
  <c r="BS30" i="29" l="1"/>
  <c r="BK30" i="29"/>
  <c r="BI30" i="29"/>
  <c r="BR30" i="29"/>
  <c r="BM30" i="29"/>
  <c r="BH30" i="29"/>
  <c r="BS99" i="38"/>
  <c r="BU101" i="38"/>
  <c r="BJ30" i="29"/>
  <c r="BO30" i="29"/>
  <c r="BG30" i="29"/>
  <c r="BR101" i="38"/>
  <c r="BV30" i="29"/>
  <c r="BX30" i="29"/>
  <c r="BN30" i="29"/>
  <c r="BU30" i="29"/>
  <c r="BM99" i="38"/>
  <c r="BM101" i="38"/>
  <c r="BI101" i="38"/>
  <c r="BI99" i="38"/>
  <c r="BK101" i="38"/>
  <c r="BK99" i="38"/>
  <c r="AX101" i="38"/>
  <c r="AX99" i="38"/>
  <c r="BP101" i="38"/>
  <c r="BP99" i="38"/>
  <c r="BF101" i="38"/>
  <c r="BF99" i="38"/>
  <c r="BO99" i="38"/>
  <c r="BO101" i="38"/>
  <c r="BC101" i="38"/>
  <c r="BC99" i="38"/>
  <c r="BA101" i="38"/>
  <c r="BA99" i="38"/>
  <c r="BT101" i="38"/>
  <c r="BT99" i="38"/>
  <c r="BQ99" i="38"/>
  <c r="BQ101" i="38"/>
  <c r="BP30" i="29"/>
  <c r="BD101" i="38"/>
  <c r="BD99" i="38"/>
  <c r="AY101" i="38"/>
  <c r="AY99" i="38"/>
  <c r="BN101" i="38"/>
  <c r="BN99" i="38"/>
  <c r="BB99" i="38"/>
  <c r="BB101" i="38"/>
  <c r="BH99" i="38"/>
  <c r="BH101" i="38"/>
  <c r="BL101" i="38"/>
  <c r="BL99" i="38"/>
  <c r="AZ99" i="38"/>
  <c r="AZ101" i="38"/>
  <c r="BG101" i="38"/>
  <c r="BG99" i="38"/>
  <c r="BJ101" i="38"/>
  <c r="BJ99" i="38"/>
  <c r="BE101" i="38"/>
  <c r="BE99" i="38"/>
  <c r="BI31" i="29" l="1"/>
  <c r="BP31" i="29"/>
  <c r="BJ31" i="29"/>
  <c r="BK31" i="29"/>
  <c r="BM31" i="29"/>
  <c r="BG31" i="29"/>
  <c r="BH31" i="29"/>
  <c r="BL31" i="29"/>
  <c r="BN31" i="29"/>
  <c r="BO31" i="29"/>
  <c r="BV31" i="29"/>
  <c r="BS31" i="29"/>
  <c r="BQ31" i="29"/>
  <c r="BR31" i="29"/>
  <c r="BW31" i="29"/>
  <c r="BU31" i="29"/>
  <c r="BT31" i="29"/>
  <c r="BX31" i="29"/>
  <c r="B30" i="29"/>
  <c r="BK110" i="15" l="1"/>
  <c r="BL110" i="15" l="1"/>
  <c r="BM110" i="15" l="1"/>
  <c r="BN110" i="15" l="1"/>
  <c r="BO110" i="15" l="1"/>
  <c r="BP110" i="15" l="1"/>
  <c r="L22" i="2" l="1"/>
  <c r="F17" i="8" l="1"/>
  <c r="CY17" i="8"/>
  <c r="D17" i="8" s="1"/>
  <c r="F31" i="8" l="1"/>
  <c r="CY31" i="8"/>
  <c r="L141" i="53"/>
  <c r="L144" i="1"/>
  <c r="L106" i="1"/>
  <c r="L103" i="53"/>
  <c r="F19" i="8" l="1"/>
  <c r="CY19" i="8"/>
  <c r="D19" i="8" s="1"/>
  <c r="B97" i="15"/>
  <c r="B170" i="1" s="1"/>
  <c r="P144" i="1" l="1"/>
  <c r="P141" i="53"/>
  <c r="P103" i="53"/>
  <c r="P119" i="53" s="1"/>
  <c r="P106" i="1"/>
  <c r="P128" i="1" s="1"/>
  <c r="B40" i="69"/>
  <c r="C22" i="66"/>
  <c r="CU97" i="15"/>
  <c r="N185" i="84" a="1"/>
  <c r="N185" i="84" l="1"/>
  <c r="P141" i="1"/>
  <c r="P132" i="1"/>
  <c r="P123" i="53"/>
  <c r="P125" i="53" s="1"/>
  <c r="T119" i="53"/>
  <c r="V119" i="53" s="1"/>
  <c r="P129" i="53" l="1"/>
  <c r="P138" i="53"/>
  <c r="B146" i="2" l="1"/>
  <c r="B138" i="2"/>
  <c r="B140" i="2"/>
  <c r="CT83" i="38"/>
  <c r="CS83" i="38"/>
  <c r="CR83" i="38"/>
  <c r="CQ83" i="38"/>
  <c r="CP83" i="38"/>
  <c r="CO83" i="38"/>
  <c r="CN83" i="38"/>
  <c r="CM83" i="38"/>
  <c r="CL83" i="38"/>
  <c r="CK83" i="38"/>
  <c r="CU50" i="38"/>
  <c r="CU44" i="38" s="1"/>
  <c r="CU42" i="38" s="1"/>
  <c r="CT50" i="38"/>
  <c r="CT44" i="38" s="1"/>
  <c r="CT42" i="38" s="1"/>
  <c r="CS50" i="38"/>
  <c r="CS44" i="38" s="1"/>
  <c r="CS42" i="38" s="1"/>
  <c r="CR50" i="38"/>
  <c r="CR44" i="38" s="1"/>
  <c r="CQ50" i="38"/>
  <c r="CQ44" i="38" s="1"/>
  <c r="CP50" i="38"/>
  <c r="CP44" i="38" s="1"/>
  <c r="CO50" i="38"/>
  <c r="CO44" i="38" s="1"/>
  <c r="CN50" i="38"/>
  <c r="CN44" i="38" s="1"/>
  <c r="CM50" i="38"/>
  <c r="CM44" i="38" s="1"/>
  <c r="CM42" i="38" s="1"/>
  <c r="CL50" i="38"/>
  <c r="CL44" i="38" s="1"/>
  <c r="CK50" i="38"/>
  <c r="CK44" i="38" s="1"/>
  <c r="B96" i="2"/>
  <c r="C199" i="2" s="1"/>
  <c r="C14" i="29"/>
  <c r="B95" i="2"/>
  <c r="C198" i="2" s="1"/>
  <c r="C36" i="29"/>
  <c r="CU69" i="38"/>
  <c r="CT69" i="38"/>
  <c r="CS69" i="38"/>
  <c r="CR69" i="38"/>
  <c r="CQ69" i="38"/>
  <c r="CP69" i="38"/>
  <c r="CO69" i="38"/>
  <c r="CN69" i="38"/>
  <c r="CM69" i="38"/>
  <c r="CL69" i="38"/>
  <c r="CK69" i="38"/>
  <c r="CJ80" i="29"/>
  <c r="CI80" i="29"/>
  <c r="CH80" i="29"/>
  <c r="CG80" i="29"/>
  <c r="CF80" i="29"/>
  <c r="CE80" i="29"/>
  <c r="CD80" i="29"/>
  <c r="CC80" i="29"/>
  <c r="CB80" i="29"/>
  <c r="CA80" i="29"/>
  <c r="BZ80" i="29"/>
  <c r="CE78" i="29"/>
  <c r="CG79" i="29"/>
  <c r="BY80" i="29"/>
  <c r="CJ50" i="38"/>
  <c r="CJ44" i="38" s="1"/>
  <c r="CJ42" i="38" s="1"/>
  <c r="CO95" i="38" l="1"/>
  <c r="CY64" i="8"/>
  <c r="B36" i="29"/>
  <c r="CY54" i="8"/>
  <c r="C27" i="38"/>
  <c r="CY55" i="8"/>
  <c r="CY56" i="8"/>
  <c r="CU109" i="15"/>
  <c r="CY58" i="8"/>
  <c r="CY65" i="8"/>
  <c r="C24" i="38"/>
  <c r="CY60" i="8"/>
  <c r="CY57" i="8"/>
  <c r="C25" i="38"/>
  <c r="C26" i="38"/>
  <c r="CY48" i="8"/>
  <c r="CY63" i="8"/>
  <c r="CY59" i="8"/>
  <c r="C28" i="38"/>
  <c r="CY62" i="8"/>
  <c r="B14" i="29"/>
  <c r="H26" i="2" s="1"/>
  <c r="CY61" i="8"/>
  <c r="C29" i="38"/>
  <c r="CC79" i="29"/>
  <c r="CA78" i="29"/>
  <c r="CI78" i="29"/>
  <c r="CI103" i="15"/>
  <c r="CG28" i="29"/>
  <c r="CA28" i="29"/>
  <c r="CI28" i="29"/>
  <c r="CD24" i="29"/>
  <c r="CL95" i="38"/>
  <c r="CT95" i="38"/>
  <c r="CO30" i="38"/>
  <c r="CD79" i="29"/>
  <c r="CB78" i="29"/>
  <c r="CJ78" i="29"/>
  <c r="CB28" i="29"/>
  <c r="CJ28" i="29"/>
  <c r="CE24" i="29"/>
  <c r="CM95" i="38"/>
  <c r="CU95" i="38"/>
  <c r="CP30" i="38"/>
  <c r="CF79" i="29"/>
  <c r="CD78" i="29"/>
  <c r="CN103" i="15"/>
  <c r="CF28" i="29"/>
  <c r="CA24" i="29"/>
  <c r="CI24" i="29"/>
  <c r="CI30" i="29" s="1"/>
  <c r="CO103" i="15"/>
  <c r="BY79" i="29"/>
  <c r="CB24" i="29"/>
  <c r="CJ24" i="29"/>
  <c r="CR95" i="38"/>
  <c r="B86" i="2"/>
  <c r="C192" i="2" s="1"/>
  <c r="CP103" i="15"/>
  <c r="CB79" i="29"/>
  <c r="CJ79" i="29"/>
  <c r="BZ78" i="29"/>
  <c r="CH78" i="29"/>
  <c r="B131" i="2"/>
  <c r="H180" i="2" s="1"/>
  <c r="C94" i="38"/>
  <c r="CJ95" i="38"/>
  <c r="C17" i="29"/>
  <c r="B17" i="29"/>
  <c r="J113" i="1" s="1"/>
  <c r="CR67" i="8"/>
  <c r="R67" i="53"/>
  <c r="T67" i="53" s="1"/>
  <c r="K26" i="57"/>
  <c r="H26" i="57"/>
  <c r="CG34" i="29"/>
  <c r="CJ103" i="15"/>
  <c r="CR103" i="15"/>
  <c r="B128" i="2"/>
  <c r="CU48" i="15"/>
  <c r="B48" i="15"/>
  <c r="C96" i="2" s="1"/>
  <c r="B199" i="2" s="1"/>
  <c r="CJ69" i="38"/>
  <c r="C67" i="38"/>
  <c r="C69" i="38" s="1"/>
  <c r="CS67" i="8"/>
  <c r="BZ34" i="29"/>
  <c r="CH34" i="29"/>
  <c r="CK103" i="15"/>
  <c r="CS103" i="15"/>
  <c r="B18" i="29"/>
  <c r="C18" i="29"/>
  <c r="C22" i="29"/>
  <c r="B22" i="29"/>
  <c r="CE79" i="29"/>
  <c r="CC78" i="29"/>
  <c r="CC28" i="29"/>
  <c r="CF24" i="29"/>
  <c r="CN95" i="38"/>
  <c r="CQ30" i="38"/>
  <c r="CT67" i="8"/>
  <c r="CA34" i="29"/>
  <c r="CI34" i="29"/>
  <c r="CL103" i="15"/>
  <c r="B26" i="29"/>
  <c r="C26" i="29"/>
  <c r="C19" i="29"/>
  <c r="B19" i="29"/>
  <c r="B23" i="29"/>
  <c r="C23" i="29"/>
  <c r="BY24" i="29"/>
  <c r="C23" i="38"/>
  <c r="CJ30" i="38"/>
  <c r="CM67" i="8"/>
  <c r="CY66" i="8"/>
  <c r="CD28" i="29"/>
  <c r="CP67" i="8"/>
  <c r="CG24" i="29"/>
  <c r="CR30" i="38"/>
  <c r="CU67" i="8"/>
  <c r="CB34" i="29"/>
  <c r="CM103" i="15"/>
  <c r="H191" i="2"/>
  <c r="R71" i="53"/>
  <c r="T71" i="53" s="1"/>
  <c r="BY78" i="29"/>
  <c r="BY28" i="29"/>
  <c r="B27" i="29"/>
  <c r="C27" i="29"/>
  <c r="CE28" i="29"/>
  <c r="BZ24" i="29"/>
  <c r="CH24" i="29"/>
  <c r="CP95" i="38"/>
  <c r="CK30" i="38"/>
  <c r="CS30" i="38"/>
  <c r="CN67" i="8"/>
  <c r="CV67" i="8"/>
  <c r="B100" i="2"/>
  <c r="C203" i="2" s="1"/>
  <c r="CC34" i="29"/>
  <c r="B130" i="2"/>
  <c r="CU83" i="38"/>
  <c r="B15" i="29"/>
  <c r="C15" i="29"/>
  <c r="BZ79" i="29"/>
  <c r="CH79" i="29"/>
  <c r="CF78" i="29"/>
  <c r="CQ95" i="38"/>
  <c r="CL30" i="38"/>
  <c r="CT30" i="38"/>
  <c r="CO67" i="8"/>
  <c r="CW67" i="8"/>
  <c r="CD34" i="29"/>
  <c r="R106" i="1"/>
  <c r="CA79" i="29"/>
  <c r="CI79" i="29"/>
  <c r="CG78" i="29"/>
  <c r="CG30" i="29"/>
  <c r="CM30" i="38"/>
  <c r="CU30" i="38"/>
  <c r="CX67" i="8"/>
  <c r="CE34" i="29"/>
  <c r="B141" i="2"/>
  <c r="H188" i="2" s="1"/>
  <c r="CU47" i="15"/>
  <c r="B47" i="15"/>
  <c r="C95" i="2" s="1"/>
  <c r="B198" i="2" s="1"/>
  <c r="CU77" i="15"/>
  <c r="CJ83" i="38"/>
  <c r="B77" i="15"/>
  <c r="C130" i="2" s="1"/>
  <c r="CU96" i="15"/>
  <c r="B96" i="15"/>
  <c r="C146" i="2" s="1"/>
  <c r="CU85" i="15"/>
  <c r="B85" i="15"/>
  <c r="C138" i="2" s="1"/>
  <c r="CK95" i="38"/>
  <c r="C93" i="38"/>
  <c r="BZ28" i="29"/>
  <c r="CH28" i="29"/>
  <c r="CC24" i="29"/>
  <c r="CS95" i="38"/>
  <c r="CN30" i="38"/>
  <c r="CQ67" i="8"/>
  <c r="CF34" i="29"/>
  <c r="CQ103" i="15"/>
  <c r="R66" i="53"/>
  <c r="T66" i="53" s="1"/>
  <c r="K30" i="57"/>
  <c r="L30" i="57" s="1"/>
  <c r="H186" i="2"/>
  <c r="B151" i="2"/>
  <c r="H189" i="2" s="1"/>
  <c r="B127" i="2"/>
  <c r="H177" i="2" s="1"/>
  <c r="B135" i="2"/>
  <c r="H184" i="2" s="1"/>
  <c r="B94" i="2"/>
  <c r="C197" i="2" s="1"/>
  <c r="B129" i="2"/>
  <c r="H179" i="2" s="1"/>
  <c r="CD30" i="29" l="1"/>
  <c r="CB30" i="29"/>
  <c r="CE30" i="29"/>
  <c r="C30" i="38"/>
  <c r="R69" i="1"/>
  <c r="T69" i="1" s="1"/>
  <c r="CY67" i="8"/>
  <c r="K26" i="2"/>
  <c r="L26" i="2" s="1"/>
  <c r="CH30" i="29"/>
  <c r="CJ30" i="29"/>
  <c r="C30" i="29" s="1"/>
  <c r="CA30" i="29"/>
  <c r="BZ30" i="29"/>
  <c r="C95" i="38"/>
  <c r="CU87" i="15"/>
  <c r="L26" i="57"/>
  <c r="CF30" i="29"/>
  <c r="CU88" i="15"/>
  <c r="B88" i="15"/>
  <c r="C141" i="2" s="1"/>
  <c r="G188" i="2" s="1"/>
  <c r="B87" i="15"/>
  <c r="C140" i="2" s="1"/>
  <c r="G191" i="2" s="1"/>
  <c r="B16" i="29"/>
  <c r="B109" i="1" s="1"/>
  <c r="CU52" i="15"/>
  <c r="B52" i="15"/>
  <c r="C100" i="2" s="1"/>
  <c r="B203" i="2" s="1"/>
  <c r="B20" i="29"/>
  <c r="F114" i="1" s="1"/>
  <c r="CU46" i="15"/>
  <c r="B46" i="15"/>
  <c r="C94" i="2" s="1"/>
  <c r="B197" i="2" s="1"/>
  <c r="B82" i="15"/>
  <c r="C135" i="2" s="1"/>
  <c r="G184" i="2" s="1"/>
  <c r="CU82" i="15"/>
  <c r="B76" i="15"/>
  <c r="C129" i="2" s="1"/>
  <c r="G179" i="2" s="1"/>
  <c r="CU76" i="15"/>
  <c r="C83" i="38"/>
  <c r="R128" i="1"/>
  <c r="R103" i="53"/>
  <c r="R125" i="53" s="1"/>
  <c r="R64" i="82"/>
  <c r="N142" i="84"/>
  <c r="N143" i="84" s="1"/>
  <c r="C14" i="38"/>
  <c r="CT71" i="38"/>
  <c r="CS71" i="38"/>
  <c r="CQ71" i="38"/>
  <c r="CR71" i="38"/>
  <c r="CK71" i="38"/>
  <c r="CL71" i="38"/>
  <c r="CU71" i="38"/>
  <c r="CN71" i="38"/>
  <c r="CP71" i="38"/>
  <c r="CM71" i="38"/>
  <c r="CO71" i="38"/>
  <c r="CJ71" i="38"/>
  <c r="CU78" i="15"/>
  <c r="B78" i="15"/>
  <c r="C131" i="2" s="1"/>
  <c r="G180" i="2" s="1"/>
  <c r="C28" i="29"/>
  <c r="B28" i="29"/>
  <c r="B116" i="1" s="1"/>
  <c r="BY30" i="29"/>
  <c r="C57" i="38"/>
  <c r="C16" i="29"/>
  <c r="B75" i="15"/>
  <c r="C128" i="2" s="1"/>
  <c r="CU75" i="15"/>
  <c r="CU74" i="15"/>
  <c r="B74" i="15"/>
  <c r="C127" i="2" s="1"/>
  <c r="G177" i="2" s="1"/>
  <c r="CC30" i="29"/>
  <c r="J110" i="53"/>
  <c r="C33" i="29"/>
  <c r="G39" i="57" s="1"/>
  <c r="CJ34" i="29"/>
  <c r="C34" i="29" s="1"/>
  <c r="H39" i="57" s="1"/>
  <c r="CN32" i="38"/>
  <c r="CJ32" i="38"/>
  <c r="CU32" i="38"/>
  <c r="CR32" i="38"/>
  <c r="CM32" i="38"/>
  <c r="CL32" i="38"/>
  <c r="CQ32" i="38"/>
  <c r="CS32" i="38"/>
  <c r="CP32" i="38"/>
  <c r="CK32" i="38"/>
  <c r="CO32" i="38"/>
  <c r="CT32" i="38"/>
  <c r="CU101" i="15"/>
  <c r="B101" i="15"/>
  <c r="C155" i="2" s="1"/>
  <c r="C158" i="2" s="1"/>
  <c r="G190" i="2" s="1"/>
  <c r="B155" i="2"/>
  <c r="B158" i="2" s="1"/>
  <c r="H190" i="2" s="1"/>
  <c r="CT103" i="15"/>
  <c r="B103" i="15" s="1"/>
  <c r="K27" i="57"/>
  <c r="L27" i="57" s="1"/>
  <c r="H178" i="2"/>
  <c r="CK97" i="38"/>
  <c r="CQ97" i="38"/>
  <c r="CS97" i="38"/>
  <c r="CU97" i="38"/>
  <c r="CP97" i="38"/>
  <c r="CJ97" i="38"/>
  <c r="CN97" i="38"/>
  <c r="CO97" i="38"/>
  <c r="CT97" i="38"/>
  <c r="CR97" i="38"/>
  <c r="CM97" i="38"/>
  <c r="CL97" i="38"/>
  <c r="CU38" i="15"/>
  <c r="B38" i="15"/>
  <c r="C86" i="2" s="1"/>
  <c r="B192" i="2" s="1"/>
  <c r="B94" i="15"/>
  <c r="C151" i="2" s="1"/>
  <c r="G189" i="2" s="1"/>
  <c r="CU94" i="15"/>
  <c r="R68" i="1"/>
  <c r="E30" i="2"/>
  <c r="L30" i="2" s="1"/>
  <c r="G186" i="2"/>
  <c r="C24" i="29"/>
  <c r="B24" i="29"/>
  <c r="J116" i="1" s="1"/>
  <c r="B33" i="29"/>
  <c r="G40" i="2" s="1"/>
  <c r="BY34" i="29"/>
  <c r="N113" i="84" a="1"/>
  <c r="N94" i="84" a="1"/>
  <c r="N94" i="84" l="1"/>
  <c r="N113" i="84"/>
  <c r="J126" i="1"/>
  <c r="F111" i="53"/>
  <c r="CJ31" i="29"/>
  <c r="B34" i="29"/>
  <c r="H40" i="2" s="1"/>
  <c r="D40" i="2" s="1"/>
  <c r="L40" i="2" s="1"/>
  <c r="L114" i="1"/>
  <c r="T114" i="1" s="1"/>
  <c r="V114" i="1" s="1"/>
  <c r="D46" i="36" s="1"/>
  <c r="F109" i="1"/>
  <c r="B106" i="53"/>
  <c r="CU103" i="15"/>
  <c r="D39" i="57"/>
  <c r="L39" i="57" s="1"/>
  <c r="CB31" i="29"/>
  <c r="CG31" i="29"/>
  <c r="CD31" i="29"/>
  <c r="CA31" i="29"/>
  <c r="CC31" i="29"/>
  <c r="CH31" i="29"/>
  <c r="BZ31" i="29"/>
  <c r="CE31" i="29"/>
  <c r="CI31" i="29"/>
  <c r="BY31" i="29"/>
  <c r="CF31" i="29"/>
  <c r="R138" i="53"/>
  <c r="R129" i="53"/>
  <c r="R132" i="1"/>
  <c r="R141" i="1"/>
  <c r="T68" i="1"/>
  <c r="M42" i="81"/>
  <c r="N42" i="81" s="1"/>
  <c r="R45" i="82"/>
  <c r="K27" i="2"/>
  <c r="L27" i="2" s="1"/>
  <c r="G178" i="2"/>
  <c r="J113" i="53"/>
  <c r="J123" i="53" s="1"/>
  <c r="L116" i="1"/>
  <c r="T116" i="1" s="1"/>
  <c r="V116" i="1" s="1"/>
  <c r="D48" i="36" s="1"/>
  <c r="B113" i="53"/>
  <c r="H141" i="84" a="1"/>
  <c r="H141" i="84" s="1"/>
  <c r="N114" i="84" a="1"/>
  <c r="N68" i="84" a="1"/>
  <c r="N80" i="84" a="1"/>
  <c r="N93" i="84" a="1"/>
  <c r="N78" i="84" a="1"/>
  <c r="N67" i="84" a="1"/>
  <c r="N67" i="84" l="1"/>
  <c r="N78" i="84"/>
  <c r="N93" i="84"/>
  <c r="N80" i="84"/>
  <c r="N68" i="84"/>
  <c r="N114" i="84"/>
  <c r="R57" i="82"/>
  <c r="L111" i="53"/>
  <c r="T111" i="53" s="1"/>
  <c r="V111" i="53" s="1"/>
  <c r="F106" i="53"/>
  <c r="F123" i="53" s="1"/>
  <c r="M54" i="81"/>
  <c r="N54" i="81" s="1"/>
  <c r="L109" i="1"/>
  <c r="F126" i="1"/>
  <c r="D48" i="89"/>
  <c r="T48" i="60"/>
  <c r="D48" i="88"/>
  <c r="D48" i="61"/>
  <c r="D48" i="85"/>
  <c r="D48" i="86"/>
  <c r="D48" i="70"/>
  <c r="H48" i="47"/>
  <c r="D48" i="62"/>
  <c r="F48" i="36"/>
  <c r="D48" i="87"/>
  <c r="H48" i="36"/>
  <c r="D48" i="68"/>
  <c r="L113" i="53"/>
  <c r="T113" i="53" s="1"/>
  <c r="V113" i="53" s="1"/>
  <c r="D46" i="88"/>
  <c r="D46" i="86"/>
  <c r="D46" i="62"/>
  <c r="D46" i="87"/>
  <c r="D46" i="61"/>
  <c r="H46" i="47"/>
  <c r="H46" i="36"/>
  <c r="D46" i="85"/>
  <c r="F46" i="36"/>
  <c r="D46" i="70"/>
  <c r="T46" i="60"/>
  <c r="D46" i="68"/>
  <c r="D46" i="89"/>
  <c r="N120" i="84" a="1"/>
  <c r="N125" i="84" a="1"/>
  <c r="N127" i="84" a="1"/>
  <c r="N127" i="84" l="1"/>
  <c r="N125" i="84"/>
  <c r="N120" i="84"/>
  <c r="T109" i="1"/>
  <c r="L106" i="53"/>
  <c r="T106" i="53" s="1"/>
  <c r="H46" i="61"/>
  <c r="F46" i="61"/>
  <c r="H48" i="68"/>
  <c r="F48" i="68"/>
  <c r="F48" i="85"/>
  <c r="H48" i="85"/>
  <c r="H48" i="70"/>
  <c r="F48" i="70"/>
  <c r="H46" i="68"/>
  <c r="F46" i="68"/>
  <c r="F46" i="87"/>
  <c r="H46" i="87"/>
  <c r="F48" i="61"/>
  <c r="H48" i="61"/>
  <c r="H48" i="86"/>
  <c r="F48" i="86"/>
  <c r="F46" i="62"/>
  <c r="H46" i="62"/>
  <c r="H48" i="87"/>
  <c r="F48" i="87"/>
  <c r="F48" i="88"/>
  <c r="H48" i="88"/>
  <c r="H46" i="89"/>
  <c r="F46" i="89"/>
  <c r="F46" i="70"/>
  <c r="H46" i="70"/>
  <c r="F46" i="86"/>
  <c r="H46" i="86"/>
  <c r="F46" i="88"/>
  <c r="H46" i="88"/>
  <c r="H48" i="62"/>
  <c r="F48" i="62"/>
  <c r="H48" i="89"/>
  <c r="F48" i="89"/>
  <c r="V109" i="1"/>
  <c r="F46" i="85"/>
  <c r="H46" i="85"/>
  <c r="V106" i="53" l="1"/>
  <c r="W106" i="53" s="1"/>
  <c r="D41" i="36"/>
  <c r="D41" i="70" l="1"/>
  <c r="D41" i="61"/>
  <c r="D41" i="87"/>
  <c r="D41" i="89"/>
  <c r="H41" i="47"/>
  <c r="F41" i="36"/>
  <c r="T41" i="60"/>
  <c r="D41" i="85"/>
  <c r="D41" i="88"/>
  <c r="D41" i="62"/>
  <c r="D41" i="86"/>
  <c r="H41" i="36"/>
  <c r="D41" i="68"/>
  <c r="F41" i="85" l="1"/>
  <c r="H41" i="85"/>
  <c r="H41" i="68"/>
  <c r="F41" i="68"/>
  <c r="F41" i="89"/>
  <c r="H41" i="89"/>
  <c r="H41" i="87"/>
  <c r="F41" i="87"/>
  <c r="H41" i="86"/>
  <c r="F41" i="86"/>
  <c r="H41" i="62"/>
  <c r="F41" i="62"/>
  <c r="F41" i="61"/>
  <c r="H41" i="61"/>
  <c r="H41" i="88"/>
  <c r="F41" i="88"/>
  <c r="H41" i="70"/>
  <c r="F41" i="70"/>
  <c r="B39" i="15" l="1"/>
  <c r="C87" i="2" s="1"/>
  <c r="CU39" i="15"/>
  <c r="B193" i="2" l="1"/>
  <c r="R73" i="1"/>
  <c r="T73" i="1" s="1"/>
  <c r="B58" i="2" l="1"/>
  <c r="B59" i="2"/>
  <c r="N53" i="53" s="1"/>
  <c r="N77" i="53" s="1"/>
  <c r="N81" i="53" s="1"/>
  <c r="N90" i="53" s="1"/>
  <c r="B60" i="2"/>
  <c r="D53" i="53" s="1"/>
  <c r="D77" i="53" s="1"/>
  <c r="D81" i="53" s="1"/>
  <c r="D90" i="53" s="1"/>
  <c r="B63" i="2"/>
  <c r="F53" i="53" s="1"/>
  <c r="F77" i="53" s="1"/>
  <c r="F81" i="53" s="1"/>
  <c r="F90" i="53" s="1"/>
  <c r="CJ21" i="15"/>
  <c r="CK21" i="15"/>
  <c r="CL21" i="15"/>
  <c r="CM21" i="15"/>
  <c r="CN21" i="15"/>
  <c r="CO21" i="15"/>
  <c r="CP21" i="15"/>
  <c r="CQ21" i="15"/>
  <c r="CR21" i="15"/>
  <c r="CS21" i="15"/>
  <c r="B76" i="2"/>
  <c r="B74" i="2"/>
  <c r="C180" i="2" s="1"/>
  <c r="B75" i="2"/>
  <c r="C181" i="2" s="1"/>
  <c r="B78" i="2"/>
  <c r="C184" i="2" s="1"/>
  <c r="B79" i="2"/>
  <c r="B80" i="2"/>
  <c r="C186" i="2" s="1"/>
  <c r="B81" i="2"/>
  <c r="B82" i="2"/>
  <c r="C188" i="2" s="1"/>
  <c r="B84" i="2"/>
  <c r="C190" i="2" s="1"/>
  <c r="B85" i="2"/>
  <c r="C191" i="2" s="1"/>
  <c r="B92" i="2"/>
  <c r="C195" i="2" s="1"/>
  <c r="B93" i="2"/>
  <c r="C196" i="2" s="1"/>
  <c r="B98" i="2"/>
  <c r="B99" i="2"/>
  <c r="B114" i="2"/>
  <c r="CK11" i="38"/>
  <c r="CL11" i="38"/>
  <c r="CM11" i="38"/>
  <c r="CN11" i="38"/>
  <c r="CO11" i="38"/>
  <c r="CP11" i="38"/>
  <c r="CQ11" i="38"/>
  <c r="CR11" i="38"/>
  <c r="CS11" i="38"/>
  <c r="CT11" i="38"/>
  <c r="B132" i="2"/>
  <c r="H181" i="2" s="1"/>
  <c r="B133" i="2"/>
  <c r="H182" i="2" s="1"/>
  <c r="B134" i="2"/>
  <c r="B137" i="2"/>
  <c r="CK84" i="38"/>
  <c r="CL84" i="38"/>
  <c r="CM84" i="38"/>
  <c r="CN84" i="38"/>
  <c r="CO84" i="38"/>
  <c r="CP84" i="38"/>
  <c r="CQ84" i="38"/>
  <c r="CR84" i="38"/>
  <c r="CS84" i="38"/>
  <c r="CT84" i="38"/>
  <c r="B149" i="2"/>
  <c r="H53" i="53" s="1"/>
  <c r="H77" i="53" s="1"/>
  <c r="H81" i="53" s="1"/>
  <c r="H90" i="53" s="1"/>
  <c r="B145" i="2"/>
  <c r="B83" i="2" l="1"/>
  <c r="C189" i="2" s="1"/>
  <c r="B164" i="53"/>
  <c r="CM20" i="8"/>
  <c r="CV20" i="8"/>
  <c r="CN32" i="8"/>
  <c r="CV32" i="8"/>
  <c r="CR41" i="8"/>
  <c r="CX32" i="8"/>
  <c r="CU41" i="8"/>
  <c r="CS32" i="8"/>
  <c r="CP82" i="38"/>
  <c r="CP85" i="38" s="1"/>
  <c r="CP101" i="38" s="1"/>
  <c r="CO99" i="15"/>
  <c r="CP10" i="38"/>
  <c r="CO68" i="15"/>
  <c r="CS53" i="15"/>
  <c r="CT12" i="38"/>
  <c r="CL12" i="38"/>
  <c r="CK53" i="15"/>
  <c r="CS40" i="15"/>
  <c r="CK40" i="15"/>
  <c r="CS14" i="15"/>
  <c r="CS16" i="15" s="1"/>
  <c r="CK14" i="15"/>
  <c r="CK16" i="15" s="1"/>
  <c r="CU32" i="8"/>
  <c r="CQ41" i="8"/>
  <c r="CT20" i="8"/>
  <c r="CX9" i="8"/>
  <c r="CP9" i="8"/>
  <c r="CN99" i="15"/>
  <c r="CO82" i="38"/>
  <c r="CO85" i="38" s="1"/>
  <c r="CO101" i="38" s="1"/>
  <c r="CO10" i="38"/>
  <c r="CN68" i="15"/>
  <c r="CR53" i="15"/>
  <c r="CS12" i="38"/>
  <c r="CJ53" i="15"/>
  <c r="CK12" i="38"/>
  <c r="CR40" i="15"/>
  <c r="CJ40" i="15"/>
  <c r="CR14" i="15"/>
  <c r="CR16" i="15" s="1"/>
  <c r="CJ14" i="15"/>
  <c r="CJ16" i="15" s="1"/>
  <c r="F14" i="8"/>
  <c r="CY14" i="8"/>
  <c r="D14" i="8" s="1"/>
  <c r="F25" i="8"/>
  <c r="CY25" i="8"/>
  <c r="CM32" i="8"/>
  <c r="CU20" i="8"/>
  <c r="CW9" i="8"/>
  <c r="CO9" i="8"/>
  <c r="CU95" i="15"/>
  <c r="B95" i="15"/>
  <c r="C145" i="2" s="1"/>
  <c r="CU84" i="15"/>
  <c r="B84" i="15"/>
  <c r="C137" i="2" s="1"/>
  <c r="CU80" i="15"/>
  <c r="B80" i="15"/>
  <c r="C133" i="2" s="1"/>
  <c r="G182" i="2" s="1"/>
  <c r="CN82" i="38"/>
  <c r="CN85" i="38" s="1"/>
  <c r="CN101" i="38" s="1"/>
  <c r="CM99" i="15"/>
  <c r="CU67" i="15"/>
  <c r="CJ11" i="38"/>
  <c r="B67" i="15"/>
  <c r="C120" i="2" s="1"/>
  <c r="CM68" i="15"/>
  <c r="CN10" i="38"/>
  <c r="CU62" i="15"/>
  <c r="B62" i="15"/>
  <c r="C114" i="2" s="1"/>
  <c r="B51" i="15"/>
  <c r="C99" i="2" s="1"/>
  <c r="CU51" i="15"/>
  <c r="B45" i="15"/>
  <c r="C93" i="2" s="1"/>
  <c r="B196" i="2" s="1"/>
  <c r="CU45" i="15"/>
  <c r="CR12" i="38"/>
  <c r="CQ53" i="15"/>
  <c r="B43" i="15"/>
  <c r="C91" i="2" s="1"/>
  <c r="CU43" i="15"/>
  <c r="CJ12" i="38"/>
  <c r="CI53" i="15"/>
  <c r="B37" i="15"/>
  <c r="C85" i="2" s="1"/>
  <c r="B191" i="2" s="1"/>
  <c r="CU37" i="15"/>
  <c r="B36" i="15"/>
  <c r="C84" i="2" s="1"/>
  <c r="B190" i="2" s="1"/>
  <c r="CU36" i="15"/>
  <c r="B35" i="15"/>
  <c r="CU35" i="15"/>
  <c r="B33" i="15"/>
  <c r="C82" i="2" s="1"/>
  <c r="B188" i="2" s="1"/>
  <c r="CU33" i="15"/>
  <c r="CU31" i="15"/>
  <c r="B31" i="15"/>
  <c r="C80" i="2" s="1"/>
  <c r="B186" i="2" s="1"/>
  <c r="CU29" i="15"/>
  <c r="B29" i="15"/>
  <c r="C78" i="2" s="1"/>
  <c r="B184" i="2" s="1"/>
  <c r="CU25" i="15"/>
  <c r="B25" i="15"/>
  <c r="C74" i="2" s="1"/>
  <c r="B180" i="2" s="1"/>
  <c r="CQ40" i="15"/>
  <c r="B24" i="15"/>
  <c r="C73" i="2" s="1"/>
  <c r="CI40" i="15"/>
  <c r="CU24" i="15"/>
  <c r="B15" i="15"/>
  <c r="C63" i="2" s="1"/>
  <c r="F55" i="1" s="1"/>
  <c r="CU15" i="15"/>
  <c r="CU12" i="15"/>
  <c r="B12" i="15"/>
  <c r="C59" i="2" s="1"/>
  <c r="N55" i="1" s="1"/>
  <c r="CQ14" i="15"/>
  <c r="CQ16" i="15" s="1"/>
  <c r="CU10" i="15"/>
  <c r="CI14" i="15"/>
  <c r="B10" i="15"/>
  <c r="C57" i="2" s="1"/>
  <c r="F12" i="8"/>
  <c r="CY12" i="8"/>
  <c r="D12" i="8" s="1"/>
  <c r="CO32" i="8"/>
  <c r="CW32" i="8"/>
  <c r="CS41" i="8"/>
  <c r="CY40" i="8"/>
  <c r="D40" i="8" s="1"/>
  <c r="F40" i="8"/>
  <c r="CN20" i="8"/>
  <c r="CV9" i="8"/>
  <c r="CN9" i="8"/>
  <c r="B136" i="2"/>
  <c r="CU84" i="38"/>
  <c r="R64" i="53"/>
  <c r="T64" i="53" s="1"/>
  <c r="H183" i="2"/>
  <c r="G28" i="57"/>
  <c r="L28" i="57" s="1"/>
  <c r="CT99" i="15"/>
  <c r="CU82" i="38"/>
  <c r="B150" i="2"/>
  <c r="CM82" i="38"/>
  <c r="CM85" i="38" s="1"/>
  <c r="CM101" i="38" s="1"/>
  <c r="CL99" i="15"/>
  <c r="CT68" i="15"/>
  <c r="CU10" i="38"/>
  <c r="B119" i="2"/>
  <c r="CL68" i="15"/>
  <c r="CM10" i="38"/>
  <c r="K24" i="57"/>
  <c r="C201" i="2"/>
  <c r="H24" i="57"/>
  <c r="R68" i="53"/>
  <c r="T68" i="53" s="1"/>
  <c r="CQ12" i="38"/>
  <c r="CP53" i="15"/>
  <c r="R59" i="53"/>
  <c r="T59" i="53" s="1"/>
  <c r="C187" i="2"/>
  <c r="K21" i="57"/>
  <c r="L21" i="57" s="1"/>
  <c r="C185" i="2"/>
  <c r="R60" i="53"/>
  <c r="T60" i="53" s="1"/>
  <c r="K19" i="57"/>
  <c r="L19" i="57" s="1"/>
  <c r="R57" i="53"/>
  <c r="C182" i="2"/>
  <c r="K17" i="57"/>
  <c r="CP40" i="15"/>
  <c r="CT21" i="15"/>
  <c r="B67" i="2"/>
  <c r="L53" i="53"/>
  <c r="L56" i="53" s="1"/>
  <c r="G33" i="57"/>
  <c r="L33" i="57" s="1"/>
  <c r="CP14" i="15"/>
  <c r="CP16" i="15" s="1"/>
  <c r="F15" i="8"/>
  <c r="CY15" i="8"/>
  <c r="D15" i="8" s="1"/>
  <c r="F28" i="8"/>
  <c r="CY28" i="8"/>
  <c r="CT41" i="8"/>
  <c r="CO20" i="8"/>
  <c r="CW20" i="8"/>
  <c r="F11" i="8"/>
  <c r="CY11" i="8"/>
  <c r="D11" i="8" s="1"/>
  <c r="CU9" i="8"/>
  <c r="CY7" i="8"/>
  <c r="D7" i="8" s="1"/>
  <c r="CM9" i="8"/>
  <c r="F7" i="8"/>
  <c r="CS99" i="15"/>
  <c r="CT82" i="38"/>
  <c r="CT85" i="38" s="1"/>
  <c r="CT101" i="38" s="1"/>
  <c r="CL82" i="38"/>
  <c r="CL85" i="38" s="1"/>
  <c r="CL101" i="38" s="1"/>
  <c r="CK99" i="15"/>
  <c r="CS68" i="15"/>
  <c r="CT10" i="38"/>
  <c r="CK68" i="15"/>
  <c r="CL10" i="38"/>
  <c r="CO53" i="15"/>
  <c r="CP12" i="38"/>
  <c r="CO40" i="15"/>
  <c r="CO14" i="15"/>
  <c r="CO16" i="15" s="1"/>
  <c r="CP32" i="8"/>
  <c r="F26" i="8"/>
  <c r="CY26" i="8"/>
  <c r="CY27" i="8"/>
  <c r="F27" i="8"/>
  <c r="CQ32" i="8"/>
  <c r="F35" i="8"/>
  <c r="CM41" i="8"/>
  <c r="CY35" i="8"/>
  <c r="D35" i="8" s="1"/>
  <c r="F36" i="8"/>
  <c r="CY36" i="8"/>
  <c r="D36" i="8" s="1"/>
  <c r="CP20" i="8"/>
  <c r="CX20" i="8"/>
  <c r="CT9" i="8"/>
  <c r="CS82" i="38"/>
  <c r="CS85" i="38" s="1"/>
  <c r="CS101" i="38" s="1"/>
  <c r="CR99" i="15"/>
  <c r="CJ99" i="15"/>
  <c r="CK82" i="38"/>
  <c r="CK85" i="38" s="1"/>
  <c r="CK101" i="38" s="1"/>
  <c r="CS10" i="38"/>
  <c r="CR68" i="15"/>
  <c r="CJ68" i="15"/>
  <c r="CK10" i="38"/>
  <c r="CN53" i="15"/>
  <c r="CO12" i="38"/>
  <c r="CN40" i="15"/>
  <c r="CN14" i="15"/>
  <c r="CN16" i="15" s="1"/>
  <c r="CY13" i="8"/>
  <c r="D13" i="8" s="1"/>
  <c r="F13" i="8"/>
  <c r="CY16" i="8"/>
  <c r="D16" i="8" s="1"/>
  <c r="F16" i="8"/>
  <c r="CN41" i="8"/>
  <c r="CV41" i="8"/>
  <c r="F37" i="8"/>
  <c r="CY37" i="8"/>
  <c r="D37" i="8" s="1"/>
  <c r="CQ20" i="8"/>
  <c r="CS9" i="8"/>
  <c r="B93" i="15"/>
  <c r="C149" i="2" s="1"/>
  <c r="H55" i="1" s="1"/>
  <c r="CU93" i="15"/>
  <c r="B83" i="15"/>
  <c r="C136" i="2" s="1"/>
  <c r="CU83" i="15"/>
  <c r="CJ84" i="38"/>
  <c r="CU81" i="15"/>
  <c r="B81" i="15"/>
  <c r="C134" i="2" s="1"/>
  <c r="B79" i="15"/>
  <c r="C132" i="2" s="1"/>
  <c r="G181" i="2" s="1"/>
  <c r="CU79" i="15"/>
  <c r="CR82" i="38"/>
  <c r="CR85" i="38" s="1"/>
  <c r="CR101" i="38" s="1"/>
  <c r="CQ99" i="15"/>
  <c r="CJ82" i="38"/>
  <c r="CI99" i="15"/>
  <c r="CU92" i="15"/>
  <c r="B92" i="15"/>
  <c r="C150" i="2" s="1"/>
  <c r="CQ68" i="15"/>
  <c r="CR10" i="38"/>
  <c r="CJ10" i="38"/>
  <c r="CI68" i="15"/>
  <c r="B65" i="15"/>
  <c r="C119" i="2" s="1"/>
  <c r="CU65" i="15"/>
  <c r="CU50" i="15"/>
  <c r="B50" i="15"/>
  <c r="C98" i="2" s="1"/>
  <c r="B44" i="15"/>
  <c r="C92" i="2" s="1"/>
  <c r="B195" i="2" s="1"/>
  <c r="CU44" i="15"/>
  <c r="CM53" i="15"/>
  <c r="CN12" i="38"/>
  <c r="CU34" i="15"/>
  <c r="B34" i="15"/>
  <c r="B32" i="15"/>
  <c r="C81" i="2" s="1"/>
  <c r="CU32" i="15"/>
  <c r="B30" i="15"/>
  <c r="C79" i="2" s="1"/>
  <c r="CU30" i="15"/>
  <c r="B26" i="15"/>
  <c r="C75" i="2" s="1"/>
  <c r="B181" i="2" s="1"/>
  <c r="CU26" i="15"/>
  <c r="CU27" i="15"/>
  <c r="B27" i="15"/>
  <c r="C76" i="2" s="1"/>
  <c r="CM40" i="15"/>
  <c r="B18" i="15"/>
  <c r="C67" i="2" s="1"/>
  <c r="CI21" i="15"/>
  <c r="CU18" i="15"/>
  <c r="CU13" i="15"/>
  <c r="B13" i="15"/>
  <c r="C60" i="2" s="1"/>
  <c r="D55" i="1" s="1"/>
  <c r="CU11" i="15"/>
  <c r="B11" i="15"/>
  <c r="C58" i="2" s="1"/>
  <c r="CM14" i="15"/>
  <c r="CM16" i="15" s="1"/>
  <c r="CO41" i="8"/>
  <c r="CW41" i="8"/>
  <c r="F38" i="8"/>
  <c r="CY38" i="8"/>
  <c r="D38" i="8" s="1"/>
  <c r="CY39" i="8"/>
  <c r="D39" i="8" s="1"/>
  <c r="F39" i="8"/>
  <c r="CR20" i="8"/>
  <c r="CR9" i="8"/>
  <c r="H185" i="2"/>
  <c r="R65" i="53"/>
  <c r="T65" i="53" s="1"/>
  <c r="K29" i="57"/>
  <c r="L29" i="57" s="1"/>
  <c r="CP99" i="15"/>
  <c r="CQ82" i="38"/>
  <c r="CQ85" i="38" s="1"/>
  <c r="CQ101" i="38" s="1"/>
  <c r="B120" i="2"/>
  <c r="CU11" i="38"/>
  <c r="CP68" i="15"/>
  <c r="CQ10" i="38"/>
  <c r="C202" i="2"/>
  <c r="R63" i="53"/>
  <c r="T63" i="53" s="1"/>
  <c r="K25" i="57"/>
  <c r="L25" i="57" s="1"/>
  <c r="CT53" i="15"/>
  <c r="CU12" i="38"/>
  <c r="B91" i="2"/>
  <c r="CM12" i="38"/>
  <c r="CL53" i="15"/>
  <c r="CT40" i="15"/>
  <c r="B73" i="2"/>
  <c r="CL40" i="15"/>
  <c r="CT14" i="15"/>
  <c r="CT16" i="15" s="1"/>
  <c r="B57" i="2"/>
  <c r="CL14" i="15"/>
  <c r="CL16" i="15" s="1"/>
  <c r="F8" i="8"/>
  <c r="CY8" i="8"/>
  <c r="D8" i="8" s="1"/>
  <c r="CP41" i="8"/>
  <c r="CX41" i="8"/>
  <c r="CS20" i="8"/>
  <c r="CQ9" i="8"/>
  <c r="CT32" i="8"/>
  <c r="CR32" i="8"/>
  <c r="CU22" i="8" l="1"/>
  <c r="CQ15" i="38"/>
  <c r="CQ36" i="38" s="1"/>
  <c r="H207" i="2"/>
  <c r="CX22" i="8"/>
  <c r="CS15" i="38"/>
  <c r="CS36" i="38" s="1"/>
  <c r="CL15" i="38"/>
  <c r="CL36" i="38" s="1"/>
  <c r="CR15" i="38"/>
  <c r="CR36" i="38" s="1"/>
  <c r="CP22" i="8"/>
  <c r="CP43" i="8" s="1"/>
  <c r="CK15" i="38"/>
  <c r="CK36" i="38" s="1"/>
  <c r="CN22" i="8"/>
  <c r="CN43" i="8" s="1"/>
  <c r="CJ55" i="15"/>
  <c r="C84" i="38"/>
  <c r="CT15" i="38"/>
  <c r="CT36" i="38" s="1"/>
  <c r="CU85" i="38"/>
  <c r="CU101" i="38" s="1"/>
  <c r="C101" i="38" s="1"/>
  <c r="D52" i="3" s="1"/>
  <c r="L160" i="53" s="1"/>
  <c r="P160" i="53" s="1"/>
  <c r="CU43" i="8"/>
  <c r="CM55" i="15"/>
  <c r="CN55" i="15"/>
  <c r="CT55" i="15"/>
  <c r="CM15" i="38"/>
  <c r="CM36" i="38" s="1"/>
  <c r="F32" i="8"/>
  <c r="CS22" i="8"/>
  <c r="CS43" i="8" s="1"/>
  <c r="B164" i="1"/>
  <c r="D144" i="1"/>
  <c r="D141" i="53"/>
  <c r="H79" i="1"/>
  <c r="H83" i="1" s="1"/>
  <c r="H92" i="1" s="1"/>
  <c r="N43" i="84"/>
  <c r="N44" i="84" s="1"/>
  <c r="J144" i="1"/>
  <c r="J141" i="53"/>
  <c r="CY30" i="8"/>
  <c r="R64" i="1"/>
  <c r="C102" i="2"/>
  <c r="B194" i="2"/>
  <c r="D23" i="2"/>
  <c r="D103" i="53"/>
  <c r="D106" i="1"/>
  <c r="CR22" i="8"/>
  <c r="CR43" i="8" s="1"/>
  <c r="CU21" i="15"/>
  <c r="B21" i="15"/>
  <c r="K19" i="2"/>
  <c r="L19" i="2" s="1"/>
  <c r="R62" i="1"/>
  <c r="B185" i="2"/>
  <c r="CX43" i="8"/>
  <c r="F30" i="8"/>
  <c r="CO55" i="15"/>
  <c r="F141" i="53"/>
  <c r="F144" i="1"/>
  <c r="L17" i="57"/>
  <c r="K42" i="57"/>
  <c r="CV22" i="8"/>
  <c r="CV43" i="8" s="1"/>
  <c r="H144" i="1"/>
  <c r="H141" i="53"/>
  <c r="CN15" i="38"/>
  <c r="CN36" i="38" s="1"/>
  <c r="F18" i="8"/>
  <c r="CL55" i="15"/>
  <c r="R62" i="53"/>
  <c r="T62" i="53" s="1"/>
  <c r="B102" i="2"/>
  <c r="C194" i="2"/>
  <c r="D23" i="57"/>
  <c r="R76" i="1"/>
  <c r="B176" i="2"/>
  <c r="G15" i="2"/>
  <c r="C71" i="2"/>
  <c r="R70" i="1"/>
  <c r="K24" i="2"/>
  <c r="H24" i="2"/>
  <c r="B201" i="2"/>
  <c r="G183" i="2"/>
  <c r="G28" i="2"/>
  <c r="L28" i="2" s="1"/>
  <c r="R66" i="1"/>
  <c r="F106" i="1"/>
  <c r="F103" i="53"/>
  <c r="F125" i="53" s="1"/>
  <c r="B156" i="53"/>
  <c r="B122" i="2"/>
  <c r="H106" i="1"/>
  <c r="H103" i="53"/>
  <c r="H125" i="53" s="1"/>
  <c r="F79" i="1"/>
  <c r="F83" i="1" s="1"/>
  <c r="F92" i="1" s="1"/>
  <c r="N36" i="84"/>
  <c r="N40" i="84" s="1"/>
  <c r="E29" i="2"/>
  <c r="L29" i="2" s="1"/>
  <c r="R67" i="1"/>
  <c r="G185" i="2"/>
  <c r="CY18" i="8"/>
  <c r="D18" i="8" s="1"/>
  <c r="CR55" i="15"/>
  <c r="CO15" i="38"/>
  <c r="CO36" i="38" s="1"/>
  <c r="F29" i="8"/>
  <c r="B62" i="2"/>
  <c r="B65" i="2" s="1"/>
  <c r="B53" i="53"/>
  <c r="R61" i="1"/>
  <c r="K21" i="2"/>
  <c r="L21" i="2" s="1"/>
  <c r="B187" i="2"/>
  <c r="CP55" i="15"/>
  <c r="T57" i="53"/>
  <c r="CU15" i="38"/>
  <c r="CU36" i="38" s="1"/>
  <c r="C36" i="38" s="1"/>
  <c r="D48" i="3" s="1"/>
  <c r="L156" i="53" s="1"/>
  <c r="C62" i="2"/>
  <c r="C65" i="2" s="1"/>
  <c r="B55" i="1"/>
  <c r="F20" i="8"/>
  <c r="CY20" i="8"/>
  <c r="CY29" i="8"/>
  <c r="CQ22" i="8"/>
  <c r="CQ43" i="8" s="1"/>
  <c r="G33" i="2"/>
  <c r="L33" i="2" s="1"/>
  <c r="L55" i="1"/>
  <c r="K17" i="2"/>
  <c r="B182" i="2"/>
  <c r="R59" i="1"/>
  <c r="C83" i="2"/>
  <c r="B189" i="2" s="1"/>
  <c r="CU99" i="15"/>
  <c r="B99" i="15"/>
  <c r="CI16" i="15"/>
  <c r="B14" i="15"/>
  <c r="CU14" i="15"/>
  <c r="CU40" i="15"/>
  <c r="B40" i="15"/>
  <c r="C11" i="38"/>
  <c r="B168" i="1"/>
  <c r="C153" i="2"/>
  <c r="CY32" i="8"/>
  <c r="CK55" i="15"/>
  <c r="C122" i="2"/>
  <c r="B160" i="1"/>
  <c r="C82" i="38"/>
  <c r="CJ85" i="38"/>
  <c r="D41" i="8"/>
  <c r="B106" i="1"/>
  <c r="B103" i="53"/>
  <c r="P56" i="53"/>
  <c r="L75" i="53"/>
  <c r="L77" i="53" s="1"/>
  <c r="L81" i="53" s="1"/>
  <c r="L90" i="53" s="1"/>
  <c r="L24" i="57"/>
  <c r="H42" i="57"/>
  <c r="D164" i="53" s="1"/>
  <c r="AB164" i="53" s="1"/>
  <c r="B179" i="2"/>
  <c r="D12" i="36"/>
  <c r="CU53" i="15"/>
  <c r="B53" i="15"/>
  <c r="CS55" i="15"/>
  <c r="CP15" i="38"/>
  <c r="CP36" i="38" s="1"/>
  <c r="B89" i="2"/>
  <c r="C179" i="2"/>
  <c r="D79" i="1"/>
  <c r="D83" i="1" s="1"/>
  <c r="D92" i="1" s="1"/>
  <c r="N31" i="84"/>
  <c r="N33" i="84" s="1"/>
  <c r="B68" i="15"/>
  <c r="CU68" i="15"/>
  <c r="F41" i="8"/>
  <c r="CY41" i="8"/>
  <c r="CM22" i="8"/>
  <c r="CM43" i="8" s="1"/>
  <c r="CY9" i="8"/>
  <c r="F9" i="8"/>
  <c r="B71" i="2"/>
  <c r="R74" i="53"/>
  <c r="T74" i="53" s="1"/>
  <c r="C176" i="2"/>
  <c r="G15" i="57"/>
  <c r="CQ55" i="15"/>
  <c r="C12" i="38"/>
  <c r="R65" i="1"/>
  <c r="E25" i="2"/>
  <c r="B202" i="2"/>
  <c r="CO22" i="8"/>
  <c r="CO43" i="8" s="1"/>
  <c r="CJ15" i="38"/>
  <c r="C10" i="38"/>
  <c r="J106" i="1"/>
  <c r="J103" i="53"/>
  <c r="J125" i="53" s="1"/>
  <c r="CT22" i="8"/>
  <c r="CT43" i="8" s="1"/>
  <c r="D9" i="8"/>
  <c r="B144" i="1"/>
  <c r="B141" i="53"/>
  <c r="R26" i="82"/>
  <c r="S26" i="82" s="1"/>
  <c r="G9" i="83" s="1"/>
  <c r="M26" i="81"/>
  <c r="N26" i="81" s="1"/>
  <c r="B153" i="2"/>
  <c r="B160" i="53"/>
  <c r="AB160" i="53" s="1"/>
  <c r="N79" i="1"/>
  <c r="N83" i="1" s="1"/>
  <c r="N92" i="1" s="1"/>
  <c r="D10" i="36" s="1"/>
  <c r="N52" i="84"/>
  <c r="N56" i="84" s="1"/>
  <c r="CW22" i="8"/>
  <c r="CW43" i="8" s="1"/>
  <c r="N182" i="84" a="1"/>
  <c r="N182" i="84" l="1"/>
  <c r="C16" i="66"/>
  <c r="C85" i="38"/>
  <c r="C99" i="38" s="1"/>
  <c r="D19" i="3" s="1"/>
  <c r="L164" i="1" s="1"/>
  <c r="P164" i="1" s="1"/>
  <c r="T160" i="53"/>
  <c r="CY22" i="8"/>
  <c r="CY43" i="8" s="1"/>
  <c r="R75" i="53"/>
  <c r="B37" i="69"/>
  <c r="G207" i="2"/>
  <c r="F22" i="8"/>
  <c r="D10" i="88"/>
  <c r="F10" i="88" s="1"/>
  <c r="T10" i="60"/>
  <c r="D10" i="68"/>
  <c r="F10" i="68" s="1"/>
  <c r="H10" i="47"/>
  <c r="F10" i="36"/>
  <c r="D10" i="77"/>
  <c r="F10" i="77" s="1"/>
  <c r="D10" i="86"/>
  <c r="F10" i="86" s="1"/>
  <c r="D10" i="89"/>
  <c r="F10" i="89" s="1"/>
  <c r="D10" i="62"/>
  <c r="F10" i="62" s="1"/>
  <c r="D10" i="55"/>
  <c r="F10" i="55" s="1"/>
  <c r="D10" i="61"/>
  <c r="F10" i="61" s="1"/>
  <c r="D10" i="70"/>
  <c r="F10" i="70" s="1"/>
  <c r="D10" i="87"/>
  <c r="F10" i="87" s="1"/>
  <c r="D10" i="85"/>
  <c r="F10" i="85" s="1"/>
  <c r="T65" i="1"/>
  <c r="CS87" i="38"/>
  <c r="CS99" i="38" s="1"/>
  <c r="CK87" i="38"/>
  <c r="CK99" i="38" s="1"/>
  <c r="CU87" i="38"/>
  <c r="CU99" i="38" s="1"/>
  <c r="CJ87" i="38"/>
  <c r="CJ99" i="38" s="1"/>
  <c r="CO87" i="38"/>
  <c r="CO99" i="38" s="1"/>
  <c r="CL87" i="38"/>
  <c r="CL99" i="38" s="1"/>
  <c r="CP87" i="38"/>
  <c r="CP99" i="38" s="1"/>
  <c r="CM87" i="38"/>
  <c r="CM99" i="38" s="1"/>
  <c r="CR87" i="38"/>
  <c r="CR99" i="38" s="1"/>
  <c r="CT87" i="38"/>
  <c r="CT99" i="38" s="1"/>
  <c r="CQ87" i="38"/>
  <c r="CQ99" i="38" s="1"/>
  <c r="CN87" i="38"/>
  <c r="CN99" i="38" s="1"/>
  <c r="CJ101" i="38"/>
  <c r="L15" i="2"/>
  <c r="G43" i="2"/>
  <c r="D166" i="1" s="1"/>
  <c r="D43" i="2"/>
  <c r="D160" i="1" s="1"/>
  <c r="B24" i="69" s="1"/>
  <c r="L23" i="2"/>
  <c r="J138" i="53"/>
  <c r="J129" i="53"/>
  <c r="F43" i="8"/>
  <c r="T67" i="1"/>
  <c r="F138" i="53"/>
  <c r="F129" i="53"/>
  <c r="B206" i="2"/>
  <c r="T62" i="1"/>
  <c r="N112" i="84"/>
  <c r="N116" i="84" s="1"/>
  <c r="J128" i="1"/>
  <c r="C12" i="66"/>
  <c r="R77" i="1"/>
  <c r="T59" i="1"/>
  <c r="J53" i="53"/>
  <c r="B77" i="53"/>
  <c r="B81" i="53" s="1"/>
  <c r="B90" i="53" s="1"/>
  <c r="F128" i="1"/>
  <c r="N92" i="84"/>
  <c r="N102" i="84" s="1"/>
  <c r="T76" i="1"/>
  <c r="N103" i="53"/>
  <c r="N125" i="53" s="1"/>
  <c r="N106" i="1"/>
  <c r="C15" i="38"/>
  <c r="C34" i="38" s="1"/>
  <c r="D15" i="3" s="1"/>
  <c r="L160" i="1" s="1"/>
  <c r="L15" i="57"/>
  <c r="G42" i="57"/>
  <c r="D162" i="53" s="1"/>
  <c r="E23" i="3"/>
  <c r="E56" i="3"/>
  <c r="B104" i="2"/>
  <c r="D42" i="57"/>
  <c r="D156" i="53" s="1"/>
  <c r="AB156" i="53" s="1"/>
  <c r="L23" i="57"/>
  <c r="T64" i="1"/>
  <c r="CP17" i="38"/>
  <c r="CP34" i="38" s="1"/>
  <c r="CR17" i="38"/>
  <c r="CR34" i="38" s="1"/>
  <c r="CT17" i="38"/>
  <c r="CT34" i="38" s="1"/>
  <c r="CJ17" i="38"/>
  <c r="CJ34" i="38" s="1"/>
  <c r="CO17" i="38"/>
  <c r="CO34" i="38" s="1"/>
  <c r="CM17" i="38"/>
  <c r="CM34" i="38" s="1"/>
  <c r="CL17" i="38"/>
  <c r="CL34" i="38" s="1"/>
  <c r="CU17" i="38"/>
  <c r="CU34" i="38" s="1"/>
  <c r="CK17" i="38"/>
  <c r="CK34" i="38" s="1"/>
  <c r="CN17" i="38"/>
  <c r="CN34" i="38" s="1"/>
  <c r="CQ17" i="38"/>
  <c r="CQ34" i="38" s="1"/>
  <c r="CS17" i="38"/>
  <c r="CS34" i="38" s="1"/>
  <c r="CJ36" i="38"/>
  <c r="C206" i="2"/>
  <c r="I212" i="2" s="1"/>
  <c r="R53" i="53" s="1"/>
  <c r="R77" i="53" s="1"/>
  <c r="R81" i="53" s="1"/>
  <c r="R90" i="53" s="1"/>
  <c r="P75" i="53"/>
  <c r="T56" i="53"/>
  <c r="T75" i="53" s="1"/>
  <c r="H13" i="53" s="1"/>
  <c r="L17" i="2"/>
  <c r="K43" i="2"/>
  <c r="T66" i="1"/>
  <c r="H43" i="2"/>
  <c r="D168" i="1" s="1"/>
  <c r="L24" i="2"/>
  <c r="R29" i="82"/>
  <c r="S29" i="82" s="1"/>
  <c r="M18" i="81"/>
  <c r="R18" i="82"/>
  <c r="CU16" i="15"/>
  <c r="CI55" i="15"/>
  <c r="B16" i="15"/>
  <c r="N47" i="84"/>
  <c r="L58" i="1"/>
  <c r="B79" i="1"/>
  <c r="B83" i="1" s="1"/>
  <c r="B92" i="1" s="1"/>
  <c r="N25" i="84"/>
  <c r="N28" i="84" s="1"/>
  <c r="J55" i="1"/>
  <c r="H129" i="53"/>
  <c r="H138" i="53"/>
  <c r="C89" i="2"/>
  <c r="C104" i="2" s="1"/>
  <c r="N77" i="84"/>
  <c r="D28" i="36"/>
  <c r="M28" i="81"/>
  <c r="N28" i="81" s="1"/>
  <c r="N105" i="84"/>
  <c r="N109" i="84" s="1"/>
  <c r="H128" i="1"/>
  <c r="T70" i="1"/>
  <c r="N87" i="84"/>
  <c r="D113" i="1"/>
  <c r="B113" i="1"/>
  <c r="L25" i="2"/>
  <c r="E43" i="2"/>
  <c r="D162" i="1" s="1"/>
  <c r="D12" i="77"/>
  <c r="F12" i="77" s="1"/>
  <c r="D12" i="87"/>
  <c r="F12" i="87" s="1"/>
  <c r="F12" i="36"/>
  <c r="D12" i="88"/>
  <c r="F12" i="88" s="1"/>
  <c r="D12" i="86"/>
  <c r="F12" i="86" s="1"/>
  <c r="D12" i="89"/>
  <c r="F12" i="89" s="1"/>
  <c r="D12" i="70"/>
  <c r="F12" i="70" s="1"/>
  <c r="D12" i="61"/>
  <c r="F12" i="61" s="1"/>
  <c r="D12" i="68"/>
  <c r="F12" i="68" s="1"/>
  <c r="T12" i="60"/>
  <c r="D12" i="85"/>
  <c r="F12" i="85" s="1"/>
  <c r="H12" i="47"/>
  <c r="D12" i="55"/>
  <c r="F12" i="55" s="1"/>
  <c r="D12" i="62"/>
  <c r="F12" i="62" s="1"/>
  <c r="C20" i="66"/>
  <c r="P156" i="53"/>
  <c r="T156" i="53"/>
  <c r="T61" i="1"/>
  <c r="D20" i="8"/>
  <c r="D22" i="8" s="1"/>
  <c r="D43" i="8" s="1"/>
  <c r="N141" i="53"/>
  <c r="T141" i="53" s="1"/>
  <c r="V141" i="53" s="1"/>
  <c r="N144" i="1"/>
  <c r="T144" i="1" s="1"/>
  <c r="V144" i="1" s="1"/>
  <c r="AK110" i="15"/>
  <c r="AI110" i="15"/>
  <c r="AH110" i="15"/>
  <c r="AG110" i="15"/>
  <c r="AJ110" i="15"/>
  <c r="N184" i="84" a="1"/>
  <c r="N66" i="84" a="1"/>
  <c r="N65" i="84" a="1"/>
  <c r="N70" i="84" a="1"/>
  <c r="N61" i="84" a="1"/>
  <c r="N62" i="84" a="1"/>
  <c r="H42" i="84" a="1"/>
  <c r="H35" i="84" a="1"/>
  <c r="N180" i="84" a="1"/>
  <c r="H30" i="84" a="1"/>
  <c r="N69" i="84" a="1"/>
  <c r="N64" i="84" a="1"/>
  <c r="N60" i="84" a="1"/>
  <c r="H51" i="84" a="1"/>
  <c r="N63" i="84" a="1"/>
  <c r="N63" i="84" l="1"/>
  <c r="H51" i="84"/>
  <c r="N60" i="84"/>
  <c r="N64" i="84"/>
  <c r="N69" i="84"/>
  <c r="H30" i="84"/>
  <c r="N180" i="84"/>
  <c r="H35" i="84"/>
  <c r="H42" i="84"/>
  <c r="N62" i="84"/>
  <c r="N61" i="84"/>
  <c r="N70" i="84"/>
  <c r="N65" i="84"/>
  <c r="N66" i="84"/>
  <c r="N184" i="84"/>
  <c r="T164" i="1"/>
  <c r="I210" i="2"/>
  <c r="R55" i="1" s="1"/>
  <c r="R79" i="1" s="1"/>
  <c r="R83" i="1" s="1"/>
  <c r="R92" i="1" s="1"/>
  <c r="D13" i="36" s="1"/>
  <c r="D167" i="53"/>
  <c r="D169" i="53" s="1"/>
  <c r="T103" i="53"/>
  <c r="V103" i="53" s="1"/>
  <c r="F11" i="53" s="1"/>
  <c r="B110" i="53"/>
  <c r="B123" i="53" s="1"/>
  <c r="B125" i="53" s="1"/>
  <c r="L113" i="1"/>
  <c r="T113" i="1" s="1"/>
  <c r="V113" i="1" s="1"/>
  <c r="D45" i="36" s="1"/>
  <c r="B126" i="1"/>
  <c r="B128" i="1" s="1"/>
  <c r="P58" i="1"/>
  <c r="L77" i="1"/>
  <c r="L79" i="1" s="1"/>
  <c r="L83" i="1" s="1"/>
  <c r="L92" i="1" s="1"/>
  <c r="D11" i="36" s="1"/>
  <c r="N48" i="84"/>
  <c r="N49" i="84" s="1"/>
  <c r="T106" i="1"/>
  <c r="V106" i="1" s="1"/>
  <c r="N128" i="1"/>
  <c r="D29" i="36"/>
  <c r="N119" i="84"/>
  <c r="G16" i="65"/>
  <c r="B35" i="69"/>
  <c r="D171" i="1"/>
  <c r="D173" i="1" s="1"/>
  <c r="X156" i="53"/>
  <c r="M38" i="81"/>
  <c r="N38" i="81" s="1"/>
  <c r="R41" i="82"/>
  <c r="D110" i="53"/>
  <c r="D123" i="53" s="1"/>
  <c r="D125" i="53" s="1"/>
  <c r="D126" i="1"/>
  <c r="D128" i="1" s="1"/>
  <c r="R40" i="82"/>
  <c r="M37" i="81"/>
  <c r="N37" i="81" s="1"/>
  <c r="N129" i="53"/>
  <c r="N138" i="53"/>
  <c r="B39" i="69"/>
  <c r="N13" i="81"/>
  <c r="N15" i="81" s="1"/>
  <c r="S13" i="82"/>
  <c r="L43" i="2"/>
  <c r="R49" i="82"/>
  <c r="M46" i="81"/>
  <c r="N46" i="81" s="1"/>
  <c r="CU55" i="15"/>
  <c r="CU56" i="15"/>
  <c r="B55" i="15"/>
  <c r="J132" i="1"/>
  <c r="J141" i="1"/>
  <c r="R37" i="82"/>
  <c r="M34" i="81"/>
  <c r="N34" i="81" s="1"/>
  <c r="D28" i="86"/>
  <c r="D28" i="62"/>
  <c r="D28" i="85"/>
  <c r="H28" i="47"/>
  <c r="H28" i="36"/>
  <c r="D28" i="68"/>
  <c r="D28" i="61"/>
  <c r="D28" i="70"/>
  <c r="T28" i="60"/>
  <c r="D28" i="87"/>
  <c r="D28" i="88"/>
  <c r="F28" i="36"/>
  <c r="D28" i="89"/>
  <c r="J79" i="1"/>
  <c r="J83" i="1" s="1"/>
  <c r="J92" i="1" s="1"/>
  <c r="P55" i="1"/>
  <c r="F132" i="1"/>
  <c r="F141" i="1"/>
  <c r="M43" i="81"/>
  <c r="N43" i="81" s="1"/>
  <c r="R46" i="82"/>
  <c r="U17" i="82"/>
  <c r="L42" i="57"/>
  <c r="M35" i="81"/>
  <c r="N35" i="81" s="1"/>
  <c r="R38" i="82"/>
  <c r="H141" i="1"/>
  <c r="H132" i="1"/>
  <c r="P17" i="81"/>
  <c r="P160" i="1"/>
  <c r="T160" i="1"/>
  <c r="J77" i="53"/>
  <c r="J81" i="53" s="1"/>
  <c r="J90" i="53" s="1"/>
  <c r="P53" i="53"/>
  <c r="H91" i="84" a="1"/>
  <c r="N191" i="84" a="1"/>
  <c r="H111" i="84" a="1"/>
  <c r="N79" i="84" a="1"/>
  <c r="H24" i="84" a="1"/>
  <c r="H104" i="84" a="1"/>
  <c r="N88" i="84" a="1"/>
  <c r="N88" i="84" l="1"/>
  <c r="N89" i="84" s="1"/>
  <c r="H104" i="84"/>
  <c r="H24" i="84"/>
  <c r="N79" i="84"/>
  <c r="N84" i="84" s="1"/>
  <c r="H111" i="84"/>
  <c r="N191" i="84"/>
  <c r="H91" i="84"/>
  <c r="N59" i="84"/>
  <c r="N71" i="84" s="1"/>
  <c r="T55" i="1"/>
  <c r="M10" i="81" s="1"/>
  <c r="F28" i="86"/>
  <c r="H28" i="86"/>
  <c r="T13" i="82"/>
  <c r="G3" i="83"/>
  <c r="D11" i="77"/>
  <c r="F11" i="77" s="1"/>
  <c r="D11" i="87"/>
  <c r="F11" i="87" s="1"/>
  <c r="D11" i="88"/>
  <c r="F11" i="88" s="1"/>
  <c r="D11" i="55"/>
  <c r="F11" i="55" s="1"/>
  <c r="H11" i="47"/>
  <c r="D11" i="85"/>
  <c r="F11" i="85" s="1"/>
  <c r="D11" i="86"/>
  <c r="F11" i="86" s="1"/>
  <c r="F11" i="36"/>
  <c r="T11" i="60"/>
  <c r="D11" i="62"/>
  <c r="F11" i="62" s="1"/>
  <c r="D11" i="70"/>
  <c r="F11" i="70" s="1"/>
  <c r="D11" i="61"/>
  <c r="F11" i="61" s="1"/>
  <c r="D11" i="89"/>
  <c r="F11" i="89" s="1"/>
  <c r="D11" i="68"/>
  <c r="F11" i="68" s="1"/>
  <c r="H28" i="70"/>
  <c r="F28" i="70"/>
  <c r="D13" i="61"/>
  <c r="F13" i="61" s="1"/>
  <c r="D13" i="85"/>
  <c r="F13" i="85" s="1"/>
  <c r="D13" i="86"/>
  <c r="F13" i="86" s="1"/>
  <c r="D13" i="89"/>
  <c r="F13" i="89" s="1"/>
  <c r="D13" i="70"/>
  <c r="F13" i="70" s="1"/>
  <c r="D13" i="77"/>
  <c r="F13" i="77" s="1"/>
  <c r="H13" i="47"/>
  <c r="F13" i="36"/>
  <c r="D13" i="87"/>
  <c r="F13" i="87" s="1"/>
  <c r="D13" i="62"/>
  <c r="F13" i="62" s="1"/>
  <c r="D13" i="88"/>
  <c r="F13" i="88" s="1"/>
  <c r="T13" i="60"/>
  <c r="D13" i="55"/>
  <c r="F13" i="55" s="1"/>
  <c r="D13" i="68"/>
  <c r="F13" i="68" s="1"/>
  <c r="P77" i="1"/>
  <c r="P79" i="1" s="1"/>
  <c r="P83" i="1" s="1"/>
  <c r="P92" i="1" s="1"/>
  <c r="T58" i="1"/>
  <c r="E9" i="70"/>
  <c r="E9" i="61"/>
  <c r="D9" i="36"/>
  <c r="E9" i="77"/>
  <c r="E9" i="62"/>
  <c r="E9" i="86"/>
  <c r="E9" i="88"/>
  <c r="E9" i="85"/>
  <c r="E9" i="89"/>
  <c r="E9" i="68"/>
  <c r="E9" i="87"/>
  <c r="F28" i="61"/>
  <c r="H28" i="61"/>
  <c r="H28" i="68"/>
  <c r="F28" i="68"/>
  <c r="D45" i="85"/>
  <c r="D45" i="62"/>
  <c r="T45" i="60"/>
  <c r="D45" i="70"/>
  <c r="D45" i="68"/>
  <c r="H45" i="36"/>
  <c r="D45" i="61"/>
  <c r="D45" i="89"/>
  <c r="F45" i="36"/>
  <c r="D45" i="86"/>
  <c r="D45" i="87"/>
  <c r="D45" i="88"/>
  <c r="H45" i="47"/>
  <c r="B132" i="1"/>
  <c r="B141" i="1"/>
  <c r="T53" i="53"/>
  <c r="P77" i="53"/>
  <c r="P81" i="53" s="1"/>
  <c r="P90" i="53" s="1"/>
  <c r="H28" i="89"/>
  <c r="F28" i="89"/>
  <c r="D29" i="88"/>
  <c r="H29" i="36"/>
  <c r="I33" i="36" s="1"/>
  <c r="D29" i="85"/>
  <c r="D29" i="89"/>
  <c r="D29" i="61"/>
  <c r="D29" i="87"/>
  <c r="D29" i="70"/>
  <c r="D31" i="36"/>
  <c r="F29" i="36"/>
  <c r="D29" i="68"/>
  <c r="H29" i="47"/>
  <c r="T29" i="60"/>
  <c r="D29" i="86"/>
  <c r="D29" i="62"/>
  <c r="L110" i="53"/>
  <c r="T110" i="53" s="1"/>
  <c r="V110" i="53" s="1"/>
  <c r="D141" i="1"/>
  <c r="D132" i="1"/>
  <c r="N132" i="1"/>
  <c r="N141" i="1"/>
  <c r="B129" i="53"/>
  <c r="B138" i="53"/>
  <c r="H28" i="88"/>
  <c r="F28" i="88"/>
  <c r="H28" i="85"/>
  <c r="F28" i="85"/>
  <c r="D129" i="53"/>
  <c r="D138" i="53"/>
  <c r="F12" i="1"/>
  <c r="H28" i="87"/>
  <c r="F28" i="87"/>
  <c r="H28" i="62"/>
  <c r="F28" i="62"/>
  <c r="N124" i="84" a="1"/>
  <c r="H58" i="84" a="1"/>
  <c r="H76" i="84" a="1"/>
  <c r="H86" i="84" a="1"/>
  <c r="H46" i="84" a="1"/>
  <c r="N189" i="84" a="1"/>
  <c r="N189" i="84" l="1"/>
  <c r="H46" i="84"/>
  <c r="H86" i="84"/>
  <c r="H76" i="84"/>
  <c r="H58" i="84"/>
  <c r="N124" i="84"/>
  <c r="F14" i="1"/>
  <c r="R10" i="82"/>
  <c r="X21" i="82" s="1"/>
  <c r="F16" i="1"/>
  <c r="F45" i="89"/>
  <c r="H45" i="89"/>
  <c r="D31" i="87"/>
  <c r="F31" i="36"/>
  <c r="D31" i="70"/>
  <c r="D31" i="86"/>
  <c r="T31" i="60"/>
  <c r="D31" i="68"/>
  <c r="H31" i="47"/>
  <c r="D31" i="85"/>
  <c r="D31" i="62"/>
  <c r="D31" i="89"/>
  <c r="D31" i="88"/>
  <c r="H31" i="36"/>
  <c r="D31" i="61"/>
  <c r="D33" i="36"/>
  <c r="F29" i="70"/>
  <c r="H29" i="70"/>
  <c r="I33" i="70" s="1"/>
  <c r="F45" i="68"/>
  <c r="H45" i="68"/>
  <c r="R35" i="82"/>
  <c r="M32" i="81"/>
  <c r="T77" i="1"/>
  <c r="H29" i="62"/>
  <c r="I33" i="62" s="1"/>
  <c r="F29" i="62"/>
  <c r="H29" i="87"/>
  <c r="I33" i="87" s="1"/>
  <c r="F29" i="87"/>
  <c r="F45" i="88"/>
  <c r="H45" i="88"/>
  <c r="H45" i="70"/>
  <c r="F45" i="70"/>
  <c r="D15" i="36"/>
  <c r="D9" i="70"/>
  <c r="H13" i="36"/>
  <c r="H12" i="36"/>
  <c r="H9" i="36"/>
  <c r="F9" i="36"/>
  <c r="D9" i="62"/>
  <c r="D9" i="61"/>
  <c r="D9" i="85"/>
  <c r="H11" i="36"/>
  <c r="D9" i="55"/>
  <c r="D9" i="86"/>
  <c r="D9" i="77"/>
  <c r="D9" i="68"/>
  <c r="D9" i="88"/>
  <c r="H10" i="36"/>
  <c r="D9" i="87"/>
  <c r="D9" i="89"/>
  <c r="H9" i="47"/>
  <c r="T9" i="60"/>
  <c r="F29" i="86"/>
  <c r="H29" i="86"/>
  <c r="I33" i="86" s="1"/>
  <c r="F29" i="61"/>
  <c r="H29" i="61"/>
  <c r="I33" i="61" s="1"/>
  <c r="F45" i="87"/>
  <c r="H45" i="87"/>
  <c r="F29" i="89"/>
  <c r="H29" i="89"/>
  <c r="I33" i="89" s="1"/>
  <c r="H45" i="86"/>
  <c r="F45" i="86"/>
  <c r="H45" i="62"/>
  <c r="F45" i="62"/>
  <c r="H29" i="68"/>
  <c r="I33" i="68" s="1"/>
  <c r="F29" i="68"/>
  <c r="H29" i="85"/>
  <c r="I33" i="85" s="1"/>
  <c r="F29" i="85"/>
  <c r="T77" i="53"/>
  <c r="T81" i="53" s="1"/>
  <c r="F13" i="53"/>
  <c r="H45" i="85"/>
  <c r="F45" i="85"/>
  <c r="S25" i="81"/>
  <c r="S21" i="81"/>
  <c r="F29" i="88"/>
  <c r="H29" i="88"/>
  <c r="I33" i="88" s="1"/>
  <c r="F45" i="61"/>
  <c r="H45" i="61"/>
  <c r="X25" i="82" l="1"/>
  <c r="I9" i="61"/>
  <c r="H11" i="61"/>
  <c r="H10" i="61"/>
  <c r="F9" i="61"/>
  <c r="H9" i="61"/>
  <c r="H12" i="61"/>
  <c r="H13" i="61"/>
  <c r="H13" i="68"/>
  <c r="H10" i="68"/>
  <c r="H12" i="68"/>
  <c r="H11" i="68"/>
  <c r="F9" i="68"/>
  <c r="I9" i="68"/>
  <c r="H9" i="68"/>
  <c r="R50" i="82"/>
  <c r="F31" i="88"/>
  <c r="H31" i="88"/>
  <c r="F31" i="70"/>
  <c r="H31" i="70"/>
  <c r="T90" i="53"/>
  <c r="N44" i="57"/>
  <c r="H209" i="53"/>
  <c r="H9" i="77"/>
  <c r="H12" i="77"/>
  <c r="F9" i="77"/>
  <c r="H10" i="77"/>
  <c r="H13" i="77"/>
  <c r="I9" i="77"/>
  <c r="H11" i="77"/>
  <c r="I15" i="36"/>
  <c r="F31" i="89"/>
  <c r="H31" i="89"/>
  <c r="F31" i="62"/>
  <c r="H31" i="62"/>
  <c r="H13" i="55"/>
  <c r="F9" i="55"/>
  <c r="H12" i="55"/>
  <c r="H11" i="55"/>
  <c r="H10" i="55"/>
  <c r="H9" i="55"/>
  <c r="F31" i="85"/>
  <c r="H31" i="85"/>
  <c r="I9" i="86"/>
  <c r="H13" i="86"/>
  <c r="H10" i="86"/>
  <c r="H12" i="86"/>
  <c r="F9" i="86"/>
  <c r="H9" i="86"/>
  <c r="H11" i="86"/>
  <c r="F31" i="87"/>
  <c r="H31" i="87"/>
  <c r="H13" i="89"/>
  <c r="I9" i="89"/>
  <c r="H12" i="89"/>
  <c r="H10" i="89"/>
  <c r="F9" i="89"/>
  <c r="H9" i="89"/>
  <c r="H11" i="89"/>
  <c r="H12" i="70"/>
  <c r="F9" i="70"/>
  <c r="H13" i="70"/>
  <c r="I9" i="70"/>
  <c r="H11" i="70"/>
  <c r="H10" i="70"/>
  <c r="H9" i="70"/>
  <c r="J13" i="53"/>
  <c r="N13" i="53" s="1"/>
  <c r="F15" i="53"/>
  <c r="H12" i="87"/>
  <c r="H10" i="87"/>
  <c r="H13" i="87"/>
  <c r="F9" i="87"/>
  <c r="H11" i="87"/>
  <c r="H9" i="87"/>
  <c r="I9" i="87"/>
  <c r="H13" i="85"/>
  <c r="H9" i="85"/>
  <c r="I9" i="85"/>
  <c r="F9" i="85"/>
  <c r="H11" i="85"/>
  <c r="H12" i="85"/>
  <c r="H10" i="85"/>
  <c r="D15" i="88"/>
  <c r="D15" i="86"/>
  <c r="H15" i="36"/>
  <c r="T15" i="60"/>
  <c r="D15" i="68"/>
  <c r="D15" i="55"/>
  <c r="D15" i="62"/>
  <c r="F15" i="36"/>
  <c r="H15" i="47"/>
  <c r="H68" i="47" s="1"/>
  <c r="H70" i="47" s="1"/>
  <c r="D15" i="85"/>
  <c r="D15" i="61"/>
  <c r="D15" i="89"/>
  <c r="D15" i="70"/>
  <c r="D15" i="77"/>
  <c r="D15" i="87"/>
  <c r="F33" i="36"/>
  <c r="H33" i="47"/>
  <c r="D33" i="68"/>
  <c r="D33" i="70"/>
  <c r="H33" i="36"/>
  <c r="D33" i="86"/>
  <c r="D33" i="89"/>
  <c r="T33" i="60"/>
  <c r="D33" i="87"/>
  <c r="D33" i="61"/>
  <c r="D33" i="62"/>
  <c r="D33" i="88"/>
  <c r="D33" i="85"/>
  <c r="H31" i="68"/>
  <c r="F31" i="68"/>
  <c r="H14" i="1"/>
  <c r="J14" i="1" s="1"/>
  <c r="N14" i="1" s="1"/>
  <c r="T79" i="1"/>
  <c r="H31" i="61"/>
  <c r="F31" i="61"/>
  <c r="H12" i="88"/>
  <c r="H11" i="88"/>
  <c r="F9" i="88"/>
  <c r="H10" i="88"/>
  <c r="I9" i="88"/>
  <c r="H13" i="88"/>
  <c r="H9" i="88"/>
  <c r="H10" i="62"/>
  <c r="H11" i="62"/>
  <c r="H12" i="62"/>
  <c r="I9" i="62"/>
  <c r="F9" i="62"/>
  <c r="H13" i="62"/>
  <c r="H9" i="62"/>
  <c r="M47" i="81"/>
  <c r="N32" i="81"/>
  <c r="F31" i="86"/>
  <c r="H31" i="86"/>
  <c r="K15" i="36" l="1"/>
  <c r="I15" i="55"/>
  <c r="I15" i="61"/>
  <c r="O15" i="36"/>
  <c r="X35" i="82" s="1"/>
  <c r="S35" i="82" s="1"/>
  <c r="I15" i="89"/>
  <c r="H33" i="89"/>
  <c r="F33" i="89"/>
  <c r="F15" i="87"/>
  <c r="H15" i="87"/>
  <c r="H15" i="62"/>
  <c r="F15" i="62"/>
  <c r="I15" i="86"/>
  <c r="H270" i="53"/>
  <c r="H167" i="53"/>
  <c r="F15" i="77"/>
  <c r="H15" i="77"/>
  <c r="H15" i="55"/>
  <c r="F15" i="55"/>
  <c r="H33" i="85"/>
  <c r="F33" i="85"/>
  <c r="K33" i="36"/>
  <c r="F15" i="70"/>
  <c r="H15" i="70"/>
  <c r="H15" i="68"/>
  <c r="F15" i="68"/>
  <c r="I15" i="88"/>
  <c r="H33" i="88"/>
  <c r="F33" i="88"/>
  <c r="F33" i="70"/>
  <c r="H33" i="70"/>
  <c r="H33" i="86"/>
  <c r="F33" i="86"/>
  <c r="H15" i="89"/>
  <c r="F15" i="89"/>
  <c r="I15" i="62"/>
  <c r="H33" i="62"/>
  <c r="F33" i="62"/>
  <c r="H33" i="68"/>
  <c r="F33" i="68"/>
  <c r="F15" i="61"/>
  <c r="H15" i="61"/>
  <c r="I15" i="85"/>
  <c r="I15" i="77"/>
  <c r="T83" i="1"/>
  <c r="N170" i="84"/>
  <c r="F33" i="61"/>
  <c r="H33" i="61"/>
  <c r="H15" i="86"/>
  <c r="F15" i="86"/>
  <c r="F15" i="85"/>
  <c r="H15" i="85"/>
  <c r="F33" i="87"/>
  <c r="H33" i="87"/>
  <c r="F15" i="88"/>
  <c r="H15" i="88"/>
  <c r="I15" i="87"/>
  <c r="I15" i="70"/>
  <c r="I15" i="68"/>
  <c r="K15" i="61" l="1"/>
  <c r="K15" i="55"/>
  <c r="K15" i="89"/>
  <c r="S45" i="82"/>
  <c r="S43" i="82"/>
  <c r="S38" i="82"/>
  <c r="S46" i="82"/>
  <c r="S37" i="82"/>
  <c r="K15" i="86"/>
  <c r="S49" i="82"/>
  <c r="S39" i="82"/>
  <c r="S42" i="82"/>
  <c r="K15" i="88"/>
  <c r="S41" i="82"/>
  <c r="S36" i="82"/>
  <c r="S40" i="82"/>
  <c r="S44" i="82"/>
  <c r="O15" i="86"/>
  <c r="K15" i="85"/>
  <c r="O15" i="77"/>
  <c r="O15" i="88"/>
  <c r="O15" i="70"/>
  <c r="K15" i="62"/>
  <c r="N45" i="2"/>
  <c r="T92" i="1"/>
  <c r="H213" i="1"/>
  <c r="K33" i="62"/>
  <c r="K33" i="87"/>
  <c r="K33" i="88"/>
  <c r="O15" i="85"/>
  <c r="O15" i="89"/>
  <c r="K33" i="85"/>
  <c r="O15" i="62"/>
  <c r="O15" i="61"/>
  <c r="K15" i="68"/>
  <c r="K15" i="87"/>
  <c r="K33" i="61"/>
  <c r="K33" i="86"/>
  <c r="K15" i="70"/>
  <c r="K15" i="77"/>
  <c r="O15" i="87"/>
  <c r="K33" i="68"/>
  <c r="K33" i="70"/>
  <c r="H169" i="53"/>
  <c r="C19" i="69"/>
  <c r="K33" i="89"/>
  <c r="H274" i="1" l="1"/>
  <c r="H171" i="1"/>
  <c r="B19" i="69" l="1"/>
  <c r="H173" i="1"/>
  <c r="H148" i="84" a="1"/>
  <c r="H148" i="84" l="1"/>
  <c r="B112" i="2"/>
  <c r="CU60" i="15"/>
  <c r="B60" i="15"/>
  <c r="C112" i="2" s="1"/>
  <c r="CI63" i="15" l="1"/>
  <c r="CJ63" i="15"/>
  <c r="CJ70" i="15" s="1"/>
  <c r="CI70" i="15" l="1"/>
  <c r="CK63" i="15" l="1"/>
  <c r="CK70" i="15" l="1"/>
  <c r="CL63" i="15" l="1"/>
  <c r="CL70" i="15" l="1"/>
  <c r="CM63" i="15" l="1"/>
  <c r="CM70" i="15" l="1"/>
  <c r="CN63" i="15"/>
  <c r="CN70" i="15" s="1"/>
  <c r="CO63" i="15" l="1"/>
  <c r="CO70" i="15" s="1"/>
  <c r="CP63" i="15" l="1"/>
  <c r="CP70" i="15" s="1"/>
  <c r="CQ63" i="15" l="1"/>
  <c r="CQ70" i="15" s="1"/>
  <c r="CR63" i="15" l="1"/>
  <c r="CR70" i="15" s="1"/>
  <c r="CS63" i="15" l="1"/>
  <c r="CS70" i="15" s="1"/>
  <c r="B113" i="2" l="1"/>
  <c r="B116" i="2" s="1"/>
  <c r="CT63" i="15"/>
  <c r="B61" i="15"/>
  <c r="C113" i="2" s="1"/>
  <c r="C116" i="2" s="1"/>
  <c r="CU61" i="15"/>
  <c r="C124" i="2" l="1"/>
  <c r="B166" i="1"/>
  <c r="CT70" i="15"/>
  <c r="S14" i="82"/>
  <c r="B63" i="15"/>
  <c r="CU63" i="15"/>
  <c r="B124" i="2"/>
  <c r="B162" i="53"/>
  <c r="AB162" i="53" l="1"/>
  <c r="X162" i="53"/>
  <c r="G4" i="83"/>
  <c r="G5" i="83" s="1"/>
  <c r="S15" i="82"/>
  <c r="B70" i="15"/>
  <c r="CU70" i="15"/>
  <c r="T14" i="82"/>
  <c r="T15" i="82" s="1"/>
  <c r="CZ43" i="8"/>
  <c r="C18" i="66"/>
  <c r="B38" i="69"/>
  <c r="B27" i="69"/>
  <c r="N183" i="84" a="1"/>
  <c r="N183" i="84" l="1"/>
  <c r="S31" i="82"/>
  <c r="G10" i="83" s="1"/>
  <c r="CI89" i="15" l="1"/>
  <c r="CJ58" i="38"/>
  <c r="CK58" i="38"/>
  <c r="CK75" i="38" s="1"/>
  <c r="CJ60" i="38" l="1"/>
  <c r="CJ73" i="38" s="1"/>
  <c r="CK60" i="38"/>
  <c r="CK73" i="38" s="1"/>
  <c r="CJ75" i="38"/>
  <c r="CI105" i="15"/>
  <c r="CJ89" i="15" l="1"/>
  <c r="CI107" i="15"/>
  <c r="CI112" i="15" l="1"/>
  <c r="CL58" i="38"/>
  <c r="CI110" i="15"/>
  <c r="CJ105" i="15"/>
  <c r="CM58" i="38"/>
  <c r="CM75" i="38" s="1"/>
  <c r="CJ107" i="15" l="1"/>
  <c r="CL75" i="38"/>
  <c r="CM60" i="38"/>
  <c r="CM73" i="38" s="1"/>
  <c r="CL60" i="38"/>
  <c r="CL73" i="38" s="1"/>
  <c r="CK89" i="15"/>
  <c r="CN58" i="38"/>
  <c r="CN75" i="38" s="1"/>
  <c r="CN60" i="38" l="1"/>
  <c r="CN73" i="38" s="1"/>
  <c r="CJ112" i="15"/>
  <c r="CK105" i="15"/>
  <c r="CJ110" i="15"/>
  <c r="CK107" i="15" l="1"/>
  <c r="CL89" i="15"/>
  <c r="CO58" i="38"/>
  <c r="CL105" i="15" l="1"/>
  <c r="CO75" i="38"/>
  <c r="CO60" i="38"/>
  <c r="CO73" i="38" s="1"/>
  <c r="CK112" i="15"/>
  <c r="CK110" i="15"/>
  <c r="CM89" i="15" l="1"/>
  <c r="CL107" i="15"/>
  <c r="CP58" i="38"/>
  <c r="CL112" i="15" l="1"/>
  <c r="CL110" i="15"/>
  <c r="CP75" i="38"/>
  <c r="CP60" i="38"/>
  <c r="CP73" i="38" s="1"/>
  <c r="CM105" i="15"/>
  <c r="CN89" i="15"/>
  <c r="CN105" i="15" s="1"/>
  <c r="CN107" i="15" l="1"/>
  <c r="CN112" i="15" s="1"/>
  <c r="CM107" i="15"/>
  <c r="CQ58" i="38"/>
  <c r="CN110" i="15"/>
  <c r="CQ75" i="38" l="1"/>
  <c r="CQ60" i="38"/>
  <c r="CQ73" i="38" s="1"/>
  <c r="CM112" i="15"/>
  <c r="CM110" i="15"/>
  <c r="CO89" i="15"/>
  <c r="CO105" i="15" s="1"/>
  <c r="CO107" i="15" l="1"/>
  <c r="CO112" i="15" s="1"/>
  <c r="CR58" i="38"/>
  <c r="CO110" i="15"/>
  <c r="CR75" i="38" l="1"/>
  <c r="CR60" i="38"/>
  <c r="CR73" i="38" s="1"/>
  <c r="CP89" i="15"/>
  <c r="CP105" i="15" s="1"/>
  <c r="CP107" i="15" l="1"/>
  <c r="CP112" i="15" s="1"/>
  <c r="CS58" i="38"/>
  <c r="CP110" i="15"/>
  <c r="CS75" i="38" l="1"/>
  <c r="CS60" i="38"/>
  <c r="CS73" i="38" s="1"/>
  <c r="CQ89" i="15"/>
  <c r="CQ105" i="15" s="1"/>
  <c r="CQ107" i="15" l="1"/>
  <c r="CQ112" i="15" s="1"/>
  <c r="CT58" i="38"/>
  <c r="CQ110" i="15"/>
  <c r="CT75" i="38" l="1"/>
  <c r="CT60" i="38"/>
  <c r="CT73" i="38" s="1"/>
  <c r="CR89" i="15"/>
  <c r="CR105" i="15" s="1"/>
  <c r="CR107" i="15" l="1"/>
  <c r="CR112" i="15" s="1"/>
  <c r="CR110" i="15"/>
  <c r="CU58" i="38" l="1"/>
  <c r="C56" i="38"/>
  <c r="C58" i="38" s="1"/>
  <c r="C73" i="38" s="1"/>
  <c r="D17" i="3" s="1"/>
  <c r="L162" i="1" s="1"/>
  <c r="CS89" i="15"/>
  <c r="CS105" i="15" s="1"/>
  <c r="CS107" i="15" l="1"/>
  <c r="CS112" i="15" s="1"/>
  <c r="P162" i="1"/>
  <c r="T162" i="1"/>
  <c r="CU75" i="38"/>
  <c r="C75" i="38" s="1"/>
  <c r="D50" i="3" s="1"/>
  <c r="L158" i="53" s="1"/>
  <c r="CU60" i="38"/>
  <c r="CU73" i="38" s="1"/>
  <c r="CS110" i="15"/>
  <c r="P158" i="53" l="1"/>
  <c r="T158" i="53"/>
  <c r="G14" i="65"/>
  <c r="N190" i="84" a="1"/>
  <c r="N190" i="84" l="1"/>
  <c r="B126" i="2"/>
  <c r="CT89" i="15"/>
  <c r="B73" i="15"/>
  <c r="C126" i="2" s="1"/>
  <c r="CU73" i="15"/>
  <c r="B162" i="1" l="1"/>
  <c r="C143" i="2"/>
  <c r="C160" i="2" s="1"/>
  <c r="C162" i="2" s="1"/>
  <c r="CT105" i="15"/>
  <c r="CU89" i="15"/>
  <c r="B89" i="15"/>
  <c r="B143" i="2"/>
  <c r="B160" i="2" s="1"/>
  <c r="B162" i="2" s="1"/>
  <c r="B158" i="53"/>
  <c r="AB158" i="53" l="1"/>
  <c r="AB167" i="53" s="1"/>
  <c r="X158" i="53"/>
  <c r="B167" i="53"/>
  <c r="CT107" i="15"/>
  <c r="CU105" i="15"/>
  <c r="B105" i="15"/>
  <c r="B107" i="15" s="1"/>
  <c r="B36" i="69"/>
  <c r="C14" i="66"/>
  <c r="C24" i="66" s="1"/>
  <c r="B25" i="69"/>
  <c r="B171" i="1"/>
  <c r="N181" i="84" a="1"/>
  <c r="N181" i="84" l="1"/>
  <c r="N186" i="84" s="1"/>
  <c r="B173" i="1"/>
  <c r="L10" i="2"/>
  <c r="L45" i="2" s="1"/>
  <c r="N46" i="2" s="1"/>
  <c r="B41" i="69"/>
  <c r="C36" i="69" s="1"/>
  <c r="F171" i="1"/>
  <c r="F173" i="1" s="1"/>
  <c r="CT112" i="15"/>
  <c r="CU107" i="15"/>
  <c r="CU112" i="15" s="1"/>
  <c r="CT110" i="15"/>
  <c r="CU110" i="15" s="1"/>
  <c r="CU106" i="15"/>
  <c r="CV106" i="15" s="1"/>
  <c r="B30" i="69"/>
  <c r="C25" i="69" s="1"/>
  <c r="B169" i="53"/>
  <c r="L10" i="57"/>
  <c r="L44" i="57" s="1"/>
  <c r="N45" i="57" s="1"/>
  <c r="F167" i="53"/>
  <c r="F169" i="53" s="1"/>
  <c r="X167" i="53"/>
  <c r="Y158" i="53" s="1"/>
  <c r="AC158" i="53"/>
  <c r="AC166" i="53"/>
  <c r="AB169" i="53"/>
  <c r="AC160" i="53"/>
  <c r="AC164" i="53"/>
  <c r="AC156" i="53"/>
  <c r="AC162" i="53"/>
  <c r="H179" i="84" a="1"/>
  <c r="H179" i="84" l="1"/>
  <c r="F158" i="53"/>
  <c r="C5" i="69" s="1"/>
  <c r="F162" i="1"/>
  <c r="E14" i="66" s="1"/>
  <c r="X169" i="53"/>
  <c r="Y164" i="53"/>
  <c r="F164" i="53" s="1"/>
  <c r="H164" i="53" s="1"/>
  <c r="J164" i="53" s="1"/>
  <c r="Y166" i="53"/>
  <c r="F166" i="53" s="1"/>
  <c r="H166" i="53" s="1"/>
  <c r="J166" i="53" s="1"/>
  <c r="Y160" i="53"/>
  <c r="F160" i="53" s="1"/>
  <c r="H160" i="53" s="1"/>
  <c r="Y156" i="53"/>
  <c r="Y162" i="53"/>
  <c r="F162" i="53" s="1"/>
  <c r="AC167" i="53"/>
  <c r="C41" i="69"/>
  <c r="C40" i="69"/>
  <c r="F170" i="1" s="1"/>
  <c r="C37" i="69"/>
  <c r="F164" i="1" s="1"/>
  <c r="C39" i="69"/>
  <c r="F168" i="1" s="1"/>
  <c r="C35" i="69"/>
  <c r="C38" i="69"/>
  <c r="C30" i="69"/>
  <c r="C24" i="69"/>
  <c r="C27" i="69"/>
  <c r="B5" i="69" l="1"/>
  <c r="J160" i="53"/>
  <c r="C52" i="3"/>
  <c r="E52" i="3" s="1"/>
  <c r="Y167" i="53"/>
  <c r="J167" i="53" s="1"/>
  <c r="J169" i="53" s="1"/>
  <c r="F156" i="53"/>
  <c r="E16" i="66"/>
  <c r="G16" i="66" s="1"/>
  <c r="C16" i="65" s="1"/>
  <c r="H164" i="1"/>
  <c r="H168" i="1"/>
  <c r="E20" i="66"/>
  <c r="G20" i="66" s="1"/>
  <c r="C20" i="65" s="1"/>
  <c r="E22" i="66"/>
  <c r="G22" i="66" s="1"/>
  <c r="C22" i="65" s="1"/>
  <c r="H170" i="1"/>
  <c r="F166" i="1"/>
  <c r="F160" i="1"/>
  <c r="J168" i="1" l="1"/>
  <c r="F174" i="1"/>
  <c r="B4" i="69"/>
  <c r="E12" i="66"/>
  <c r="J164" i="1"/>
  <c r="C19" i="3"/>
  <c r="E19" i="3" s="1"/>
  <c r="E18" i="66"/>
  <c r="F170" i="53"/>
  <c r="C4" i="69"/>
  <c r="J170" i="1"/>
  <c r="N160" i="53"/>
  <c r="R160" i="53"/>
  <c r="V160" i="53"/>
  <c r="N175" i="84" a="1"/>
  <c r="N153" i="84" a="1"/>
  <c r="N176" i="84" a="1"/>
  <c r="N173" i="84" a="1"/>
  <c r="N173" i="84" l="1"/>
  <c r="N176" i="84"/>
  <c r="N153" i="84"/>
  <c r="N175" i="84"/>
  <c r="N164" i="1"/>
  <c r="R164" i="1"/>
  <c r="V164" i="1"/>
  <c r="C6" i="69"/>
  <c r="C12" i="69"/>
  <c r="E24" i="66"/>
  <c r="B12" i="69"/>
  <c r="B6" i="69"/>
  <c r="H251" i="53"/>
  <c r="H278" i="53" s="1"/>
  <c r="H190" i="53"/>
  <c r="H217" i="53" s="1"/>
  <c r="B17" i="69" l="1"/>
  <c r="B9" i="69"/>
  <c r="C8" i="69"/>
  <c r="C17" i="69"/>
  <c r="C9" i="69"/>
  <c r="H255" i="1"/>
  <c r="H282" i="1" s="1"/>
  <c r="N163" i="84"/>
  <c r="H194" i="1"/>
  <c r="H221" i="1" s="1"/>
  <c r="B8" i="69"/>
  <c r="C10" i="69" l="1"/>
  <c r="B10" i="69"/>
  <c r="H158" i="53"/>
  <c r="H162" i="53"/>
  <c r="H156" i="53"/>
  <c r="H160" i="1"/>
  <c r="H162" i="1"/>
  <c r="J162" i="1" s="1"/>
  <c r="H166" i="1"/>
  <c r="B48" i="69" l="1"/>
  <c r="J166" i="1"/>
  <c r="G18" i="66"/>
  <c r="C18" i="65" s="1"/>
  <c r="B15" i="69"/>
  <c r="X166" i="1"/>
  <c r="C15" i="3"/>
  <c r="B46" i="69"/>
  <c r="J160" i="1"/>
  <c r="G12" i="66"/>
  <c r="X160" i="1"/>
  <c r="C48" i="3"/>
  <c r="AF156" i="53"/>
  <c r="J156" i="53"/>
  <c r="J162" i="53"/>
  <c r="C15" i="69"/>
  <c r="AF162" i="53"/>
  <c r="C17" i="3"/>
  <c r="E17" i="3" s="1"/>
  <c r="B47" i="69"/>
  <c r="G14" i="66"/>
  <c r="C14" i="65" s="1"/>
  <c r="X162" i="1"/>
  <c r="AF158" i="53"/>
  <c r="J158" i="53"/>
  <c r="C50" i="3"/>
  <c r="E50" i="3" s="1"/>
  <c r="N174" i="84" a="1"/>
  <c r="N172" i="84" a="1"/>
  <c r="N171" i="84" a="1"/>
  <c r="N171" i="84" l="1"/>
  <c r="N172" i="84"/>
  <c r="N174" i="84"/>
  <c r="N177" i="84"/>
  <c r="N158" i="53"/>
  <c r="V158" i="53"/>
  <c r="R158" i="53"/>
  <c r="Y162" i="1"/>
  <c r="AA162" i="1"/>
  <c r="AC162" i="1"/>
  <c r="R162" i="53"/>
  <c r="V162" i="53"/>
  <c r="H257" i="53"/>
  <c r="H284" i="53" s="1"/>
  <c r="N162" i="53"/>
  <c r="H196" i="53"/>
  <c r="H223" i="53" s="1"/>
  <c r="B49" i="69"/>
  <c r="C49" i="69" s="1"/>
  <c r="C21" i="3"/>
  <c r="E15" i="3"/>
  <c r="E21" i="3" s="1"/>
  <c r="E26" i="3" s="1"/>
  <c r="AC166" i="1"/>
  <c r="Y166" i="1"/>
  <c r="AA166" i="1"/>
  <c r="N156" i="53"/>
  <c r="N167" i="53" s="1"/>
  <c r="D23" i="53" s="1"/>
  <c r="V156" i="53"/>
  <c r="R156" i="53"/>
  <c r="AF167" i="53"/>
  <c r="AG156" i="53" s="1"/>
  <c r="E48" i="3"/>
  <c r="E54" i="3" s="1"/>
  <c r="E59" i="3" s="1"/>
  <c r="E62" i="3" s="1"/>
  <c r="L108" i="53" s="1"/>
  <c r="C54" i="3"/>
  <c r="AA160" i="1"/>
  <c r="Y160" i="1"/>
  <c r="AC160" i="1"/>
  <c r="N162" i="1"/>
  <c r="V162" i="1"/>
  <c r="R162" i="1"/>
  <c r="G24" i="66"/>
  <c r="C12" i="65"/>
  <c r="H200" i="1"/>
  <c r="D23" i="36"/>
  <c r="V166" i="1"/>
  <c r="H261" i="1"/>
  <c r="H288" i="1" s="1"/>
  <c r="N166" i="1"/>
  <c r="R166" i="1"/>
  <c r="J171" i="1"/>
  <c r="J173" i="1" s="1"/>
  <c r="N160" i="1"/>
  <c r="V160" i="1"/>
  <c r="R160" i="1"/>
  <c r="H169" i="84" a="1"/>
  <c r="H169" i="84" l="1"/>
  <c r="E29" i="3"/>
  <c r="L111" i="1" s="1"/>
  <c r="L126" i="1" s="1"/>
  <c r="L128" i="1" s="1"/>
  <c r="AG158" i="53"/>
  <c r="V167" i="53"/>
  <c r="D27" i="53" s="1"/>
  <c r="C48" i="69"/>
  <c r="C47" i="69"/>
  <c r="C46" i="69"/>
  <c r="L170" i="1"/>
  <c r="N170" i="1" s="1"/>
  <c r="N171" i="1" s="1"/>
  <c r="D24" i="1" s="1"/>
  <c r="H191" i="1"/>
  <c r="H252" i="1"/>
  <c r="N161" i="84"/>
  <c r="T170" i="1"/>
  <c r="V170" i="1" s="1"/>
  <c r="V171" i="1" s="1"/>
  <c r="D28" i="1" s="1"/>
  <c r="D23" i="70"/>
  <c r="H23" i="36"/>
  <c r="D23" i="86"/>
  <c r="T23" i="60"/>
  <c r="D23" i="61"/>
  <c r="H23" i="47"/>
  <c r="D23" i="87"/>
  <c r="D23" i="85"/>
  <c r="D23" i="55"/>
  <c r="D23" i="68"/>
  <c r="D23" i="62"/>
  <c r="D23" i="77"/>
  <c r="D23" i="89"/>
  <c r="D23" i="88"/>
  <c r="F23" i="36"/>
  <c r="H227" i="1"/>
  <c r="V9" i="82"/>
  <c r="Q9" i="81"/>
  <c r="P170" i="1"/>
  <c r="AG162" i="53"/>
  <c r="AG167" i="53" s="1"/>
  <c r="C24" i="65"/>
  <c r="E12" i="65" s="1"/>
  <c r="H188" i="53"/>
  <c r="H215" i="53" s="1"/>
  <c r="H249" i="53"/>
  <c r="H276" i="53" s="1"/>
  <c r="T108" i="53"/>
  <c r="L123" i="53"/>
  <c r="L125" i="53" s="1"/>
  <c r="R167" i="53"/>
  <c r="D25" i="53" s="1"/>
  <c r="H248" i="53"/>
  <c r="H187" i="53"/>
  <c r="H192" i="1"/>
  <c r="H219" i="1" s="1"/>
  <c r="N162" i="84"/>
  <c r="H253" i="1"/>
  <c r="H280" i="1" s="1"/>
  <c r="N122" i="84" a="1"/>
  <c r="N122" i="84" l="1"/>
  <c r="N139" i="84" s="1"/>
  <c r="T111" i="1"/>
  <c r="V111" i="1" s="1"/>
  <c r="I12" i="65"/>
  <c r="F23" i="87"/>
  <c r="H23" i="87"/>
  <c r="E18" i="65"/>
  <c r="I18" i="65" s="1"/>
  <c r="E20" i="65"/>
  <c r="I20" i="65" s="1"/>
  <c r="E16" i="65"/>
  <c r="I16" i="65" s="1"/>
  <c r="E22" i="65"/>
  <c r="I22" i="65" s="1"/>
  <c r="E14" i="65"/>
  <c r="I14" i="65" s="1"/>
  <c r="F23" i="89"/>
  <c r="H23" i="89"/>
  <c r="F23" i="61"/>
  <c r="H23" i="61"/>
  <c r="H257" i="1"/>
  <c r="H279" i="1"/>
  <c r="H284" i="1" s="1"/>
  <c r="F23" i="85"/>
  <c r="H23" i="85"/>
  <c r="R170" i="1"/>
  <c r="R171" i="1" s="1"/>
  <c r="N164" i="84"/>
  <c r="N165" i="84" s="1"/>
  <c r="F23" i="77"/>
  <c r="H23" i="77"/>
  <c r="H218" i="1"/>
  <c r="H223" i="1" s="1"/>
  <c r="D20" i="36" s="1"/>
  <c r="H196" i="1"/>
  <c r="F23" i="70"/>
  <c r="H23" i="70"/>
  <c r="L138" i="53"/>
  <c r="L129" i="53"/>
  <c r="Q25" i="81"/>
  <c r="Q21" i="81"/>
  <c r="H23" i="62"/>
  <c r="F23" i="62"/>
  <c r="F23" i="86"/>
  <c r="H23" i="86"/>
  <c r="L132" i="1"/>
  <c r="L141" i="1"/>
  <c r="H23" i="55"/>
  <c r="F23" i="55"/>
  <c r="H214" i="53"/>
  <c r="H219" i="53" s="1"/>
  <c r="H192" i="53"/>
  <c r="H23" i="88"/>
  <c r="F23" i="88"/>
  <c r="H253" i="53"/>
  <c r="H275" i="53"/>
  <c r="H280" i="53" s="1"/>
  <c r="V108" i="53"/>
  <c r="V123" i="53" s="1"/>
  <c r="T123" i="53"/>
  <c r="T125" i="53" s="1"/>
  <c r="V30" i="82"/>
  <c r="V25" i="82"/>
  <c r="V21" i="82"/>
  <c r="H23" i="68"/>
  <c r="F23" i="68"/>
  <c r="H118" i="84" a="1"/>
  <c r="H157" i="84" a="1"/>
  <c r="H157" i="84" l="1"/>
  <c r="H118" i="84"/>
  <c r="D2" i="84" s="1"/>
  <c r="T126" i="1"/>
  <c r="T128" i="1" s="1"/>
  <c r="U9" i="82"/>
  <c r="P9" i="81"/>
  <c r="D20" i="86"/>
  <c r="F20" i="86" s="1"/>
  <c r="H20" i="86" s="1"/>
  <c r="F20" i="36"/>
  <c r="H20" i="36" s="1"/>
  <c r="D20" i="87"/>
  <c r="F20" i="87" s="1"/>
  <c r="H20" i="87" s="1"/>
  <c r="D20" i="85"/>
  <c r="F20" i="85" s="1"/>
  <c r="H20" i="85" s="1"/>
  <c r="D20" i="77"/>
  <c r="F20" i="77" s="1"/>
  <c r="H20" i="77" s="1"/>
  <c r="T20" i="60"/>
  <c r="D20" i="68"/>
  <c r="F20" i="68" s="1"/>
  <c r="H20" i="68" s="1"/>
  <c r="D20" i="70"/>
  <c r="F20" i="70" s="1"/>
  <c r="H20" i="70" s="1"/>
  <c r="D20" i="55"/>
  <c r="F20" i="55" s="1"/>
  <c r="H20" i="55" s="1"/>
  <c r="D20" i="89"/>
  <c r="F20" i="89" s="1"/>
  <c r="H20" i="89" s="1"/>
  <c r="D20" i="88"/>
  <c r="F20" i="88" s="1"/>
  <c r="H20" i="88" s="1"/>
  <c r="H20" i="47"/>
  <c r="D20" i="62"/>
  <c r="F20" i="62" s="1"/>
  <c r="H20" i="62" s="1"/>
  <c r="D20" i="61"/>
  <c r="F20" i="61" s="1"/>
  <c r="H20" i="61" s="1"/>
  <c r="T129" i="53"/>
  <c r="T138" i="53"/>
  <c r="K23" i="55"/>
  <c r="H11" i="53"/>
  <c r="J11" i="53" s="1"/>
  <c r="V125" i="53"/>
  <c r="T141" i="1"/>
  <c r="T132" i="1"/>
  <c r="D43" i="36"/>
  <c r="R55" i="82"/>
  <c r="M52" i="81"/>
  <c r="V126" i="1"/>
  <c r="D26" i="1"/>
  <c r="E24" i="65"/>
  <c r="I24" i="65"/>
  <c r="E11" i="67" s="1"/>
  <c r="H188" i="84"/>
  <c r="V138" i="53" l="1"/>
  <c r="H268" i="53" s="1"/>
  <c r="H272" i="53" s="1"/>
  <c r="H282" i="53" s="1"/>
  <c r="H286" i="53" s="1"/>
  <c r="N28" i="53" s="1"/>
  <c r="V129" i="53"/>
  <c r="H207" i="53" s="1"/>
  <c r="H211" i="53" s="1"/>
  <c r="H221" i="53" s="1"/>
  <c r="H225" i="53" s="1"/>
  <c r="L28" i="53" s="1"/>
  <c r="H12" i="1"/>
  <c r="J12" i="1" s="1"/>
  <c r="V128" i="1"/>
  <c r="I36" i="65"/>
  <c r="I35" i="65" s="1"/>
  <c r="N52" i="81"/>
  <c r="M61" i="81"/>
  <c r="E12" i="67"/>
  <c r="E13" i="67" s="1"/>
  <c r="E14" i="67" s="1"/>
  <c r="E15" i="67" s="1"/>
  <c r="E16" i="67" s="1"/>
  <c r="E17" i="67" s="1"/>
  <c r="E18" i="67" s="1"/>
  <c r="E19" i="67" s="1"/>
  <c r="E20" i="67" s="1"/>
  <c r="E21" i="67" s="1"/>
  <c r="E22" i="67" s="1"/>
  <c r="G11" i="67"/>
  <c r="J15" i="53"/>
  <c r="H184" i="53" s="1"/>
  <c r="H194" i="53" s="1"/>
  <c r="H198" i="53" s="1"/>
  <c r="L25" i="53" s="1"/>
  <c r="N11" i="53"/>
  <c r="N15" i="53" s="1"/>
  <c r="H245" i="53" s="1"/>
  <c r="H255" i="53" s="1"/>
  <c r="H259" i="53" s="1"/>
  <c r="N25" i="53" s="1"/>
  <c r="P20" i="81"/>
  <c r="M24" i="81"/>
  <c r="R65" i="82"/>
  <c r="D43" i="61"/>
  <c r="D43" i="87"/>
  <c r="D43" i="86"/>
  <c r="H43" i="47"/>
  <c r="D43" i="88"/>
  <c r="H43" i="36"/>
  <c r="D43" i="89"/>
  <c r="T43" i="60"/>
  <c r="D43" i="68"/>
  <c r="F43" i="36"/>
  <c r="D43" i="62"/>
  <c r="D43" i="70"/>
  <c r="D43" i="85"/>
  <c r="D58" i="36"/>
  <c r="R24" i="82"/>
  <c r="U20" i="82"/>
  <c r="H43" i="61" l="1"/>
  <c r="F43" i="61"/>
  <c r="F43" i="89"/>
  <c r="H43" i="89"/>
  <c r="H43" i="68"/>
  <c r="F43" i="68"/>
  <c r="D58" i="62"/>
  <c r="T58" i="60"/>
  <c r="D58" i="86"/>
  <c r="D58" i="85"/>
  <c r="H58" i="36"/>
  <c r="D58" i="70"/>
  <c r="D58" i="68"/>
  <c r="D58" i="87"/>
  <c r="H58" i="47"/>
  <c r="D58" i="89"/>
  <c r="D58" i="88"/>
  <c r="D36" i="36"/>
  <c r="D58" i="61"/>
  <c r="F58" i="36"/>
  <c r="H43" i="85"/>
  <c r="F43" i="85"/>
  <c r="H43" i="88"/>
  <c r="F43" i="88"/>
  <c r="V141" i="1"/>
  <c r="V132" i="1"/>
  <c r="H211" i="1" s="1"/>
  <c r="H215" i="1" s="1"/>
  <c r="H225" i="1" s="1"/>
  <c r="H229" i="1" s="1"/>
  <c r="L29" i="1" s="1"/>
  <c r="F43" i="70"/>
  <c r="H43" i="70"/>
  <c r="N12" i="1"/>
  <c r="N16" i="1" s="1"/>
  <c r="H249" i="1" s="1"/>
  <c r="H259" i="1" s="1"/>
  <c r="H263" i="1" s="1"/>
  <c r="N26" i="1" s="1"/>
  <c r="A3" i="15" s="1"/>
  <c r="J16" i="1"/>
  <c r="H188" i="1" s="1"/>
  <c r="F43" i="62"/>
  <c r="H43" i="62"/>
  <c r="F43" i="86"/>
  <c r="H43" i="86"/>
  <c r="F43" i="87"/>
  <c r="H43" i="87"/>
  <c r="C12" i="67"/>
  <c r="G12" i="67"/>
  <c r="F58" i="89" l="1"/>
  <c r="H58" i="89"/>
  <c r="H58" i="62"/>
  <c r="F58" i="62"/>
  <c r="G13" i="67"/>
  <c r="C13" i="67"/>
  <c r="H198" i="1"/>
  <c r="H202" i="1" s="1"/>
  <c r="L26" i="1" s="1"/>
  <c r="O9" i="81"/>
  <c r="T9" i="82"/>
  <c r="H58" i="87"/>
  <c r="F58" i="87"/>
  <c r="F58" i="68"/>
  <c r="H58" i="68"/>
  <c r="F58" i="61"/>
  <c r="H58" i="61"/>
  <c r="F58" i="70"/>
  <c r="H58" i="70"/>
  <c r="D36" i="85"/>
  <c r="D36" i="88"/>
  <c r="D36" i="87"/>
  <c r="D36" i="89"/>
  <c r="D36" i="70"/>
  <c r="T36" i="60"/>
  <c r="D36" i="62"/>
  <c r="H36" i="36"/>
  <c r="D36" i="61"/>
  <c r="H36" i="47"/>
  <c r="D36" i="68"/>
  <c r="D36" i="86"/>
  <c r="F36" i="36"/>
  <c r="D37" i="36"/>
  <c r="F58" i="85"/>
  <c r="H58" i="85"/>
  <c r="H272" i="1"/>
  <c r="H276" i="1" s="1"/>
  <c r="H286" i="1" s="1"/>
  <c r="H290" i="1" s="1"/>
  <c r="N29" i="1" s="1"/>
  <c r="D17" i="36"/>
  <c r="H58" i="88"/>
  <c r="F58" i="88"/>
  <c r="F58" i="86"/>
  <c r="H58" i="86"/>
  <c r="P24" i="81" l="1"/>
  <c r="P25" i="81" s="1"/>
  <c r="R25" i="81" s="1"/>
  <c r="T25" i="81" s="1"/>
  <c r="U25" i="81" s="1"/>
  <c r="N21" i="81"/>
  <c r="P18" i="81"/>
  <c r="P19" i="81" s="1"/>
  <c r="P21" i="81" s="1"/>
  <c r="R21" i="81" s="1"/>
  <c r="T21" i="81" s="1"/>
  <c r="U21" i="81" s="1"/>
  <c r="N17" i="81"/>
  <c r="F36" i="70"/>
  <c r="H36" i="70"/>
  <c r="F36" i="89"/>
  <c r="H36" i="89"/>
  <c r="C14" i="67"/>
  <c r="G14" i="67"/>
  <c r="D37" i="62"/>
  <c r="D37" i="61"/>
  <c r="T37" i="60"/>
  <c r="H37" i="47"/>
  <c r="H38" i="36"/>
  <c r="D37" i="89"/>
  <c r="H37" i="36"/>
  <c r="D37" i="85"/>
  <c r="D37" i="86"/>
  <c r="D37" i="68"/>
  <c r="F37" i="36"/>
  <c r="D37" i="87"/>
  <c r="D37" i="70"/>
  <c r="D37" i="88"/>
  <c r="F36" i="87"/>
  <c r="H36" i="87"/>
  <c r="H36" i="62"/>
  <c r="F36" i="62"/>
  <c r="F36" i="68"/>
  <c r="H36" i="68"/>
  <c r="F17" i="36"/>
  <c r="D17" i="89"/>
  <c r="D17" i="88"/>
  <c r="H17" i="47"/>
  <c r="H72" i="47" s="1"/>
  <c r="H74" i="47" s="1"/>
  <c r="D17" i="70"/>
  <c r="D17" i="68"/>
  <c r="D17" i="85"/>
  <c r="D17" i="77"/>
  <c r="H17" i="36"/>
  <c r="I19" i="36" s="1"/>
  <c r="D17" i="87"/>
  <c r="D19" i="36"/>
  <c r="D17" i="62"/>
  <c r="D17" i="55"/>
  <c r="D17" i="86"/>
  <c r="D17" i="61"/>
  <c r="T17" i="60"/>
  <c r="F36" i="88"/>
  <c r="H36" i="88"/>
  <c r="F36" i="61"/>
  <c r="H36" i="61"/>
  <c r="F36" i="85"/>
  <c r="H36" i="85"/>
  <c r="H36" i="86"/>
  <c r="F36" i="86"/>
  <c r="I36" i="36"/>
  <c r="K36" i="36" s="1"/>
  <c r="I37" i="36"/>
  <c r="U24" i="82"/>
  <c r="U25" i="82" s="1"/>
  <c r="W25" i="82" s="1"/>
  <c r="Y25" i="82" s="1"/>
  <c r="U18" i="82"/>
  <c r="U19" i="82" s="1"/>
  <c r="U21" i="82" s="1"/>
  <c r="W21" i="82" s="1"/>
  <c r="Y21" i="82" s="1"/>
  <c r="S21" i="82"/>
  <c r="G8" i="83" s="1"/>
  <c r="S17" i="82"/>
  <c r="G7" i="83" s="1"/>
  <c r="I36" i="88" l="1"/>
  <c r="K36" i="88" s="1"/>
  <c r="I37" i="88"/>
  <c r="H17" i="87"/>
  <c r="I19" i="87" s="1"/>
  <c r="F17" i="87"/>
  <c r="H17" i="89"/>
  <c r="I19" i="89" s="1"/>
  <c r="F17" i="89"/>
  <c r="F37" i="88"/>
  <c r="H37" i="88"/>
  <c r="H38" i="88"/>
  <c r="F37" i="89"/>
  <c r="H38" i="89"/>
  <c r="H37" i="89"/>
  <c r="I36" i="89"/>
  <c r="K36" i="89" s="1"/>
  <c r="I37" i="89"/>
  <c r="F37" i="68"/>
  <c r="H38" i="68"/>
  <c r="H37" i="68"/>
  <c r="F17" i="55"/>
  <c r="H17" i="55"/>
  <c r="I19" i="55" s="1"/>
  <c r="O17" i="36"/>
  <c r="X36" i="82" s="1"/>
  <c r="F37" i="70"/>
  <c r="H38" i="70"/>
  <c r="H37" i="70"/>
  <c r="I36" i="85"/>
  <c r="K36" i="85" s="1"/>
  <c r="I37" i="85"/>
  <c r="F17" i="86"/>
  <c r="H17" i="86"/>
  <c r="I19" i="86" s="1"/>
  <c r="I36" i="62"/>
  <c r="K36" i="62" s="1"/>
  <c r="I37" i="62"/>
  <c r="F17" i="77"/>
  <c r="H17" i="77"/>
  <c r="I19" i="77" s="1"/>
  <c r="H38" i="87"/>
  <c r="F37" i="87"/>
  <c r="H37" i="87"/>
  <c r="I36" i="70"/>
  <c r="K36" i="70" s="1"/>
  <c r="I37" i="70"/>
  <c r="F17" i="68"/>
  <c r="H17" i="68"/>
  <c r="I19" i="68" s="1"/>
  <c r="F17" i="70"/>
  <c r="H17" i="70"/>
  <c r="I19" i="70" s="1"/>
  <c r="I36" i="68"/>
  <c r="K36" i="68" s="1"/>
  <c r="I37" i="68"/>
  <c r="I36" i="86"/>
  <c r="K36" i="86" s="1"/>
  <c r="I37" i="86"/>
  <c r="H17" i="61"/>
  <c r="I19" i="61" s="1"/>
  <c r="F17" i="61"/>
  <c r="F17" i="85"/>
  <c r="H17" i="85"/>
  <c r="I19" i="85" s="1"/>
  <c r="H37" i="61"/>
  <c r="F37" i="61"/>
  <c r="H38" i="61"/>
  <c r="F37" i="86"/>
  <c r="H38" i="86"/>
  <c r="H37" i="86"/>
  <c r="H38" i="62"/>
  <c r="H37" i="62"/>
  <c r="F37" i="62"/>
  <c r="I36" i="61"/>
  <c r="K36" i="61" s="1"/>
  <c r="I37" i="61"/>
  <c r="H17" i="62"/>
  <c r="I19" i="62" s="1"/>
  <c r="F17" i="62"/>
  <c r="I36" i="87"/>
  <c r="K36" i="87" s="1"/>
  <c r="I37" i="87"/>
  <c r="H38" i="85"/>
  <c r="H37" i="85"/>
  <c r="F37" i="85"/>
  <c r="C15" i="67"/>
  <c r="G15" i="67"/>
  <c r="D22" i="36"/>
  <c r="D19" i="77"/>
  <c r="F19" i="77" s="1"/>
  <c r="H19" i="77" s="1"/>
  <c r="D19" i="68"/>
  <c r="F19" i="68" s="1"/>
  <c r="H19" i="68" s="1"/>
  <c r="T19" i="60"/>
  <c r="D19" i="89"/>
  <c r="F19" i="89" s="1"/>
  <c r="H19" i="89" s="1"/>
  <c r="D19" i="87"/>
  <c r="F19" i="87" s="1"/>
  <c r="H19" i="87" s="1"/>
  <c r="D19" i="62"/>
  <c r="F19" i="62" s="1"/>
  <c r="H19" i="62" s="1"/>
  <c r="D19" i="85"/>
  <c r="F19" i="85" s="1"/>
  <c r="H19" i="85" s="1"/>
  <c r="D19" i="61"/>
  <c r="F19" i="61" s="1"/>
  <c r="H19" i="61" s="1"/>
  <c r="H19" i="47"/>
  <c r="F19" i="36"/>
  <c r="H19" i="36" s="1"/>
  <c r="D19" i="70"/>
  <c r="F19" i="70" s="1"/>
  <c r="H19" i="70" s="1"/>
  <c r="D19" i="86"/>
  <c r="F19" i="86" s="1"/>
  <c r="H19" i="86" s="1"/>
  <c r="D19" i="88"/>
  <c r="F19" i="88" s="1"/>
  <c r="H19" i="88" s="1"/>
  <c r="D19" i="55"/>
  <c r="F19" i="55" s="1"/>
  <c r="H19" i="55" s="1"/>
  <c r="H17" i="88"/>
  <c r="I19" i="88" s="1"/>
  <c r="F17" i="88"/>
  <c r="K37" i="36"/>
  <c r="K37" i="88" l="1"/>
  <c r="K37" i="62"/>
  <c r="K37" i="85"/>
  <c r="K37" i="89"/>
  <c r="O17" i="87"/>
  <c r="O17" i="85"/>
  <c r="O17" i="70"/>
  <c r="O17" i="77"/>
  <c r="K37" i="87"/>
  <c r="K19" i="61"/>
  <c r="I22" i="61"/>
  <c r="I22" i="62"/>
  <c r="K19" i="62"/>
  <c r="I22" i="86"/>
  <c r="K19" i="86"/>
  <c r="I22" i="70"/>
  <c r="K19" i="70"/>
  <c r="I22" i="36"/>
  <c r="K19" i="36"/>
  <c r="I22" i="68"/>
  <c r="K19" i="68"/>
  <c r="K37" i="70"/>
  <c r="D22" i="87"/>
  <c r="F22" i="87" s="1"/>
  <c r="H22" i="87" s="1"/>
  <c r="D22" i="86"/>
  <c r="F22" i="86" s="1"/>
  <c r="H22" i="86" s="1"/>
  <c r="D22" i="77"/>
  <c r="F22" i="77" s="1"/>
  <c r="H22" i="77" s="1"/>
  <c r="D22" i="62"/>
  <c r="F22" i="62" s="1"/>
  <c r="H22" i="62" s="1"/>
  <c r="T22" i="60"/>
  <c r="D25" i="36"/>
  <c r="F22" i="36"/>
  <c r="H22" i="36" s="1"/>
  <c r="D22" i="89"/>
  <c r="F22" i="89" s="1"/>
  <c r="H22" i="89" s="1"/>
  <c r="D22" i="85"/>
  <c r="F22" i="85" s="1"/>
  <c r="H22" i="85" s="1"/>
  <c r="D22" i="55"/>
  <c r="F22" i="55" s="1"/>
  <c r="H22" i="55" s="1"/>
  <c r="H22" i="47"/>
  <c r="D22" i="70"/>
  <c r="F22" i="70" s="1"/>
  <c r="H22" i="70" s="1"/>
  <c r="D22" i="61"/>
  <c r="F22" i="61" s="1"/>
  <c r="H22" i="61" s="1"/>
  <c r="D22" i="68"/>
  <c r="F22" i="68" s="1"/>
  <c r="H22" i="68" s="1"/>
  <c r="D22" i="88"/>
  <c r="F22" i="88" s="1"/>
  <c r="H22" i="88" s="1"/>
  <c r="K19" i="85"/>
  <c r="I22" i="85"/>
  <c r="G16" i="67"/>
  <c r="C16" i="67"/>
  <c r="I22" i="77"/>
  <c r="K19" i="77"/>
  <c r="K37" i="86"/>
  <c r="O17" i="61"/>
  <c r="O17" i="89"/>
  <c r="O17" i="88"/>
  <c r="O17" i="62"/>
  <c r="S60" i="82"/>
  <c r="S61" i="82"/>
  <c r="S58" i="82"/>
  <c r="S54" i="82"/>
  <c r="S59" i="82"/>
  <c r="S56" i="82"/>
  <c r="G12" i="83" s="1"/>
  <c r="S62" i="82"/>
  <c r="S64" i="82"/>
  <c r="G13" i="83" s="1"/>
  <c r="S57" i="82"/>
  <c r="S55" i="82"/>
  <c r="G11" i="83" s="1"/>
  <c r="K19" i="55"/>
  <c r="I22" i="55"/>
  <c r="K19" i="88"/>
  <c r="I22" i="88"/>
  <c r="I22" i="87"/>
  <c r="K19" i="87"/>
  <c r="O17" i="86"/>
  <c r="K19" i="89"/>
  <c r="I22" i="89"/>
  <c r="K37" i="61"/>
  <c r="K37" i="68"/>
  <c r="K22" i="77" l="1"/>
  <c r="I25" i="77"/>
  <c r="K22" i="86"/>
  <c r="I25" i="86"/>
  <c r="K22" i="85"/>
  <c r="I25" i="85"/>
  <c r="K22" i="87"/>
  <c r="I25" i="87"/>
  <c r="C17" i="67"/>
  <c r="G17" i="67"/>
  <c r="I25" i="88"/>
  <c r="K22" i="88"/>
  <c r="K22" i="36"/>
  <c r="I25" i="36"/>
  <c r="I25" i="55"/>
  <c r="K22" i="55"/>
  <c r="K22" i="68"/>
  <c r="I25" i="68"/>
  <c r="D25" i="70"/>
  <c r="D25" i="77"/>
  <c r="D25" i="88"/>
  <c r="D25" i="87"/>
  <c r="D25" i="89"/>
  <c r="D25" i="86"/>
  <c r="D25" i="68"/>
  <c r="S74" i="82"/>
  <c r="T25" i="60"/>
  <c r="F25" i="36"/>
  <c r="D25" i="55"/>
  <c r="N70" i="81"/>
  <c r="N66" i="81" s="1"/>
  <c r="N64" i="81" s="1"/>
  <c r="D25" i="61"/>
  <c r="H25" i="36"/>
  <c r="H25" i="47"/>
  <c r="H66" i="47" s="1"/>
  <c r="D25" i="62"/>
  <c r="D25" i="85"/>
  <c r="I25" i="61"/>
  <c r="K22" i="61"/>
  <c r="K22" i="89"/>
  <c r="I25" i="89"/>
  <c r="K22" i="70"/>
  <c r="I25" i="70"/>
  <c r="K22" i="62"/>
  <c r="I25" i="62"/>
  <c r="K25" i="36" l="1"/>
  <c r="H25" i="61"/>
  <c r="K25" i="61" s="1"/>
  <c r="F25" i="61"/>
  <c r="F25" i="89"/>
  <c r="H25" i="89"/>
  <c r="K25" i="89" s="1"/>
  <c r="F25" i="77"/>
  <c r="H25" i="77"/>
  <c r="K25" i="77" s="1"/>
  <c r="H25" i="88"/>
  <c r="K25" i="88" s="1"/>
  <c r="F25" i="88"/>
  <c r="F25" i="70"/>
  <c r="H25" i="70"/>
  <c r="K25" i="70" s="1"/>
  <c r="F25" i="86"/>
  <c r="H25" i="86"/>
  <c r="K25" i="86" s="1"/>
  <c r="H25" i="55"/>
  <c r="K25" i="55" s="1"/>
  <c r="F25" i="55"/>
  <c r="G16" i="83"/>
  <c r="G18" i="83" s="1"/>
  <c r="G14" i="83" s="1"/>
  <c r="S70" i="82"/>
  <c r="S68" i="82" s="1"/>
  <c r="G18" i="67"/>
  <c r="C18" i="67"/>
  <c r="F25" i="87"/>
  <c r="H25" i="87"/>
  <c r="K25" i="87" s="1"/>
  <c r="F25" i="85"/>
  <c r="H25" i="85"/>
  <c r="K25" i="85" s="1"/>
  <c r="H25" i="62"/>
  <c r="K25" i="62" s="1"/>
  <c r="F25" i="62"/>
  <c r="F25" i="68"/>
  <c r="H25" i="68"/>
  <c r="K25" i="68" s="1"/>
  <c r="G19" i="67" l="1"/>
  <c r="C19" i="67"/>
  <c r="G20" i="67" l="1"/>
  <c r="C20" i="67"/>
  <c r="C21" i="67" l="1"/>
  <c r="G21" i="67"/>
  <c r="C22" i="67" l="1"/>
  <c r="G22" i="67"/>
  <c r="C31" i="67" s="1"/>
  <c r="A31" i="67" s="1"/>
</calcChain>
</file>

<file path=xl/comments1.xml><?xml version="1.0" encoding="utf-8"?>
<comments xmlns="http://schemas.openxmlformats.org/spreadsheetml/2006/main">
  <authors>
    <author>Hoyos, Nichole</author>
  </authors>
  <commentList>
    <comment ref="AG1" authorId="0" shapeId="0">
      <text>
        <r>
          <rPr>
            <b/>
            <sz val="9"/>
            <color indexed="81"/>
            <rFont val="Tahoma"/>
            <family val="2"/>
          </rPr>
          <t>Hoyos, Nichole: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9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1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2.xml><?xml version="1.0" encoding="utf-8"?>
<comments xmlns="http://schemas.openxmlformats.org/spreadsheetml/2006/main">
  <authors>
    <author>Nancy Grove X31766</author>
  </authors>
  <commentList>
    <comment ref="A47" authorId="0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0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3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4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5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6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7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8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19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2.xml><?xml version="1.0" encoding="utf-8"?>
<comments xmlns="http://schemas.openxmlformats.org/spreadsheetml/2006/main">
  <authors>
    <author>Ascroft, Sean M.</author>
    <author>Valdes, Amnerys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2,947 taken out of the 5,032 (account 114000)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6,637 amort a month out of the 12,429 a month (account 115000) </t>
        </r>
      </text>
    </comment>
    <comment ref="B125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6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29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0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1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2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3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4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5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6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  <comment ref="B137" authorId="1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Copy formula down</t>
        </r>
      </text>
    </comment>
  </commentList>
</comments>
</file>

<file path=xl/comments20.xml><?xml version="1.0" encoding="utf-8"?>
<comments xmlns="http://schemas.openxmlformats.org/spreadsheetml/2006/main">
  <authors>
    <author>Anthony Trask x34282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</commentList>
</comments>
</file>

<file path=xl/comments21.xml><?xml version="1.0" encoding="utf-8"?>
<comments xmlns="http://schemas.openxmlformats.org/spreadsheetml/2006/main">
  <authors>
    <author>Anthony Trask x34282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</commentList>
</comments>
</file>

<file path=xl/comments22.xml><?xml version="1.0" encoding="utf-8"?>
<comments xmlns="http://schemas.openxmlformats.org/spreadsheetml/2006/main">
  <authors>
    <author>Anthony Trask x34282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1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1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23.xml><?xml version="1.0" encoding="utf-8"?>
<comments xmlns="http://schemas.openxmlformats.org/spreadsheetml/2006/main">
  <authors>
    <author>Nancy Grove X31766</author>
  </authors>
  <commentList>
    <comment ref="A47" authorId="0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0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comments3.xml><?xml version="1.0" encoding="utf-8"?>
<comments xmlns="http://schemas.openxmlformats.org/spreadsheetml/2006/main">
  <authors>
    <author>tc={07356C62-FDED-4CD5-ABF3-A072C0795739}</author>
  </authors>
  <commentList>
    <comment ref="A109" authorId="0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Taking out all lease accounts (1040001, 1080901, 1720101, 1720201, 1720202, 2530360) They all zero out in the end.</t>
        </r>
      </text>
    </comment>
  </commentList>
</comments>
</file>

<file path=xl/comments4.xml><?xml version="1.0" encoding="utf-8"?>
<comments xmlns="http://schemas.openxmlformats.org/spreadsheetml/2006/main">
  <authors>
    <author>Paul Higgins</author>
    <author>A satisfied Microsoft Office User</author>
    <author>Coe, Connie P.</author>
  </authors>
  <commentList>
    <comment ref="F114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 (2002), item no. S; Acc 930.05 x 5% disallowance per FAC 25-7.042
</t>
        </r>
        <r>
          <rPr>
            <b/>
            <sz val="8"/>
            <color indexed="10"/>
            <rFont val="Tahoma"/>
            <family val="2"/>
          </rPr>
          <t>Amnerys Valdes:</t>
        </r>
        <r>
          <rPr>
            <sz val="8"/>
            <color indexed="10"/>
            <rFont val="Tahoma"/>
            <family val="2"/>
          </rPr>
          <t xml:space="preserve">
UPDATED FOR DEC 2013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Based on Rate Case Order (item no. V.R); 
Amount comes from Maria Quiñones  Acc 926.01 Analysis report
</t>
        </r>
        <r>
          <rPr>
            <sz val="8"/>
            <color indexed="10"/>
            <rFont val="Tahoma"/>
            <family val="2"/>
          </rPr>
          <t xml:space="preserve">
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Order, item no. V.K; updated for Actuals  (acct 932 x 13.28%). Sue used 13.28% in 2009 &amp; 2010. 
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Per Rate Order, item no. V.K; updated for actuals (acct 886)</t>
        </r>
      </text>
    </comment>
    <comment ref="H119" authorId="1" shapeId="0">
      <text>
        <r>
          <rPr>
            <sz val="8"/>
            <color indexed="81"/>
            <rFont val="Tahoma"/>
            <family val="2"/>
          </rPr>
          <t xml:space="preserve"> this is related to the WFNG non-regulated asset adjustment and needs to stay in</t>
        </r>
      </text>
    </comment>
    <comment ref="B121" authorId="2" shapeId="0">
      <text>
        <r>
          <rPr>
            <b/>
            <sz val="8"/>
            <color indexed="81"/>
            <rFont val="Tahoma"/>
            <family val="2"/>
          </rPr>
          <t>Coe, Connie P.:</t>
        </r>
        <r>
          <rPr>
            <sz val="8"/>
            <color indexed="81"/>
            <rFont val="Tahoma"/>
            <family val="2"/>
          </rPr>
          <t xml:space="preserve">
Revenue for PHFFU
Lease payment usually received Annually in May
</t>
        </r>
        <r>
          <rPr>
            <sz val="8"/>
            <color indexed="10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Valdes, Amnerys</author>
    <author>Sue Richards</author>
    <author>Coe, Connie</author>
    <author>Amnerys Valdes</author>
  </authors>
  <commentList>
    <comment ref="J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A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OCI related to Int Rate Swaps</t>
        </r>
      </text>
    </comment>
    <comment ref="D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This is zeroed out until the Hedge settles - then zero out "G40"</t>
        </r>
      </text>
    </comment>
    <comment ref="G40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Sue Richards:
This is zeroed out until the Hedge settles - then zero out "G40"
On the Report Tab - would need to zero out Unsettled too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taxes related to OCI</t>
        </r>
      </text>
    </comment>
    <comment ref="N46" authorId="2" shapeId="0">
      <text>
        <r>
          <rPr>
            <b/>
            <sz val="9"/>
            <color indexed="81"/>
            <rFont val="Tahoma"/>
            <family val="2"/>
          </rPr>
          <t>Coe, Connie:</t>
        </r>
        <r>
          <rPr>
            <sz val="9"/>
            <color indexed="81"/>
            <rFont val="Tahoma"/>
            <family val="2"/>
          </rPr>
          <t xml:space="preserve">
fix plug on Extracts, line 108
</t>
        </r>
      </text>
    </comment>
    <comment ref="A137" authorId="3" shapeId="0">
      <text>
        <r>
          <rPr>
            <b/>
            <sz val="10"/>
            <color indexed="81"/>
            <rFont val="Tahoma"/>
            <family val="2"/>
          </rPr>
          <t>Amnerys Valdes:</t>
        </r>
        <r>
          <rPr>
            <sz val="10"/>
            <color indexed="81"/>
            <rFont val="Tahoma"/>
            <family val="2"/>
          </rPr>
          <t xml:space="preserve">
Acc 242.98</t>
        </r>
      </text>
    </comment>
  </commentList>
</comments>
</file>

<file path=xl/comments6.xml><?xml version="1.0" encoding="utf-8"?>
<comments xmlns="http://schemas.openxmlformats.org/spreadsheetml/2006/main">
  <authors>
    <author>Paul Higgins</author>
    <author>A satisfied Microsoft Office User</author>
    <author>Coe, Connie P.</author>
  </authors>
  <commentList>
    <comment ref="F111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 (2002), item no. S; Acc 930.05 x 5% disallowance per FAC 25-7.042
</t>
        </r>
        <r>
          <rPr>
            <b/>
            <sz val="8"/>
            <color indexed="10"/>
            <rFont val="Tahoma"/>
            <family val="2"/>
          </rPr>
          <t>Amnerys Valdes:</t>
        </r>
        <r>
          <rPr>
            <sz val="8"/>
            <color indexed="10"/>
            <rFont val="Tahoma"/>
            <family val="2"/>
          </rPr>
          <t xml:space="preserve">
UPDATED FOR DEC 2013</t>
        </r>
      </text>
    </comment>
    <comment ref="F112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Based on Rate Case Order (item no. V.R); 
Amount comes from Maria Quiñones  Acc 926.01 Analysis report
</t>
        </r>
        <r>
          <rPr>
            <sz val="8"/>
            <color indexed="10"/>
            <rFont val="Tahoma"/>
            <family val="2"/>
          </rPr>
          <t xml:space="preserve">
</t>
        </r>
      </text>
    </comment>
    <comment ref="F114" authorId="0" shapeId="0">
      <text>
        <r>
          <rPr>
            <b/>
            <sz val="8"/>
            <color indexed="81"/>
            <rFont val="Tahoma"/>
            <family val="2"/>
          </rPr>
          <t>Amnerys Valdes:</t>
        </r>
        <r>
          <rPr>
            <sz val="8"/>
            <color indexed="81"/>
            <rFont val="Tahoma"/>
            <family val="2"/>
          </rPr>
          <t xml:space="preserve">
Per Rate Order, item no. V.K; updated for 2011 with 2011 Actuals  (acct 932 x 13.28%).  Sue used 13.28% in 2009 &amp; 2010. 
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Per Rate Order, item no. V.K; updated for 2010 with 2010 actuals (acct 886) updated 01/05/11</t>
        </r>
      </text>
    </comment>
    <comment ref="H116" authorId="1" shapeId="0">
      <text>
        <r>
          <rPr>
            <sz val="8"/>
            <color indexed="81"/>
            <rFont val="Tahoma"/>
            <family val="2"/>
          </rPr>
          <t xml:space="preserve"> this is related to the WFNG non-regulated asset adjustment and needs to stay in</t>
        </r>
      </text>
    </comment>
    <comment ref="B118" authorId="2" shapeId="0">
      <text>
        <r>
          <rPr>
            <b/>
            <sz val="8"/>
            <color indexed="81"/>
            <rFont val="Tahoma"/>
            <family val="2"/>
          </rPr>
          <t>Coe, Connie P.:</t>
        </r>
        <r>
          <rPr>
            <sz val="8"/>
            <color indexed="81"/>
            <rFont val="Tahoma"/>
            <family val="2"/>
          </rPr>
          <t xml:space="preserve">
Revenue for PHFFU
Lease payment received Annually in May
</t>
        </r>
        <r>
          <rPr>
            <sz val="8"/>
            <color indexed="10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Valdes, Amnerys</author>
    <author>Sue Richards</author>
    <author>Coe, Connie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No need to make reclass going forward per Jeff.
01/20/15</t>
        </r>
      </text>
    </comment>
    <comment ref="A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OCI related to Int Rate Swaps</t>
        </r>
      </text>
    </comment>
    <comment ref="D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This is zeroed out until the Hedge settles - then zero out "G40"</t>
        </r>
      </text>
    </comment>
    <comment ref="G39" authorId="1" shapeId="0">
      <text>
        <r>
          <rPr>
            <b/>
            <sz val="8"/>
            <color indexed="81"/>
            <rFont val="Tahoma"/>
            <family val="2"/>
          </rPr>
          <t>Sue Richards:</t>
        </r>
        <r>
          <rPr>
            <sz val="8"/>
            <color indexed="81"/>
            <rFont val="Tahoma"/>
            <family val="2"/>
          </rPr>
          <t xml:space="preserve">
Sue Richards:
This is zeroed out until the Hedge settles - then zero out "G40"
On the Report Tab - would need to zero out Unsettled too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Valdes, Amnerys:</t>
        </r>
        <r>
          <rPr>
            <sz val="9"/>
            <color indexed="81"/>
            <rFont val="Tahoma"/>
            <family val="2"/>
          </rPr>
          <t xml:space="preserve">
taxes related to OCI</t>
        </r>
      </text>
    </comment>
    <comment ref="N45" authorId="2" shapeId="0">
      <text>
        <r>
          <rPr>
            <b/>
            <sz val="9"/>
            <color indexed="81"/>
            <rFont val="Tahoma"/>
            <family val="2"/>
          </rPr>
          <t>Coe, Connie:</t>
        </r>
        <r>
          <rPr>
            <sz val="9"/>
            <color indexed="81"/>
            <rFont val="Tahoma"/>
            <family val="2"/>
          </rPr>
          <t xml:space="preserve">
fix plug on Extracts, line 108
</t>
        </r>
      </text>
    </comment>
  </commentList>
</comments>
</file>

<file path=xl/comments8.xml><?xml version="1.0" encoding="utf-8"?>
<comments xmlns="http://schemas.openxmlformats.org/spreadsheetml/2006/main">
  <authors>
    <author>Sue Richards</author>
  </authors>
  <commentList>
    <comment ref="D4" authorId="0" shapeId="0">
      <text>
        <r>
          <rPr>
            <sz val="8"/>
            <color indexed="81"/>
            <rFont val="Tahoma"/>
            <family val="2"/>
          </rPr>
          <t>Summary MSEA Calc Return
--Sue Richards will provide quarterly</t>
        </r>
      </text>
    </comment>
  </commentList>
</comments>
</file>

<file path=xl/comments9.xml><?xml version="1.0" encoding="utf-8"?>
<comments xmlns="http://schemas.openxmlformats.org/spreadsheetml/2006/main">
  <authors>
    <author>Anthony Trask x34282</author>
    <author>Ascroft, Sean M.</author>
    <author>Nancy Grove X31766</author>
  </authors>
  <commentList>
    <comment ref="H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1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H19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2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eliminate variance</t>
        </r>
      </text>
    </comment>
    <comment ref="H23" authorId="0" shapeId="0">
      <text>
        <r>
          <rPr>
            <b/>
            <sz val="12"/>
            <color indexed="81"/>
            <rFont val="Tahoma"/>
            <family val="2"/>
          </rPr>
          <t xml:space="preserve">Anthony Trask x34282:
</t>
        </r>
        <r>
          <rPr>
            <sz val="12"/>
            <color indexed="81"/>
            <rFont val="Tahoma"/>
            <family val="2"/>
          </rPr>
          <t>Plug to come back to the ROE difference.</t>
        </r>
      </text>
    </comment>
    <comment ref="H25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Ascroft, Sean M.:</t>
        </r>
        <r>
          <rPr>
            <sz val="9"/>
            <color indexed="81"/>
            <rFont val="Tahoma"/>
            <family val="2"/>
          </rPr>
          <t xml:space="preserve">
Land sale 2.14M</t>
        </r>
      </text>
    </comment>
    <comment ref="H37" authorId="0" shapeId="0">
      <text>
        <r>
          <rPr>
            <b/>
            <sz val="12"/>
            <color indexed="81"/>
            <rFont val="Tahoma"/>
            <family val="2"/>
          </rPr>
          <t>Anthony Trask x34282: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b/>
            <u/>
            <sz val="12"/>
            <color indexed="81"/>
            <rFont val="Tahoma"/>
            <family val="2"/>
          </rPr>
          <t>Do not</t>
        </r>
        <r>
          <rPr>
            <sz val="12"/>
            <color indexed="81"/>
            <rFont val="Tahoma"/>
            <family val="2"/>
          </rPr>
          <t xml:space="preserve"> plug here</t>
        </r>
      </text>
    </comment>
    <comment ref="A47" authorId="2" shapeId="0">
      <text>
        <r>
          <rPr>
            <sz val="8"/>
            <color indexed="81"/>
            <rFont val="Tahoma"/>
            <family val="2"/>
          </rPr>
          <t xml:space="preserve">=difference between reg base system and reg base retail of NOI (column 11)
</t>
        </r>
      </text>
    </comment>
    <comment ref="A57" authorId="2" shapeId="0">
      <text>
        <r>
          <rPr>
            <sz val="8"/>
            <color indexed="81"/>
            <rFont val="Tahoma"/>
            <family val="2"/>
          </rPr>
          <t xml:space="preserve">=Industry Association Dues=Solaris and Waterfall=Stockholder Relations=Civic Club Meals=Franchise Fee Rev and Exp=Gross Rec Tax=Opt Prov Rev and 3rd party purch=Economic Dev=OUC Acq Amort=Other Adj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<sst xmlns="http://schemas.openxmlformats.org/spreadsheetml/2006/main" count="3587" uniqueCount="1255">
  <si>
    <t>Project Sparrow Interface</t>
  </si>
  <si>
    <t>Tolerance:</t>
  </si>
  <si>
    <t>Actual</t>
  </si>
  <si>
    <t>Budget</t>
  </si>
  <si>
    <t>Forecast</t>
  </si>
  <si>
    <t>Timeline Flags and Helpers</t>
  </si>
  <si>
    <t>Year index</t>
  </si>
  <si>
    <t>Timeline index</t>
  </si>
  <si>
    <t>Relative Period</t>
  </si>
  <si>
    <t>Period index</t>
  </si>
  <si>
    <t>Actual Period Flag</t>
  </si>
  <si>
    <t>Flag</t>
  </si>
  <si>
    <t>Budget Period Flag</t>
  </si>
  <si>
    <t>Forecast Period Flag</t>
  </si>
  <si>
    <t>Actual or  Budget Period Flag</t>
  </si>
  <si>
    <t>x</t>
  </si>
  <si>
    <t>SURVEY REPORT</t>
  </si>
  <si>
    <t>Inputs for "SurvReport" Tab, Actuals</t>
  </si>
  <si>
    <t>Updated By:</t>
  </si>
  <si>
    <t>Last Updated:</t>
  </si>
  <si>
    <t>File Name:</t>
  </si>
  <si>
    <t>RATE BASE 13-MONTH AVERAGE</t>
  </si>
  <si>
    <t>BALANCE SHEET</t>
  </si>
  <si>
    <t>Inputs for "SurvReport" Tab, Actuals, Rows 9 - 91</t>
  </si>
  <si>
    <t>Plant In Service</t>
  </si>
  <si>
    <t>System Per Books</t>
  </si>
  <si>
    <t>$000s</t>
  </si>
  <si>
    <t xml:space="preserve"> Non-Utility Allocation</t>
  </si>
  <si>
    <t xml:space="preserve"> Cast Iron/Bare Steel Rider (CIBSR)</t>
  </si>
  <si>
    <t>Plant In Service - FPSC Adjusted</t>
  </si>
  <si>
    <t>Plant Acquisition Adjustment</t>
  </si>
  <si>
    <t xml:space="preserve"> Remove Acquis. Adjustment (WFNG)</t>
  </si>
  <si>
    <t>Plant Acquisition Adjustment - FPSC Adjusted</t>
  </si>
  <si>
    <t>Depreciation &amp; Amortization</t>
  </si>
  <si>
    <t>Depreciation - FPSC Adjusted</t>
  </si>
  <si>
    <t>Customer Advances For Construction</t>
  </si>
  <si>
    <t>Customer Advances for Construction - FPSC Adjusted</t>
  </si>
  <si>
    <t>Property Held for Future Use</t>
  </si>
  <si>
    <t xml:space="preserve"> Property for Future Use</t>
  </si>
  <si>
    <t>PHFFU - FPSC Adjusted</t>
  </si>
  <si>
    <t>CWIP Per Books</t>
  </si>
  <si>
    <t>AFUDC</t>
  </si>
  <si>
    <t>Remove Non-Utility Martin Cty expansion</t>
  </si>
  <si>
    <t>Item removed, left line to tie to actuals</t>
  </si>
  <si>
    <t>&gt;&gt;</t>
  </si>
  <si>
    <t>CWIP - FPSC Adjusted</t>
  </si>
  <si>
    <t xml:space="preserve">Working Capital </t>
  </si>
  <si>
    <t xml:space="preserve"> Temporary Cash Investment</t>
  </si>
  <si>
    <t xml:space="preserve"> Accounts Rec./Pay. - Assoc Companies</t>
  </si>
  <si>
    <t xml:space="preserve"> Other Accounts Receivable</t>
  </si>
  <si>
    <t xml:space="preserve"> Remove Unamort. Debt Expense</t>
  </si>
  <si>
    <t xml:space="preserve"> Remove Unrecovered Gas Cost PGA</t>
  </si>
  <si>
    <t xml:space="preserve"> Remove Dividends Declared</t>
  </si>
  <si>
    <t xml:space="preserve"> Remove Unrec. Conservation Costs</t>
  </si>
  <si>
    <t xml:space="preserve"> Remove Unrec. CIBSR Costs</t>
  </si>
  <si>
    <t xml:space="preserve"> Remove Competitve Rate Adjustment</t>
  </si>
  <si>
    <t xml:space="preserve"> Remove Unamortized Rate Case Expense</t>
  </si>
  <si>
    <t xml:space="preserve"> Remove Investment in Subsidiaries</t>
  </si>
  <si>
    <t>Working Capital - FPSC Adjusted</t>
  </si>
  <si>
    <t>INCOME STATEMENT</t>
  </si>
  <si>
    <t>Inputs for "SurvReport" Tab, Actuals, Rows 112 - 225</t>
  </si>
  <si>
    <t>Revenues</t>
  </si>
  <si>
    <t>Remove Conservation Charges</t>
  </si>
  <si>
    <t>Remove Fuel Revenues</t>
  </si>
  <si>
    <t>Franchise/Gross Receipts Taxes</t>
  </si>
  <si>
    <t>Lease of PHFFU</t>
  </si>
  <si>
    <t>Cast Iron/Bare Steel Rider (CIBSR)</t>
  </si>
  <si>
    <t>Cast Iron/Bare Steel Rider (CIBSR) - ROI</t>
  </si>
  <si>
    <t>Revenues - FPSC Adjusted</t>
  </si>
  <si>
    <t>O&amp;M Gas Expense</t>
  </si>
  <si>
    <t>O&amp;M Gas Expense FPSC Adjusted</t>
  </si>
  <si>
    <t>O&amp;M Other</t>
  </si>
  <si>
    <t>Economic Development Adjustment</t>
  </si>
  <si>
    <t>Employee Activities</t>
  </si>
  <si>
    <t>Intercompany Adjustment</t>
  </si>
  <si>
    <t>Maintenance of General Plant</t>
  </si>
  <si>
    <t>Maint. of Structures and Improvements</t>
  </si>
  <si>
    <t>Lobbying included in Dues (AGA, FNGA)</t>
  </si>
  <si>
    <t>Civic/Social Club Dues</t>
  </si>
  <si>
    <t>O&amp;M Other FPSC Adjusted</t>
  </si>
  <si>
    <t>Non-Utility Allocation</t>
  </si>
  <si>
    <t>Remove Acquisition Adj. Amortiz. (WFNG)</t>
  </si>
  <si>
    <t>Depreciation &amp; Amortization FPSC Adjusted</t>
  </si>
  <si>
    <t>Taxes Other Than Income (TOTI)</t>
  </si>
  <si>
    <t>Taxes Other Than Income FPSC Adjusted</t>
  </si>
  <si>
    <t>Income Taxes (current and deferred)</t>
  </si>
  <si>
    <t>Interest Synchronization</t>
  </si>
  <si>
    <t>Parent Debt Adjustment</t>
  </si>
  <si>
    <t>Gain on Sale of Property</t>
  </si>
  <si>
    <t>Remove  ITC Amortization</t>
  </si>
  <si>
    <t>Income Taxes FPSC Adjusted</t>
  </si>
  <si>
    <t>Gain on Disposal</t>
  </si>
  <si>
    <t>Gain on Disposal FPSC Adjusted</t>
  </si>
  <si>
    <t>ADJUSTED CAPITAL STRUCTURE</t>
  </si>
  <si>
    <t>Inputs for "SurvReport" Tab, Actuals, Rows 306 - 340</t>
  </si>
  <si>
    <t>Capital Structure:</t>
  </si>
  <si>
    <t>Long Term Debt</t>
  </si>
  <si>
    <t>Short Term Debt</t>
  </si>
  <si>
    <t>Customer Deposits</t>
  </si>
  <si>
    <t>Common Equity</t>
  </si>
  <si>
    <t>Deferred Income Tax</t>
  </si>
  <si>
    <t>Tax Credits - Weighted Cost</t>
  </si>
  <si>
    <t xml:space="preserve">Total                            </t>
  </si>
  <si>
    <t>Adjusted Net Operating Income:</t>
  </si>
  <si>
    <t>Adjusted Rate Base - Average</t>
  </si>
  <si>
    <t>%</t>
  </si>
  <si>
    <t>FPSC Adjusted Average Earned Rate Of Return</t>
  </si>
  <si>
    <t>Less: Reconciled Average Retail Weighted Cost Rate</t>
  </si>
  <si>
    <t xml:space="preserve"> Long Term Debt - Average</t>
  </si>
  <si>
    <t xml:space="preserve"> Short Term Debt - Average</t>
  </si>
  <si>
    <t xml:space="preserve"> Customer Deposits - Average</t>
  </si>
  <si>
    <t xml:space="preserve"> Tax Credits-Weighted Cost (Midpoint) - Average</t>
  </si>
  <si>
    <t>Year End Capital Structure Balances</t>
  </si>
  <si>
    <t>Year End Surv Report Data for average calculations</t>
  </si>
  <si>
    <t>FPSC Adjusted Rate Base</t>
  </si>
  <si>
    <t>Tax Credits - Zero Cost</t>
  </si>
  <si>
    <t>Total Year-end Adjusted Capital (for Rate Base)</t>
  </si>
  <si>
    <t>Year end Rate Base Per books</t>
  </si>
  <si>
    <t>Total Year-end Capital Unadjusted (for Rate Base)</t>
  </si>
  <si>
    <t xml:space="preserve">Average Cost Rate for Surv Report </t>
  </si>
  <si>
    <t>COPY MACRO ABOVE ^^^</t>
  </si>
  <si>
    <t>Name:</t>
  </si>
  <si>
    <t>Forecasted Earnings Surveillance Report</t>
  </si>
  <si>
    <t>Purpose:</t>
  </si>
  <si>
    <t>To report forecasted financial information for the calendar year.</t>
  </si>
  <si>
    <t>Model Index:</t>
  </si>
  <si>
    <t>Drivers Tabs</t>
  </si>
  <si>
    <r>
      <t xml:space="preserve">Inputs or assumptions; either linking or hard coded inputs from external files that can be found in the </t>
    </r>
    <r>
      <rPr>
        <b/>
        <u/>
        <sz val="10"/>
        <rFont val="Arial"/>
        <family val="2"/>
      </rPr>
      <t>Support folder</t>
    </r>
    <r>
      <rPr>
        <sz val="10"/>
        <rFont val="Arial"/>
        <family val="2"/>
      </rPr>
      <t>.</t>
    </r>
  </si>
  <si>
    <t>Model Tabs</t>
  </si>
  <si>
    <t>Calculations/External linking for Financial Statements and other.</t>
  </si>
  <si>
    <t>Output Tabs</t>
  </si>
  <si>
    <t>Summary of Reports (Schedules 1-5-2, AFUDC Schedules) produced by the model.</t>
  </si>
  <si>
    <t>Comparison Report Tabs</t>
  </si>
  <si>
    <t>Reports to be compared to prior periods.</t>
  </si>
  <si>
    <t>Financial Model Color Formatting:</t>
  </si>
  <si>
    <t>Blue</t>
  </si>
  <si>
    <t>Inputs, or any hardcoded data, such as historical values, assumptions, and drivers.</t>
  </si>
  <si>
    <t>Black</t>
  </si>
  <si>
    <t>Calculations and references to the same sheet.</t>
  </si>
  <si>
    <t xml:space="preserve">Green </t>
  </si>
  <si>
    <t>Calculations and references to other sheets.</t>
  </si>
  <si>
    <t>Red</t>
  </si>
  <si>
    <t>References to separate files or external links.</t>
  </si>
  <si>
    <t>Light yellow indicates cell is being pulled into Report Tab.</t>
  </si>
  <si>
    <t>Calc Support Surv Rept 13mo Avg:</t>
  </si>
  <si>
    <t>Month:</t>
  </si>
  <si>
    <t>12-month rolling:</t>
  </si>
  <si>
    <t>Forecast:</t>
  </si>
  <si>
    <t>External Links - Balance Sheet and Income Statement</t>
  </si>
  <si>
    <t xml:space="preserve">Calculation </t>
  </si>
  <si>
    <t xml:space="preserve">Link directly to external </t>
  </si>
  <si>
    <t>13-month avg</t>
  </si>
  <si>
    <t>Year-end</t>
  </si>
  <si>
    <t>12 month total</t>
  </si>
  <si>
    <t>total</t>
  </si>
  <si>
    <t>Accum Compet Price Adj (1823070)</t>
  </si>
  <si>
    <t>ECCR Exp Monthly</t>
  </si>
  <si>
    <t>ECCR Deferred Exp Monthly (4073140) (4073141)</t>
  </si>
  <si>
    <t xml:space="preserve">Regulatory Assessment Fee Fuel </t>
  </si>
  <si>
    <t xml:space="preserve">Econom Develop (6790055) </t>
  </si>
  <si>
    <t>5% disallowance per FAC (25-7.042)</t>
  </si>
  <si>
    <t>TOTI-Franchise Fees (6900010)</t>
  </si>
  <si>
    <t>TOTI-Gross Receipts (6900030)</t>
  </si>
  <si>
    <t>Total Franchise Fees/Gross Receipts Exp</t>
  </si>
  <si>
    <t>OthRev-Franchise Fee (4950205)</t>
  </si>
  <si>
    <t>OthRev-Gross Receipt (4950206)</t>
  </si>
  <si>
    <t>Total Franchise Fees/Gross Receipts Rev</t>
  </si>
  <si>
    <t xml:space="preserve">Net Franchise/Gross Receipts </t>
  </si>
  <si>
    <t>12-month Net Franchise/Gross Receipts</t>
  </si>
  <si>
    <t>Other-OCI-INT RATE SWAP (219)</t>
  </si>
  <si>
    <t>Adjust OCI for Tax</t>
  </si>
  <si>
    <t>Accum Provision for Uncollectible - Misc Billing (1440020)</t>
  </si>
  <si>
    <t>External Inputs from Outside Source</t>
  </si>
  <si>
    <t>Update inputs for Actuals &amp; Lobbying for Forecast</t>
  </si>
  <si>
    <r>
      <t>SAP Reports</t>
    </r>
    <r>
      <rPr>
        <sz val="10"/>
        <rFont val="Arial"/>
        <family val="2"/>
      </rPr>
      <t>:</t>
    </r>
  </si>
  <si>
    <t>A&amp;G Gas Maint Gen Plt (Acct 932)</t>
  </si>
  <si>
    <t>Gas Dist Main Struct (ACCT 886)</t>
  </si>
  <si>
    <t>PHFFU CEMEX Annual Lease (ACCT 493)</t>
  </si>
  <si>
    <r>
      <t>ACCT 926-01 File</t>
    </r>
    <r>
      <rPr>
        <sz val="10"/>
        <rFont val="Arial"/>
        <family val="2"/>
      </rPr>
      <t>:</t>
    </r>
  </si>
  <si>
    <t>Wellness</t>
  </si>
  <si>
    <t xml:space="preserve">Education/Tuition Reimbursement </t>
  </si>
  <si>
    <t>Employee Awards</t>
  </si>
  <si>
    <t>Adjustment Total</t>
  </si>
  <si>
    <r>
      <t>Tax Model</t>
    </r>
    <r>
      <rPr>
        <sz val="10"/>
        <rFont val="Arial"/>
        <family val="2"/>
      </rPr>
      <t xml:space="preserve">: </t>
    </r>
  </si>
  <si>
    <t>Lobbying Exp in Industry Dues (D0086456) - Forecast Tax Workbook</t>
  </si>
  <si>
    <r>
      <t>BL021 Competitive Rate File</t>
    </r>
    <r>
      <rPr>
        <sz val="10"/>
        <rFont val="Arial"/>
        <family val="2"/>
      </rPr>
      <t xml:space="preserve">: </t>
    </r>
  </si>
  <si>
    <t>Flex Revenues Monthly</t>
  </si>
  <si>
    <t>CIBSR Over-Under Calculation File:</t>
  </si>
  <si>
    <t>Plant-in-Service</t>
  </si>
  <si>
    <t>Accumulated Depreciation</t>
  </si>
  <si>
    <t>CWIP</t>
  </si>
  <si>
    <t>Regulatory Assessment Fee (CIBSR)</t>
  </si>
  <si>
    <t>Deferred Revenues</t>
  </si>
  <si>
    <t>Deferred Expenses</t>
  </si>
  <si>
    <t>Return on Investment - monthly</t>
  </si>
  <si>
    <t>Depreciation - monthly</t>
  </si>
  <si>
    <t>Property taxes - monthly</t>
  </si>
  <si>
    <t>Checks</t>
  </si>
  <si>
    <t>Revenue adjustment</t>
  </si>
  <si>
    <t>check</t>
  </si>
  <si>
    <t>Accounts 4074071/4074072 CIBS Def Rev</t>
  </si>
  <si>
    <t>Accounts 4073071/4073072 CIBS Def Exp</t>
  </si>
  <si>
    <t>Account 4950271 CIBS Rev/CIBS Reg Stat</t>
  </si>
  <si>
    <t xml:space="preserve">Source: SOP </t>
  </si>
  <si>
    <t>13-Month</t>
  </si>
  <si>
    <t>NON-UTILITY</t>
  </si>
  <si>
    <t>13 MONTH AVG</t>
  </si>
  <si>
    <t>YEAR END</t>
  </si>
  <si>
    <t>Plant Balances for SR</t>
  </si>
  <si>
    <t>Calulation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</si>
  <si>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</si>
  <si>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</si>
  <si>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</si>
  <si>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</si>
  <si>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</si>
  <si>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</si>
  <si>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</si>
  <si>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</si>
  <si>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</si>
  <si>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</si>
  <si>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</si>
  <si>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</si>
  <si>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Average</t>
  </si>
  <si>
    <t>INTANGIBLE SOFTWARE</t>
  </si>
  <si>
    <t>LAND AND LAND RIGHTS</t>
  </si>
  <si>
    <t>STRUCTURES AND IMPROVEMENTS</t>
  </si>
  <si>
    <t>COMPUTER EQUIPMENT</t>
  </si>
  <si>
    <t>Accumulated Depreciation for SR</t>
  </si>
  <si>
    <t xml:space="preserve">12 MONTH </t>
  </si>
  <si>
    <t>Depreciation Expense for SR</t>
  </si>
  <si>
    <t>TOTAL</t>
  </si>
  <si>
    <t>AFUDC CWIP</t>
  </si>
  <si>
    <t>PEOPLES GAS SYSTEM</t>
  </si>
  <si>
    <t xml:space="preserve">ANALYSIS OF AFUDC BASIS </t>
  </si>
  <si>
    <t>13 MONTH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</si>
  <si>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</si>
  <si>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</si>
  <si>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</si>
  <si>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</si>
  <si>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</si>
  <si>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</si>
  <si>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</si>
  <si>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</si>
  <si>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</si>
  <si>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</si>
  <si>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</si>
  <si>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</si>
  <si>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AVERAGE</t>
  </si>
  <si>
    <t>EOP (107)</t>
  </si>
  <si>
    <t>CIBS RIDER CWIP</t>
  </si>
  <si>
    <t>FP Number</t>
  </si>
  <si>
    <t>ELIGIBLE FOR AFUDC</t>
  </si>
  <si>
    <t>NEW-13005</t>
  </si>
  <si>
    <t>Arcadia</t>
  </si>
  <si>
    <t>NEW-13004</t>
  </si>
  <si>
    <t>Sumertville Dade City</t>
  </si>
  <si>
    <t>NEW-13663</t>
  </si>
  <si>
    <t>LNG - Blue Marlin</t>
  </si>
  <si>
    <t>NEW-14683</t>
  </si>
  <si>
    <t>FGT to Big Bend</t>
  </si>
  <si>
    <t>NEW-13703</t>
  </si>
  <si>
    <t>RNG New River</t>
  </si>
  <si>
    <t>NEW-15435</t>
  </si>
  <si>
    <t>RNG Brightmark</t>
  </si>
  <si>
    <t>NEW-15453</t>
  </si>
  <si>
    <t>RNG Pipe Alliance</t>
  </si>
  <si>
    <t>NCP-12429</t>
  </si>
  <si>
    <t>Work Management System</t>
  </si>
  <si>
    <t>CRR-11778</t>
  </si>
  <si>
    <t>Main-Replace Ortega River Crossing</t>
  </si>
  <si>
    <t>PRE-08040</t>
  </si>
  <si>
    <t>Gate-Peters Road</t>
  </si>
  <si>
    <t>NEW-12959</t>
  </si>
  <si>
    <t>Southwest Lakeland Loop</t>
  </si>
  <si>
    <t>NEW-14967</t>
  </si>
  <si>
    <t>Main-Universal Orlando Project P304</t>
  </si>
  <si>
    <t>NEW-12524</t>
  </si>
  <si>
    <t>Rosen Laundry/Destination Pkwy</t>
  </si>
  <si>
    <t>NEW-15491</t>
  </si>
  <si>
    <t>Skysail Development</t>
  </si>
  <si>
    <t>NEW-15454</t>
  </si>
  <si>
    <t>Alliance RNG Equipment</t>
  </si>
  <si>
    <t>NEW-13943</t>
  </si>
  <si>
    <t>Greater Orlando Avaiation Authority</t>
  </si>
  <si>
    <t>CRR-12579</t>
  </si>
  <si>
    <t>Cedar Hills Replace - Phase B</t>
  </si>
  <si>
    <t>RNG Biogas Brightmark</t>
  </si>
  <si>
    <t>CRR-16136</t>
  </si>
  <si>
    <t>Main Replace-Tampa Downtown</t>
  </si>
  <si>
    <t>NCP-16037</t>
  </si>
  <si>
    <t>PGS Project Franklin Structure</t>
  </si>
  <si>
    <t>NCP-16038</t>
  </si>
  <si>
    <t>PGS Project Franklin Land</t>
  </si>
  <si>
    <t>NEW-12952</t>
  </si>
  <si>
    <t>Governor's Park Expansion</t>
  </si>
  <si>
    <t>NEW-12955</t>
  </si>
  <si>
    <t>South St Johns Residential Expansio</t>
  </si>
  <si>
    <t>NEW-13203</t>
  </si>
  <si>
    <t>Sugarmill Woods (FGT) to 301</t>
  </si>
  <si>
    <t>NEW-14964</t>
  </si>
  <si>
    <t>Main-Horizons West Village I</t>
  </si>
  <si>
    <t>NEW-14965</t>
  </si>
  <si>
    <t>Main-Lake Pickett North</t>
  </si>
  <si>
    <t>NEW-14968</t>
  </si>
  <si>
    <t>Main-Wellness Way Expansion</t>
  </si>
  <si>
    <t>NEW-15433</t>
  </si>
  <si>
    <t>NEW-15495</t>
  </si>
  <si>
    <t>Main-Poitras at Lake Nona</t>
  </si>
  <si>
    <t>PRE-08280</t>
  </si>
  <si>
    <t>Mayport/Southside Beaches</t>
  </si>
  <si>
    <t>PRE-09858</t>
  </si>
  <si>
    <t>Combee Rd &amp; East Gate S to Eaton</t>
  </si>
  <si>
    <t>PRE-10100</t>
  </si>
  <si>
    <t>Tampa City Distribution Trunk</t>
  </si>
  <si>
    <t>TOTAL ELIGIBLE FOR AFUDC</t>
  </si>
  <si>
    <t>CWIP included in Rate Base</t>
  </si>
  <si>
    <t>Variance</t>
  </si>
  <si>
    <t>2022 Tax Rate</t>
  </si>
  <si>
    <t>12 M AVG TAX RATE</t>
  </si>
  <si>
    <t xml:space="preserve">OLD </t>
  </si>
  <si>
    <t>12ME</t>
  </si>
  <si>
    <t xml:space="preserve">TAX </t>
  </si>
  <si>
    <t>FORECAST</t>
  </si>
  <si>
    <t>RATE</t>
  </si>
  <si>
    <t>TAX RATE</t>
  </si>
  <si>
    <t>TABS PULLING FROM</t>
  </si>
  <si>
    <t>CALCULATION OF WEST FLORIDA NON-REGULATORY ASSETS (WFNG)</t>
  </si>
  <si>
    <t>ACQ.</t>
  </si>
  <si>
    <t>13 MO.</t>
  </si>
  <si>
    <t>NON-REG</t>
  </si>
  <si>
    <t>ADJ</t>
  </si>
  <si>
    <t>AVG.</t>
  </si>
  <si>
    <t>ACC DEP</t>
  </si>
  <si>
    <t>($6,637.10 AMORT. PER MO.)</t>
  </si>
  <si>
    <t>Dec 2001</t>
  </si>
  <si>
    <t>Jan 2002</t>
  </si>
  <si>
    <t>Feb 2002</t>
  </si>
  <si>
    <t>Mar 2002</t>
  </si>
  <si>
    <t>Apr 2002</t>
  </si>
  <si>
    <t>May 2002</t>
  </si>
  <si>
    <t>Jun 2002</t>
  </si>
  <si>
    <t>Jul 2002</t>
  </si>
  <si>
    <t>Aug 2002</t>
  </si>
  <si>
    <t>Sep 2002</t>
  </si>
  <si>
    <t>Oct 2002</t>
  </si>
  <si>
    <t>Nov 2002</t>
  </si>
  <si>
    <t>Dec 2002</t>
  </si>
  <si>
    <t>Jan 2003</t>
  </si>
  <si>
    <t>Feb 2003</t>
  </si>
  <si>
    <t>Mar 2003</t>
  </si>
  <si>
    <t>Apr 2003</t>
  </si>
  <si>
    <t>May 2003</t>
  </si>
  <si>
    <t>Jun 2003</t>
  </si>
  <si>
    <t>Jul 2003</t>
  </si>
  <si>
    <t>Aug 2003</t>
  </si>
  <si>
    <t>Sep 2003</t>
  </si>
  <si>
    <t>Oct 2003</t>
  </si>
  <si>
    <t>Nov 2003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</si>
  <si>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</si>
  <si>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</si>
  <si>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</si>
  <si>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</si>
  <si>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</si>
  <si>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</si>
  <si>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</si>
  <si>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</si>
  <si>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</si>
  <si>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</si>
  <si>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</si>
  <si>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</si>
  <si>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</si>
  <si>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</si>
  <si>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</si>
  <si>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</si>
  <si>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</si>
  <si>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</si>
  <si>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</si>
  <si>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</si>
  <si>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</si>
  <si>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</si>
  <si>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</si>
  <si>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</si>
  <si>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</si>
  <si>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</si>
  <si>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</si>
  <si>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</si>
  <si>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</si>
  <si>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</si>
  <si>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</si>
  <si>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</si>
  <si>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</si>
  <si>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</si>
  <si>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</si>
  <si>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</si>
  <si>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</si>
  <si>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 xml:space="preserve">WFNG </t>
  </si>
  <si>
    <t>WFNG Left as of Mar 2021</t>
  </si>
  <si>
    <t>WFNG Left as of Dec 2020</t>
  </si>
  <si>
    <t>Balance at end</t>
  </si>
  <si>
    <t>12 Month Rolling Amort</t>
  </si>
  <si>
    <t>Peoples Gas System</t>
  </si>
  <si>
    <t>Income Statement</t>
  </si>
  <si>
    <t>Dollars in Thousands</t>
  </si>
  <si>
    <t>PULL FERC ACTUALS INTO IS</t>
  </si>
  <si>
    <t>Current</t>
  </si>
  <si>
    <t>12-Month</t>
  </si>
  <si>
    <t>Month</t>
  </si>
  <si>
    <t>Ended</t>
  </si>
  <si>
    <t>12 Months Ended</t>
  </si>
  <si>
    <t>Operating Revenue</t>
  </si>
  <si>
    <t>Cost of Gas</t>
  </si>
  <si>
    <t>Net Revenue</t>
  </si>
  <si>
    <t>Operations &amp; Maintenance Expense</t>
  </si>
  <si>
    <t>Depreciation Expense</t>
  </si>
  <si>
    <t>Amort. - Leasehold Improvements</t>
  </si>
  <si>
    <t>Amort. - Acq. Adjustments</t>
  </si>
  <si>
    <t>Amort. - Other</t>
  </si>
  <si>
    <t>Taxes Other than Income</t>
  </si>
  <si>
    <t>Income taxes ATL - Federal &amp; State</t>
  </si>
  <si>
    <t>Def. Taxes - Federal  &amp; State</t>
  </si>
  <si>
    <t>Investment Tax Credits</t>
  </si>
  <si>
    <t>Total Other Oper. Income Deductions</t>
  </si>
  <si>
    <t>Net Utility Operating Income</t>
  </si>
  <si>
    <t>Other Income &amp; Deductions</t>
  </si>
  <si>
    <t>Mdse &amp; Jobbing Income (Expense)</t>
  </si>
  <si>
    <t>Interest &amp; Dividend Income</t>
  </si>
  <si>
    <t>Misc. Non-operating Income</t>
  </si>
  <si>
    <t>Equity Earnings - Subsidiary</t>
  </si>
  <si>
    <t>Misc. Income Deductions</t>
  </si>
  <si>
    <t>Allowance for Other Funds</t>
  </si>
  <si>
    <t>Income taxes BTL - Federal &amp; State</t>
  </si>
  <si>
    <t>Total Other Income &amp; Deductions</t>
  </si>
  <si>
    <t>Interest Expense</t>
  </si>
  <si>
    <t>Interest - L. T. Debt</t>
  </si>
  <si>
    <t>Interest - S. T. Debt</t>
  </si>
  <si>
    <t>Int. - Amort. - Disc. &amp; Expense</t>
  </si>
  <si>
    <t>Interest - Intercompany</t>
  </si>
  <si>
    <t>Interest - Deposits &amp; Other</t>
  </si>
  <si>
    <t>Allowance for Borrowed Funds</t>
  </si>
  <si>
    <t>Total Interest Expense</t>
  </si>
  <si>
    <t>Net Income</t>
  </si>
  <si>
    <t>PGA CLAUSE</t>
  </si>
  <si>
    <t>FUEL_FLADD_RC</t>
  </si>
  <si>
    <t>PGA O&amp;M Expense</t>
  </si>
  <si>
    <t>Empl Exp - Social/Civic Dues</t>
  </si>
  <si>
    <t>A_6030020</t>
  </si>
  <si>
    <t>Donations - Charitable (501c)</t>
  </si>
  <si>
    <t>A_6790090</t>
  </si>
  <si>
    <t>Donations - Non deductible</t>
  </si>
  <si>
    <t>A_6790091</t>
  </si>
  <si>
    <t>Donations - Other</t>
  </si>
  <si>
    <t>A_6790092</t>
  </si>
  <si>
    <t>In-Kind Donations</t>
  </si>
  <si>
    <t>A_6790099</t>
  </si>
  <si>
    <t>Penalties</t>
  </si>
  <si>
    <t>A_6790200</t>
  </si>
  <si>
    <t>Political Contributions</t>
  </si>
  <si>
    <t>A_6790220</t>
  </si>
  <si>
    <t>Settled Political Contributions</t>
  </si>
  <si>
    <t>A_S6790220</t>
  </si>
  <si>
    <t>Remove from O&amp;M</t>
  </si>
  <si>
    <t>Balance Sheet</t>
  </si>
  <si>
    <t>PULL FERC ACTUALS INTO BS</t>
  </si>
  <si>
    <t>13 Month</t>
  </si>
  <si>
    <t>Averages</t>
  </si>
  <si>
    <t>Assets</t>
  </si>
  <si>
    <t>Utility Plant</t>
  </si>
  <si>
    <t>Gas Plant in Service</t>
  </si>
  <si>
    <t>Plant Held for Future Use</t>
  </si>
  <si>
    <t>Gas Plant Acquisition Adjustment</t>
  </si>
  <si>
    <t>Gross Utility Plant</t>
  </si>
  <si>
    <t>Accumulated Provision for Depr.</t>
  </si>
  <si>
    <t>Net Plant</t>
  </si>
  <si>
    <t>Other Investments</t>
  </si>
  <si>
    <t>Sinking Funds</t>
  </si>
  <si>
    <t>Non Utility Property</t>
  </si>
  <si>
    <t>Total Property &amp; Investments</t>
  </si>
  <si>
    <t>Current and Accrued Assets</t>
  </si>
  <si>
    <t>Cash</t>
  </si>
  <si>
    <t>Special Deposits</t>
  </si>
  <si>
    <t>Working Funds</t>
  </si>
  <si>
    <t>Temp. Cash Investments</t>
  </si>
  <si>
    <t>Notes Receivable</t>
  </si>
  <si>
    <t>Customer Accounts Receivable</t>
  </si>
  <si>
    <t>Other Accounts Receivable</t>
  </si>
  <si>
    <t>Accum. Provision Uncoll. Accounts</t>
  </si>
  <si>
    <t>Receivable Assoc. Companies</t>
  </si>
  <si>
    <t>Receivable Assoc. Co. Services</t>
  </si>
  <si>
    <t>Fuel Stock</t>
  </si>
  <si>
    <t>Plant &amp; Other Material and Supplies</t>
  </si>
  <si>
    <t>Stores Expense</t>
  </si>
  <si>
    <t>Prepayments  165</t>
  </si>
  <si>
    <t>Accounts Rec. - Unbilled Revenues 173</t>
  </si>
  <si>
    <t>Derivatives Assets 176****</t>
  </si>
  <si>
    <t>Total Current &amp; Accrued Assets</t>
  </si>
  <si>
    <t>Deferred Charges</t>
  </si>
  <si>
    <t>Unamortized DD&amp;E</t>
  </si>
  <si>
    <t>Deferred Tax Assets</t>
  </si>
  <si>
    <t>Clearing Accounts</t>
  </si>
  <si>
    <t>Other WIP &amp; (1720201/1720202)</t>
  </si>
  <si>
    <t>Conservation Cost True Up (1823040)</t>
  </si>
  <si>
    <t>CIBSR Cost True Up (1823071)</t>
  </si>
  <si>
    <t>Non-Utility WIP/Unbundling Transition</t>
  </si>
  <si>
    <t>Unamortized Rate Case</t>
  </si>
  <si>
    <t>Unrecovered Gas Costs 191****</t>
  </si>
  <si>
    <t xml:space="preserve">Regulatory Derivative (Curr &amp; LT) </t>
  </si>
  <si>
    <t>Total Deferred Charges</t>
  </si>
  <si>
    <t>Total Assets</t>
  </si>
  <si>
    <t>Capitalization &amp; Liabilities</t>
  </si>
  <si>
    <t>Common Stock</t>
  </si>
  <si>
    <t>Additional Capital</t>
  </si>
  <si>
    <t>Unappropriated Retained Earnings</t>
  </si>
  <si>
    <t>Other</t>
  </si>
  <si>
    <t>Total Stockholders Equity</t>
  </si>
  <si>
    <t>FM Bonds &amp; Long Term Notes</t>
  </si>
  <si>
    <t>Revolving Credit</t>
  </si>
  <si>
    <t>Other Long Term Debt</t>
  </si>
  <si>
    <t>Total Long Term Debt</t>
  </si>
  <si>
    <t>Total Capitalization</t>
  </si>
  <si>
    <t>Current &amp; Accrued Liabilities</t>
  </si>
  <si>
    <t>Notes Payable</t>
  </si>
  <si>
    <t>Accounts Payable</t>
  </si>
  <si>
    <t>Accts. Pay. Assoc. Comp 2330711</t>
  </si>
  <si>
    <t>Accts. Pay. Assoc. Co. Services 234</t>
  </si>
  <si>
    <t>Customer Deposits - Current 2350110</t>
  </si>
  <si>
    <t>Taxes Accrued - General</t>
  </si>
  <si>
    <t>Taxes Accrued - Income</t>
  </si>
  <si>
    <t>Interest Accrued</t>
  </si>
  <si>
    <t>Dividends Declared</t>
  </si>
  <si>
    <t>Tax Collections Payable 241 + 2360606</t>
  </si>
  <si>
    <t>Inactive Deposits 2420320</t>
  </si>
  <si>
    <t>Conservation Cost True Up (2540040)</t>
  </si>
  <si>
    <t>CIBSR Cost True Up (2540071)</t>
  </si>
  <si>
    <t>Non-Utility Accrued Liability</t>
  </si>
  <si>
    <t>Derivative Liability 245****</t>
  </si>
  <si>
    <t>Misc. Current Liabilities</t>
  </si>
  <si>
    <t>Total Current &amp; Accrued Liabilities</t>
  </si>
  <si>
    <t>Customer Deposits 2350100</t>
  </si>
  <si>
    <t>Customer Advances for Constr.</t>
  </si>
  <si>
    <t>Other Deferred Credits</t>
  </si>
  <si>
    <t>Accumulated Deferred Income Tax</t>
  </si>
  <si>
    <t>Regulatory Liabilities  - Tax Related</t>
  </si>
  <si>
    <t>Def. Inv. Tax Credit</t>
  </si>
  <si>
    <t>Total Deferred Credits</t>
  </si>
  <si>
    <t>Pensions &amp; Benefits Reserve</t>
  </si>
  <si>
    <t>Other Reserves</t>
  </si>
  <si>
    <t>Total Operating Reserves</t>
  </si>
  <si>
    <t>Total Capital &amp; Liabilities</t>
  </si>
  <si>
    <t>Check Totals</t>
  </si>
  <si>
    <t>Diff in BS is Lease Account 2530360</t>
  </si>
  <si>
    <t>Check</t>
  </si>
  <si>
    <t>Remove from RB from projects removed and SOP not rerun yet</t>
  </si>
  <si>
    <t>AVERAGE DEBT INTEREST RATES</t>
  </si>
  <si>
    <t>LONG TERM DEBT COST RATE CALCULATION</t>
  </si>
  <si>
    <t>LTD Balance</t>
  </si>
  <si>
    <t>Long Term Notes</t>
  </si>
  <si>
    <t>181 &amp; 189</t>
  </si>
  <si>
    <t>A_2190040</t>
  </si>
  <si>
    <t>OCI - Cash Flow Hedges Pretax</t>
  </si>
  <si>
    <t>LTD Balance - 13-month Average</t>
  </si>
  <si>
    <t>LTD Interest</t>
  </si>
  <si>
    <t>A_7500110</t>
  </si>
  <si>
    <t>Interest Expense- L/T Debt</t>
  </si>
  <si>
    <t>A_7500120</t>
  </si>
  <si>
    <t>Amortization of discount L/T Debt</t>
  </si>
  <si>
    <t>A_7500130</t>
  </si>
  <si>
    <t>Interest Exp - Amortiz of Fees on L/T Debt</t>
  </si>
  <si>
    <t>A_S7500110</t>
  </si>
  <si>
    <t>A_S7500120</t>
  </si>
  <si>
    <t>A_S7500130</t>
  </si>
  <si>
    <t>LTD Interest Balance</t>
  </si>
  <si>
    <t>LTD Interest - 12-month ended</t>
  </si>
  <si>
    <t>LTD COST RATE Average</t>
  </si>
  <si>
    <t>LTD COST RATE Year End</t>
  </si>
  <si>
    <t>SHORT TERM DEBT COST RATE CALCULATION</t>
  </si>
  <si>
    <t>Short-Term Debt Interest Rate</t>
  </si>
  <si>
    <t>From Vickie M.</t>
  </si>
  <si>
    <t>13-month average interest rate</t>
  </si>
  <si>
    <t>Month end interest rate</t>
  </si>
  <si>
    <t>Commercial Paper Rate</t>
  </si>
  <si>
    <t>Term Loan Rate</t>
  </si>
  <si>
    <t>Commercial Paper $</t>
  </si>
  <si>
    <t>Term Loan Rate $</t>
  </si>
  <si>
    <t>Blended ST Rate</t>
  </si>
  <si>
    <t>STD Balance</t>
  </si>
  <si>
    <t>A_2310000</t>
  </si>
  <si>
    <t>Notes Pay &lt;1yr Dur</t>
  </si>
  <si>
    <t>A_2319999</t>
  </si>
  <si>
    <t>NP IC Current Postng</t>
  </si>
  <si>
    <t>A_2330711</t>
  </si>
  <si>
    <t>STD Balance - 13-month Average</t>
  </si>
  <si>
    <t>STD Interest</t>
  </si>
  <si>
    <t>A_7500020</t>
  </si>
  <si>
    <t>AR Securitization</t>
  </si>
  <si>
    <t>A_7500080</t>
  </si>
  <si>
    <t>Int Exp Cr Facility</t>
  </si>
  <si>
    <t>A_7500090</t>
  </si>
  <si>
    <t>Int Exp Oth ST Borrw</t>
  </si>
  <si>
    <t>A_7500700</t>
  </si>
  <si>
    <t>Int Exp Intercompany</t>
  </si>
  <si>
    <t>Amortizatoin of Fees in 930.2</t>
  </si>
  <si>
    <t>STD Interest Balance</t>
  </si>
  <si>
    <t>STD Interest - 12-month ended</t>
  </si>
  <si>
    <t>STD COST RATE Average</t>
  </si>
  <si>
    <t>STD COST RATE Year End</t>
  </si>
  <si>
    <t>CUSTOMER DEPOSITS COST RATE CALCULATION</t>
  </si>
  <si>
    <t>Deposits Balance</t>
  </si>
  <si>
    <t>A_2350100</t>
  </si>
  <si>
    <t>CIS Customer Deposits Short-term</t>
  </si>
  <si>
    <t>A_2350110</t>
  </si>
  <si>
    <t>Non-CIS Customer Deposits Short-term</t>
  </si>
  <si>
    <t>A_2420320</t>
  </si>
  <si>
    <t>Misc Accru Liab-Unclaimed Funds</t>
  </si>
  <si>
    <t>Deposits Balance - 13-month Average</t>
  </si>
  <si>
    <t>Deposits Interest</t>
  </si>
  <si>
    <t>A_7500030</t>
  </si>
  <si>
    <t>Interest Exp - Customer Deposits</t>
  </si>
  <si>
    <t>Deposits Interest Balance</t>
  </si>
  <si>
    <t>Deposits Interest - 12-month ended</t>
  </si>
  <si>
    <t>Deposits COST RATE Average</t>
  </si>
  <si>
    <t>Deposits COST RATE Year End</t>
  </si>
  <si>
    <t xml:space="preserve">Adjustments to Capital Structure for 54.70% Equity Ratio </t>
  </si>
  <si>
    <t>ADJUSTED</t>
  </si>
  <si>
    <t>YEAR-END</t>
  </si>
  <si>
    <t>Long-Term Debt ($)</t>
  </si>
  <si>
    <t>Short-term Debt ($)</t>
  </si>
  <si>
    <t>Long-Term Debt (%)</t>
  </si>
  <si>
    <t>Short-term Debt (%)</t>
  </si>
  <si>
    <t>Unadj. Common Equity with LT &amp; ST</t>
  </si>
  <si>
    <t>Targeted Equity Ratio</t>
  </si>
  <si>
    <t>Check to Target Ratio</t>
  </si>
  <si>
    <t>Adjustment to Capital Structure</t>
  </si>
  <si>
    <t>Capital Structure Per Books and Specific</t>
  </si>
  <si>
    <t>(Pro rate only over equity, LTD and STD)</t>
  </si>
  <si>
    <t xml:space="preserve">TOTAL </t>
  </si>
  <si>
    <t>PERCENTAGE</t>
  </si>
  <si>
    <t>(AFUDC over all Sources)</t>
  </si>
  <si>
    <t xml:space="preserve">Capital Structure Total Adjusted Reg. Financial Equity Ratio </t>
  </si>
  <si>
    <t>INTEREST SYNCHRONIZATION</t>
  </si>
  <si>
    <t xml:space="preserve"> WORKSHEET</t>
  </si>
  <si>
    <t>FOR THE MONTH OF:</t>
  </si>
  <si>
    <t>CALCULATED INTEREST BASED ON</t>
  </si>
  <si>
    <t>AVERAGE CAPITAL STRUCTURE:</t>
  </si>
  <si>
    <t>Calculated</t>
  </si>
  <si>
    <t>Account</t>
  </si>
  <si>
    <t>Amount</t>
  </si>
  <si>
    <t>Cost Rate</t>
  </si>
  <si>
    <t>Interest</t>
  </si>
  <si>
    <t xml:space="preserve">   LONG TERM DEBT</t>
  </si>
  <si>
    <t xml:space="preserve">   </t>
  </si>
  <si>
    <t xml:space="preserve"> </t>
  </si>
  <si>
    <t xml:space="preserve">   SHORT TERM DEBT</t>
  </si>
  <si>
    <t xml:space="preserve">   CUSTOMER DEPOSITS</t>
  </si>
  <si>
    <t xml:space="preserve">          TOTAL</t>
  </si>
  <si>
    <t xml:space="preserve">  *ACTUAL INTEREST</t>
  </si>
  <si>
    <t xml:space="preserve">    DIFFERENCE</t>
  </si>
  <si>
    <t xml:space="preserve">    TAX EFFECT ON DIFFERENCE</t>
  </si>
  <si>
    <t xml:space="preserve">Year-end </t>
  </si>
  <si>
    <t>YEAR END CAPITAL STRUCTURE:</t>
  </si>
  <si>
    <t xml:space="preserve">                                PEOPLES GAS SYSTEM</t>
  </si>
  <si>
    <t>SCHEDULE 1</t>
  </si>
  <si>
    <t>EARNINGS SURVEILLANCE REPORT SUMMARY</t>
  </si>
  <si>
    <t>(In $ Thousands)</t>
  </si>
  <si>
    <t>(1)</t>
  </si>
  <si>
    <t>(2)</t>
  </si>
  <si>
    <t>(3)</t>
  </si>
  <si>
    <t>(4)</t>
  </si>
  <si>
    <t>(5)</t>
  </si>
  <si>
    <t>FPSC</t>
  </si>
  <si>
    <t>Pro Forma</t>
  </si>
  <si>
    <t>Per Books</t>
  </si>
  <si>
    <t>Adjustments</t>
  </si>
  <si>
    <t>Adjusted</t>
  </si>
  <si>
    <t>I. AVERAGE RATE OF RETURN</t>
  </si>
  <si>
    <t xml:space="preserve">      (JURISDICTIONAL)</t>
  </si>
  <si>
    <t>NET OPERATING INCOME</t>
  </si>
  <si>
    <t>$</t>
  </si>
  <si>
    <t xml:space="preserve">AVERAGE RATE BASE </t>
  </si>
  <si>
    <t>AVERAGE RATE OF RETURN</t>
  </si>
  <si>
    <t>II. REQUIRED RATES OF RETURN</t>
  </si>
  <si>
    <t xml:space="preserve">III. EARNED RETURN ON EQUITY </t>
  </si>
  <si>
    <t xml:space="preserve">     AVERAGE CAPITAL STRUCTURE</t>
  </si>
  <si>
    <t xml:space="preserve">       (FPSC ADJUSTED BASIS)</t>
  </si>
  <si>
    <t>PRO FORMA</t>
  </si>
  <si>
    <t xml:space="preserve">  LOW</t>
  </si>
  <si>
    <t xml:space="preserve">     A. INCLUDING</t>
  </si>
  <si>
    <t xml:space="preserve">  MIDPOINT</t>
  </si>
  <si>
    <t xml:space="preserve">          FLEX RATE REVENUES</t>
  </si>
  <si>
    <t xml:space="preserve">  HIGH</t>
  </si>
  <si>
    <t xml:space="preserve">     B. EXCLUDING</t>
  </si>
  <si>
    <t xml:space="preserve">                         I am aware that Section 837.06, Florida Statutes, provides:</t>
  </si>
  <si>
    <t xml:space="preserve">    Whoever knowingly makes a false statement in writing with </t>
  </si>
  <si>
    <t>the intent to mislead a public servant in the performance of his or her</t>
  </si>
  <si>
    <t>official duty shall be guilty of a misdemeanor of the second degree</t>
  </si>
  <si>
    <t>punishable as provided in s. 775.082 or s. 775.083.</t>
  </si>
  <si>
    <t>/s/ Rachel B. Parsons, Director Business Planning</t>
  </si>
  <si>
    <t xml:space="preserve">     (Name and Title)</t>
  </si>
  <si>
    <t xml:space="preserve">            (Signature)</t>
  </si>
  <si>
    <t>(Date)</t>
  </si>
  <si>
    <t>PSC/AFA13</t>
  </si>
  <si>
    <t>SCHEDULE 2</t>
  </si>
  <si>
    <t>AVERAGE RATE BASE</t>
  </si>
  <si>
    <t>(7)</t>
  </si>
  <si>
    <t>(8)</t>
  </si>
  <si>
    <t>(9)</t>
  </si>
  <si>
    <t>(10)</t>
  </si>
  <si>
    <t>(11)</t>
  </si>
  <si>
    <t>Plant</t>
  </si>
  <si>
    <t>Accumulated</t>
  </si>
  <si>
    <t>Customer</t>
  </si>
  <si>
    <t>Net</t>
  </si>
  <si>
    <t>Construction</t>
  </si>
  <si>
    <t>Plant in</t>
  </si>
  <si>
    <t>Acquisition</t>
  </si>
  <si>
    <t>Depreciation &amp;</t>
  </si>
  <si>
    <t>Advances for</t>
  </si>
  <si>
    <t>Property Held</t>
  </si>
  <si>
    <t>Work in</t>
  </si>
  <si>
    <t>Working</t>
  </si>
  <si>
    <t>Total</t>
  </si>
  <si>
    <t>Service</t>
  </si>
  <si>
    <t>Adjustment</t>
  </si>
  <si>
    <t>Amortization</t>
  </si>
  <si>
    <t xml:space="preserve"> Service</t>
  </si>
  <si>
    <t>for Future Use</t>
  </si>
  <si>
    <t>Progress</t>
  </si>
  <si>
    <t>Capital</t>
  </si>
  <si>
    <t>Rate Base</t>
  </si>
  <si>
    <t>PER BOOKS</t>
  </si>
  <si>
    <t>FPSC ADJUSTMENTS:</t>
  </si>
  <si>
    <t xml:space="preserve"> Notes Receivable</t>
  </si>
  <si>
    <t xml:space="preserve"> Gain on Sale of Property</t>
  </si>
  <si>
    <t xml:space="preserve"> Remove Derivative (FAS 133)</t>
  </si>
  <si>
    <t xml:space="preserve"> AFUDC - Eligible CWIP</t>
  </si>
  <si>
    <t>TOTAL FPSC ADJUSTMENTS</t>
  </si>
  <si>
    <t>FPSC ADJUSTED</t>
  </si>
  <si>
    <t>FLEX RATE REVENUES</t>
  </si>
  <si>
    <t>ADJUSTED FOR</t>
  </si>
  <si>
    <t>PRO FORMA REVENUE INCREASE AND</t>
  </si>
  <si>
    <t xml:space="preserve">  ANNUALIZATION ADJUSTMENTS:</t>
  </si>
  <si>
    <t>TOTAL PRO FORMA ADJUSTMENTS</t>
  </si>
  <si>
    <t>PRO FORMA ADJUSTED</t>
  </si>
  <si>
    <t>SCHEDULE 3</t>
  </si>
  <si>
    <t>Make sure we capture gain/loss</t>
  </si>
  <si>
    <t>(6)</t>
  </si>
  <si>
    <t/>
  </si>
  <si>
    <t>Deferred</t>
  </si>
  <si>
    <t>Investment</t>
  </si>
  <si>
    <t>Operating</t>
  </si>
  <si>
    <t>O &amp; M</t>
  </si>
  <si>
    <t>Taxes Other</t>
  </si>
  <si>
    <t>Income Taxes</t>
  </si>
  <si>
    <t>Tax Credit</t>
  </si>
  <si>
    <t>Gain/Loss</t>
  </si>
  <si>
    <t>Gas Expense</t>
  </si>
  <si>
    <t>Than Income</t>
  </si>
  <si>
    <t>(Net)</t>
  </si>
  <si>
    <t>on Disposition</t>
  </si>
  <si>
    <t>Expenses</t>
  </si>
  <si>
    <t>Income</t>
  </si>
  <si>
    <t>Q1</t>
  </si>
  <si>
    <t>Q2</t>
  </si>
  <si>
    <t>Q3</t>
  </si>
  <si>
    <t>Q4</t>
  </si>
  <si>
    <t>Must equal zero</t>
  </si>
  <si>
    <t>OSS Adjustment</t>
  </si>
  <si>
    <t xml:space="preserve">Deferred Tax True-up </t>
  </si>
  <si>
    <t>CURRENT MONTH AMOUNT</t>
  </si>
  <si>
    <t>SCHEDULE 4</t>
  </si>
  <si>
    <t>CAPITAL STRUCTURE</t>
  </si>
  <si>
    <t>FPSC ADJUSTED BASIS</t>
  </si>
  <si>
    <t>LOW POINT</t>
  </si>
  <si>
    <t>MIDPOINT</t>
  </si>
  <si>
    <t>HIGH POINT</t>
  </si>
  <si>
    <t>COST</t>
  </si>
  <si>
    <t>WEIGHTED</t>
  </si>
  <si>
    <t>ADJUSTMENTS</t>
  </si>
  <si>
    <t>RATIO</t>
  </si>
  <si>
    <t>SPECIFIC</t>
  </si>
  <si>
    <t>PRO RATA</t>
  </si>
  <si>
    <t xml:space="preserve">ADJUSTED </t>
  </si>
  <si>
    <t>(%)</t>
  </si>
  <si>
    <t>LONG TERM DEBT</t>
  </si>
  <si>
    <t>SHORT TERM DEBT</t>
  </si>
  <si>
    <t>CUSTOMER DEPOSITS</t>
  </si>
  <si>
    <t>COMMON EQUITY</t>
  </si>
  <si>
    <t>DEFERRED INCOME TAX</t>
  </si>
  <si>
    <t>TAX CREDITS - ZERO COST</t>
  </si>
  <si>
    <t xml:space="preserve">  SCHEDULE 5</t>
  </si>
  <si>
    <t>EARNED RETURN ON COMMON EQUITY</t>
  </si>
  <si>
    <t>A. FPSC ADJUSTED AVERAGE JURISDICTIONAL RETURN ON COMMON EQUITY</t>
  </si>
  <si>
    <t xml:space="preserve">     INCLUDING FLEX RATE REVENUES</t>
  </si>
  <si>
    <t>FPSC ADJUSTED AVERAGE EARNED RATE OF RETURN</t>
  </si>
  <si>
    <t xml:space="preserve">  (Schedule 1)</t>
  </si>
  <si>
    <t>LESS: RECONCILED AVERAGE JURISDICTIONAL</t>
  </si>
  <si>
    <t xml:space="preserve">           WEIGHTED COST RATES FOR:</t>
  </si>
  <si>
    <t>PREFERRED STOCK</t>
  </si>
  <si>
    <t>TAX CREDITS-WEIGHTED COST(MIDPOINT)</t>
  </si>
  <si>
    <t xml:space="preserve">    SUBTOTAL</t>
  </si>
  <si>
    <t>DIVIDED BY RECONCILED COMMON EQUITY RATIO</t>
  </si>
  <si>
    <t>JURISDICTIONAL RETURN ON COMMON EQUITY</t>
  </si>
  <si>
    <t>B. FPSC ADJUSTED AVERAGE JURISDICTIONAL RETURN ON COMMON EQUITY</t>
  </si>
  <si>
    <t xml:space="preserve">     EXCLUDING FLEX RATE REVENUES</t>
  </si>
  <si>
    <t>NET OPERATING REVENUE EXCLUDING FLEX RATE REVENUES</t>
  </si>
  <si>
    <t>(Schedule 3)</t>
  </si>
  <si>
    <t xml:space="preserve">RATE BASE EXCLUDING FLEX RATE REVENUES </t>
  </si>
  <si>
    <t>(Schedule 2)</t>
  </si>
  <si>
    <t>SCHEDULE 5-2</t>
  </si>
  <si>
    <t>PRO FORMA ADJUSTED BASIS</t>
  </si>
  <si>
    <t>A. PRO FORMA ADJUSTED AVERAGE JURISDICTIONAL RETURN ON COMMON EQUITY</t>
  </si>
  <si>
    <t>PRO FORMA ADJUSTED AVERAGE EARNED RATE OF RETURN</t>
  </si>
  <si>
    <t>B. PRO FORMA AVERAGE JURISDICTIONAL RETURN ON COMMON EQUITY</t>
  </si>
  <si>
    <t>(Schedule 2, p. 2 of 2)</t>
  </si>
  <si>
    <t>(Schedule 2, p. 1 of 2)</t>
  </si>
  <si>
    <t>.</t>
  </si>
  <si>
    <t>RECONCILIATION OF RATE BASE TO CAPITAL STRUCTURE</t>
  </si>
  <si>
    <t>MONTH OF:</t>
  </si>
  <si>
    <t>All</t>
  </si>
  <si>
    <t>Investor</t>
  </si>
  <si>
    <t>DESCRIPTION</t>
  </si>
  <si>
    <t>L.T.DEBT</t>
  </si>
  <si>
    <t>S.T.DEBT</t>
  </si>
  <si>
    <t>DEPOSITS</t>
  </si>
  <si>
    <t>EQUITY</t>
  </si>
  <si>
    <t>DEF. TAX</t>
  </si>
  <si>
    <t>TAX CREDITS</t>
  </si>
  <si>
    <t>PRORATA</t>
  </si>
  <si>
    <t>NET</t>
  </si>
  <si>
    <r>
      <t>AVERAGE</t>
    </r>
    <r>
      <rPr>
        <sz val="10"/>
        <rFont val="SWISS"/>
      </rPr>
      <t xml:space="preserve"> CAPITAL STRUCTURE (PER BOOKS)</t>
    </r>
  </si>
  <si>
    <t>RECONCILING ITEMS:</t>
  </si>
  <si>
    <t>SINKING FUNDS</t>
  </si>
  <si>
    <t>INVESTMENT IN SUBSIDIARIES</t>
  </si>
  <si>
    <t>NON-UTILITY PROPERTY</t>
  </si>
  <si>
    <t>TEMPORARY CASH INVESTMENTS</t>
  </si>
  <si>
    <t>NOTES RECEIVABLE</t>
  </si>
  <si>
    <t>OTHER ACCTS. REC.</t>
  </si>
  <si>
    <t>PROV. FOR UNCOLLECT. ACCTS. - MDSE.</t>
  </si>
  <si>
    <t>ACCTS REC. - ASSOCIATED COMPANY</t>
  </si>
  <si>
    <t>REMOVE ENVIRONMENTAL WIP</t>
  </si>
  <si>
    <t>UNAMORTIZED D.D.&amp;E.</t>
  </si>
  <si>
    <t>UNAMORTIZED RATE CASE EXPENSE</t>
  </si>
  <si>
    <t>UNRECOVERED GAS COSTS</t>
  </si>
  <si>
    <t>COMPETITIVE RATE ADJUSTMENT</t>
  </si>
  <si>
    <t>ACCTS. PAY - ASSOCIATED COMPANY</t>
  </si>
  <si>
    <t>DIVIDENDS DECLARED</t>
  </si>
  <si>
    <t>CONSERVATION TRUE-UP</t>
  </si>
  <si>
    <t>CIBSR TRUE-UP</t>
  </si>
  <si>
    <t>OTHER DEFERRED CREDITS</t>
  </si>
  <si>
    <t>REMOVE PLANT FOR MSEA</t>
  </si>
  <si>
    <t>PROPERTY HELD FOR FUTURE USE</t>
  </si>
  <si>
    <t xml:space="preserve">PLUGGED </t>
  </si>
  <si>
    <t>NON-UTILITY ADJUSTMENTS TO RATE BASE</t>
  </si>
  <si>
    <t xml:space="preserve">DEFERRED </t>
  </si>
  <si>
    <t>GAIN ON SALE OF PROPERTY</t>
  </si>
  <si>
    <t>CREDITS</t>
  </si>
  <si>
    <t>REMOVE ACQUISITION ADJUSTMENT</t>
  </si>
  <si>
    <t>JOB DEVELOPMENT CREDITS</t>
  </si>
  <si>
    <t>AFUDC - Eligible CWIP</t>
  </si>
  <si>
    <t>OTHER COMP INCOME - Unsettled hedges</t>
  </si>
  <si>
    <t>OTHER COMP INCOME - Settled Hedges</t>
  </si>
  <si>
    <t>TOTAL RECONCILING ITEMS</t>
  </si>
  <si>
    <t>AVERAGE RATE BASE (ADJUSTED)</t>
  </si>
  <si>
    <t>check amt from "Report" tab</t>
  </si>
  <si>
    <t>difference</t>
  </si>
  <si>
    <t>Accum. Depreciation</t>
  </si>
  <si>
    <t>Prepayments</t>
  </si>
  <si>
    <t>Accounts Rec. - Unbilled Revenues</t>
  </si>
  <si>
    <t>Derivatives</t>
  </si>
  <si>
    <t>Other WIP</t>
  </si>
  <si>
    <t>Unrecovered Gas Costs</t>
  </si>
  <si>
    <t>Regulatory Derivative</t>
  </si>
  <si>
    <t>Stockholders Equity</t>
  </si>
  <si>
    <t xml:space="preserve">  LONG TERM DEBT</t>
  </si>
  <si>
    <t>FM Bonds</t>
  </si>
  <si>
    <t>Accounts Payable Assoc. Companies</t>
  </si>
  <si>
    <t>Accts. Payable Assoc. Co. Services</t>
  </si>
  <si>
    <t>Customer Deposits - Current</t>
  </si>
  <si>
    <t>Tax Collections Payable</t>
  </si>
  <si>
    <t>Inactive Deposits</t>
  </si>
  <si>
    <t>Derivative Liability</t>
  </si>
  <si>
    <t>Deferred Credits</t>
  </si>
  <si>
    <t>Regulated Liability - Tax Related</t>
  </si>
  <si>
    <t>Operating Reserves</t>
  </si>
  <si>
    <t>plug to "misc. current liab"</t>
  </si>
  <si>
    <t>WORKING CAPITAL WORKSHEET</t>
  </si>
  <si>
    <t xml:space="preserve">       FOR THE MONTH OF:</t>
  </si>
  <si>
    <t>ASSETS</t>
  </si>
  <si>
    <t>LIABILITIES</t>
  </si>
  <si>
    <t xml:space="preserve">   INVESTMENT IN SUBSIDIARIES</t>
  </si>
  <si>
    <t xml:space="preserve">   SINKING FUNDS</t>
  </si>
  <si>
    <t>ACCOUNTS PAYABLE</t>
  </si>
  <si>
    <t xml:space="preserve">   OTHER INVESTMENTS</t>
  </si>
  <si>
    <t>ACCOUNTS PAY. ASSOC. CO.</t>
  </si>
  <si>
    <t xml:space="preserve">   CASH</t>
  </si>
  <si>
    <t>ACCTS PAY ASSOC CO- SVCS</t>
  </si>
  <si>
    <t xml:space="preserve">   SPECIAL DEPOSITS</t>
  </si>
  <si>
    <t>TAXES ACCRUED-GENERAL</t>
  </si>
  <si>
    <t xml:space="preserve">   WORKING FUNDS</t>
  </si>
  <si>
    <t>TAXES ACCRUED-INCOME</t>
  </si>
  <si>
    <t xml:space="preserve">   TEMP. CASH INVESTMENTS</t>
  </si>
  <si>
    <t>INTEREST ACCRUED</t>
  </si>
  <si>
    <t xml:space="preserve">   NOTES RECEIVABLE</t>
  </si>
  <si>
    <t xml:space="preserve">   CUST. ACCOUNTS REC.-GAS</t>
  </si>
  <si>
    <t>TAX COLLECTIONS PAYABLE</t>
  </si>
  <si>
    <t xml:space="preserve">   MDSE, JOBBING &amp; OTHER</t>
  </si>
  <si>
    <t>CONSERVATION COST TRUE-UP (2540040)</t>
  </si>
  <si>
    <t xml:space="preserve">   ACCUM. PROV. UNCOLLECT. ACCTS.</t>
  </si>
  <si>
    <t>CIBSR COST TRUE-UP (2540071)</t>
  </si>
  <si>
    <t xml:space="preserve">   RECEIVABLE ACCOC. COMPANIES</t>
  </si>
  <si>
    <t>NON-UTILITY CURR. LIABILITY</t>
  </si>
  <si>
    <t xml:space="preserve">   REC.- ASSOC. CO. - SERVICES</t>
  </si>
  <si>
    <t>MISC. CURRENT LIABILITIES</t>
  </si>
  <si>
    <t xml:space="preserve">   PLANT &amp; OPER.MATERIAL &amp; SUPPL.</t>
  </si>
  <si>
    <t xml:space="preserve">   STORES EXPENSE</t>
  </si>
  <si>
    <t>OPERATING RESERVES</t>
  </si>
  <si>
    <t xml:space="preserve">   PREPAYMENTS</t>
  </si>
  <si>
    <t>DERIVATIVE LIABILITY</t>
  </si>
  <si>
    <t xml:space="preserve">   UNBILLED REVENUE &amp; MISC.</t>
  </si>
  <si>
    <t xml:space="preserve">   DERIVATIVE</t>
  </si>
  <si>
    <t xml:space="preserve">   UNAMORT DD &amp; E</t>
  </si>
  <si>
    <t xml:space="preserve">    DEFERRED TAX ASSET</t>
  </si>
  <si>
    <t xml:space="preserve">   CLEARING ACCTS.</t>
  </si>
  <si>
    <t xml:space="preserve">   OTHER WIP</t>
  </si>
  <si>
    <t xml:space="preserve">   CONSERVATION COST TRUE-UP (1823040)</t>
  </si>
  <si>
    <t xml:space="preserve">   CIBSR COST TRUE-UP (1823071)</t>
  </si>
  <si>
    <t xml:space="preserve">   UNBUNDLING TRANSITION CHARGES</t>
  </si>
  <si>
    <t xml:space="preserve">   UNAMORTIZED RATE CASE EXP.</t>
  </si>
  <si>
    <t xml:space="preserve">   UNRECOVERED GAS COSTS</t>
  </si>
  <si>
    <t xml:space="preserve">   REGULATORY DERIVATIVE</t>
  </si>
  <si>
    <t xml:space="preserve">     AVERAGE WORKING CAPITAL</t>
  </si>
  <si>
    <t xml:space="preserve">     YEAR-END WORKING CAPITAL</t>
  </si>
  <si>
    <t>Jeffrey S. Chronister, Controller</t>
  </si>
  <si>
    <t xml:space="preserve">Changed for 2003 surv. report as a result of Rate Order </t>
  </si>
  <si>
    <t>Total Adjusted</t>
  </si>
  <si>
    <t xml:space="preserve"> (pro rata only over equity, LTD and STD)</t>
  </si>
  <si>
    <t xml:space="preserve">AFUDC over all Sources </t>
  </si>
  <si>
    <t>Reg. Financial Equity Ratio</t>
  </si>
  <si>
    <t>Percentage</t>
  </si>
  <si>
    <r>
      <t>YE</t>
    </r>
    <r>
      <rPr>
        <sz val="10"/>
        <rFont val="SWISS"/>
      </rPr>
      <t xml:space="preserve"> CAPITAL STRUCTURE (PER BOOKS)</t>
    </r>
  </si>
  <si>
    <t>Summary MSEA Return</t>
  </si>
  <si>
    <t>Period Ending:</t>
  </si>
  <si>
    <t>Surv. Adj. (ACT Cap - MACC)</t>
  </si>
  <si>
    <t>01050004    Davie Parkside Estates</t>
  </si>
  <si>
    <t>01050029    Parkland Golf &amp; Country Club</t>
  </si>
  <si>
    <t>01050043    Island Enclave at Victora Park</t>
  </si>
  <si>
    <t>01070039    Promenade at Lyons</t>
  </si>
  <si>
    <t>02045024    Bell Chase</t>
  </si>
  <si>
    <t>02045025    Covington Phase IV</t>
  </si>
  <si>
    <t>02050006    Hidden Oaks at Fletcher</t>
  </si>
  <si>
    <t>02050008    Live Oak Phase II</t>
  </si>
  <si>
    <t>02050009    Stonegate</t>
  </si>
  <si>
    <t>02050021    Panther Trace Phase IV</t>
  </si>
  <si>
    <t>02050022    Avelar North and South</t>
  </si>
  <si>
    <t>02060005    Panther Trace Phase IV Sect V8</t>
  </si>
  <si>
    <t>02060008    Panther Trace PH. IV- Par V-10</t>
  </si>
  <si>
    <t>02060029    Grand Hamptons Phase IV</t>
  </si>
  <si>
    <t>02060038    Brookwood</t>
  </si>
  <si>
    <t>02060040    Covington Phase VI</t>
  </si>
  <si>
    <t>02070003    Stonegate Phase II</t>
  </si>
  <si>
    <t>02070008    Misty Glen</t>
  </si>
  <si>
    <t>02070009    Devonwood</t>
  </si>
  <si>
    <t>02070025    Panther Trace V-9</t>
  </si>
  <si>
    <t>02070026    Haven Bend</t>
  </si>
  <si>
    <t>02070037    Terra Bella</t>
  </si>
  <si>
    <t>02090005    Cheval East</t>
  </si>
  <si>
    <t>02090006    Paddock Oaks LP Block Purchase</t>
  </si>
  <si>
    <t>02090008    Highland Park at Racetrack</t>
  </si>
  <si>
    <t>02090027    Cheval West Scattered Propane</t>
  </si>
  <si>
    <t>02090030    Villa Rosa Scattered Propane</t>
  </si>
  <si>
    <t>03050018    Cascades</t>
  </si>
  <si>
    <t>03070007    Southern Hills - Phase I Rev.</t>
  </si>
  <si>
    <t>03080001    Southern Hills Phase III</t>
  </si>
  <si>
    <t>04070001    Millbrook Subdivision off US27</t>
  </si>
  <si>
    <t>04090013    DISNEY  NERP  EC PROJECT</t>
  </si>
  <si>
    <t>05060011    Lakes Of Mount Dora Subd.</t>
  </si>
  <si>
    <t>06010019    I.T. Corporation - Whitehouse</t>
  </si>
  <si>
    <t>06070014    Madeira MESA Project</t>
  </si>
  <si>
    <t>06070015    Tamaya MESA @ Beach Blvd</t>
  </si>
  <si>
    <t>08080009    Grasslands Main Ext</t>
  </si>
  <si>
    <t>11045010    Greenbrook East</t>
  </si>
  <si>
    <t>11045021    Aberdeen</t>
  </si>
  <si>
    <t>11050002    Venetian G &amp; R Club (Phase II)</t>
  </si>
  <si>
    <t>11050012    Secluded Oaks - Ph. 2</t>
  </si>
  <si>
    <t>11050027    Grand Oaks Development</t>
  </si>
  <si>
    <t>11060012    Lake Club - Ph 1</t>
  </si>
  <si>
    <t>11070006    Lake Club Ph II Lakewood Ranch</t>
  </si>
  <si>
    <t>11070008    County Club East Phase I</t>
  </si>
  <si>
    <t>11070017    MSEA &amp; EC      Indian Beach</t>
  </si>
  <si>
    <t>11070021    Legend's Bay</t>
  </si>
  <si>
    <t>11070022    Cottage Walk</t>
  </si>
  <si>
    <t>11070023    Beach Villas</t>
  </si>
  <si>
    <t>11070024    Collier Walker</t>
  </si>
  <si>
    <t>11080017    Marshall's Landing</t>
  </si>
  <si>
    <t>11080020    Central Park at Lakewood Ranch</t>
  </si>
  <si>
    <t>13060003    Jupiter Country Club</t>
  </si>
  <si>
    <t>13060005    Tres Belle</t>
  </si>
  <si>
    <t>13060008    Vintage at Bears Club</t>
  </si>
  <si>
    <t>15045002    Villages btwn 472 &amp; 466A, MSEA</t>
  </si>
  <si>
    <t>15050005    Vinings</t>
  </si>
  <si>
    <t>16060001    Marsala at Tiburon</t>
  </si>
  <si>
    <t>16060002    River Walk</t>
  </si>
  <si>
    <t>16060005    Tesoro @ Tiburon (Parcel 5000)</t>
  </si>
  <si>
    <t>16060018    Treviso Development</t>
  </si>
  <si>
    <t>16070018    4848 Esplanade Street</t>
  </si>
  <si>
    <t>16070023    Residences At Mercato</t>
  </si>
  <si>
    <t>16080014    Liberty Youth Ranch</t>
  </si>
  <si>
    <t>Total MSEA Projects</t>
  </si>
  <si>
    <t>**updated for Sep 2011 from Ryan Coe on 10/14/11</t>
  </si>
  <si>
    <t>Per Anthony, use Sep 2011 for Dec 2011.</t>
  </si>
  <si>
    <t>PEOPLES GAS COMPANY</t>
  </si>
  <si>
    <t>CAPITAL STRUCTURE USED FOR AFUDC CALCULATION</t>
  </si>
  <si>
    <t>SCHEDULE A</t>
  </si>
  <si>
    <t xml:space="preserve">AVERAGE </t>
  </si>
  <si>
    <t>CAPITAL</t>
  </si>
  <si>
    <t>COST OF</t>
  </si>
  <si>
    <t>CAPITAL COMPONENTS</t>
  </si>
  <si>
    <t>BALANCE</t>
  </si>
  <si>
    <t>*</t>
  </si>
  <si>
    <t>INVESTMENT TAX CREDITS</t>
  </si>
  <si>
    <t>* 13-MONTH AVERAGE</t>
  </si>
  <si>
    <t>Note: The current AFUDC rate of 6.00% was authorized in Order No. PSC-2021-0170-PPA-GU Docket No. 20210040-GU, effective January 1, 2021.</t>
  </si>
  <si>
    <t>Debt Ratio 22.50%</t>
  </si>
  <si>
    <t>Equity Ratio 77.50%</t>
  </si>
  <si>
    <t xml:space="preserve">Debt Ratio </t>
  </si>
  <si>
    <t>Equity  Ratio</t>
  </si>
  <si>
    <t>Annual Rate (R) = .0597</t>
  </si>
  <si>
    <t>Monthly Rate = ((1 + R)^(1/12)) - 1 = .0048438</t>
  </si>
  <si>
    <t>annual rate</t>
  </si>
  <si>
    <t>equity rate</t>
  </si>
  <si>
    <t>equity %</t>
  </si>
  <si>
    <t>debt rate</t>
  </si>
  <si>
    <t>debt %</t>
  </si>
  <si>
    <t>SCHEDULE B</t>
  </si>
  <si>
    <t>COMMISSION</t>
  </si>
  <si>
    <t>ADJUSTMENTS*</t>
  </si>
  <si>
    <t>* FOR ADJUSTMENT DETAILS, SEE SCHEDULE 2.</t>
  </si>
  <si>
    <t>Per Order No. PSC-2021-0170-PPA-GU, a 54.7% equity ratio (investor sources with any difference to actual equity ratio spread ratably over long-term and short term debt) shall be used for all purposes including the calculation of the Company’s AFUDC rate.</t>
  </si>
  <si>
    <t>METHODOLOGY FOR MONTHLY COMPOUNDING</t>
  </si>
  <si>
    <t xml:space="preserve"> OF THE AFUDC RATE</t>
  </si>
  <si>
    <t>SCHEDULE C</t>
  </si>
  <si>
    <t>MONTHLY</t>
  </si>
  <si>
    <t>CUMULATIVE</t>
  </si>
  <si>
    <t>MONTHS</t>
  </si>
  <si>
    <t>BASE</t>
  </si>
  <si>
    <t>Annual Rate (R) = .0600</t>
  </si>
  <si>
    <t>Monthly Rate = ((1 + R)^(1/12)) - 1 = 0.0048676</t>
  </si>
  <si>
    <t>PGS</t>
  </si>
  <si>
    <t>Actual Surveillance Report</t>
  </si>
  <si>
    <t>Comparisons</t>
  </si>
  <si>
    <t>($000)</t>
  </si>
  <si>
    <t>2022</t>
  </si>
  <si>
    <t>Effect On</t>
  </si>
  <si>
    <t>Report for:</t>
  </si>
  <si>
    <t>Final Budget</t>
  </si>
  <si>
    <t>Difference</t>
  </si>
  <si>
    <t>ROE</t>
  </si>
  <si>
    <t xml:space="preserve">Schedule 2  </t>
  </si>
  <si>
    <t>PHFFU</t>
  </si>
  <si>
    <t>Working Capital</t>
  </si>
  <si>
    <t>Achieved NOI</t>
  </si>
  <si>
    <t>Earned ROR</t>
  </si>
  <si>
    <t>Other Capital</t>
  </si>
  <si>
    <t>Wtd Return on Equity</t>
  </si>
  <si>
    <t>Equity Ratio</t>
  </si>
  <si>
    <t>Earned Return on Equity</t>
  </si>
  <si>
    <t>Operating Income</t>
  </si>
  <si>
    <t>Income Tax</t>
  </si>
  <si>
    <t>Non-Utility Taxes</t>
  </si>
  <si>
    <t>Total Deductions</t>
  </si>
  <si>
    <t>Pre Adj Expected Change in NOI</t>
  </si>
  <si>
    <t>Pro Forma Adjustments</t>
  </si>
  <si>
    <t>Adjustment Changes</t>
  </si>
  <si>
    <t>Check Figure</t>
  </si>
  <si>
    <t>Schedule 3</t>
  </si>
  <si>
    <t xml:space="preserve">  Remove Conservation Charges</t>
  </si>
  <si>
    <t xml:space="preserve">  Non-Utility Allocation</t>
  </si>
  <si>
    <t xml:space="preserve">  Interest Synchronization</t>
  </si>
  <si>
    <t xml:space="preserve">  Parent Debt Adjustment</t>
  </si>
  <si>
    <t xml:space="preserve">  Remove Fuel Revenues</t>
  </si>
  <si>
    <t xml:space="preserve">  Economic Development Adjustment</t>
  </si>
  <si>
    <t xml:space="preserve">  Employee Activities</t>
  </si>
  <si>
    <t xml:space="preserve">  Intercompany Adjustment</t>
  </si>
  <si>
    <t xml:space="preserve">  Maintenance of General Plant</t>
  </si>
  <si>
    <t xml:space="preserve">  Maint. of Structures and Improvements</t>
  </si>
  <si>
    <t xml:space="preserve">  Remove Acquisition Adj. Amortiz. (WFNG)</t>
  </si>
  <si>
    <t xml:space="preserve">  Gain on Sale of Property</t>
  </si>
  <si>
    <t xml:space="preserve">  Remove  ITC Amortization</t>
  </si>
  <si>
    <t xml:space="preserve">  OSS Adjustment</t>
  </si>
  <si>
    <t>Total Adjustments</t>
  </si>
  <si>
    <t>2016</t>
  </si>
  <si>
    <t>Q2 Budget</t>
  </si>
  <si>
    <t>2016 Q2</t>
  </si>
  <si>
    <t xml:space="preserve">  Lobbying included in Dues (AGA, FNGA)</t>
  </si>
  <si>
    <t xml:space="preserve">  Civic/Social Club Dues</t>
  </si>
  <si>
    <t>ENERGY     MWHs</t>
  </si>
  <si>
    <t>DEMAND    KWs</t>
  </si>
  <si>
    <t>Surveillance Report</t>
  </si>
  <si>
    <t>Q1F</t>
  </si>
  <si>
    <t>NI</t>
  </si>
  <si>
    <t>Simple Avg Equity</t>
  </si>
  <si>
    <t>Accounting ROE</t>
  </si>
  <si>
    <t>Difff in Reg and Actg ROE</t>
  </si>
  <si>
    <t>RB Diff Qtr to Qtr</t>
  </si>
  <si>
    <t>Equity Diff Qtr to Qtr</t>
  </si>
  <si>
    <t>NOI Diff Qtr to Qtr</t>
  </si>
  <si>
    <t>NI Diff Qtr to Qtr</t>
  </si>
  <si>
    <t>Actuals</t>
  </si>
  <si>
    <t>2+10F</t>
  </si>
  <si>
    <t>Schedule 2</t>
  </si>
  <si>
    <t>PEOPLES GAS</t>
  </si>
  <si>
    <t>MARKET TO REGULATORY ROE RECONCILIATION</t>
  </si>
  <si>
    <t xml:space="preserve">Actual </t>
  </si>
  <si>
    <t>Q3F</t>
  </si>
  <si>
    <t>DESCRIPTION:</t>
  </si>
  <si>
    <t>ROR</t>
  </si>
  <si>
    <t>Debt Cost</t>
  </si>
  <si>
    <t>Per Books RB</t>
  </si>
  <si>
    <t>Simple Average</t>
  </si>
  <si>
    <t>13-Month Average</t>
  </si>
  <si>
    <t>MARKET ROE</t>
  </si>
  <si>
    <t>Equity</t>
  </si>
  <si>
    <t>NET INCOME</t>
  </si>
  <si>
    <t>AVG COMMON EQUITY</t>
  </si>
  <si>
    <t>AFUDC/CWIP</t>
  </si>
  <si>
    <t>AFUDC Equity IS</t>
  </si>
  <si>
    <t>RB</t>
  </si>
  <si>
    <t>CIBSR</t>
  </si>
  <si>
    <t>NOI</t>
  </si>
  <si>
    <t>TPI Earnings (RE dividended to TE)</t>
  </si>
  <si>
    <t>AFUDC Earnings (After Tax)</t>
  </si>
  <si>
    <t>Common Equity (Simple Avg vs 13 month Avg)</t>
  </si>
  <si>
    <t>RATE BASE ITEMS</t>
  </si>
  <si>
    <t>NOI ITEMS - After Tax</t>
  </si>
  <si>
    <t>Gain/Loss on sale</t>
  </si>
  <si>
    <t>OTHER</t>
  </si>
  <si>
    <t>TOTAL DIFFERENCE</t>
  </si>
  <si>
    <t>REGULATORY ROE</t>
  </si>
  <si>
    <t>BOOK FINANCIAL</t>
  </si>
  <si>
    <t>SURVEILLANCE REPORT FINANCIAL</t>
  </si>
  <si>
    <t>SURVEILLANCE REPORT REGULATORY</t>
  </si>
  <si>
    <t>8+4 Forecast</t>
  </si>
  <si>
    <t>2020</t>
  </si>
  <si>
    <t>Strat Plan</t>
  </si>
  <si>
    <t>2020 7+5 Forecast</t>
  </si>
  <si>
    <t>2020 Q1</t>
  </si>
  <si>
    <t>2020 Q2</t>
  </si>
  <si>
    <t>2020 Q3</t>
  </si>
  <si>
    <t>2020 Q4</t>
  </si>
  <si>
    <t>2020 0+12 Budget</t>
  </si>
  <si>
    <t>2020 2+10 Forecast</t>
  </si>
  <si>
    <t>Equity Ratio Investor Sources Only</t>
  </si>
  <si>
    <t xml:space="preserve">7+5F </t>
  </si>
  <si>
    <t>0+12F</t>
  </si>
  <si>
    <t>Step 1:</t>
  </si>
  <si>
    <t>Go to balance sheet and change month you are working in.</t>
  </si>
  <si>
    <t>Step 2:</t>
  </si>
  <si>
    <t>Change forumla in Gain on Sale R108 to the month you are working in. This will pick up the correct gain amount for the 12 month rolling.</t>
  </si>
  <si>
    <t>Step 3:</t>
  </si>
  <si>
    <t>Change WFNG Adj formula to pick up correct month in the amortization schedule.</t>
  </si>
  <si>
    <t>Step 4:</t>
  </si>
  <si>
    <t>Make sure cap str is at 100%, if not plug to Customer Deposits.</t>
  </si>
  <si>
    <t>Step 5:</t>
  </si>
  <si>
    <t>Check ROE on Report 1 against the"COMP Act to Prior" tab, if they don't tie then plug the COMP Act to Prior tab. After this copy paste values to monthly tab.</t>
  </si>
  <si>
    <t>REGULATED BUSINESS ROE</t>
  </si>
  <si>
    <t>2021 Q3F</t>
  </si>
  <si>
    <t>2022 Bud</t>
  </si>
  <si>
    <t>REGULATED ROE</t>
  </si>
  <si>
    <t>ROE Difference</t>
  </si>
  <si>
    <t>NEW-15624</t>
  </si>
  <si>
    <t>Main-The Isles of Old Tampa Bay</t>
  </si>
  <si>
    <t>NEW-15625</t>
  </si>
  <si>
    <t>Main-Two Rivers Sub ph I &amp; II</t>
  </si>
  <si>
    <t>5+7F</t>
  </si>
  <si>
    <t>6+6F</t>
  </si>
  <si>
    <t>Updated?</t>
  </si>
  <si>
    <t>yes</t>
  </si>
  <si>
    <t>Date:</t>
  </si>
  <si>
    <t>NEW-15602</t>
  </si>
  <si>
    <t>NEW-15653</t>
  </si>
  <si>
    <t>Main-Two Rivers Subdivision ph III</t>
  </si>
  <si>
    <t>NEW-15654</t>
  </si>
  <si>
    <t>Main-Two Rivers Subdivision ph IV</t>
  </si>
  <si>
    <t>NEW-15655</t>
  </si>
  <si>
    <t>Main-Two Rivers Subdivision ph V</t>
  </si>
  <si>
    <t>Check to Seg of CWIP</t>
  </si>
  <si>
    <t>Check to Seg of CWIP Actual / Budget Download</t>
  </si>
  <si>
    <t>7+5F</t>
  </si>
  <si>
    <t>A_S7500030</t>
  </si>
  <si>
    <t>Year end non utility</t>
  </si>
  <si>
    <t>DBL check link</t>
  </si>
  <si>
    <t>December 2023</t>
  </si>
  <si>
    <t>Notes Payable - Intercompany</t>
  </si>
  <si>
    <t>A_S6790090</t>
  </si>
  <si>
    <t>A_S6790091</t>
  </si>
  <si>
    <t>A_S6790092</t>
  </si>
  <si>
    <t>A_S6030020</t>
  </si>
  <si>
    <t>Settled Empl Exp - Social/Civic Dues</t>
  </si>
  <si>
    <t>Settled Donations - Charitable (501c)</t>
  </si>
  <si>
    <t>Settled Donations - Non deductible</t>
  </si>
  <si>
    <t>Settled Donations - Other</t>
  </si>
  <si>
    <t>LT</t>
  </si>
  <si>
    <t>ST</t>
  </si>
  <si>
    <t>A_S7500700</t>
  </si>
  <si>
    <t>Settled Interest Exp - Intercompany</t>
  </si>
  <si>
    <t>Pull directly from Tax file, fcst tab</t>
  </si>
  <si>
    <t>2023</t>
  </si>
  <si>
    <t>BPC</t>
  </si>
  <si>
    <t>Beg. Balance</t>
  </si>
  <si>
    <t>"Other Long Term Debt</t>
  </si>
  <si>
    <t>ST Balance</t>
  </si>
  <si>
    <t>Int Accr. Cum</t>
  </si>
  <si>
    <t>Int Accr. Mthly</t>
  </si>
  <si>
    <t>Int. Accr.</t>
  </si>
  <si>
    <t>Rate base pulled from the c.SR tab of the FINAL 2022 LTF FILE, cells M68-M75</t>
  </si>
  <si>
    <t>Year End Rate base</t>
  </si>
  <si>
    <t>LTF</t>
  </si>
  <si>
    <t>A_7101000</t>
  </si>
  <si>
    <t>Gain Sale of Utility Property</t>
  </si>
  <si>
    <t>less</t>
  </si>
  <si>
    <t>A_7201000</t>
  </si>
  <si>
    <t>Loss Sale of Utility Property</t>
  </si>
  <si>
    <t>Lookup is to a different column count (KEEP)</t>
  </si>
  <si>
    <t>2023 Q2</t>
  </si>
  <si>
    <t>2023 Q3</t>
  </si>
  <si>
    <t>2023 Q4</t>
  </si>
  <si>
    <t>2023 Q1</t>
  </si>
  <si>
    <t>Original Budget</t>
  </si>
  <si>
    <t>Emera Budget</t>
  </si>
  <si>
    <t>(JAN 2024 - DEC 2024)</t>
  </si>
  <si>
    <t>December 2024</t>
  </si>
  <si>
    <t>2024 Budget</t>
  </si>
  <si>
    <t>2024</t>
  </si>
  <si>
    <t>Rate Case Budget</t>
  </si>
  <si>
    <t>1040001</t>
  </si>
  <si>
    <t>Def. Inc Tax Credit</t>
  </si>
  <si>
    <t>Investment Tax Credit</t>
  </si>
  <si>
    <t>Low Point Weighted Cost ITC</t>
  </si>
  <si>
    <t>Mid Point Weighted Cost</t>
  </si>
  <si>
    <t>High Point Weighted ITC</t>
  </si>
  <si>
    <t>ER_IND_DUE_BTL_1</t>
  </si>
  <si>
    <t xml:space="preserve">Lobbying Exp in Industry Dues </t>
  </si>
  <si>
    <t>NEW-15726</t>
  </si>
  <si>
    <t>Grand Cypress Resort 4" PE</t>
  </si>
  <si>
    <t>NEW-15752</t>
  </si>
  <si>
    <t>Eagle LNG</t>
  </si>
  <si>
    <t>ITC DTA Adjustment</t>
  </si>
  <si>
    <t>IRS Pro Rata Reqt Acct 282</t>
  </si>
  <si>
    <t>Amt to be provided by tax team</t>
  </si>
  <si>
    <t>Rate Base Rule of Thumb</t>
  </si>
  <si>
    <t>NOI Rule of Thumb</t>
  </si>
  <si>
    <t>Updated 1/30/2023</t>
  </si>
  <si>
    <t>Updated 2/8/23 MFR G2-25</t>
  </si>
  <si>
    <t>Updated 2/8/2023 MFR G1-21</t>
  </si>
  <si>
    <t>Updated 2/8/2023 MFR G1-18</t>
  </si>
  <si>
    <t>Vega, Tison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</si>
</sst>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00%"/>
    <numFmt numFmtId="166" formatCode="dd\-mmm\-yy_)"/>
    <numFmt numFmtId="167" formatCode="_(* #,##0_);_(* \(#,##0\);_(* &quot;-&quot;??_);_(@_)"/>
    <numFmt numFmtId="168" formatCode="_(* #,##0.0_);_(* \(#,##0.0\);_(* &quot;-&quot;??_);_(@_)"/>
    <numFmt numFmtId="169" formatCode="mmmm\-yy"/>
    <numFmt numFmtId="170" formatCode="#,##0;\(#,##0\)"/>
    <numFmt numFmtId="171" formatCode="#,##0,;\(#,##0,\)"/>
    <numFmt numFmtId="172" formatCode="[$-409]mmm\-yy;@"/>
    <numFmt numFmtId="173" formatCode="&quot;$&quot;#,##0"/>
    <numFmt numFmtId="174" formatCode="mmm\-yyyy"/>
    <numFmt numFmtId="175" formatCode="0.0"/>
    <numFmt numFmtId="176" formatCode="0.000000"/>
    <numFmt numFmtId="177" formatCode="mmm\ yyyy"/>
    <numFmt numFmtId="178" formatCode="_(&quot;$&quot;* #,##0_);_(&quot;$&quot;* \(#,##0\);_(&quot;$&quot;* &quot;-&quot;??_);_(@_)"/>
    <numFmt numFmtId="179" formatCode="_(* #,##0.000000000_);_(* \(#,##0.000000000\);_(* &quot;-&quot;??_);_(@_)"/>
    <numFmt numFmtId="180" formatCode="0.0%"/>
    <numFmt numFmtId="181" formatCode="_(* #,##0.000_);_(* \(#,##0.000\);_(* &quot;-&quot;??_);_(@_)"/>
    <numFmt numFmtId="182" formatCode="#,##0.0_);\(#,##0.0\)"/>
    <numFmt numFmtId="183" formatCode="#,###,##0.00;\(#,###,##0.00\)"/>
    <numFmt numFmtId="184" formatCode="_(* #,##0.00000_);_(* \(#,##0.00000\);_(* &quot;-&quot;??_);_(@_)"/>
    <numFmt numFmtId="185" formatCode="0.00000"/>
    <numFmt numFmtId="186" formatCode="&quot;$&quot;#,##0\ ;\(&quot;$&quot;#,##0\)"/>
    <numFmt numFmtId="187" formatCode="###,000"/>
    <numFmt numFmtId="188" formatCode="mmmm\ yyyy"/>
    <numFmt numFmtId="189" formatCode="#,##0.0000000_);\(#,##0.0000000\)"/>
    <numFmt numFmtId="190" formatCode="#,##0.00000000_);\(#,##0.00000000\)"/>
    <numFmt numFmtId="191" formatCode="[$-409]mmmm"/>
    <numFmt numFmtId="192" formatCode="0.0000"/>
    <numFmt numFmtId="193" formatCode="0.0000%"/>
    <numFmt numFmtId="194" formatCode="mm/dd/yy_)"/>
    <numFmt numFmtId="195" formatCode="mmm\ d\,\ yyyy"/>
    <numFmt numFmtId="196" formatCode="#,##0_);[Color9]\(#,##0\);&quot;-&quot;_);[Blue]&quot;Error-&quot;@"/>
    <numFmt numFmtId="197" formatCode="#,##0.0_);[Color9]\(#,##0.0\);&quot;-&quot;_);[Blue]&quot;Error-&quot;@"/>
    <numFmt numFmtId="198" formatCode="[Red]&quot;ERROR&quot;;[Red]&quot;ERROR&quot;;&quot;Ok&quot;"/>
    <numFmt numFmtId="199" formatCode="0.0%_);[Color9]\(0.0%\);\ &quot;-&quot;_);[Blue]&quot;Error-&quot;@"/>
    <numFmt numFmtId="200" formatCode="0.00%_);[Color9]\(0.00%\);\ &quot;-&quot;_);[Blue]&quot;Error-&quot;@"/>
    <numFmt numFmtId="201" formatCode="m/d/yy\ h:mm"/>
    <numFmt numFmtId="202" formatCode="&quot;ERROR - See Checks&quot;;&quot;ERROR - See Checks&quot;;&quot;All Checks OK&quot;"/>
  </numFmts>
  <fonts count="19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SWISS"/>
    </font>
    <font>
      <sz val="8"/>
      <color indexed="12"/>
      <name val="SWISS"/>
    </font>
    <font>
      <sz val="8"/>
      <color indexed="10"/>
      <name val="SWISS"/>
    </font>
    <font>
      <u/>
      <sz val="8"/>
      <name val="SWISS"/>
    </font>
    <font>
      <sz val="8"/>
      <color indexed="81"/>
      <name val="Tahoma"/>
      <family val="2"/>
    </font>
    <font>
      <sz val="10"/>
      <name val="SWISS"/>
    </font>
    <font>
      <b/>
      <sz val="10"/>
      <name val="SWISS"/>
    </font>
    <font>
      <u/>
      <sz val="10"/>
      <name val="SWISS"/>
    </font>
    <font>
      <sz val="8"/>
      <color indexed="32"/>
      <name val="SWISS"/>
    </font>
    <font>
      <b/>
      <sz val="12"/>
      <name val="SWISS"/>
    </font>
    <font>
      <sz val="12"/>
      <name val="SWISS"/>
    </font>
    <font>
      <sz val="9"/>
      <name val="SWISS"/>
    </font>
    <font>
      <sz val="7"/>
      <name val="SWISS"/>
    </font>
    <font>
      <u/>
      <sz val="10"/>
      <name val="Arial"/>
      <family val="2"/>
    </font>
    <font>
      <sz val="8"/>
      <color indexed="16"/>
      <name val="SWISS"/>
    </font>
    <font>
      <sz val="9"/>
      <color indexed="12"/>
      <name val="SWISS"/>
    </font>
    <font>
      <b/>
      <u/>
      <sz val="9"/>
      <name val="SWISS"/>
    </font>
    <font>
      <sz val="10"/>
      <color indexed="12"/>
      <name val="SWISS"/>
    </font>
    <font>
      <b/>
      <sz val="12"/>
      <name val="Arial MT"/>
    </font>
    <font>
      <sz val="12"/>
      <name val="Arial MT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2"/>
      <name val="Arial MT"/>
    </font>
    <font>
      <sz val="12"/>
      <color indexed="12"/>
      <name val="Arial MT"/>
    </font>
    <font>
      <u/>
      <sz val="12"/>
      <name val="Arial MT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b/>
      <i/>
      <sz val="10"/>
      <color indexed="10"/>
      <name val="Arial"/>
      <family val="2"/>
    </font>
    <font>
      <b/>
      <sz val="12"/>
      <name val="Arial"/>
      <family val="2"/>
    </font>
    <font>
      <b/>
      <sz val="9"/>
      <color indexed="12"/>
      <name val="SWISS"/>
    </font>
    <font>
      <sz val="12"/>
      <color indexed="10"/>
      <name val="Arial MT"/>
    </font>
    <font>
      <b/>
      <sz val="8"/>
      <color indexed="12"/>
      <name val="SWISS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2"/>
      <color indexed="12"/>
      <name val="SWISS"/>
    </font>
    <font>
      <u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8"/>
      <color indexed="10"/>
      <name val="SWISS"/>
    </font>
    <font>
      <sz val="12"/>
      <name val="Arial"/>
      <family val="2"/>
    </font>
    <font>
      <i/>
      <sz val="10"/>
      <name val="Arial"/>
      <family val="2"/>
    </font>
    <font>
      <sz val="8"/>
      <color indexed="10"/>
      <name val="Tahoma"/>
      <family val="2"/>
    </font>
    <font>
      <sz val="8"/>
      <color indexed="61"/>
      <name val="SWISS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8"/>
      <color indexed="10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u/>
      <sz val="12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10"/>
      <name val="Tahoma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indexed="0"/>
      <name val="Times New Roman"/>
      <family val="1"/>
    </font>
    <font>
      <sz val="10"/>
      <name val="Arial Narrow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0000FF"/>
      <name val="Arial"/>
      <family val="2"/>
    </font>
    <font>
      <sz val="10"/>
      <color rgb="FF0000FF"/>
      <name val="Arial"/>
      <family val="2"/>
    </font>
    <font>
      <b/>
      <sz val="12"/>
      <color rgb="FF0000FF"/>
      <name val="Arial"/>
      <family val="2"/>
    </font>
    <font>
      <sz val="11"/>
      <color rgb="FFFF0000"/>
      <name val="Calibri"/>
      <family val="2"/>
      <scheme val="minor"/>
    </font>
    <font>
      <sz val="10"/>
      <color rgb="FF7030A0"/>
      <name val="Arial"/>
      <family val="2"/>
    </font>
    <font>
      <sz val="8"/>
      <color rgb="FF7030A0"/>
      <name val="SWISS"/>
    </font>
    <font>
      <b/>
      <sz val="12"/>
      <color rgb="FFFF0000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8"/>
      <color rgb="FF0000FF"/>
      <name val="SWISS"/>
    </font>
    <font>
      <sz val="9"/>
      <color rgb="FF0000FF"/>
      <name val="SWISS"/>
    </font>
    <font>
      <sz val="8"/>
      <color rgb="FFFF0000"/>
      <name val="SWISS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u/>
      <sz val="10"/>
      <color rgb="FF0000FF"/>
      <name val="Arial"/>
      <family val="2"/>
    </font>
    <font>
      <sz val="12"/>
      <color rgb="FFFF0000"/>
      <name val="Arial MT"/>
    </font>
    <font>
      <u/>
      <sz val="12"/>
      <color rgb="FFFF0000"/>
      <name val="Arial MT"/>
    </font>
    <font>
      <b/>
      <sz val="11"/>
      <color theme="1"/>
      <name val="Calibri"/>
      <family val="2"/>
      <scheme val="minor"/>
    </font>
    <font>
      <sz val="12"/>
      <color rgb="FF0000FF"/>
      <name val="Arial MT"/>
    </font>
    <font>
      <b/>
      <sz val="11"/>
      <name val="Calibri"/>
      <family val="2"/>
      <scheme val="minor"/>
    </font>
    <font>
      <u/>
      <sz val="10"/>
      <color rgb="FF0000FF"/>
      <name val="Arial"/>
      <family val="2"/>
    </font>
    <font>
      <sz val="12"/>
      <color rgb="FFFF0000"/>
      <name val="Arial"/>
      <family val="2"/>
    </font>
    <font>
      <b/>
      <sz val="10"/>
      <color rgb="FF0070C0"/>
      <name val="Arial"/>
      <family val="2"/>
    </font>
    <font>
      <sz val="11"/>
      <name val="Calibri"/>
      <family val="2"/>
      <scheme val="minor"/>
    </font>
    <font>
      <sz val="9"/>
      <color rgb="FFFF0000"/>
      <name val="SWISS"/>
    </font>
    <font>
      <b/>
      <u/>
      <sz val="11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5"/>
      <color indexed="12"/>
      <name val="Arial"/>
      <family val="2"/>
    </font>
    <font>
      <u/>
      <sz val="12"/>
      <color indexed="12"/>
      <name val="Times New Roman"/>
      <family val="1"/>
    </font>
    <font>
      <sz val="8"/>
      <name val="TMSRMN"/>
    </font>
    <font>
      <sz val="10"/>
      <name val="Courier"/>
      <family val="3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14"/>
      <color theme="1"/>
      <name val="Calibri"/>
      <family val="2"/>
      <scheme val="minor"/>
    </font>
    <font>
      <b/>
      <sz val="8"/>
      <color rgb="FF000000"/>
      <name val="Verdana"/>
      <family val="2"/>
    </font>
    <font>
      <b/>
      <sz val="8"/>
      <color theme="0"/>
      <name val="Arial"/>
      <family val="2"/>
    </font>
    <font>
      <b/>
      <sz val="8"/>
      <color theme="0"/>
      <name val="Verdana"/>
      <family val="2"/>
    </font>
    <font>
      <sz val="8"/>
      <color rgb="FF1F497D"/>
      <name val="Verdana"/>
      <family val="2"/>
    </font>
    <font>
      <b/>
      <sz val="10"/>
      <color rgb="FF00B050"/>
      <name val="Marlett"/>
      <charset val="2"/>
    </font>
    <font>
      <b/>
      <sz val="12"/>
      <color rgb="FF0070C0"/>
      <name val="Arial"/>
      <family val="2"/>
    </font>
    <font>
      <u/>
      <sz val="12"/>
      <name val="Arial"/>
      <family val="2"/>
    </font>
    <font>
      <sz val="12"/>
      <color theme="7" tint="-0.249977111117893"/>
      <name val="Arial"/>
      <family val="2"/>
    </font>
    <font>
      <sz val="9"/>
      <color rgb="FF00B050"/>
      <name val="SWISS"/>
    </font>
    <font>
      <sz val="8"/>
      <name val="Arial"/>
      <family val="2"/>
    </font>
    <font>
      <sz val="12"/>
      <color rgb="FF0000FF"/>
      <name val="Arial"/>
      <family val="2"/>
    </font>
    <font>
      <b/>
      <sz val="10"/>
      <color rgb="FF0000FF"/>
      <name val="SWISS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0"/>
      <color theme="0"/>
      <name val="Arial"/>
      <family val="2"/>
    </font>
    <font>
      <sz val="11"/>
      <color rgb="FF0000FF"/>
      <name val="Arial"/>
      <family val="2"/>
    </font>
    <font>
      <b/>
      <sz val="10"/>
      <color rgb="FF00B050"/>
      <name val="Arial"/>
      <family val="2"/>
    </font>
    <font>
      <b/>
      <u/>
      <sz val="12"/>
      <color theme="0"/>
      <name val="Arial MT"/>
    </font>
    <font>
      <sz val="12"/>
      <color theme="0"/>
      <name val="Arial MT"/>
    </font>
    <font>
      <b/>
      <sz val="12"/>
      <color theme="0"/>
      <name val="Arial"/>
      <family val="2"/>
    </font>
    <font>
      <b/>
      <u/>
      <sz val="10"/>
      <color theme="3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u/>
      <sz val="11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i/>
      <sz val="9"/>
      <color indexed="62"/>
      <name val="Arial"/>
      <family val="2"/>
    </font>
    <font>
      <sz val="9"/>
      <color theme="0" tint="-0.499984740745262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0" tint="-0.34998626667073579"/>
      <name val="Arial"/>
      <family val="2"/>
    </font>
    <font>
      <b/>
      <sz val="9"/>
      <color theme="1"/>
      <name val="Arial"/>
      <family val="2"/>
    </font>
    <font>
      <sz val="8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i/>
      <sz val="9"/>
      <color theme="1"/>
      <name val="Arial"/>
      <family val="2"/>
    </font>
    <font>
      <b/>
      <sz val="12"/>
      <color rgb="FF000000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theme="5" tint="0.39994506668294322"/>
        <bgColor rgb="FF000000"/>
      </patternFill>
    </fill>
    <fill>
      <patternFill patternType="solid">
        <fgColor rgb="FF081307"/>
        <bgColor rgb="FF000000"/>
      </patternFill>
    </fill>
    <fill>
      <patternFill patternType="solid">
        <fgColor theme="5" tint="0.39994506668294322"/>
        <bgColor rgb="FFFFFFFF"/>
      </patternFill>
    </fill>
    <fill>
      <patternFill patternType="solid">
        <fgColor rgb="FF001F5C"/>
        <bgColor theme="3" tint="-0.499984740745262"/>
      </patternFill>
    </fill>
    <fill>
      <patternFill patternType="solid">
        <fgColor rgb="FF002060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8C9C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8DB4E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0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</borders>
  <cellStyleXfs count="39630">
    <xf numFmtId="0" fontId="0" fillId="0" borderId="0"/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176" fontId="30" fillId="0" borderId="0">
      <alignment horizontal="left" wrapText="1"/>
    </xf>
    <xf numFmtId="175" fontId="30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175" fontId="4" fillId="0" borderId="0">
      <alignment horizontal="left" wrapText="1"/>
    </xf>
    <xf numFmtId="175" fontId="88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1" fillId="0" borderId="0">
      <alignment horizontal="left" wrapText="1"/>
    </xf>
    <xf numFmtId="175" fontId="30" fillId="0" borderId="0">
      <alignment horizontal="left" wrapText="1"/>
    </xf>
    <xf numFmtId="175" fontId="94" fillId="0" borderId="0">
      <alignment horizontal="left" wrapText="1"/>
    </xf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3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0" fontId="55" fillId="3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7" fillId="16" borderId="1" applyNumberFormat="0" applyAlignment="0" applyProtection="0"/>
    <xf numFmtId="0" fontId="58" fillId="17" borderId="2" applyNumberFormat="0" applyAlignment="0" applyProtection="0"/>
    <xf numFmtId="43" fontId="4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5" fontId="3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30" fillId="0" borderId="0" applyFont="0" applyFill="0" applyBorder="0" applyAlignment="0" applyProtection="0"/>
    <xf numFmtId="14" fontId="30" fillId="0" borderId="0" applyFont="0" applyFill="0" applyBorder="0" applyAlignment="0" applyProtection="0"/>
    <xf numFmtId="1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2" fontId="30" fillId="0" borderId="0" applyFont="0" applyFill="0" applyBorder="0" applyAlignment="0" applyProtection="0"/>
    <xf numFmtId="183" fontId="89" fillId="0" borderId="0"/>
    <xf numFmtId="0" fontId="60" fillId="6" borderId="0" applyNumberFormat="0" applyBorder="0" applyAlignment="0" applyProtection="0"/>
    <xf numFmtId="0" fontId="61" fillId="0" borderId="3" applyNumberFormat="0" applyFill="0" applyAlignment="0" applyProtection="0"/>
    <xf numFmtId="0" fontId="62" fillId="0" borderId="4" applyNumberFormat="0" applyFill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4" fillId="7" borderId="1" applyNumberFormat="0" applyAlignment="0" applyProtection="0"/>
    <xf numFmtId="0" fontId="65" fillId="0" borderId="6" applyNumberFormat="0" applyFill="0" applyAlignment="0" applyProtection="0"/>
    <xf numFmtId="0" fontId="66" fillId="7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87" fillId="0" borderId="0"/>
    <xf numFmtId="0" fontId="30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0" fillId="0" borderId="0"/>
    <xf numFmtId="0" fontId="95" fillId="0" borderId="0"/>
    <xf numFmtId="0" fontId="87" fillId="0" borderId="0"/>
    <xf numFmtId="0" fontId="30" fillId="0" borderId="0"/>
    <xf numFmtId="0" fontId="49" fillId="0" borderId="0"/>
    <xf numFmtId="0" fontId="49" fillId="16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90" fillId="0" borderId="0"/>
    <xf numFmtId="0" fontId="30" fillId="0" borderId="0"/>
    <xf numFmtId="0" fontId="96" fillId="0" borderId="0"/>
    <xf numFmtId="0" fontId="30" fillId="0" borderId="0"/>
    <xf numFmtId="0" fontId="95" fillId="0" borderId="0"/>
    <xf numFmtId="0" fontId="30" fillId="0" borderId="0"/>
    <xf numFmtId="0" fontId="95" fillId="0" borderId="0"/>
    <xf numFmtId="0" fontId="49" fillId="0" borderId="0"/>
    <xf numFmtId="0" fontId="24" fillId="16" borderId="0"/>
    <xf numFmtId="0" fontId="49" fillId="0" borderId="0"/>
    <xf numFmtId="0" fontId="49" fillId="0" borderId="0"/>
    <xf numFmtId="0" fontId="95" fillId="0" borderId="0"/>
    <xf numFmtId="0" fontId="43" fillId="0" borderId="0">
      <alignment vertical="top"/>
    </xf>
    <xf numFmtId="0" fontId="49" fillId="0" borderId="0"/>
    <xf numFmtId="0" fontId="95" fillId="0" borderId="0"/>
    <xf numFmtId="0" fontId="30" fillId="0" borderId="0"/>
    <xf numFmtId="0" fontId="49" fillId="0" borderId="0"/>
    <xf numFmtId="0" fontId="49" fillId="0" borderId="0"/>
    <xf numFmtId="0" fontId="30" fillId="0" borderId="0"/>
    <xf numFmtId="0" fontId="95" fillId="0" borderId="0"/>
    <xf numFmtId="0" fontId="30" fillId="0" borderId="0"/>
    <xf numFmtId="0" fontId="30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9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5" fillId="0" borderId="0"/>
    <xf numFmtId="0" fontId="49" fillId="0" borderId="0"/>
    <xf numFmtId="0" fontId="95" fillId="0" borderId="0"/>
    <xf numFmtId="0" fontId="30" fillId="4" borderId="7" applyNumberFormat="0" applyFont="0" applyAlignment="0" applyProtection="0"/>
    <xf numFmtId="0" fontId="67" fillId="16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176" fontId="4" fillId="0" borderId="0">
      <alignment horizontal="left" wrapText="1"/>
    </xf>
    <xf numFmtId="176" fontId="88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30" fillId="0" borderId="0">
      <alignment horizontal="left" wrapText="1"/>
    </xf>
    <xf numFmtId="176" fontId="91" fillId="0" borderId="0">
      <alignment horizontal="left" wrapText="1"/>
    </xf>
    <xf numFmtId="176" fontId="30" fillId="0" borderId="0">
      <alignment horizontal="left" wrapText="1"/>
    </xf>
    <xf numFmtId="176" fontId="91" fillId="0" borderId="0">
      <alignment horizontal="left" wrapText="1"/>
    </xf>
    <xf numFmtId="176" fontId="30" fillId="0" borderId="0">
      <alignment horizontal="left" wrapText="1"/>
    </xf>
    <xf numFmtId="176" fontId="94" fillId="0" borderId="0">
      <alignment horizontal="left" wrapText="1"/>
    </xf>
    <xf numFmtId="175" fontId="30" fillId="0" borderId="0">
      <alignment horizontal="left" wrapText="1"/>
    </xf>
    <xf numFmtId="0" fontId="68" fillId="0" borderId="0" applyNumberFormat="0" applyBorder="0" applyAlignment="0"/>
    <xf numFmtId="0" fontId="69" fillId="0" borderId="0" applyNumberFormat="0" applyBorder="0" applyAlignment="0"/>
    <xf numFmtId="0" fontId="70" fillId="0" borderId="0" applyNumberFormat="0" applyBorder="0" applyAlignment="0"/>
    <xf numFmtId="0" fontId="70" fillId="0" borderId="0" applyNumberFormat="0" applyBorder="0" applyAlignment="0"/>
    <xf numFmtId="0" fontId="71" fillId="0" borderId="0" applyNumberFormat="0" applyFill="0" applyBorder="0" applyAlignment="0" applyProtection="0"/>
    <xf numFmtId="0" fontId="72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3" fontId="128" fillId="0" borderId="0" applyProtection="0"/>
    <xf numFmtId="3" fontId="129" fillId="0" borderId="0" applyProtection="0"/>
    <xf numFmtId="3" fontId="130" fillId="0" borderId="0" applyProtection="0"/>
    <xf numFmtId="2" fontId="4" fillId="0" borderId="0" applyFont="0" applyFill="0" applyBorder="0" applyAlignment="0" applyProtection="0"/>
    <xf numFmtId="0" fontId="37" fillId="0" borderId="0" applyNumberFormat="0" applyFont="0" applyFill="0" applyAlignment="0" applyProtection="0"/>
    <xf numFmtId="0" fontId="37" fillId="0" borderId="0" applyNumberFormat="0" applyFont="0" applyFill="0" applyAlignment="0" applyProtection="0"/>
    <xf numFmtId="37" fontId="49" fillId="0" borderId="0"/>
    <xf numFmtId="0" fontId="2" fillId="0" borderId="0"/>
    <xf numFmtId="0" fontId="2" fillId="0" borderId="0"/>
    <xf numFmtId="37" fontId="49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9" fillId="0" borderId="0"/>
    <xf numFmtId="0" fontId="49" fillId="0" borderId="0"/>
    <xf numFmtId="43" fontId="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 applyNumberFormat="0" applyFill="0" applyBorder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134" fillId="0" borderId="47" applyNumberFormat="0" applyFill="0" applyAlignment="0" applyProtection="0"/>
    <xf numFmtId="0" fontId="134" fillId="0" borderId="0" applyNumberFormat="0" applyFill="0" applyBorder="0" applyAlignment="0" applyProtection="0"/>
    <xf numFmtId="0" fontId="135" fillId="40" borderId="0" applyNumberFormat="0" applyBorder="0" applyAlignment="0" applyProtection="0"/>
    <xf numFmtId="0" fontId="136" fillId="41" borderId="0" applyNumberFormat="0" applyBorder="0" applyAlignment="0" applyProtection="0"/>
    <xf numFmtId="0" fontId="137" fillId="42" borderId="0" applyNumberFormat="0" applyBorder="0" applyAlignment="0" applyProtection="0"/>
    <xf numFmtId="0" fontId="138" fillId="43" borderId="48" applyNumberFormat="0" applyAlignment="0" applyProtection="0"/>
    <xf numFmtId="0" fontId="140" fillId="44" borderId="48" applyNumberFormat="0" applyAlignment="0" applyProtection="0"/>
    <xf numFmtId="0" fontId="141" fillId="0" borderId="50" applyNumberFormat="0" applyFill="0" applyAlignment="0" applyProtection="0"/>
    <xf numFmtId="0" fontId="142" fillId="45" borderId="51" applyNumberFormat="0" applyAlignment="0" applyProtection="0"/>
    <xf numFmtId="0" fontId="143" fillId="0" borderId="0" applyNumberFormat="0" applyFill="0" applyBorder="0" applyAlignment="0" applyProtection="0"/>
    <xf numFmtId="0" fontId="144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144" fillId="49" borderId="0" applyNumberFormat="0" applyBorder="0" applyAlignment="0" applyProtection="0"/>
    <xf numFmtId="0" fontId="144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144" fillId="53" borderId="0" applyNumberFormat="0" applyBorder="0" applyAlignment="0" applyProtection="0"/>
    <xf numFmtId="0" fontId="144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144" fillId="57" borderId="0" applyNumberFormat="0" applyBorder="0" applyAlignment="0" applyProtection="0"/>
    <xf numFmtId="0" fontId="144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144" fillId="61" borderId="0" applyNumberFormat="0" applyBorder="0" applyAlignment="0" applyProtection="0"/>
    <xf numFmtId="0" fontId="144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144" fillId="64" borderId="0" applyNumberFormat="0" applyBorder="0" applyAlignment="0" applyProtection="0"/>
    <xf numFmtId="0" fontId="144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144" fillId="68" borderId="0" applyNumberFormat="0" applyBorder="0" applyAlignment="0" applyProtection="0"/>
    <xf numFmtId="0" fontId="49" fillId="0" borderId="0"/>
    <xf numFmtId="0" fontId="2" fillId="0" borderId="0"/>
    <xf numFmtId="0" fontId="4" fillId="0" borderId="0"/>
    <xf numFmtId="0" fontId="2" fillId="0" borderId="0"/>
    <xf numFmtId="0" fontId="96" fillId="0" borderId="0"/>
    <xf numFmtId="0" fontId="24" fillId="16" borderId="0"/>
    <xf numFmtId="0" fontId="4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144" fillId="49" borderId="0" applyNumberFormat="0" applyBorder="0" applyAlignment="0" applyProtection="0"/>
    <xf numFmtId="0" fontId="144" fillId="53" borderId="0" applyNumberFormat="0" applyBorder="0" applyAlignment="0" applyProtection="0"/>
    <xf numFmtId="0" fontId="144" fillId="57" borderId="0" applyNumberFormat="0" applyBorder="0" applyAlignment="0" applyProtection="0"/>
    <xf numFmtId="0" fontId="144" fillId="61" borderId="0" applyNumberFormat="0" applyBorder="0" applyAlignment="0" applyProtection="0"/>
    <xf numFmtId="0" fontId="144" fillId="64" borderId="0" applyNumberFormat="0" applyBorder="0" applyAlignment="0" applyProtection="0"/>
    <xf numFmtId="0" fontId="144" fillId="68" borderId="0" applyNumberFormat="0" applyBorder="0" applyAlignment="0" applyProtection="0"/>
    <xf numFmtId="0" fontId="144" fillId="47" borderId="0" applyNumberFormat="0" applyBorder="0" applyAlignment="0" applyProtection="0"/>
    <xf numFmtId="0" fontId="144" fillId="50" borderId="0" applyNumberFormat="0" applyBorder="0" applyAlignment="0" applyProtection="0"/>
    <xf numFmtId="0" fontId="144" fillId="54" borderId="0" applyNumberFormat="0" applyBorder="0" applyAlignment="0" applyProtection="0"/>
    <xf numFmtId="0" fontId="144" fillId="58" borderId="0" applyNumberFormat="0" applyBorder="0" applyAlignment="0" applyProtection="0"/>
    <xf numFmtId="0" fontId="144" fillId="62" borderId="0" applyNumberFormat="0" applyBorder="0" applyAlignment="0" applyProtection="0"/>
    <xf numFmtId="0" fontId="144" fillId="65" borderId="0" applyNumberFormat="0" applyBorder="0" applyAlignment="0" applyProtection="0"/>
    <xf numFmtId="0" fontId="136" fillId="41" borderId="0" applyNumberFormat="0" applyBorder="0" applyAlignment="0" applyProtection="0"/>
    <xf numFmtId="0" fontId="140" fillId="44" borderId="48" applyNumberFormat="0" applyAlignment="0" applyProtection="0"/>
    <xf numFmtId="0" fontId="142" fillId="45" borderId="51" applyNumberFormat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5" fillId="40" borderId="0" applyNumberFormat="0" applyBorder="0" applyAlignment="0" applyProtection="0"/>
    <xf numFmtId="0" fontId="129" fillId="0" borderId="0" applyNumberFormat="0" applyFont="0" applyFill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134" fillId="0" borderId="47" applyNumberFormat="0" applyFill="0" applyAlignment="0" applyProtection="0"/>
    <xf numFmtId="0" fontId="134" fillId="0" borderId="0" applyNumberFormat="0" applyFill="0" applyBorder="0" applyAlignment="0" applyProtection="0"/>
    <xf numFmtId="0" fontId="138" fillId="43" borderId="48" applyNumberFormat="0" applyAlignment="0" applyProtection="0"/>
    <xf numFmtId="0" fontId="141" fillId="0" borderId="50" applyNumberFormat="0" applyFill="0" applyAlignment="0" applyProtection="0"/>
    <xf numFmtId="0" fontId="137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" fillId="46" borderId="52" applyNumberFormat="0" applyFont="0" applyAlignment="0" applyProtection="0"/>
    <xf numFmtId="0" fontId="139" fillId="44" borderId="49" applyNumberFormat="0" applyAlignment="0" applyProtection="0"/>
    <xf numFmtId="9" fontId="49" fillId="0" borderId="0" applyFont="0" applyFill="0" applyBorder="0" applyAlignment="0" applyProtection="0"/>
    <xf numFmtId="0" fontId="4" fillId="0" borderId="54" applyNumberFormat="0" applyFont="0" applyBorder="0" applyAlignment="0" applyProtection="0"/>
    <xf numFmtId="0" fontId="116" fillId="0" borderId="53" applyNumberFormat="0" applyFill="0" applyAlignment="0" applyProtection="0"/>
    <xf numFmtId="0" fontId="101" fillId="0" borderId="0" applyNumberFormat="0" applyFill="0" applyBorder="0" applyAlignment="0" applyProtection="0"/>
    <xf numFmtId="0" fontId="96" fillId="0" borderId="0"/>
    <xf numFmtId="0" fontId="24" fillId="16" borderId="0"/>
    <xf numFmtId="0" fontId="43" fillId="0" borderId="0">
      <alignment vertical="top"/>
    </xf>
    <xf numFmtId="0" fontId="2" fillId="0" borderId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6" borderId="0" applyNumberFormat="0" applyBorder="0" applyAlignment="0" applyProtection="0"/>
    <xf numFmtId="0" fontId="2" fillId="63" borderId="0" applyNumberFormat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6" borderId="0" applyNumberFormat="0" applyBorder="0" applyAlignment="0" applyProtection="0"/>
    <xf numFmtId="0" fontId="2" fillId="48" borderId="0" applyNumberFormat="0" applyBorder="0" applyAlignment="0" applyProtection="0"/>
    <xf numFmtId="0" fontId="2" fillId="63" borderId="0" applyNumberFormat="0" applyBorder="0" applyAlignment="0" applyProtection="0"/>
    <xf numFmtId="0" fontId="4" fillId="0" borderId="0"/>
    <xf numFmtId="0" fontId="2" fillId="3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9" fontId="4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7" fillId="0" borderId="0"/>
    <xf numFmtId="0" fontId="2" fillId="0" borderId="0"/>
    <xf numFmtId="0" fontId="87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87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139" fillId="44" borderId="4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6" fillId="0" borderId="53" applyNumberFormat="0" applyFill="0" applyAlignment="0" applyProtection="0"/>
    <xf numFmtId="0" fontId="10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87" fillId="0" borderId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6" borderId="52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6" borderId="0" applyNumberFormat="0" applyBorder="0" applyAlignment="0" applyProtection="0"/>
    <xf numFmtId="0" fontId="2" fillId="63" borderId="0" applyNumberFormat="0" applyBorder="0" applyAlignment="0" applyProtection="0"/>
    <xf numFmtId="0" fontId="2" fillId="48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1" borderId="0" applyNumberFormat="0" applyBorder="0" applyAlignment="0" applyProtection="0"/>
    <xf numFmtId="0" fontId="2" fillId="63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6" borderId="0" applyNumberFormat="0" applyBorder="0" applyAlignment="0" applyProtection="0"/>
    <xf numFmtId="0" fontId="2" fillId="48" borderId="0" applyNumberFormat="0" applyBorder="0" applyAlignment="0" applyProtection="0"/>
    <xf numFmtId="0" fontId="2" fillId="63" borderId="0" applyNumberFormat="0" applyBorder="0" applyAlignment="0" applyProtection="0"/>
    <xf numFmtId="0" fontId="2" fillId="3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5" borderId="0" applyNumberFormat="0" applyBorder="0" applyAlignment="0" applyProtection="0"/>
    <xf numFmtId="0" fontId="2" fillId="51" borderId="0" applyNumberFormat="0" applyBorder="0" applyAlignment="0" applyProtection="0"/>
    <xf numFmtId="0" fontId="2" fillId="4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139" fillId="44" borderId="49" applyNumberFormat="0" applyAlignment="0" applyProtection="0"/>
    <xf numFmtId="0" fontId="101" fillId="0" borderId="0" applyNumberFormat="0" applyFill="0" applyBorder="0" applyAlignment="0" applyProtection="0"/>
    <xf numFmtId="0" fontId="147" fillId="0" borderId="0"/>
    <xf numFmtId="0" fontId="49" fillId="0" borderId="0"/>
    <xf numFmtId="0" fontId="129" fillId="0" borderId="0" applyNumberFormat="0" applyFont="0" applyFill="0" applyAlignment="0" applyProtection="0"/>
    <xf numFmtId="0" fontId="37" fillId="0" borderId="0" applyNumberFormat="0" applyFont="0" applyFill="0" applyAlignment="0" applyProtection="0"/>
    <xf numFmtId="0" fontId="4" fillId="0" borderId="54" applyNumberFormat="0" applyFont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37" fontId="49" fillId="0" borderId="0"/>
    <xf numFmtId="0" fontId="2" fillId="0" borderId="0"/>
    <xf numFmtId="43" fontId="2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3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6" borderId="0" applyNumberFormat="0" applyBorder="0" applyAlignment="0" applyProtection="0"/>
    <xf numFmtId="0" fontId="54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0" fontId="55" fillId="3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7" fillId="16" borderId="1" applyNumberFormat="0" applyAlignment="0" applyProtection="0"/>
    <xf numFmtId="0" fontId="58" fillId="17" borderId="2" applyNumberFormat="0" applyAlignment="0" applyProtection="0"/>
    <xf numFmtId="0" fontId="59" fillId="0" borderId="0" applyNumberFormat="0" applyFill="0" applyBorder="0" applyAlignment="0" applyProtection="0"/>
    <xf numFmtId="0" fontId="60" fillId="6" borderId="0" applyNumberFormat="0" applyBorder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1" applyNumberFormat="0" applyAlignment="0" applyProtection="0"/>
    <xf numFmtId="0" fontId="65" fillId="0" borderId="6" applyNumberFormat="0" applyFill="0" applyAlignment="0" applyProtection="0"/>
    <xf numFmtId="0" fontId="66" fillId="7" borderId="0" applyNumberFormat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49" fillId="16" borderId="0"/>
    <xf numFmtId="37" fontId="49" fillId="0" borderId="0"/>
    <xf numFmtId="0" fontId="148" fillId="0" borderId="0"/>
    <xf numFmtId="0" fontId="49" fillId="0" borderId="0"/>
    <xf numFmtId="0" fontId="49" fillId="0" borderId="0"/>
    <xf numFmtId="0" fontId="49" fillId="4" borderId="7" applyNumberFormat="0" applyFont="0" applyAlignment="0" applyProtection="0"/>
    <xf numFmtId="0" fontId="49" fillId="4" borderId="7" applyNumberFormat="0" applyFont="0" applyAlignment="0" applyProtection="0"/>
    <xf numFmtId="0" fontId="67" fillId="16" borderId="8" applyNumberFormat="0" applyAlignment="0" applyProtection="0"/>
    <xf numFmtId="9" fontId="4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2" fillId="0" borderId="45" applyNumberFormat="0" applyFill="0" applyAlignment="0" applyProtection="0"/>
    <xf numFmtId="0" fontId="133" fillId="0" borderId="46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" fillId="46" borderId="52" applyNumberFormat="0" applyFont="0" applyAlignment="0" applyProtection="0"/>
    <xf numFmtId="0" fontId="116" fillId="0" borderId="53" applyNumberFormat="0" applyFill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37" fontId="49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9" borderId="0" applyNumberFormat="0" applyBorder="0" applyAlignment="0" applyProtection="0"/>
    <xf numFmtId="0" fontId="2" fillId="63" borderId="0" applyNumberFormat="0" applyBorder="0" applyAlignment="0" applyProtection="0"/>
    <xf numFmtId="0" fontId="2" fillId="66" borderId="0" applyNumberFormat="0" applyBorder="0" applyAlignment="0" applyProtection="0"/>
    <xf numFmtId="0" fontId="2" fillId="38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39" borderId="0" applyNumberFormat="0" applyBorder="0" applyAlignment="0" applyProtection="0"/>
    <xf numFmtId="0" fontId="2" fillId="6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46" borderId="52" applyNumberFormat="0" applyFont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46" borderId="52" applyNumberFormat="0" applyFont="0" applyAlignment="0" applyProtection="0"/>
    <xf numFmtId="0" fontId="2" fillId="48" borderId="0" applyNumberFormat="0" applyBorder="0" applyAlignment="0" applyProtection="0"/>
    <xf numFmtId="0" fontId="2" fillId="3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3" borderId="0" applyNumberFormat="0" applyBorder="0" applyAlignment="0" applyProtection="0"/>
    <xf numFmtId="0" fontId="2" fillId="39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46" borderId="52" applyNumberFormat="0" applyFont="0" applyAlignment="0" applyProtection="0"/>
    <xf numFmtId="0" fontId="63" fillId="0" borderId="5" applyNumberFormat="0" applyFill="0" applyAlignment="0" applyProtection="0"/>
    <xf numFmtId="0" fontId="49" fillId="16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4" fillId="0" borderId="0">
      <alignment wrapText="1"/>
    </xf>
    <xf numFmtId="187" fontId="149" fillId="69" borderId="55" applyNumberFormat="0" applyProtection="0">
      <alignment horizontal="left" vertical="center" wrapText="1" indent="1"/>
    </xf>
    <xf numFmtId="0" fontId="116" fillId="0" borderId="0">
      <alignment wrapText="1"/>
    </xf>
    <xf numFmtId="49" fontId="158" fillId="89" borderId="56">
      <alignment horizontal="left" vertical="center" wrapText="1" indent="1"/>
    </xf>
    <xf numFmtId="187" fontId="149" fillId="0" borderId="59" applyNumberFormat="0" applyAlignment="0" applyProtection="0">
      <alignment horizontal="right" vertical="center" indent="1"/>
    </xf>
    <xf numFmtId="187" fontId="157" fillId="88" borderId="60" applyNumberFormat="0" applyAlignment="0" applyProtection="0">
      <alignment horizontal="right" vertical="center" indent="1"/>
    </xf>
    <xf numFmtId="187" fontId="149" fillId="70" borderId="56" applyNumberFormat="0" applyAlignment="0" applyProtection="0">
      <alignment horizontal="left" vertical="center" indent="1"/>
    </xf>
    <xf numFmtId="0" fontId="149" fillId="71" borderId="56" applyNumberFormat="0" applyAlignment="0" applyProtection="0">
      <alignment horizontal="left" vertical="center" indent="1"/>
    </xf>
    <xf numFmtId="187" fontId="149" fillId="72" borderId="59" applyNumberFormat="0" applyBorder="0" applyAlignment="0" applyProtection="0">
      <alignment horizontal="right" vertical="center" indent="1"/>
    </xf>
    <xf numFmtId="0" fontId="149" fillId="70" borderId="56" applyNumberFormat="0" applyAlignment="0" applyProtection="0">
      <alignment horizontal="left" vertical="center" indent="1"/>
    </xf>
    <xf numFmtId="187" fontId="157" fillId="79" borderId="60" applyNumberFormat="0" applyAlignment="0" applyProtection="0">
      <alignment horizontal="right" vertical="center" indent="1"/>
    </xf>
    <xf numFmtId="187" fontId="157" fillId="72" borderId="60" applyNumberFormat="0" applyAlignment="0" applyProtection="0">
      <alignment horizontal="right" vertical="center" indent="1"/>
    </xf>
    <xf numFmtId="187" fontId="159" fillId="87" borderId="57" applyNumberFormat="0" applyBorder="0" applyAlignment="0" applyProtection="0">
      <alignment horizontal="right" vertical="center" indent="1"/>
    </xf>
    <xf numFmtId="187" fontId="157" fillId="86" borderId="57" applyNumberFormat="0" applyBorder="0" applyAlignment="0" applyProtection="0">
      <alignment horizontal="right" vertical="center" indent="1"/>
    </xf>
    <xf numFmtId="187" fontId="150" fillId="73" borderId="57" applyNumberFormat="0" applyBorder="0" applyAlignment="0" applyProtection="0">
      <alignment horizontal="right" vertical="center" indent="1"/>
    </xf>
    <xf numFmtId="187" fontId="151" fillId="80" borderId="57" applyNumberFormat="0" applyBorder="0" applyAlignment="0" applyProtection="0">
      <alignment horizontal="right" vertical="center" indent="1"/>
    </xf>
    <xf numFmtId="187" fontId="151" fillId="81" borderId="57" applyNumberFormat="0" applyBorder="0" applyAlignment="0" applyProtection="0">
      <alignment horizontal="right" vertical="center" indent="1"/>
    </xf>
    <xf numFmtId="187" fontId="151" fillId="82" borderId="57" applyNumberFormat="0" applyBorder="0" applyAlignment="0" applyProtection="0">
      <alignment horizontal="right" vertical="center" indent="1"/>
    </xf>
    <xf numFmtId="187" fontId="152" fillId="74" borderId="57" applyNumberFormat="0" applyBorder="0" applyAlignment="0" applyProtection="0">
      <alignment horizontal="right" vertical="center" indent="1"/>
    </xf>
    <xf numFmtId="187" fontId="152" fillId="75" borderId="57" applyNumberFormat="0" applyBorder="0" applyAlignment="0" applyProtection="0">
      <alignment horizontal="right" vertical="center" indent="1"/>
    </xf>
    <xf numFmtId="187" fontId="152" fillId="76" borderId="57" applyNumberFormat="0" applyBorder="0" applyAlignment="0" applyProtection="0">
      <alignment horizontal="right" vertical="center" indent="1"/>
    </xf>
    <xf numFmtId="0" fontId="153" fillId="0" borderId="55" applyNumberFormat="0" applyFont="0" applyFill="0" applyAlignment="0" applyProtection="0"/>
    <xf numFmtId="0" fontId="157" fillId="86" borderId="56" applyNumberFormat="0" applyAlignment="0" applyProtection="0">
      <alignment horizontal="left" vertical="center" indent="1"/>
    </xf>
    <xf numFmtId="0" fontId="154" fillId="0" borderId="58" applyNumberFormat="0" applyFill="0" applyBorder="0" applyAlignment="0" applyProtection="0"/>
    <xf numFmtId="187" fontId="155" fillId="79" borderId="60" applyNumberFormat="0" applyAlignment="0" applyProtection="0">
      <alignment horizontal="right" vertical="center" indent="1"/>
    </xf>
    <xf numFmtId="187" fontId="154" fillId="70" borderId="56" applyNumberFormat="0" applyAlignment="0" applyProtection="0">
      <alignment horizontal="left" vertical="center" indent="1"/>
    </xf>
    <xf numFmtId="0" fontId="154" fillId="70" borderId="56" applyNumberFormat="0" applyAlignment="0" applyProtection="0">
      <alignment horizontal="left" vertical="center" indent="1"/>
    </xf>
    <xf numFmtId="0" fontId="154" fillId="71" borderId="56" applyNumberFormat="0" applyAlignment="0" applyProtection="0">
      <alignment horizontal="left" vertical="center" indent="1"/>
    </xf>
    <xf numFmtId="187" fontId="155" fillId="79" borderId="60" applyNumberFormat="0" applyAlignment="0" applyProtection="0">
      <alignment horizontal="right" vertical="center" indent="1"/>
    </xf>
    <xf numFmtId="187" fontId="154" fillId="72" borderId="59" applyNumberFormat="0" applyBorder="0" applyAlignment="0" applyProtection="0">
      <alignment horizontal="right" vertical="center" indent="1"/>
    </xf>
    <xf numFmtId="187" fontId="155" fillId="72" borderId="60" applyNumberFormat="0" applyAlignment="0" applyProtection="0">
      <alignment horizontal="right" vertical="center" indent="1"/>
    </xf>
    <xf numFmtId="0" fontId="156" fillId="0" borderId="0">
      <alignment horizontal="center" vertical="center"/>
    </xf>
    <xf numFmtId="0" fontId="149" fillId="77" borderId="56" applyNumberFormat="0" applyAlignment="0" applyProtection="0">
      <alignment horizontal="left" vertical="center" indent="1"/>
    </xf>
    <xf numFmtId="0" fontId="149" fillId="78" borderId="56" applyNumberFormat="0" applyAlignment="0" applyProtection="0">
      <alignment horizontal="left" vertical="center" indent="1"/>
    </xf>
    <xf numFmtId="0" fontId="149" fillId="84" borderId="56" applyNumberFormat="0" applyAlignment="0" applyProtection="0">
      <alignment horizontal="left" vertical="center" indent="1"/>
    </xf>
    <xf numFmtId="0" fontId="149" fillId="85" borderId="56" applyNumberFormat="0" applyAlignment="0" applyProtection="0">
      <alignment horizontal="left" vertical="center" indent="1"/>
    </xf>
    <xf numFmtId="0" fontId="149" fillId="71" borderId="56" applyNumberFormat="0" applyAlignment="0" applyProtection="0">
      <alignment horizontal="left" vertical="center" indent="1"/>
    </xf>
    <xf numFmtId="49" fontId="159" fillId="90" borderId="55">
      <alignment vertical="center" wrapText="1"/>
    </xf>
    <xf numFmtId="0" fontId="149" fillId="69" borderId="60" applyNumberFormat="0" applyAlignment="0" applyProtection="0">
      <alignment horizontal="left" vertical="center" indent="1"/>
    </xf>
    <xf numFmtId="0" fontId="149" fillId="83" borderId="60" applyNumberFormat="0" applyAlignment="0" applyProtection="0">
      <alignment horizontal="left" vertical="center" indent="1"/>
    </xf>
    <xf numFmtId="187" fontId="160" fillId="91" borderId="55" applyNumberFormat="0" applyAlignment="0" applyProtection="0">
      <alignment horizontal="left" vertical="center" indent="1"/>
    </xf>
    <xf numFmtId="0" fontId="4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178" fillId="0" borderId="0" applyFont="0" applyFill="0" applyBorder="0" applyAlignment="0" applyProtection="0"/>
    <xf numFmtId="0" fontId="181" fillId="100" borderId="0">
      <alignment vertical="center"/>
    </xf>
    <xf numFmtId="0" fontId="25" fillId="0" borderId="0"/>
    <xf numFmtId="0" fontId="184" fillId="0" borderId="0">
      <alignment horizontal="center"/>
    </xf>
    <xf numFmtId="194" fontId="185" fillId="25" borderId="69">
      <alignment horizontal="right"/>
      <protection locked="0"/>
    </xf>
    <xf numFmtId="195" fontId="185" fillId="0" borderId="0">
      <alignment horizontal="center"/>
    </xf>
    <xf numFmtId="196" fontId="185" fillId="25" borderId="69">
      <protection locked="0"/>
    </xf>
    <xf numFmtId="0" fontId="186" fillId="0" borderId="0">
      <alignment vertical="center"/>
    </xf>
    <xf numFmtId="0" fontId="187" fillId="0" borderId="0"/>
    <xf numFmtId="196" fontId="185" fillId="0" borderId="0"/>
    <xf numFmtId="0" fontId="188" fillId="0" borderId="0">
      <alignment horizontal="left" vertical="center"/>
    </xf>
    <xf numFmtId="0" fontId="189" fillId="101" borderId="0">
      <alignment vertical="center"/>
    </xf>
    <xf numFmtId="0" fontId="190" fillId="102" borderId="0">
      <alignment vertical="center"/>
    </xf>
    <xf numFmtId="0" fontId="191" fillId="0" borderId="0">
      <alignment horizontal="center"/>
    </xf>
    <xf numFmtId="198" fontId="193" fillId="0" borderId="70">
      <alignment horizontal="center" vertical="center"/>
    </xf>
    <xf numFmtId="196" fontId="185" fillId="0" borderId="13"/>
    <xf numFmtId="199" fontId="185" fillId="0" borderId="0"/>
    <xf numFmtId="197" fontId="185" fillId="26" borderId="69">
      <protection locked="0"/>
    </xf>
  </cellStyleXfs>
  <cellXfs count="1140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37" fontId="5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fill"/>
    </xf>
    <xf numFmtId="0" fontId="5" fillId="0" borderId="0" xfId="0" applyFont="1" applyAlignment="1">
      <alignment horizontal="fill"/>
    </xf>
    <xf numFmtId="5" fontId="5" fillId="0" borderId="0" xfId="0" applyNumberFormat="1" applyFont="1"/>
    <xf numFmtId="0" fontId="10" fillId="0" borderId="0" xfId="0" applyFont="1" applyProtection="1">
      <protection locked="0"/>
    </xf>
    <xf numFmtId="0" fontId="14" fillId="0" borderId="10" xfId="0" applyFont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0" borderId="12" xfId="0" applyFont="1" applyBorder="1" applyAlignment="1">
      <alignment horizontal="centerContinuous"/>
    </xf>
    <xf numFmtId="37" fontId="0" fillId="0" borderId="0" xfId="0" applyNumberFormat="1"/>
    <xf numFmtId="0" fontId="18" fillId="0" borderId="0" xfId="0" applyFont="1"/>
    <xf numFmtId="0" fontId="0" fillId="0" borderId="0" xfId="0" applyAlignment="1">
      <alignment horizontal="centerContinuous"/>
    </xf>
    <xf numFmtId="0" fontId="24" fillId="0" borderId="0" xfId="0" applyFont="1"/>
    <xf numFmtId="0" fontId="24" fillId="0" borderId="0" xfId="0" applyFont="1" applyAlignment="1">
      <alignment horizontal="center"/>
    </xf>
    <xf numFmtId="0" fontId="27" fillId="0" borderId="0" xfId="0" applyFont="1"/>
    <xf numFmtId="37" fontId="24" fillId="0" borderId="0" xfId="0" applyNumberFormat="1" applyFont="1"/>
    <xf numFmtId="0" fontId="30" fillId="0" borderId="0" xfId="0" applyFont="1"/>
    <xf numFmtId="0" fontId="11" fillId="0" borderId="0" xfId="0" applyFont="1"/>
    <xf numFmtId="0" fontId="0" fillId="0" borderId="0" xfId="0" applyAlignment="1">
      <alignment horizontal="left"/>
    </xf>
    <xf numFmtId="0" fontId="2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15" fillId="0" borderId="0" xfId="0" applyFont="1"/>
    <xf numFmtId="0" fontId="42" fillId="0" borderId="0" xfId="0" applyFont="1" applyAlignment="1">
      <alignment horizontal="left"/>
    </xf>
    <xf numFmtId="0" fontId="43" fillId="0" borderId="0" xfId="0" quotePrefix="1" applyFont="1"/>
    <xf numFmtId="0" fontId="44" fillId="0" borderId="0" xfId="0" quotePrefix="1" applyFont="1"/>
    <xf numFmtId="0" fontId="25" fillId="0" borderId="0" xfId="0" applyFont="1"/>
    <xf numFmtId="0" fontId="37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167" fontId="5" fillId="0" borderId="0" xfId="63" applyNumberFormat="1" applyFont="1"/>
    <xf numFmtId="167" fontId="5" fillId="0" borderId="14" xfId="63" applyNumberFormat="1" applyFont="1" applyBorder="1"/>
    <xf numFmtId="167" fontId="0" fillId="0" borderId="0" xfId="63" applyNumberFormat="1" applyFont="1"/>
    <xf numFmtId="167" fontId="5" fillId="0" borderId="0" xfId="63" applyNumberFormat="1" applyFont="1" applyAlignment="1">
      <alignment horizontal="right"/>
    </xf>
    <xf numFmtId="167" fontId="6" fillId="0" borderId="0" xfId="63" applyNumberFormat="1" applyFont="1" applyProtection="1">
      <protection locked="0"/>
    </xf>
    <xf numFmtId="167" fontId="40" fillId="18" borderId="15" xfId="63" applyNumberFormat="1" applyFont="1" applyFill="1" applyBorder="1"/>
    <xf numFmtId="167" fontId="6" fillId="0" borderId="0" xfId="63" applyNumberFormat="1" applyFont="1"/>
    <xf numFmtId="169" fontId="0" fillId="0" borderId="0" xfId="0" applyNumberFormat="1"/>
    <xf numFmtId="0" fontId="47" fillId="0" borderId="0" xfId="0" applyFont="1"/>
    <xf numFmtId="167" fontId="48" fillId="19" borderId="15" xfId="63" applyNumberFormat="1" applyFont="1" applyFill="1" applyBorder="1"/>
    <xf numFmtId="0" fontId="50" fillId="0" borderId="0" xfId="0" applyFont="1"/>
    <xf numFmtId="0" fontId="53" fillId="0" borderId="0" xfId="0" applyFont="1"/>
    <xf numFmtId="0" fontId="74" fillId="0" borderId="0" xfId="0" applyFont="1"/>
    <xf numFmtId="0" fontId="37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1" fontId="74" fillId="0" borderId="0" xfId="0" applyNumberFormat="1" applyFont="1" applyAlignment="1">
      <alignment horizontal="center"/>
    </xf>
    <xf numFmtId="10" fontId="74" fillId="0" borderId="0" xfId="239" applyNumberFormat="1" applyFont="1"/>
    <xf numFmtId="0" fontId="73" fillId="0" borderId="0" xfId="0" applyFont="1"/>
    <xf numFmtId="0" fontId="42" fillId="0" borderId="0" xfId="0" applyFont="1" applyAlignment="1">
      <alignment horizontal="center"/>
    </xf>
    <xf numFmtId="3" fontId="37" fillId="0" borderId="0" xfId="0" applyNumberFormat="1" applyFont="1"/>
    <xf numFmtId="6" fontId="37" fillId="0" borderId="0" xfId="0" quotePrefix="1" applyNumberFormat="1" applyFont="1" applyAlignment="1">
      <alignment horizontal="left"/>
    </xf>
    <xf numFmtId="0" fontId="37" fillId="0" borderId="0" xfId="0" applyFont="1"/>
    <xf numFmtId="1" fontId="37" fillId="0" borderId="0" xfId="0" applyNumberFormat="1" applyFont="1" applyAlignment="1">
      <alignment horizontal="center"/>
    </xf>
    <xf numFmtId="10" fontId="37" fillId="0" borderId="0" xfId="239" applyNumberFormat="1" applyFont="1"/>
    <xf numFmtId="0" fontId="37" fillId="0" borderId="0" xfId="0" quotePrefix="1" applyFont="1" applyAlignment="1">
      <alignment horizontal="left"/>
    </xf>
    <xf numFmtId="0" fontId="37" fillId="0" borderId="16" xfId="0" quotePrefix="1" applyFont="1" applyBorder="1" applyAlignment="1">
      <alignment horizontal="center"/>
    </xf>
    <xf numFmtId="1" fontId="37" fillId="0" borderId="16" xfId="0" applyNumberFormat="1" applyFont="1" applyBorder="1" applyAlignment="1">
      <alignment horizontal="center"/>
    </xf>
    <xf numFmtId="3" fontId="41" fillId="0" borderId="0" xfId="0" applyNumberFormat="1" applyFont="1"/>
    <xf numFmtId="0" fontId="77" fillId="0" borderId="0" xfId="0" quotePrefix="1" applyFont="1" applyAlignment="1">
      <alignment horizontal="right"/>
    </xf>
    <xf numFmtId="0" fontId="42" fillId="0" borderId="0" xfId="0" quotePrefix="1" applyFont="1" applyAlignment="1">
      <alignment horizontal="right"/>
    </xf>
    <xf numFmtId="3" fontId="37" fillId="0" borderId="16" xfId="0" applyNumberFormat="1" applyFont="1" applyBorder="1"/>
    <xf numFmtId="6" fontId="37" fillId="0" borderId="0" xfId="0" applyNumberFormat="1" applyFont="1"/>
    <xf numFmtId="173" fontId="37" fillId="0" borderId="0" xfId="0" applyNumberFormat="1" applyFont="1"/>
    <xf numFmtId="1" fontId="42" fillId="0" borderId="0" xfId="0" applyNumberFormat="1" applyFont="1" applyAlignment="1">
      <alignment horizontal="center"/>
    </xf>
    <xf numFmtId="10" fontId="37" fillId="0" borderId="0" xfId="0" applyNumberFormat="1" applyFont="1"/>
    <xf numFmtId="0" fontId="74" fillId="0" borderId="16" xfId="0" applyFont="1" applyBorder="1"/>
    <xf numFmtId="42" fontId="37" fillId="0" borderId="0" xfId="0" applyNumberFormat="1" applyFont="1"/>
    <xf numFmtId="37" fontId="37" fillId="0" borderId="0" xfId="0" applyNumberFormat="1" applyFont="1"/>
    <xf numFmtId="37" fontId="41" fillId="0" borderId="16" xfId="0" applyNumberFormat="1" applyFont="1" applyBorder="1"/>
    <xf numFmtId="0" fontId="34" fillId="0" borderId="16" xfId="0" applyFont="1" applyBorder="1" applyAlignment="1">
      <alignment horizontal="left"/>
    </xf>
    <xf numFmtId="37" fontId="41" fillId="0" borderId="0" xfId="0" applyNumberFormat="1" applyFont="1"/>
    <xf numFmtId="1" fontId="78" fillId="0" borderId="0" xfId="0" applyNumberFormat="1" applyFont="1" applyAlignment="1">
      <alignment horizontal="center"/>
    </xf>
    <xf numFmtId="0" fontId="34" fillId="0" borderId="0" xfId="0" applyFont="1" applyAlignment="1">
      <alignment horizontal="left"/>
    </xf>
    <xf numFmtId="1" fontId="41" fillId="0" borderId="0" xfId="239" applyNumberFormat="1" applyFont="1" applyAlignment="1">
      <alignment horizontal="center"/>
    </xf>
    <xf numFmtId="167" fontId="0" fillId="0" borderId="0" xfId="0" applyNumberFormat="1"/>
    <xf numFmtId="0" fontId="49" fillId="0" borderId="0" xfId="0" applyFont="1"/>
    <xf numFmtId="1" fontId="78" fillId="0" borderId="16" xfId="0" applyNumberFormat="1" applyFont="1" applyBorder="1" applyAlignment="1">
      <alignment horizontal="center"/>
    </xf>
    <xf numFmtId="167" fontId="31" fillId="0" borderId="0" xfId="63" applyNumberFormat="1" applyFont="1"/>
    <xf numFmtId="167" fontId="43" fillId="0" borderId="0" xfId="63" applyNumberFormat="1" applyFont="1"/>
    <xf numFmtId="167" fontId="53" fillId="0" borderId="0" xfId="63" applyNumberFormat="1" applyFont="1"/>
    <xf numFmtId="167" fontId="43" fillId="0" borderId="14" xfId="63" applyNumberFormat="1" applyFont="1" applyBorder="1"/>
    <xf numFmtId="167" fontId="43" fillId="0" borderId="16" xfId="63" applyNumberFormat="1" applyFont="1" applyBorder="1"/>
    <xf numFmtId="167" fontId="0" fillId="0" borderId="0" xfId="63" applyNumberFormat="1" applyFont="1" applyAlignment="1">
      <alignment horizontal="centerContinuous"/>
    </xf>
    <xf numFmtId="167" fontId="5" fillId="0" borderId="17" xfId="63" applyNumberFormat="1" applyFont="1" applyBorder="1"/>
    <xf numFmtId="37" fontId="5" fillId="0" borderId="0" xfId="0" applyNumberFormat="1" applyFont="1" applyAlignment="1">
      <alignment horizontal="center"/>
    </xf>
    <xf numFmtId="37" fontId="10" fillId="0" borderId="0" xfId="0" applyNumberFormat="1" applyFont="1"/>
    <xf numFmtId="5" fontId="24" fillId="0" borderId="0" xfId="0" applyNumberFormat="1" applyFont="1"/>
    <xf numFmtId="37" fontId="5" fillId="0" borderId="0" xfId="0" applyNumberFormat="1" applyFont="1" applyAlignment="1">
      <alignment horizontal="right"/>
    </xf>
    <xf numFmtId="167" fontId="30" fillId="0" borderId="0" xfId="68" applyNumberFormat="1"/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36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17" xfId="0" applyFont="1" applyBorder="1"/>
    <xf numFmtId="37" fontId="10" fillId="0" borderId="17" xfId="0" applyNumberFormat="1" applyFont="1" applyBorder="1"/>
    <xf numFmtId="164" fontId="10" fillId="0" borderId="17" xfId="0" applyNumberFormat="1" applyFont="1" applyBorder="1"/>
    <xf numFmtId="164" fontId="10" fillId="0" borderId="0" xfId="0" applyNumberFormat="1" applyFont="1"/>
    <xf numFmtId="164" fontId="5" fillId="0" borderId="0" xfId="0" applyNumberFormat="1" applyFont="1"/>
    <xf numFmtId="0" fontId="10" fillId="0" borderId="18" xfId="0" applyFont="1" applyBorder="1"/>
    <xf numFmtId="0" fontId="5" fillId="0" borderId="18" xfId="0" applyFont="1" applyBorder="1"/>
    <xf numFmtId="0" fontId="12" fillId="0" borderId="0" xfId="0" applyFont="1"/>
    <xf numFmtId="0" fontId="10" fillId="0" borderId="17" xfId="0" applyFont="1" applyBorder="1" applyAlignment="1">
      <alignment horizontal="center"/>
    </xf>
    <xf numFmtId="0" fontId="10" fillId="0" borderId="19" xfId="0" applyFont="1" applyBorder="1"/>
    <xf numFmtId="0" fontId="10" fillId="0" borderId="20" xfId="0" applyFont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5" fillId="0" borderId="20" xfId="0" applyFont="1" applyBorder="1"/>
    <xf numFmtId="0" fontId="10" fillId="0" borderId="21" xfId="0" applyFont="1" applyBorder="1" applyAlignment="1">
      <alignment horizontal="center"/>
    </xf>
    <xf numFmtId="0" fontId="10" fillId="0" borderId="24" xfId="0" applyFont="1" applyBorder="1"/>
    <xf numFmtId="0" fontId="10" fillId="0" borderId="25" xfId="0" applyFont="1" applyBorder="1"/>
    <xf numFmtId="0" fontId="10" fillId="0" borderId="0" xfId="0" applyFont="1" applyAlignment="1">
      <alignment horizontal="right"/>
    </xf>
    <xf numFmtId="169" fontId="11" fillId="0" borderId="0" xfId="0" applyNumberFormat="1" applyFont="1" applyAlignment="1">
      <alignment horizontal="centerContinuous"/>
    </xf>
    <xf numFmtId="0" fontId="5" fillId="0" borderId="0" xfId="0" applyFont="1" applyAlignment="1">
      <alignment horizontal="left"/>
    </xf>
    <xf numFmtId="0" fontId="5" fillId="0" borderId="17" xfId="0" applyFont="1" applyBorder="1" applyAlignment="1">
      <alignment horizontal="center"/>
    </xf>
    <xf numFmtId="0" fontId="8" fillId="0" borderId="0" xfId="0" applyFont="1"/>
    <xf numFmtId="167" fontId="7" fillId="0" borderId="0" xfId="63" applyNumberFormat="1" applyFont="1"/>
    <xf numFmtId="167" fontId="13" fillId="0" borderId="0" xfId="63" applyNumberFormat="1" applyFont="1"/>
    <xf numFmtId="167" fontId="5" fillId="0" borderId="16" xfId="63" applyNumberFormat="1" applyFont="1" applyBorder="1"/>
    <xf numFmtId="167" fontId="5" fillId="0" borderId="18" xfId="63" applyNumberFormat="1" applyFont="1" applyBorder="1"/>
    <xf numFmtId="37" fontId="14" fillId="0" borderId="0" xfId="0" applyNumberFormat="1" applyFont="1" applyAlignment="1">
      <alignment horizontal="centerContinuous"/>
    </xf>
    <xf numFmtId="37" fontId="15" fillId="0" borderId="0" xfId="0" applyNumberFormat="1" applyFont="1" applyAlignment="1">
      <alignment horizontal="centerContinuous"/>
    </xf>
    <xf numFmtId="37" fontId="5" fillId="0" borderId="0" xfId="0" applyNumberFormat="1" applyFont="1" applyAlignment="1">
      <alignment horizontal="centerContinuous"/>
    </xf>
    <xf numFmtId="0" fontId="14" fillId="0" borderId="0" xfId="0" applyFont="1" applyAlignment="1">
      <alignment horizontal="centerContinuous"/>
    </xf>
    <xf numFmtId="37" fontId="15" fillId="0" borderId="0" xfId="0" applyNumberFormat="1" applyFont="1" applyAlignment="1">
      <alignment horizontal="left"/>
    </xf>
    <xf numFmtId="169" fontId="14" fillId="0" borderId="0" xfId="0" applyNumberFormat="1" applyFont="1" applyAlignment="1">
      <alignment horizontal="centerContinuous"/>
    </xf>
    <xf numFmtId="37" fontId="5" fillId="0" borderId="17" xfId="0" applyNumberFormat="1" applyFont="1" applyBorder="1" applyAlignment="1">
      <alignment horizontal="center"/>
    </xf>
    <xf numFmtId="0" fontId="6" fillId="0" borderId="0" xfId="0" applyFont="1"/>
    <xf numFmtId="168" fontId="5" fillId="0" borderId="0" xfId="63" applyNumberFormat="1" applyFont="1"/>
    <xf numFmtId="167" fontId="19" fillId="0" borderId="0" xfId="63" applyNumberFormat="1" applyFont="1"/>
    <xf numFmtId="167" fontId="19" fillId="0" borderId="16" xfId="63" applyNumberFormat="1" applyFont="1" applyBorder="1"/>
    <xf numFmtId="167" fontId="6" fillId="0" borderId="18" xfId="63" applyNumberFormat="1" applyFont="1" applyBorder="1" applyProtection="1">
      <protection locked="0"/>
    </xf>
    <xf numFmtId="37" fontId="5" fillId="0" borderId="0" xfId="0" applyNumberFormat="1" applyFont="1" applyAlignment="1">
      <alignment horizontal="left"/>
    </xf>
    <xf numFmtId="0" fontId="16" fillId="0" borderId="0" xfId="0" applyFont="1"/>
    <xf numFmtId="37" fontId="16" fillId="0" borderId="0" xfId="0" applyNumberFormat="1" applyFont="1"/>
    <xf numFmtId="37" fontId="16" fillId="0" borderId="17" xfId="0" applyNumberFormat="1" applyFont="1" applyBorder="1" applyAlignment="1">
      <alignment horizontal="centerContinuous"/>
    </xf>
    <xf numFmtId="37" fontId="16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37" fontId="16" fillId="0" borderId="17" xfId="0" applyNumberFormat="1" applyFont="1" applyBorder="1" applyAlignment="1">
      <alignment horizontal="center"/>
    </xf>
    <xf numFmtId="167" fontId="16" fillId="0" borderId="0" xfId="63" applyNumberFormat="1" applyFont="1"/>
    <xf numFmtId="164" fontId="16" fillId="0" borderId="0" xfId="0" applyNumberFormat="1" applyFont="1"/>
    <xf numFmtId="164" fontId="20" fillId="0" borderId="0" xfId="0" applyNumberFormat="1" applyFont="1"/>
    <xf numFmtId="167" fontId="16" fillId="0" borderId="17" xfId="63" applyNumberFormat="1" applyFont="1" applyBorder="1"/>
    <xf numFmtId="164" fontId="16" fillId="0" borderId="17" xfId="0" applyNumberFormat="1" applyFont="1" applyBorder="1"/>
    <xf numFmtId="37" fontId="16" fillId="0" borderId="18" xfId="0" applyNumberFormat="1" applyFont="1" applyBorder="1"/>
    <xf numFmtId="164" fontId="16" fillId="0" borderId="18" xfId="0" applyNumberFormat="1" applyFont="1" applyBorder="1"/>
    <xf numFmtId="37" fontId="11" fillId="0" borderId="0" xfId="0" applyNumberFormat="1" applyFont="1" applyAlignment="1">
      <alignment horizontal="centerContinuous"/>
    </xf>
    <xf numFmtId="37" fontId="10" fillId="0" borderId="0" xfId="0" applyNumberFormat="1" applyFont="1" applyAlignment="1">
      <alignment horizontal="centerContinuous"/>
    </xf>
    <xf numFmtId="37" fontId="10" fillId="0" borderId="0" xfId="0" applyNumberFormat="1" applyFont="1" applyAlignment="1">
      <alignment horizontal="left"/>
    </xf>
    <xf numFmtId="37" fontId="15" fillId="0" borderId="0" xfId="0" applyNumberFormat="1" applyFont="1"/>
    <xf numFmtId="179" fontId="5" fillId="0" borderId="0" xfId="63" applyNumberFormat="1" applyFont="1"/>
    <xf numFmtId="39" fontId="10" fillId="0" borderId="0" xfId="0" applyNumberFormat="1" applyFont="1"/>
    <xf numFmtId="39" fontId="22" fillId="0" borderId="0" xfId="0" applyNumberFormat="1" applyFont="1"/>
    <xf numFmtId="39" fontId="10" fillId="0" borderId="26" xfId="0" applyNumberFormat="1" applyFont="1" applyBorder="1"/>
    <xf numFmtId="39" fontId="10" fillId="0" borderId="17" xfId="0" applyNumberFormat="1" applyFont="1" applyBorder="1"/>
    <xf numFmtId="39" fontId="10" fillId="0" borderId="18" xfId="0" applyNumberFormat="1" applyFont="1" applyBorder="1"/>
    <xf numFmtId="37" fontId="17" fillId="0" borderId="0" xfId="0" applyNumberFormat="1" applyFont="1"/>
    <xf numFmtId="167" fontId="97" fillId="0" borderId="0" xfId="63" applyNumberFormat="1" applyFont="1" applyAlignment="1">
      <alignment horizontal="center"/>
    </xf>
    <xf numFmtId="169" fontId="5" fillId="0" borderId="0" xfId="0" applyNumberFormat="1" applyFont="1" applyProtection="1">
      <protection locked="0"/>
    </xf>
    <xf numFmtId="37" fontId="8" fillId="0" borderId="0" xfId="0" applyNumberFormat="1" applyFont="1" applyAlignment="1">
      <alignment horizontal="center"/>
    </xf>
    <xf numFmtId="167" fontId="5" fillId="0" borderId="0" xfId="0" applyNumberFormat="1" applyFont="1"/>
    <xf numFmtId="169" fontId="25" fillId="0" borderId="0" xfId="0" applyNumberFormat="1" applyFont="1" applyAlignment="1">
      <alignment horizontal="center"/>
    </xf>
    <xf numFmtId="17" fontId="25" fillId="0" borderId="0" xfId="0" applyNumberFormat="1" applyFont="1" applyAlignment="1">
      <alignment horizontal="center"/>
    </xf>
    <xf numFmtId="17" fontId="26" fillId="0" borderId="0" xfId="0" applyNumberFormat="1" applyFont="1" applyAlignment="1">
      <alignment horizontal="center"/>
    </xf>
    <xf numFmtId="37" fontId="24" fillId="0" borderId="0" xfId="0" applyNumberFormat="1" applyFont="1" applyAlignment="1">
      <alignment horizontal="right"/>
    </xf>
    <xf numFmtId="43" fontId="5" fillId="0" borderId="0" xfId="63" applyFont="1"/>
    <xf numFmtId="167" fontId="19" fillId="0" borderId="0" xfId="63" applyNumberFormat="1" applyFont="1" applyProtection="1">
      <protection locked="0"/>
    </xf>
    <xf numFmtId="164" fontId="38" fillId="0" borderId="0" xfId="0" applyNumberFormat="1" applyFont="1"/>
    <xf numFmtId="0" fontId="0" fillId="0" borderId="27" xfId="0" applyBorder="1"/>
    <xf numFmtId="43" fontId="0" fillId="0" borderId="0" xfId="63" applyFont="1" applyAlignment="1">
      <alignment horizontal="left"/>
    </xf>
    <xf numFmtId="43" fontId="0" fillId="0" borderId="0" xfId="63" applyFont="1"/>
    <xf numFmtId="43" fontId="25" fillId="0" borderId="0" xfId="63" applyFont="1" applyAlignment="1">
      <alignment horizontal="center"/>
    </xf>
    <xf numFmtId="0" fontId="99" fillId="0" borderId="0" xfId="0" applyFont="1"/>
    <xf numFmtId="10" fontId="5" fillId="0" borderId="0" xfId="229" applyNumberFormat="1" applyFont="1"/>
    <xf numFmtId="167" fontId="4" fillId="0" borderId="0" xfId="63" applyNumberFormat="1"/>
    <xf numFmtId="169" fontId="100" fillId="0" borderId="0" xfId="0" applyNumberFormat="1" applyFont="1" applyAlignment="1">
      <alignment horizontal="left"/>
    </xf>
    <xf numFmtId="167" fontId="97" fillId="0" borderId="0" xfId="68" applyNumberFormat="1" applyFont="1"/>
    <xf numFmtId="167" fontId="30" fillId="0" borderId="14" xfId="68" applyNumberFormat="1" applyBorder="1"/>
    <xf numFmtId="164" fontId="10" fillId="20" borderId="17" xfId="0" applyNumberFormat="1" applyFont="1" applyFill="1" applyBorder="1"/>
    <xf numFmtId="0" fontId="49" fillId="0" borderId="0" xfId="0" applyFont="1" applyAlignment="1">
      <alignment horizontal="center"/>
    </xf>
    <xf numFmtId="178" fontId="102" fillId="0" borderId="0" xfId="99" applyNumberFormat="1" applyFont="1"/>
    <xf numFmtId="14" fontId="76" fillId="0" borderId="0" xfId="0" applyNumberFormat="1" applyFont="1" applyAlignment="1">
      <alignment horizontal="center"/>
    </xf>
    <xf numFmtId="0" fontId="76" fillId="0" borderId="0" xfId="0" applyFont="1" applyAlignment="1">
      <alignment horizontal="center"/>
    </xf>
    <xf numFmtId="177" fontId="33" fillId="0" borderId="16" xfId="0" applyNumberFormat="1" applyFont="1" applyBorder="1" applyAlignment="1">
      <alignment horizontal="center"/>
    </xf>
    <xf numFmtId="0" fontId="103" fillId="0" borderId="0" xfId="0" applyFont="1" applyAlignment="1">
      <alignment horizontal="left"/>
    </xf>
    <xf numFmtId="10" fontId="104" fillId="0" borderId="0" xfId="0" applyNumberFormat="1" applyFont="1"/>
    <xf numFmtId="37" fontId="49" fillId="0" borderId="0" xfId="0" applyNumberFormat="1" applyFont="1"/>
    <xf numFmtId="37" fontId="49" fillId="0" borderId="16" xfId="0" applyNumberFormat="1" applyFont="1" applyBorder="1"/>
    <xf numFmtId="37" fontId="49" fillId="0" borderId="0" xfId="0" applyNumberFormat="1" applyFont="1" applyAlignment="1">
      <alignment horizontal="right"/>
    </xf>
    <xf numFmtId="10" fontId="107" fillId="0" borderId="0" xfId="0" applyNumberFormat="1" applyFont="1"/>
    <xf numFmtId="37" fontId="108" fillId="0" borderId="0" xfId="0" applyNumberFormat="1" applyFont="1"/>
    <xf numFmtId="10" fontId="107" fillId="0" borderId="17" xfId="0" applyNumberFormat="1" applyFont="1" applyBorder="1"/>
    <xf numFmtId="10" fontId="108" fillId="0" borderId="18" xfId="0" applyNumberFormat="1" applyFont="1" applyBorder="1"/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167" fontId="109" fillId="0" borderId="0" xfId="63" applyNumberFormat="1" applyFont="1"/>
    <xf numFmtId="0" fontId="49" fillId="0" borderId="0" xfId="0" applyFont="1" applyAlignment="1">
      <alignment horizontal="left" indent="1"/>
    </xf>
    <xf numFmtId="0" fontId="0" fillId="21" borderId="0" xfId="0" applyFill="1"/>
    <xf numFmtId="167" fontId="6" fillId="21" borderId="0" xfId="63" applyNumberFormat="1" applyFont="1" applyFill="1"/>
    <xf numFmtId="167" fontId="109" fillId="21" borderId="0" xfId="63" applyNumberFormat="1" applyFont="1" applyFill="1"/>
    <xf numFmtId="167" fontId="109" fillId="0" borderId="17" xfId="63" applyNumberFormat="1" applyFont="1" applyBorder="1"/>
    <xf numFmtId="170" fontId="102" fillId="0" borderId="0" xfId="0" applyNumberFormat="1" applyFont="1"/>
    <xf numFmtId="0" fontId="24" fillId="0" borderId="0" xfId="0" applyFont="1" applyAlignment="1">
      <alignment horizontal="left"/>
    </xf>
    <xf numFmtId="0" fontId="97" fillId="0" borderId="0" xfId="0" applyFont="1"/>
    <xf numFmtId="0" fontId="0" fillId="0" borderId="0" xfId="0" applyAlignment="1">
      <alignment horizontal="center"/>
    </xf>
    <xf numFmtId="10" fontId="92" fillId="0" borderId="0" xfId="232" applyNumberFormat="1" applyFont="1"/>
    <xf numFmtId="170" fontId="99" fillId="0" borderId="0" xfId="0" applyNumberFormat="1" applyFont="1"/>
    <xf numFmtId="10" fontId="0" fillId="0" borderId="0" xfId="229" applyNumberFormat="1" applyFont="1"/>
    <xf numFmtId="0" fontId="113" fillId="0" borderId="0" xfId="0" applyFont="1"/>
    <xf numFmtId="0" fontId="115" fillId="0" borderId="0" xfId="0" applyFont="1"/>
    <xf numFmtId="0" fontId="106" fillId="0" borderId="0" xfId="0" applyFont="1" applyAlignment="1">
      <alignment horizontal="right"/>
    </xf>
    <xf numFmtId="0" fontId="0" fillId="26" borderId="0" xfId="0" applyFill="1"/>
    <xf numFmtId="184" fontId="5" fillId="0" borderId="0" xfId="63" applyNumberFormat="1" applyFont="1"/>
    <xf numFmtId="0" fontId="0" fillId="0" borderId="32" xfId="0" applyBorder="1"/>
    <xf numFmtId="0" fontId="18" fillId="0" borderId="3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27" xfId="0" applyFont="1" applyBorder="1" applyAlignment="1">
      <alignment horizontal="center"/>
    </xf>
    <xf numFmtId="37" fontId="31" fillId="0" borderId="0" xfId="0" applyNumberFormat="1" applyFont="1" applyProtection="1">
      <protection locked="0"/>
    </xf>
    <xf numFmtId="10" fontId="31" fillId="0" borderId="0" xfId="0" applyNumberFormat="1" applyFont="1" applyProtection="1">
      <protection locked="0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167" fontId="24" fillId="0" borderId="0" xfId="68" applyNumberFormat="1" applyFont="1"/>
    <xf numFmtId="167" fontId="24" fillId="0" borderId="16" xfId="68" applyNumberFormat="1" applyFont="1" applyBorder="1"/>
    <xf numFmtId="167" fontId="24" fillId="0" borderId="0" xfId="68" applyNumberFormat="1" applyFont="1" applyAlignment="1">
      <alignment horizontal="fill"/>
    </xf>
    <xf numFmtId="167" fontId="24" fillId="0" borderId="14" xfId="68" applyNumberFormat="1" applyFont="1" applyBorder="1"/>
    <xf numFmtId="37" fontId="24" fillId="0" borderId="0" xfId="0" applyNumberFormat="1" applyFont="1" applyAlignment="1">
      <alignment horizontal="center"/>
    </xf>
    <xf numFmtId="167" fontId="5" fillId="0" borderId="0" xfId="68" applyNumberFormat="1" applyFont="1"/>
    <xf numFmtId="167" fontId="5" fillId="0" borderId="13" xfId="68" applyNumberFormat="1" applyFont="1" applyBorder="1" applyAlignment="1">
      <alignment horizontal="right"/>
    </xf>
    <xf numFmtId="167" fontId="5" fillId="0" borderId="14" xfId="68" applyNumberFormat="1" applyFont="1" applyBorder="1"/>
    <xf numFmtId="167" fontId="5" fillId="0" borderId="0" xfId="68" applyNumberFormat="1" applyFont="1" applyAlignment="1">
      <alignment horizontal="right"/>
    </xf>
    <xf numFmtId="37" fontId="5" fillId="0" borderId="32" xfId="0" applyNumberFormat="1" applyFont="1" applyBorder="1"/>
    <xf numFmtId="37" fontId="5" fillId="0" borderId="27" xfId="0" applyNumberFormat="1" applyFont="1" applyBorder="1"/>
    <xf numFmtId="37" fontId="40" fillId="0" borderId="32" xfId="0" applyNumberFormat="1" applyFont="1" applyBorder="1"/>
    <xf numFmtId="37" fontId="5" fillId="0" borderId="35" xfId="0" applyNumberFormat="1" applyFont="1" applyBorder="1"/>
    <xf numFmtId="37" fontId="5" fillId="0" borderId="36" xfId="0" applyNumberFormat="1" applyFont="1" applyBorder="1"/>
    <xf numFmtId="37" fontId="5" fillId="0" borderId="37" xfId="0" applyNumberFormat="1" applyFont="1" applyBorder="1"/>
    <xf numFmtId="37" fontId="109" fillId="0" borderId="40" xfId="0" applyNumberFormat="1" applyFont="1" applyBorder="1"/>
    <xf numFmtId="37" fontId="109" fillId="0" borderId="41" xfId="0" applyNumberFormat="1" applyFont="1" applyBorder="1"/>
    <xf numFmtId="37" fontId="109" fillId="0" borderId="42" xfId="0" applyNumberFormat="1" applyFont="1" applyBorder="1"/>
    <xf numFmtId="37" fontId="109" fillId="0" borderId="35" xfId="0" applyNumberFormat="1" applyFont="1" applyBorder="1"/>
    <xf numFmtId="37" fontId="109" fillId="0" borderId="36" xfId="0" applyNumberFormat="1" applyFont="1" applyBorder="1"/>
    <xf numFmtId="0" fontId="97" fillId="0" borderId="37" xfId="0" applyFont="1" applyBorder="1"/>
    <xf numFmtId="167" fontId="52" fillId="0" borderId="0" xfId="63" applyNumberFormat="1" applyFont="1"/>
    <xf numFmtId="167" fontId="5" fillId="0" borderId="16" xfId="63" applyNumberFormat="1" applyFont="1" applyBorder="1" applyAlignment="1">
      <alignment horizontal="right"/>
    </xf>
    <xf numFmtId="37" fontId="45" fillId="0" borderId="0" xfId="0" applyNumberFormat="1" applyFont="1"/>
    <xf numFmtId="0" fontId="97" fillId="21" borderId="0" xfId="0" applyFont="1" applyFill="1"/>
    <xf numFmtId="167" fontId="43" fillId="25" borderId="0" xfId="63" applyNumberFormat="1" applyFont="1" applyFill="1"/>
    <xf numFmtId="167" fontId="4" fillId="25" borderId="0" xfId="63" applyNumberFormat="1" applyFill="1"/>
    <xf numFmtId="167" fontId="43" fillId="25" borderId="30" xfId="63" applyNumberFormat="1" applyFont="1" applyFill="1" applyBorder="1"/>
    <xf numFmtId="43" fontId="43" fillId="25" borderId="30" xfId="63" applyFont="1" applyFill="1" applyBorder="1"/>
    <xf numFmtId="43" fontId="4" fillId="25" borderId="0" xfId="63" applyFill="1"/>
    <xf numFmtId="167" fontId="43" fillId="25" borderId="29" xfId="63" applyNumberFormat="1" applyFont="1" applyFill="1" applyBorder="1"/>
    <xf numFmtId="177" fontId="104" fillId="0" borderId="0" xfId="0" quotePrefix="1" applyNumberFormat="1" applyFont="1" applyAlignment="1">
      <alignment horizontal="center"/>
    </xf>
    <xf numFmtId="182" fontId="5" fillId="0" borderId="0" xfId="0" applyNumberFormat="1" applyFont="1"/>
    <xf numFmtId="180" fontId="5" fillId="0" borderId="0" xfId="229" applyNumberFormat="1" applyFont="1"/>
    <xf numFmtId="167" fontId="25" fillId="21" borderId="0" xfId="68" applyNumberFormat="1" applyFont="1" applyFill="1"/>
    <xf numFmtId="0" fontId="111" fillId="21" borderId="0" xfId="0" applyFont="1" applyFill="1" applyAlignment="1">
      <alignment horizontal="center"/>
    </xf>
    <xf numFmtId="167" fontId="25" fillId="21" borderId="16" xfId="68" applyNumberFormat="1" applyFont="1" applyFill="1" applyBorder="1"/>
    <xf numFmtId="167" fontId="25" fillId="21" borderId="30" xfId="68" applyNumberFormat="1" applyFont="1" applyFill="1" applyBorder="1"/>
    <xf numFmtId="17" fontId="26" fillId="27" borderId="0" xfId="0" applyNumberFormat="1" applyFont="1" applyFill="1" applyAlignment="1">
      <alignment horizontal="center"/>
    </xf>
    <xf numFmtId="0" fontId="24" fillId="27" borderId="0" xfId="0" applyFont="1" applyFill="1" applyAlignment="1">
      <alignment horizontal="center"/>
    </xf>
    <xf numFmtId="172" fontId="39" fillId="27" borderId="0" xfId="68" applyNumberFormat="1" applyFont="1" applyFill="1"/>
    <xf numFmtId="0" fontId="24" fillId="27" borderId="0" xfId="0" applyFont="1" applyFill="1"/>
    <xf numFmtId="5" fontId="117" fillId="27" borderId="0" xfId="0" applyNumberFormat="1" applyFont="1" applyFill="1"/>
    <xf numFmtId="167" fontId="117" fillId="27" borderId="0" xfId="68" applyNumberFormat="1" applyFont="1" applyFill="1"/>
    <xf numFmtId="167" fontId="117" fillId="27" borderId="16" xfId="68" applyNumberFormat="1" applyFont="1" applyFill="1" applyBorder="1"/>
    <xf numFmtId="167" fontId="117" fillId="27" borderId="0" xfId="68" applyNumberFormat="1" applyFont="1" applyFill="1" applyAlignment="1">
      <alignment horizontal="fill"/>
    </xf>
    <xf numFmtId="167" fontId="117" fillId="27" borderId="14" xfId="68" applyNumberFormat="1" applyFont="1" applyFill="1" applyBorder="1"/>
    <xf numFmtId="37" fontId="24" fillId="27" borderId="0" xfId="0" applyNumberFormat="1" applyFont="1" applyFill="1" applyAlignment="1">
      <alignment horizontal="right"/>
    </xf>
    <xf numFmtId="37" fontId="24" fillId="27" borderId="0" xfId="0" applyNumberFormat="1" applyFont="1" applyFill="1"/>
    <xf numFmtId="17" fontId="25" fillId="27" borderId="0" xfId="0" applyNumberFormat="1" applyFont="1" applyFill="1" applyAlignment="1">
      <alignment horizontal="center"/>
    </xf>
    <xf numFmtId="37" fontId="24" fillId="27" borderId="0" xfId="0" applyNumberFormat="1" applyFont="1" applyFill="1" applyAlignment="1">
      <alignment horizontal="center"/>
    </xf>
    <xf numFmtId="37" fontId="15" fillId="27" borderId="0" xfId="0" applyNumberFormat="1" applyFont="1" applyFill="1"/>
    <xf numFmtId="0" fontId="114" fillId="20" borderId="0" xfId="0" applyFont="1" applyFill="1" applyAlignment="1">
      <alignment horizontal="center"/>
    </xf>
    <xf numFmtId="167" fontId="5" fillId="27" borderId="0" xfId="68" applyNumberFormat="1" applyFont="1" applyFill="1"/>
    <xf numFmtId="167" fontId="5" fillId="27" borderId="13" xfId="68" applyNumberFormat="1" applyFont="1" applyFill="1" applyBorder="1" applyAlignment="1">
      <alignment horizontal="right"/>
    </xf>
    <xf numFmtId="167" fontId="5" fillId="27" borderId="14" xfId="68" applyNumberFormat="1" applyFont="1" applyFill="1" applyBorder="1"/>
    <xf numFmtId="0" fontId="5" fillId="27" borderId="0" xfId="0" applyFont="1" applyFill="1" applyAlignment="1">
      <alignment horizontal="center"/>
    </xf>
    <xf numFmtId="0" fontId="8" fillId="27" borderId="0" xfId="0" applyFont="1" applyFill="1" applyAlignment="1">
      <alignment horizontal="center"/>
    </xf>
    <xf numFmtId="37" fontId="5" fillId="27" borderId="0" xfId="0" applyNumberFormat="1" applyFont="1" applyFill="1"/>
    <xf numFmtId="37" fontId="0" fillId="27" borderId="0" xfId="0" applyNumberFormat="1" applyFill="1"/>
    <xf numFmtId="167" fontId="25" fillId="20" borderId="0" xfId="63" applyNumberFormat="1" applyFont="1" applyFill="1"/>
    <xf numFmtId="167" fontId="25" fillId="26" borderId="0" xfId="68" applyNumberFormat="1" applyFont="1" applyFill="1"/>
    <xf numFmtId="167" fontId="10" fillId="0" borderId="0" xfId="63" applyNumberFormat="1" applyFont="1"/>
    <xf numFmtId="43" fontId="16" fillId="0" borderId="0" xfId="63" applyFont="1"/>
    <xf numFmtId="0" fontId="25" fillId="26" borderId="0" xfId="0" applyFont="1" applyFill="1" applyAlignment="1">
      <alignment horizontal="center"/>
    </xf>
    <xf numFmtId="4" fontId="25" fillId="20" borderId="0" xfId="0" applyNumberFormat="1" applyFont="1" applyFill="1" applyAlignment="1">
      <alignment horizontal="center"/>
    </xf>
    <xf numFmtId="167" fontId="25" fillId="26" borderId="16" xfId="68" applyNumberFormat="1" applyFont="1" applyFill="1" applyBorder="1"/>
    <xf numFmtId="167" fontId="25" fillId="0" borderId="0" xfId="63" applyNumberFormat="1" applyFont="1"/>
    <xf numFmtId="167" fontId="25" fillId="20" borderId="16" xfId="63" applyNumberFormat="1" applyFont="1" applyFill="1" applyBorder="1"/>
    <xf numFmtId="10" fontId="92" fillId="24" borderId="0" xfId="232" applyNumberFormat="1" applyFont="1" applyFill="1"/>
    <xf numFmtId="43" fontId="25" fillId="0" borderId="0" xfId="63" applyFont="1" applyAlignment="1">
      <alignment horizontal="left"/>
    </xf>
    <xf numFmtId="177" fontId="104" fillId="0" borderId="0" xfId="0" applyNumberFormat="1" applyFont="1" applyAlignment="1">
      <alignment horizontal="center"/>
    </xf>
    <xf numFmtId="10" fontId="49" fillId="0" borderId="0" xfId="0" applyNumberFormat="1" applyFont="1"/>
    <xf numFmtId="10" fontId="49" fillId="0" borderId="16" xfId="0" applyNumberFormat="1" applyFont="1" applyBorder="1"/>
    <xf numFmtId="0" fontId="49" fillId="0" borderId="0" xfId="0" quotePrefix="1" applyFont="1" applyAlignment="1">
      <alignment horizontal="left"/>
    </xf>
    <xf numFmtId="0" fontId="49" fillId="0" borderId="16" xfId="0" quotePrefix="1" applyFont="1" applyBorder="1" applyAlignment="1">
      <alignment horizontal="left"/>
    </xf>
    <xf numFmtId="37" fontId="49" fillId="0" borderId="0" xfId="0" quotePrefix="1" applyNumberFormat="1" applyFont="1" applyAlignment="1">
      <alignment horizontal="left"/>
    </xf>
    <xf numFmtId="3" fontId="49" fillId="0" borderId="0" xfId="0" applyNumberFormat="1" applyFont="1"/>
    <xf numFmtId="49" fontId="34" fillId="27" borderId="0" xfId="0" applyNumberFormat="1" applyFont="1" applyFill="1" applyAlignment="1">
      <alignment horizontal="left"/>
    </xf>
    <xf numFmtId="0" fontId="0" fillId="27" borderId="0" xfId="0" applyFill="1"/>
    <xf numFmtId="43" fontId="93" fillId="27" borderId="0" xfId="63" applyFont="1" applyFill="1"/>
    <xf numFmtId="43" fontId="0" fillId="27" borderId="0" xfId="0" applyNumberFormat="1" applyFill="1"/>
    <xf numFmtId="49" fontId="0" fillId="27" borderId="0" xfId="0" applyNumberFormat="1" applyFill="1"/>
    <xf numFmtId="43" fontId="119" fillId="27" borderId="0" xfId="63" quotePrefix="1" applyFont="1" applyFill="1" applyAlignment="1">
      <alignment horizontal="center"/>
    </xf>
    <xf numFmtId="0" fontId="31" fillId="27" borderId="0" xfId="0" quotePrefix="1" applyFont="1" applyFill="1"/>
    <xf numFmtId="43" fontId="43" fillId="27" borderId="0" xfId="63" applyFont="1" applyFill="1"/>
    <xf numFmtId="0" fontId="97" fillId="27" borderId="0" xfId="0" applyFont="1" applyFill="1"/>
    <xf numFmtId="0" fontId="44" fillId="27" borderId="0" xfId="0" applyFont="1" applyFill="1"/>
    <xf numFmtId="167" fontId="106" fillId="0" borderId="0" xfId="63" applyNumberFormat="1" applyFont="1" applyAlignment="1">
      <alignment horizontal="center"/>
    </xf>
    <xf numFmtId="37" fontId="120" fillId="0" borderId="16" xfId="0" applyNumberFormat="1" applyFont="1" applyBorder="1"/>
    <xf numFmtId="1" fontId="49" fillId="0" borderId="0" xfId="0" applyNumberFormat="1" applyFont="1" applyAlignment="1">
      <alignment horizontal="center"/>
    </xf>
    <xf numFmtId="16" fontId="5" fillId="0" borderId="0" xfId="0" applyNumberFormat="1" applyFont="1"/>
    <xf numFmtId="43" fontId="25" fillId="21" borderId="0" xfId="68" applyFont="1" applyFill="1"/>
    <xf numFmtId="43" fontId="121" fillId="0" borderId="0" xfId="63" applyFont="1" applyAlignment="1">
      <alignment horizontal="center"/>
    </xf>
    <xf numFmtId="172" fontId="121" fillId="0" borderId="0" xfId="63" applyNumberFormat="1" applyFont="1" applyAlignment="1">
      <alignment horizontal="center"/>
    </xf>
    <xf numFmtId="1" fontId="49" fillId="0" borderId="0" xfId="0" quotePrefix="1" applyNumberFormat="1" applyFont="1" applyAlignment="1">
      <alignment horizontal="fill"/>
    </xf>
    <xf numFmtId="0" fontId="49" fillId="0" borderId="16" xfId="0" applyFont="1" applyBorder="1"/>
    <xf numFmtId="1" fontId="49" fillId="0" borderId="16" xfId="0" applyNumberFormat="1" applyFont="1" applyBorder="1" applyAlignment="1">
      <alignment horizontal="center"/>
    </xf>
    <xf numFmtId="10" fontId="49" fillId="0" borderId="0" xfId="240" applyNumberFormat="1" applyFont="1"/>
    <xf numFmtId="1" fontId="49" fillId="0" borderId="0" xfId="240" applyNumberFormat="1" applyFont="1" applyAlignment="1">
      <alignment horizontal="center"/>
    </xf>
    <xf numFmtId="1" fontId="42" fillId="0" borderId="0" xfId="240" applyNumberFormat="1" applyFont="1" applyAlignment="1">
      <alignment horizontal="center"/>
    </xf>
    <xf numFmtId="173" fontId="49" fillId="0" borderId="16" xfId="0" applyNumberFormat="1" applyFont="1" applyBorder="1"/>
    <xf numFmtId="173" fontId="49" fillId="0" borderId="0" xfId="0" applyNumberFormat="1" applyFont="1"/>
    <xf numFmtId="3" fontId="49" fillId="0" borderId="16" xfId="0" applyNumberFormat="1" applyFont="1" applyBorder="1"/>
    <xf numFmtId="170" fontId="99" fillId="0" borderId="16" xfId="0" applyNumberFormat="1" applyFont="1" applyBorder="1"/>
    <xf numFmtId="37" fontId="5" fillId="0" borderId="28" xfId="0" applyNumberFormat="1" applyFont="1" applyBorder="1" applyAlignment="1">
      <alignment horizontal="center"/>
    </xf>
    <xf numFmtId="37" fontId="5" fillId="0" borderId="28" xfId="0" applyNumberFormat="1" applyFont="1" applyBorder="1"/>
    <xf numFmtId="37" fontId="5" fillId="0" borderId="39" xfId="0" applyNumberFormat="1" applyFont="1" applyBorder="1" applyAlignment="1">
      <alignment horizontal="center"/>
    </xf>
    <xf numFmtId="37" fontId="5" fillId="0" borderId="38" xfId="0" applyNumberFormat="1" applyFont="1" applyBorder="1"/>
    <xf numFmtId="10" fontId="5" fillId="0" borderId="38" xfId="232" applyNumberFormat="1" applyFont="1" applyBorder="1"/>
    <xf numFmtId="37" fontId="5" fillId="0" borderId="39" xfId="0" applyNumberFormat="1" applyFont="1" applyBorder="1"/>
    <xf numFmtId="37" fontId="109" fillId="0" borderId="0" xfId="0" applyNumberFormat="1" applyFont="1"/>
    <xf numFmtId="43" fontId="111" fillId="20" borderId="29" xfId="65" applyFont="1" applyFill="1" applyBorder="1"/>
    <xf numFmtId="43" fontId="25" fillId="0" borderId="0" xfId="65" applyFont="1"/>
    <xf numFmtId="167" fontId="76" fillId="0" borderId="0" xfId="70" applyNumberFormat="1" applyFont="1"/>
    <xf numFmtId="167" fontId="76" fillId="0" borderId="0" xfId="70" applyNumberFormat="1" applyFont="1" applyProtection="1">
      <protection locked="0"/>
    </xf>
    <xf numFmtId="177" fontId="104" fillId="0" borderId="16" xfId="0" quotePrefix="1" applyNumberFormat="1" applyFont="1" applyBorder="1" applyAlignment="1">
      <alignment horizontal="center"/>
    </xf>
    <xf numFmtId="167" fontId="5" fillId="20" borderId="0" xfId="63" applyNumberFormat="1" applyFont="1" applyFill="1"/>
    <xf numFmtId="43" fontId="30" fillId="30" borderId="0" xfId="65" applyFill="1"/>
    <xf numFmtId="167" fontId="99" fillId="20" borderId="0" xfId="63" applyNumberFormat="1" applyFont="1" applyFill="1"/>
    <xf numFmtId="167" fontId="5" fillId="20" borderId="0" xfId="68" applyNumberFormat="1" applyFont="1" applyFill="1"/>
    <xf numFmtId="178" fontId="99" fillId="31" borderId="0" xfId="96" applyNumberFormat="1" applyFont="1" applyFill="1"/>
    <xf numFmtId="167" fontId="99" fillId="31" borderId="0" xfId="63" applyNumberFormat="1" applyFont="1" applyFill="1"/>
    <xf numFmtId="167" fontId="99" fillId="31" borderId="16" xfId="63" applyNumberFormat="1" applyFont="1" applyFill="1" applyBorder="1"/>
    <xf numFmtId="167" fontId="99" fillId="31" borderId="0" xfId="68" applyNumberFormat="1" applyFont="1" applyFill="1"/>
    <xf numFmtId="167" fontId="105" fillId="31" borderId="0" xfId="0" applyNumberFormat="1" applyFont="1" applyFill="1"/>
    <xf numFmtId="167" fontId="97" fillId="31" borderId="0" xfId="68" applyNumberFormat="1" applyFont="1" applyFill="1"/>
    <xf numFmtId="167" fontId="97" fillId="31" borderId="16" xfId="68" applyNumberFormat="1" applyFont="1" applyFill="1" applyBorder="1"/>
    <xf numFmtId="167" fontId="99" fillId="31" borderId="16" xfId="68" applyNumberFormat="1" applyFont="1" applyFill="1" applyBorder="1"/>
    <xf numFmtId="170" fontId="102" fillId="32" borderId="0" xfId="0" applyNumberFormat="1" applyFont="1" applyFill="1"/>
    <xf numFmtId="167" fontId="97" fillId="32" borderId="0" xfId="68" applyNumberFormat="1" applyFont="1" applyFill="1"/>
    <xf numFmtId="170" fontId="97" fillId="32" borderId="0" xfId="0" applyNumberFormat="1" applyFont="1" applyFill="1"/>
    <xf numFmtId="167" fontId="99" fillId="32" borderId="16" xfId="63" applyNumberFormat="1" applyFont="1" applyFill="1" applyBorder="1"/>
    <xf numFmtId="170" fontId="97" fillId="32" borderId="16" xfId="0" applyNumberFormat="1" applyFont="1" applyFill="1" applyBorder="1"/>
    <xf numFmtId="43" fontId="25" fillId="32" borderId="0" xfId="68" applyFont="1" applyFill="1" applyAlignment="1">
      <alignment horizontal="center"/>
    </xf>
    <xf numFmtId="0" fontId="109" fillId="0" borderId="0" xfId="0" applyFont="1"/>
    <xf numFmtId="167" fontId="6" fillId="0" borderId="0" xfId="0" applyNumberFormat="1" applyFont="1" applyProtection="1">
      <protection locked="0"/>
    </xf>
    <xf numFmtId="167" fontId="10" fillId="0" borderId="0" xfId="0" applyNumberFormat="1" applyFont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0" fontId="31" fillId="23" borderId="0" xfId="0" quotePrefix="1" applyFont="1" applyFill="1"/>
    <xf numFmtId="0" fontId="97" fillId="23" borderId="0" xfId="0" applyFont="1" applyFill="1"/>
    <xf numFmtId="167" fontId="109" fillId="0" borderId="0" xfId="68" applyNumberFormat="1" applyFont="1"/>
    <xf numFmtId="167" fontId="109" fillId="27" borderId="0" xfId="68" applyNumberFormat="1" applyFont="1" applyFill="1"/>
    <xf numFmtId="1" fontId="49" fillId="0" borderId="0" xfId="0" applyNumberFormat="1" applyFont="1"/>
    <xf numFmtId="167" fontId="10" fillId="0" borderId="0" xfId="0" applyNumberFormat="1" applyFont="1" applyAlignment="1">
      <alignment horizontal="center"/>
    </xf>
    <xf numFmtId="167" fontId="5" fillId="0" borderId="17" xfId="0" applyNumberFormat="1" applyFont="1" applyBorder="1"/>
    <xf numFmtId="167" fontId="6" fillId="0" borderId="16" xfId="0" applyNumberFormat="1" applyFont="1" applyBorder="1"/>
    <xf numFmtId="164" fontId="123" fillId="0" borderId="0" xfId="0" applyNumberFormat="1" applyFont="1"/>
    <xf numFmtId="167" fontId="5" fillId="23" borderId="0" xfId="63" applyNumberFormat="1" applyFont="1" applyFill="1"/>
    <xf numFmtId="0" fontId="4" fillId="0" borderId="0" xfId="0" applyFont="1"/>
    <xf numFmtId="0" fontId="4" fillId="0" borderId="0" xfId="0" applyFont="1" applyAlignment="1">
      <alignment horizontal="center"/>
    </xf>
    <xf numFmtId="43" fontId="4" fillId="30" borderId="0" xfId="65" applyFont="1" applyFill="1"/>
    <xf numFmtId="10" fontId="98" fillId="23" borderId="0" xfId="232" applyNumberFormat="1" applyFont="1" applyFill="1"/>
    <xf numFmtId="10" fontId="99" fillId="0" borderId="0" xfId="232" applyNumberFormat="1" applyFont="1"/>
    <xf numFmtId="43" fontId="0" fillId="23" borderId="0" xfId="63" applyFont="1" applyFill="1"/>
    <xf numFmtId="167" fontId="0" fillId="23" borderId="0" xfId="63" applyNumberFormat="1" applyFont="1" applyFill="1"/>
    <xf numFmtId="0" fontId="4" fillId="20" borderId="0" xfId="0" applyFont="1" applyFill="1"/>
    <xf numFmtId="0" fontId="4" fillId="0" borderId="0" xfId="267"/>
    <xf numFmtId="17" fontId="116" fillId="0" borderId="0" xfId="267" applyNumberFormat="1" applyFont="1" applyAlignment="1">
      <alignment horizontal="center"/>
    </xf>
    <xf numFmtId="17" fontId="116" fillId="0" borderId="0" xfId="267" applyNumberFormat="1" applyFont="1"/>
    <xf numFmtId="0" fontId="116" fillId="0" borderId="0" xfId="267" applyFont="1"/>
    <xf numFmtId="0" fontId="116" fillId="0" borderId="0" xfId="267" applyFont="1" applyAlignment="1">
      <alignment horizontal="right"/>
    </xf>
    <xf numFmtId="184" fontId="125" fillId="24" borderId="29" xfId="268" applyNumberFormat="1" applyFont="1" applyFill="1" applyBorder="1"/>
    <xf numFmtId="184" fontId="125" fillId="20" borderId="29" xfId="268" applyNumberFormat="1" applyFont="1" applyFill="1" applyBorder="1"/>
    <xf numFmtId="184" fontId="125" fillId="24" borderId="0" xfId="267" applyNumberFormat="1" applyFont="1" applyFill="1"/>
    <xf numFmtId="184" fontId="125" fillId="34" borderId="0" xfId="267" applyNumberFormat="1" applyFont="1" applyFill="1"/>
    <xf numFmtId="0" fontId="125" fillId="0" borderId="0" xfId="267" applyFont="1"/>
    <xf numFmtId="17" fontId="126" fillId="22" borderId="0" xfId="267" applyNumberFormat="1" applyFont="1" applyFill="1" applyAlignment="1">
      <alignment horizontal="center"/>
    </xf>
    <xf numFmtId="0" fontId="127" fillId="0" borderId="0" xfId="267" applyFont="1"/>
    <xf numFmtId="0" fontId="116" fillId="20" borderId="0" xfId="267" applyFont="1" applyFill="1" applyAlignment="1">
      <alignment horizontal="center"/>
    </xf>
    <xf numFmtId="0" fontId="110" fillId="0" borderId="0" xfId="267" applyFont="1" applyAlignment="1">
      <alignment horizontal="center"/>
    </xf>
    <xf numFmtId="0" fontId="4" fillId="0" borderId="0" xfId="267" applyAlignment="1">
      <alignment horizontal="center"/>
    </xf>
    <xf numFmtId="167" fontId="5" fillId="33" borderId="0" xfId="63" applyNumberFormat="1" applyFont="1" applyFill="1"/>
    <xf numFmtId="167" fontId="5" fillId="33" borderId="16" xfId="63" applyNumberFormat="1" applyFont="1" applyFill="1" applyBorder="1"/>
    <xf numFmtId="167" fontId="5" fillId="33" borderId="17" xfId="63" applyNumberFormat="1" applyFont="1" applyFill="1" applyBorder="1"/>
    <xf numFmtId="167" fontId="5" fillId="36" borderId="0" xfId="63" applyNumberFormat="1" applyFont="1" applyFill="1"/>
    <xf numFmtId="165" fontId="31" fillId="33" borderId="0" xfId="0" applyNumberFormat="1" applyFont="1" applyFill="1"/>
    <xf numFmtId="170" fontId="99" fillId="37" borderId="16" xfId="0" applyNumberFormat="1" applyFont="1" applyFill="1" applyBorder="1"/>
    <xf numFmtId="170" fontId="99" fillId="37" borderId="0" xfId="0" applyNumberFormat="1" applyFont="1" applyFill="1"/>
    <xf numFmtId="167" fontId="0" fillId="0" borderId="0" xfId="63" applyNumberFormat="1" applyFont="1" applyProtection="1">
      <protection locked="0"/>
    </xf>
    <xf numFmtId="10" fontId="0" fillId="0" borderId="0" xfId="229" applyNumberFormat="1" applyFont="1" applyProtection="1">
      <protection locked="0"/>
    </xf>
    <xf numFmtId="43" fontId="4" fillId="0" borderId="0" xfId="63" applyAlignment="1">
      <alignment horizontal="center"/>
    </xf>
    <xf numFmtId="170" fontId="99" fillId="35" borderId="0" xfId="0" applyNumberFormat="1" applyFont="1" applyFill="1"/>
    <xf numFmtId="170" fontId="99" fillId="35" borderId="16" xfId="0" applyNumberFormat="1" applyFont="1" applyFill="1" applyBorder="1"/>
    <xf numFmtId="178" fontId="99" fillId="37" borderId="0" xfId="96" applyNumberFormat="1" applyFont="1" applyFill="1"/>
    <xf numFmtId="167" fontId="99" fillId="37" borderId="0" xfId="63" applyNumberFormat="1" applyFont="1" applyFill="1"/>
    <xf numFmtId="167" fontId="99" fillId="37" borderId="16" xfId="63" applyNumberFormat="1" applyFont="1" applyFill="1" applyBorder="1"/>
    <xf numFmtId="167" fontId="99" fillId="37" borderId="0" xfId="68" applyNumberFormat="1" applyFont="1" applyFill="1"/>
    <xf numFmtId="167" fontId="105" fillId="37" borderId="0" xfId="0" applyNumberFormat="1" applyFont="1" applyFill="1"/>
    <xf numFmtId="167" fontId="97" fillId="37" borderId="0" xfId="68" applyNumberFormat="1" applyFont="1" applyFill="1"/>
    <xf numFmtId="167" fontId="97" fillId="37" borderId="16" xfId="68" applyNumberFormat="1" applyFont="1" applyFill="1" applyBorder="1"/>
    <xf numFmtId="167" fontId="99" fillId="37" borderId="16" xfId="68" applyNumberFormat="1" applyFont="1" applyFill="1" applyBorder="1"/>
    <xf numFmtId="43" fontId="25" fillId="26" borderId="0" xfId="68" applyFont="1" applyFill="1"/>
    <xf numFmtId="170" fontId="97" fillId="31" borderId="16" xfId="0" applyNumberFormat="1" applyFont="1" applyFill="1" applyBorder="1"/>
    <xf numFmtId="167" fontId="52" fillId="30" borderId="0" xfId="63" applyNumberFormat="1" applyFont="1" applyFill="1"/>
    <xf numFmtId="17" fontId="18" fillId="0" borderId="0" xfId="0" applyNumberFormat="1" applyFont="1" applyAlignment="1">
      <alignment horizontal="center"/>
    </xf>
    <xf numFmtId="184" fontId="0" fillId="0" borderId="0" xfId="0" applyNumberFormat="1"/>
    <xf numFmtId="43" fontId="0" fillId="0" borderId="0" xfId="0" applyNumberFormat="1"/>
    <xf numFmtId="10" fontId="4" fillId="0" borderId="0" xfId="229" applyNumberFormat="1"/>
    <xf numFmtId="10" fontId="0" fillId="0" borderId="0" xfId="0" applyNumberFormat="1"/>
    <xf numFmtId="185" fontId="37" fillId="0" borderId="0" xfId="0" applyNumberFormat="1" applyFont="1" applyAlignment="1">
      <alignment horizontal="center"/>
    </xf>
    <xf numFmtId="43" fontId="0" fillId="28" borderId="0" xfId="63" applyFont="1" applyFill="1"/>
    <xf numFmtId="167" fontId="0" fillId="28" borderId="0" xfId="63" applyNumberFormat="1" applyFont="1" applyFill="1"/>
    <xf numFmtId="167" fontId="109" fillId="20" borderId="0" xfId="63" applyNumberFormat="1" applyFont="1" applyFill="1"/>
    <xf numFmtId="177" fontId="37" fillId="0" borderId="0" xfId="0" quotePrefix="1" applyNumberFormat="1" applyFont="1" applyAlignment="1">
      <alignment horizontal="center"/>
    </xf>
    <xf numFmtId="177" fontId="37" fillId="0" borderId="16" xfId="0" applyNumberFormat="1" applyFont="1" applyBorder="1" applyAlignment="1">
      <alignment horizontal="center"/>
    </xf>
    <xf numFmtId="6" fontId="49" fillId="0" borderId="0" xfId="0" applyNumberFormat="1" applyFont="1"/>
    <xf numFmtId="6" fontId="49" fillId="20" borderId="16" xfId="0" applyNumberFormat="1" applyFont="1" applyFill="1" applyBorder="1"/>
    <xf numFmtId="37" fontId="49" fillId="0" borderId="0" xfId="79" applyNumberFormat="1" applyFont="1"/>
    <xf numFmtId="43" fontId="25" fillId="21" borderId="14" xfId="68" applyFont="1" applyFill="1" applyBorder="1"/>
    <xf numFmtId="167" fontId="4" fillId="0" borderId="0" xfId="67" applyNumberFormat="1" applyAlignment="1">
      <alignment vertical="center"/>
    </xf>
    <xf numFmtId="167" fontId="25" fillId="0" borderId="0" xfId="67" applyNumberFormat="1" applyFont="1"/>
    <xf numFmtId="167" fontId="4" fillId="0" borderId="0" xfId="67" applyNumberFormat="1"/>
    <xf numFmtId="43" fontId="4" fillId="0" borderId="0" xfId="67" applyAlignment="1">
      <alignment vertical="center"/>
    </xf>
    <xf numFmtId="167" fontId="97" fillId="20" borderId="0" xfId="68" applyNumberFormat="1" applyFont="1" applyFill="1"/>
    <xf numFmtId="49" fontId="122" fillId="0" borderId="0" xfId="63" applyNumberFormat="1" applyFont="1"/>
    <xf numFmtId="0" fontId="0" fillId="0" borderId="16" xfId="0" applyBorder="1"/>
    <xf numFmtId="167" fontId="5" fillId="36" borderId="16" xfId="63" applyNumberFormat="1" applyFont="1" applyFill="1" applyBorder="1"/>
    <xf numFmtId="0" fontId="4" fillId="0" borderId="32" xfId="0" applyFont="1" applyBorder="1"/>
    <xf numFmtId="43" fontId="25" fillId="26" borderId="16" xfId="68" applyFont="1" applyFill="1" applyBorder="1"/>
    <xf numFmtId="167" fontId="0" fillId="0" borderId="16" xfId="63" applyNumberFormat="1" applyFont="1" applyBorder="1"/>
    <xf numFmtId="167" fontId="4" fillId="0" borderId="0" xfId="63" applyNumberFormat="1" applyFont="1"/>
    <xf numFmtId="0" fontId="0" fillId="0" borderId="0" xfId="0" applyAlignment="1">
      <alignment wrapText="1"/>
    </xf>
    <xf numFmtId="167" fontId="0" fillId="0" borderId="0" xfId="63" applyNumberFormat="1" applyFont="1" applyFill="1"/>
    <xf numFmtId="167" fontId="4" fillId="0" borderId="0" xfId="0" applyNumberFormat="1" applyFont="1"/>
    <xf numFmtId="170" fontId="43" fillId="25" borderId="0" xfId="0" applyNumberFormat="1" applyFont="1" applyFill="1"/>
    <xf numFmtId="170" fontId="4" fillId="0" borderId="0" xfId="0" applyNumberFormat="1" applyFont="1"/>
    <xf numFmtId="10" fontId="92" fillId="35" borderId="0" xfId="232" applyNumberFormat="1" applyFont="1" applyFill="1" applyAlignment="1"/>
    <xf numFmtId="167" fontId="25" fillId="20" borderId="0" xfId="63" applyNumberFormat="1" applyFont="1" applyFill="1" applyBorder="1"/>
    <xf numFmtId="0" fontId="4" fillId="0" borderId="16" xfId="0" applyFont="1" applyBorder="1"/>
    <xf numFmtId="0" fontId="25" fillId="0" borderId="16" xfId="0" applyFont="1" applyBorder="1" applyAlignment="1">
      <alignment horizontal="center"/>
    </xf>
    <xf numFmtId="10" fontId="16" fillId="0" borderId="0" xfId="63" applyNumberFormat="1" applyFont="1"/>
    <xf numFmtId="170" fontId="97" fillId="30" borderId="0" xfId="0" applyNumberFormat="1" applyFont="1" applyFill="1"/>
    <xf numFmtId="170" fontId="97" fillId="30" borderId="16" xfId="0" applyNumberFormat="1" applyFont="1" applyFill="1" applyBorder="1"/>
    <xf numFmtId="167" fontId="4" fillId="35" borderId="0" xfId="63" applyNumberFormat="1" applyFont="1" applyFill="1"/>
    <xf numFmtId="177" fontId="37" fillId="0" borderId="16" xfId="0" quotePrefix="1" applyNumberFormat="1" applyFont="1" applyBorder="1" applyAlignment="1">
      <alignment horizontal="center"/>
    </xf>
    <xf numFmtId="167" fontId="97" fillId="33" borderId="0" xfId="68" applyNumberFormat="1" applyFont="1" applyFill="1"/>
    <xf numFmtId="167" fontId="0" fillId="92" borderId="0" xfId="63" applyNumberFormat="1" applyFont="1" applyFill="1"/>
    <xf numFmtId="170" fontId="99" fillId="92" borderId="16" xfId="0" applyNumberFormat="1" applyFont="1" applyFill="1" applyBorder="1"/>
    <xf numFmtId="170" fontId="99" fillId="92" borderId="0" xfId="0" applyNumberFormat="1" applyFont="1" applyFill="1"/>
    <xf numFmtId="167" fontId="0" fillId="92" borderId="16" xfId="63" applyNumberFormat="1" applyFont="1" applyFill="1" applyBorder="1"/>
    <xf numFmtId="167" fontId="4" fillId="33" borderId="0" xfId="63" applyNumberFormat="1" applyFont="1" applyFill="1"/>
    <xf numFmtId="3" fontId="37" fillId="37" borderId="16" xfId="0" applyNumberFormat="1" applyFont="1" applyFill="1" applyBorder="1"/>
    <xf numFmtId="6" fontId="37" fillId="37" borderId="0" xfId="0" applyNumberFormat="1" applyFont="1" applyFill="1"/>
    <xf numFmtId="10" fontId="37" fillId="37" borderId="0" xfId="0" applyNumberFormat="1" applyFont="1" applyFill="1"/>
    <xf numFmtId="37" fontId="41" fillId="37" borderId="16" xfId="0" applyNumberFormat="1" applyFont="1" applyFill="1" applyBorder="1"/>
    <xf numFmtId="37" fontId="41" fillId="37" borderId="0" xfId="0" applyNumberFormat="1" applyFont="1" applyFill="1"/>
    <xf numFmtId="0" fontId="161" fillId="0" borderId="0" xfId="0" applyFont="1"/>
    <xf numFmtId="167" fontId="4" fillId="0" borderId="0" xfId="63" applyNumberFormat="1" applyFont="1" applyFill="1"/>
    <xf numFmtId="0" fontId="37" fillId="93" borderId="0" xfId="0" applyFont="1" applyFill="1"/>
    <xf numFmtId="177" fontId="37" fillId="0" borderId="0" xfId="12739" quotePrefix="1" applyNumberFormat="1" applyFont="1" applyAlignment="1">
      <alignment horizontal="center"/>
    </xf>
    <xf numFmtId="3" fontId="49" fillId="0" borderId="0" xfId="12739" applyNumberFormat="1" applyFont="1"/>
    <xf numFmtId="0" fontId="49" fillId="0" borderId="0" xfId="12739" applyFont="1"/>
    <xf numFmtId="6" fontId="49" fillId="0" borderId="0" xfId="12739" applyNumberFormat="1" applyFont="1"/>
    <xf numFmtId="10" fontId="49" fillId="0" borderId="0" xfId="12739" applyNumberFormat="1" applyFont="1"/>
    <xf numFmtId="0" fontId="49" fillId="0" borderId="0" xfId="12739" quotePrefix="1" applyFont="1" applyAlignment="1">
      <alignment horizontal="left"/>
    </xf>
    <xf numFmtId="0" fontId="37" fillId="94" borderId="0" xfId="0" applyFont="1" applyFill="1"/>
    <xf numFmtId="177" fontId="37" fillId="0" borderId="16" xfId="12739" applyNumberFormat="1" applyFont="1" applyBorder="1" applyAlignment="1">
      <alignment horizontal="center"/>
    </xf>
    <xf numFmtId="0" fontId="162" fillId="0" borderId="16" xfId="0" applyFont="1" applyBorder="1"/>
    <xf numFmtId="6" fontId="162" fillId="0" borderId="16" xfId="0" quotePrefix="1" applyNumberFormat="1" applyFont="1" applyBorder="1" applyAlignment="1">
      <alignment horizontal="left"/>
    </xf>
    <xf numFmtId="0" fontId="162" fillId="0" borderId="0" xfId="0" applyFont="1" applyAlignment="1">
      <alignment horizontal="left"/>
    </xf>
    <xf numFmtId="10" fontId="49" fillId="0" borderId="0" xfId="230" applyNumberFormat="1" applyFont="1" applyFill="1" applyBorder="1" applyAlignment="1"/>
    <xf numFmtId="37" fontId="49" fillId="0" borderId="0" xfId="5623" applyNumberFormat="1" applyFont="1"/>
    <xf numFmtId="37" fontId="37" fillId="0" borderId="0" xfId="5623" applyNumberFormat="1" applyFont="1"/>
    <xf numFmtId="188" fontId="37" fillId="0" borderId="0" xfId="5623" applyNumberFormat="1" applyFont="1" applyAlignment="1">
      <alignment horizontal="centerContinuous"/>
    </xf>
    <xf numFmtId="37" fontId="49" fillId="0" borderId="0" xfId="5623" applyNumberFormat="1" applyFont="1" applyAlignment="1">
      <alignment horizontal="centerContinuous"/>
    </xf>
    <xf numFmtId="39" fontId="49" fillId="0" borderId="0" xfId="5623" applyNumberFormat="1" applyFont="1"/>
    <xf numFmtId="37" fontId="49" fillId="0" borderId="0" xfId="5623" quotePrefix="1" applyNumberFormat="1" applyFont="1" applyAlignment="1">
      <alignment horizontal="center"/>
    </xf>
    <xf numFmtId="37" fontId="49" fillId="0" borderId="0" xfId="5623" applyNumberFormat="1" applyFont="1" applyAlignment="1">
      <alignment horizontal="center"/>
    </xf>
    <xf numFmtId="37" fontId="37" fillId="0" borderId="0" xfId="5623" quotePrefix="1" applyNumberFormat="1" applyFont="1" applyAlignment="1">
      <alignment horizontal="center"/>
    </xf>
    <xf numFmtId="37" fontId="49" fillId="0" borderId="16" xfId="5623" applyNumberFormat="1" applyFont="1" applyBorder="1" applyAlignment="1">
      <alignment horizontal="center"/>
    </xf>
    <xf numFmtId="37" fontId="49" fillId="0" borderId="16" xfId="5623" quotePrefix="1" applyNumberFormat="1" applyFont="1" applyBorder="1" applyAlignment="1">
      <alignment horizontal="center"/>
    </xf>
    <xf numFmtId="37" fontId="75" fillId="0" borderId="0" xfId="5623" applyNumberFormat="1" applyFont="1" applyAlignment="1">
      <alignment horizontal="right"/>
    </xf>
    <xf numFmtId="178" fontId="49" fillId="0" borderId="0" xfId="12289" applyNumberFormat="1" applyFont="1" applyFill="1" applyProtection="1"/>
    <xf numFmtId="10" fontId="49" fillId="0" borderId="0" xfId="39610" applyNumberFormat="1" applyFont="1" applyFill="1" applyAlignment="1"/>
    <xf numFmtId="37" fontId="75" fillId="0" borderId="0" xfId="5623" applyNumberFormat="1" applyFont="1"/>
    <xf numFmtId="10" fontId="120" fillId="0" borderId="0" xfId="39610" applyNumberFormat="1" applyFont="1" applyFill="1" applyAlignment="1"/>
    <xf numFmtId="43" fontId="49" fillId="0" borderId="0" xfId="83" applyFont="1" applyFill="1" applyAlignment="1"/>
    <xf numFmtId="43" fontId="49" fillId="0" borderId="16" xfId="83" applyFont="1" applyFill="1" applyBorder="1" applyAlignment="1"/>
    <xf numFmtId="10" fontId="49" fillId="0" borderId="16" xfId="39610" applyNumberFormat="1" applyFont="1" applyFill="1" applyBorder="1" applyAlignment="1"/>
    <xf numFmtId="10" fontId="49" fillId="0" borderId="0" xfId="39610" applyNumberFormat="1" applyFont="1" applyFill="1" applyBorder="1" applyAlignment="1"/>
    <xf numFmtId="43" fontId="49" fillId="0" borderId="0" xfId="83" applyFont="1" applyFill="1" applyBorder="1" applyAlignment="1"/>
    <xf numFmtId="188" fontId="37" fillId="0" borderId="0" xfId="5623" applyNumberFormat="1" applyFont="1"/>
    <xf numFmtId="188" fontId="37" fillId="0" borderId="0" xfId="5623" quotePrefix="1" applyNumberFormat="1" applyFont="1"/>
    <xf numFmtId="37" fontId="49" fillId="0" borderId="0" xfId="5623" applyNumberFormat="1" applyFont="1" applyAlignment="1">
      <alignment horizontal="right"/>
    </xf>
    <xf numFmtId="189" fontId="49" fillId="0" borderId="0" xfId="5623" applyNumberFormat="1" applyFont="1"/>
    <xf numFmtId="37" fontId="49" fillId="0" borderId="0" xfId="5623" quotePrefix="1" applyNumberFormat="1" applyFont="1" applyAlignment="1">
      <alignment horizontal="left"/>
    </xf>
    <xf numFmtId="165" fontId="4" fillId="0" borderId="0" xfId="230" applyNumberFormat="1" applyFill="1"/>
    <xf numFmtId="9" fontId="4" fillId="0" borderId="0" xfId="230" applyFill="1"/>
    <xf numFmtId="37" fontId="49" fillId="0" borderId="0" xfId="12739" applyNumberFormat="1" applyFont="1" applyAlignment="1">
      <alignment horizontal="centerContinuous"/>
    </xf>
    <xf numFmtId="37" fontId="49" fillId="0" borderId="0" xfId="12739" applyNumberFormat="1" applyFont="1" applyAlignment="1">
      <alignment horizontal="left"/>
    </xf>
    <xf numFmtId="37" fontId="49" fillId="0" borderId="0" xfId="12739" applyNumberFormat="1" applyFont="1"/>
    <xf numFmtId="37" fontId="49" fillId="0" borderId="0" xfId="12739" applyNumberFormat="1" applyFont="1" applyAlignment="1">
      <alignment horizontal="center"/>
    </xf>
    <xf numFmtId="37" fontId="49" fillId="0" borderId="17" xfId="12739" applyNumberFormat="1" applyFont="1" applyBorder="1" applyAlignment="1">
      <alignment horizontal="center"/>
    </xf>
    <xf numFmtId="0" fontId="163" fillId="0" borderId="0" xfId="12739" applyFont="1" applyAlignment="1">
      <alignment horizontal="center"/>
    </xf>
    <xf numFmtId="167" fontId="49" fillId="0" borderId="0" xfId="10761" applyNumberFormat="1" applyFont="1" applyFill="1" applyProtection="1"/>
    <xf numFmtId="164" fontId="49" fillId="0" borderId="0" xfId="12739" applyNumberFormat="1" applyFont="1"/>
    <xf numFmtId="167" fontId="49" fillId="0" borderId="16" xfId="10761" applyNumberFormat="1" applyFont="1" applyFill="1" applyBorder="1" applyProtection="1"/>
    <xf numFmtId="178" fontId="49" fillId="0" borderId="0" xfId="12289" applyNumberFormat="1" applyFont="1" applyFill="1" applyBorder="1" applyProtection="1"/>
    <xf numFmtId="0" fontId="49" fillId="0" borderId="0" xfId="12739" applyFont="1" applyAlignment="1">
      <alignment vertical="top"/>
    </xf>
    <xf numFmtId="10" fontId="49" fillId="0" borderId="0" xfId="39610" applyNumberFormat="1" applyFont="1" applyFill="1" applyProtection="1"/>
    <xf numFmtId="37" fontId="49" fillId="0" borderId="0" xfId="5623" applyNumberFormat="1" applyFont="1" applyAlignment="1">
      <alignment horizontal="fill"/>
    </xf>
    <xf numFmtId="0" fontId="49" fillId="0" borderId="0" xfId="5623" quotePrefix="1" applyFont="1" applyAlignment="1">
      <alignment horizontal="center"/>
    </xf>
    <xf numFmtId="190" fontId="49" fillId="0" borderId="0" xfId="5623" applyNumberFormat="1" applyFont="1" applyAlignment="1">
      <alignment horizontal="center"/>
    </xf>
    <xf numFmtId="189" fontId="49" fillId="0" borderId="0" xfId="5623" quotePrefix="1" applyNumberFormat="1" applyFont="1"/>
    <xf numFmtId="37" fontId="163" fillId="0" borderId="0" xfId="5623" applyNumberFormat="1" applyFont="1"/>
    <xf numFmtId="0" fontId="49" fillId="0" borderId="0" xfId="5623" applyFont="1" applyAlignment="1">
      <alignment horizontal="center"/>
    </xf>
    <xf numFmtId="167" fontId="165" fillId="0" borderId="0" xfId="63" applyNumberFormat="1" applyFont="1"/>
    <xf numFmtId="43" fontId="4" fillId="30" borderId="0" xfId="10761" applyFill="1"/>
    <xf numFmtId="10" fontId="98" fillId="23" borderId="0" xfId="39610" applyNumberFormat="1" applyFont="1" applyFill="1"/>
    <xf numFmtId="37" fontId="49" fillId="0" borderId="0" xfId="0" applyNumberFormat="1" applyFont="1" applyAlignment="1">
      <alignment horizontal="center"/>
    </xf>
    <xf numFmtId="167" fontId="49" fillId="0" borderId="0" xfId="10761" applyNumberFormat="1" applyFont="1" applyFill="1" applyBorder="1" applyAlignment="1"/>
    <xf numFmtId="10" fontId="167" fillId="0" borderId="0" xfId="230" applyNumberFormat="1" applyFont="1" applyFill="1" applyBorder="1" applyAlignment="1"/>
    <xf numFmtId="37" fontId="49" fillId="26" borderId="0" xfId="0" applyNumberFormat="1" applyFont="1" applyFill="1"/>
    <xf numFmtId="49" fontId="168" fillId="0" borderId="0" xfId="0" applyNumberFormat="1" applyFont="1" applyAlignment="1">
      <alignment horizontal="centerContinuous"/>
    </xf>
    <xf numFmtId="0" fontId="4" fillId="0" borderId="0" xfId="0" applyFont="1" applyAlignment="1">
      <alignment horizontal="right"/>
    </xf>
    <xf numFmtId="169" fontId="4" fillId="0" borderId="27" xfId="0" applyNumberFormat="1" applyFont="1" applyBorder="1" applyAlignment="1" applyProtection="1">
      <alignment horizontal="right"/>
      <protection locked="0"/>
    </xf>
    <xf numFmtId="0" fontId="4" fillId="0" borderId="27" xfId="0" applyFont="1" applyBorder="1"/>
    <xf numFmtId="0" fontId="4" fillId="0" borderId="27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37" fontId="4" fillId="0" borderId="0" xfId="0" applyNumberFormat="1" applyFont="1"/>
    <xf numFmtId="10" fontId="4" fillId="0" borderId="0" xfId="0" applyNumberFormat="1" applyFont="1"/>
    <xf numFmtId="37" fontId="4" fillId="0" borderId="27" xfId="0" applyNumberFormat="1" applyFont="1" applyBorder="1"/>
    <xf numFmtId="37" fontId="4" fillId="0" borderId="0" xfId="0" applyNumberFormat="1" applyFont="1" applyProtection="1">
      <protection locked="0"/>
    </xf>
    <xf numFmtId="37" fontId="4" fillId="0" borderId="13" xfId="0" applyNumberFormat="1" applyFont="1" applyBorder="1" applyAlignment="1">
      <alignment horizontal="right"/>
    </xf>
    <xf numFmtId="37" fontId="4" fillId="0" borderId="33" xfId="0" applyNumberFormat="1" applyFont="1" applyBorder="1" applyAlignment="1">
      <alignment horizontal="right"/>
    </xf>
    <xf numFmtId="37" fontId="4" fillId="0" borderId="27" xfId="0" applyNumberFormat="1" applyFont="1" applyBorder="1" applyAlignment="1">
      <alignment horizontal="fill"/>
    </xf>
    <xf numFmtId="37" fontId="4" fillId="0" borderId="27" xfId="0" applyNumberFormat="1" applyFont="1" applyBorder="1" applyProtection="1">
      <protection locked="0"/>
    </xf>
    <xf numFmtId="37" fontId="4" fillId="0" borderId="34" xfId="0" applyNumberFormat="1" applyFont="1" applyBorder="1"/>
    <xf numFmtId="0" fontId="4" fillId="0" borderId="27" xfId="0" applyFont="1" applyBorder="1" applyAlignment="1">
      <alignment horizontal="fill"/>
    </xf>
    <xf numFmtId="178" fontId="49" fillId="0" borderId="13" xfId="96" applyNumberFormat="1" applyFont="1" applyFill="1" applyBorder="1" applyAlignment="1"/>
    <xf numFmtId="10" fontId="49" fillId="0" borderId="16" xfId="230" applyNumberFormat="1" applyFont="1" applyFill="1" applyBorder="1" applyAlignment="1"/>
    <xf numFmtId="167" fontId="25" fillId="21" borderId="14" xfId="68" applyNumberFormat="1" applyFont="1" applyFill="1" applyBorder="1"/>
    <xf numFmtId="167" fontId="4" fillId="30" borderId="0" xfId="10761" applyNumberFormat="1" applyFill="1"/>
    <xf numFmtId="167" fontId="5" fillId="0" borderId="17" xfId="63" applyNumberFormat="1" applyFont="1" applyFill="1" applyBorder="1"/>
    <xf numFmtId="167" fontId="6" fillId="29" borderId="0" xfId="0" applyNumberFormat="1" applyFont="1" applyFill="1" applyProtection="1">
      <protection locked="0"/>
    </xf>
    <xf numFmtId="167" fontId="5" fillId="29" borderId="0" xfId="63" applyNumberFormat="1" applyFont="1" applyFill="1"/>
    <xf numFmtId="167" fontId="6" fillId="29" borderId="17" xfId="63" applyNumberFormat="1" applyFont="1" applyFill="1" applyBorder="1"/>
    <xf numFmtId="167" fontId="5" fillId="29" borderId="0" xfId="0" applyNumberFormat="1" applyFont="1" applyFill="1" applyProtection="1">
      <protection locked="0"/>
    </xf>
    <xf numFmtId="167" fontId="109" fillId="29" borderId="0" xfId="63" applyNumberFormat="1" applyFont="1" applyFill="1"/>
    <xf numFmtId="167" fontId="5" fillId="29" borderId="16" xfId="0" applyNumberFormat="1" applyFont="1" applyFill="1" applyBorder="1" applyProtection="1">
      <protection locked="0"/>
    </xf>
    <xf numFmtId="49" fontId="10" fillId="0" borderId="0" xfId="0" applyNumberFormat="1" applyFont="1" applyAlignment="1">
      <alignment horizontal="centerContinuous"/>
    </xf>
    <xf numFmtId="49" fontId="5" fillId="0" borderId="0" xfId="0" applyNumberFormat="1" applyFont="1" applyAlignment="1">
      <alignment horizontal="centerContinuous"/>
    </xf>
    <xf numFmtId="0" fontId="168" fillId="0" borderId="0" xfId="0" applyFont="1" applyAlignment="1">
      <alignment horizontal="centerContinuous"/>
    </xf>
    <xf numFmtId="49" fontId="34" fillId="0" borderId="0" xfId="0" applyNumberFormat="1" applyFont="1" applyAlignment="1">
      <alignment horizontal="left"/>
    </xf>
    <xf numFmtId="0" fontId="31" fillId="0" borderId="0" xfId="0" quotePrefix="1" applyFont="1"/>
    <xf numFmtId="0" fontId="111" fillId="21" borderId="38" xfId="0" applyFont="1" applyFill="1" applyBorder="1" applyAlignment="1">
      <alignment horizontal="center"/>
    </xf>
    <xf numFmtId="17" fontId="111" fillId="21" borderId="38" xfId="0" quotePrefix="1" applyNumberFormat="1" applyFont="1" applyFill="1" applyBorder="1" applyAlignment="1">
      <alignment horizontal="center"/>
    </xf>
    <xf numFmtId="0" fontId="111" fillId="21" borderId="39" xfId="0" quotePrefix="1" applyFont="1" applyFill="1" applyBorder="1" applyAlignment="1">
      <alignment horizontal="center"/>
    </xf>
    <xf numFmtId="0" fontId="4" fillId="0" borderId="28" xfId="0" applyFont="1" applyBorder="1"/>
    <xf numFmtId="0" fontId="4" fillId="0" borderId="38" xfId="0" applyFont="1" applyBorder="1"/>
    <xf numFmtId="0" fontId="169" fillId="95" borderId="0" xfId="0" applyFont="1" applyFill="1"/>
    <xf numFmtId="0" fontId="169" fillId="95" borderId="0" xfId="0" applyFont="1" applyFill="1" applyAlignment="1">
      <alignment horizontal="center"/>
    </xf>
    <xf numFmtId="4" fontId="25" fillId="27" borderId="0" xfId="0" applyNumberFormat="1" applyFont="1" applyFill="1" applyAlignment="1">
      <alignment horizontal="center"/>
    </xf>
    <xf numFmtId="0" fontId="25" fillId="27" borderId="0" xfId="0" applyFont="1" applyFill="1" applyAlignment="1">
      <alignment horizontal="center"/>
    </xf>
    <xf numFmtId="167" fontId="30" fillId="0" borderId="0" xfId="68" applyNumberFormat="1" applyFill="1"/>
    <xf numFmtId="167" fontId="97" fillId="0" borderId="0" xfId="68" applyNumberFormat="1" applyFont="1" applyFill="1"/>
    <xf numFmtId="170" fontId="97" fillId="0" borderId="0" xfId="0" applyNumberFormat="1" applyFont="1"/>
    <xf numFmtId="170" fontId="97" fillId="0" borderId="16" xfId="0" applyNumberFormat="1" applyFont="1" applyBorder="1"/>
    <xf numFmtId="167" fontId="170" fillId="0" borderId="0" xfId="63" applyNumberFormat="1" applyFont="1"/>
    <xf numFmtId="167" fontId="99" fillId="0" borderId="0" xfId="68" applyNumberFormat="1" applyFont="1" applyFill="1"/>
    <xf numFmtId="167" fontId="99" fillId="0" borderId="0" xfId="63" applyNumberFormat="1" applyFont="1" applyFill="1"/>
    <xf numFmtId="167" fontId="4" fillId="0" borderId="0" xfId="63" applyNumberFormat="1" applyFont="1" applyFill="1" applyBorder="1"/>
    <xf numFmtId="167" fontId="4" fillId="0" borderId="0" xfId="398" applyNumberFormat="1" applyFont="1" applyFill="1" applyBorder="1"/>
    <xf numFmtId="167" fontId="170" fillId="0" borderId="0" xfId="63" applyNumberFormat="1" applyFont="1" applyFill="1"/>
    <xf numFmtId="167" fontId="170" fillId="0" borderId="16" xfId="63" applyNumberFormat="1" applyFont="1" applyFill="1" applyBorder="1"/>
    <xf numFmtId="167" fontId="97" fillId="0" borderId="0" xfId="63" applyNumberFormat="1" applyFont="1"/>
    <xf numFmtId="167" fontId="97" fillId="0" borderId="0" xfId="63" applyNumberFormat="1" applyFont="1" applyFill="1"/>
    <xf numFmtId="167" fontId="97" fillId="0" borderId="16" xfId="63" applyNumberFormat="1" applyFont="1" applyFill="1" applyBorder="1"/>
    <xf numFmtId="171" fontId="97" fillId="0" borderId="0" xfId="0" applyNumberFormat="1" applyFont="1"/>
    <xf numFmtId="167" fontId="4" fillId="0" borderId="0" xfId="63" applyNumberFormat="1" applyFill="1"/>
    <xf numFmtId="0" fontId="26" fillId="0" borderId="0" xfId="0" applyFont="1"/>
    <xf numFmtId="0" fontId="4" fillId="0" borderId="0" xfId="0" quotePrefix="1" applyFont="1"/>
    <xf numFmtId="170" fontId="4" fillId="33" borderId="0" xfId="0" applyNumberFormat="1" applyFont="1" applyFill="1"/>
    <xf numFmtId="167" fontId="4" fillId="33" borderId="0" xfId="68" applyNumberFormat="1" applyFont="1" applyFill="1"/>
    <xf numFmtId="171" fontId="4" fillId="33" borderId="0" xfId="0" applyNumberFormat="1" applyFont="1" applyFill="1"/>
    <xf numFmtId="37" fontId="4" fillId="20" borderId="0" xfId="0" applyNumberFormat="1" applyFont="1" applyFill="1"/>
    <xf numFmtId="43" fontId="4" fillId="0" borderId="0" xfId="63" applyFont="1"/>
    <xf numFmtId="167" fontId="4" fillId="20" borderId="0" xfId="63" applyNumberFormat="1" applyFont="1" applyFill="1"/>
    <xf numFmtId="167" fontId="97" fillId="0" borderId="0" xfId="0" applyNumberFormat="1" applyFont="1"/>
    <xf numFmtId="167" fontId="25" fillId="0" borderId="0" xfId="0" applyNumberFormat="1" applyFont="1"/>
    <xf numFmtId="167" fontId="4" fillId="20" borderId="0" xfId="0" applyNumberFormat="1" applyFont="1" applyFill="1"/>
    <xf numFmtId="0" fontId="169" fillId="95" borderId="0" xfId="0" applyFont="1" applyFill="1" applyAlignment="1">
      <alignment horizontal="left"/>
    </xf>
    <xf numFmtId="0" fontId="4" fillId="27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3" fillId="0" borderId="0" xfId="0" quotePrefix="1" applyFont="1" applyAlignment="1">
      <alignment horizontal="left"/>
    </xf>
    <xf numFmtId="0" fontId="18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43" fillId="0" borderId="0" xfId="0" applyFont="1" applyAlignment="1">
      <alignment horizontal="left" indent="1"/>
    </xf>
    <xf numFmtId="0" fontId="43" fillId="0" borderId="0" xfId="0" quotePrefix="1" applyFont="1" applyAlignment="1">
      <alignment horizontal="left" indent="1"/>
    </xf>
    <xf numFmtId="0" fontId="4" fillId="0" borderId="0" xfId="0" quotePrefix="1" applyFont="1" applyAlignment="1">
      <alignment horizontal="left" indent="1"/>
    </xf>
    <xf numFmtId="0" fontId="0" fillId="0" borderId="0" xfId="0" applyAlignment="1">
      <alignment horizontal="left" indent="1"/>
    </xf>
    <xf numFmtId="167" fontId="50" fillId="0" borderId="0" xfId="0" applyNumberFormat="1" applyFont="1"/>
    <xf numFmtId="6" fontId="50" fillId="0" borderId="0" xfId="0" applyNumberFormat="1" applyFont="1"/>
    <xf numFmtId="167" fontId="50" fillId="0" borderId="0" xfId="63" applyNumberFormat="1" applyFont="1"/>
    <xf numFmtId="43" fontId="50" fillId="0" borderId="0" xfId="0" applyNumberFormat="1" applyFont="1"/>
    <xf numFmtId="0" fontId="25" fillId="26" borderId="28" xfId="0" applyFont="1" applyFill="1" applyBorder="1" applyAlignment="1">
      <alignment horizontal="center"/>
    </xf>
    <xf numFmtId="4" fontId="25" fillId="20" borderId="39" xfId="0" applyNumberFormat="1" applyFont="1" applyFill="1" applyBorder="1" applyAlignment="1">
      <alignment horizontal="center"/>
    </xf>
    <xf numFmtId="167" fontId="99" fillId="0" borderId="0" xfId="0" applyNumberFormat="1" applyFont="1"/>
    <xf numFmtId="43" fontId="25" fillId="0" borderId="29" xfId="65" applyFont="1" applyFill="1" applyBorder="1"/>
    <xf numFmtId="167" fontId="25" fillId="0" borderId="29" xfId="65" applyNumberFormat="1" applyFont="1" applyFill="1" applyBorder="1"/>
    <xf numFmtId="0" fontId="171" fillId="95" borderId="13" xfId="0" applyFont="1" applyFill="1" applyBorder="1" applyAlignment="1">
      <alignment horizontal="center"/>
    </xf>
    <xf numFmtId="0" fontId="171" fillId="95" borderId="0" xfId="0" applyFont="1" applyFill="1" applyAlignment="1">
      <alignment horizontal="center"/>
    </xf>
    <xf numFmtId="0" fontId="171" fillId="95" borderId="16" xfId="0" applyFont="1" applyFill="1" applyBorder="1"/>
    <xf numFmtId="40" fontId="171" fillId="95" borderId="16" xfId="0" applyNumberFormat="1" applyFont="1" applyFill="1" applyBorder="1" applyAlignment="1">
      <alignment horizontal="center"/>
    </xf>
    <xf numFmtId="0" fontId="50" fillId="27" borderId="0" xfId="0" applyFont="1" applyFill="1" applyAlignment="1">
      <alignment horizontal="left"/>
    </xf>
    <xf numFmtId="0" fontId="25" fillId="94" borderId="13" xfId="0" applyFont="1" applyFill="1" applyBorder="1" applyAlignment="1">
      <alignment horizontal="center"/>
    </xf>
    <xf numFmtId="40" fontId="25" fillId="94" borderId="16" xfId="0" applyNumberFormat="1" applyFont="1" applyFill="1" applyBorder="1" applyAlignment="1">
      <alignment horizontal="center"/>
    </xf>
    <xf numFmtId="0" fontId="171" fillId="95" borderId="16" xfId="0" applyFont="1" applyFill="1" applyBorder="1" applyAlignment="1">
      <alignment horizontal="center"/>
    </xf>
    <xf numFmtId="43" fontId="99" fillId="0" borderId="0" xfId="65" applyFont="1" applyFill="1"/>
    <xf numFmtId="0" fontId="0" fillId="0" borderId="63" xfId="0" applyBorder="1"/>
    <xf numFmtId="0" fontId="0" fillId="0" borderId="62" xfId="0" applyBorder="1"/>
    <xf numFmtId="0" fontId="4" fillId="96" borderId="13" xfId="0" applyFont="1" applyFill="1" applyBorder="1"/>
    <xf numFmtId="0" fontId="0" fillId="96" borderId="13" xfId="0" applyFill="1" applyBorder="1"/>
    <xf numFmtId="0" fontId="0" fillId="96" borderId="61" xfId="0" applyFill="1" applyBorder="1"/>
    <xf numFmtId="0" fontId="0" fillId="96" borderId="0" xfId="0" applyFill="1"/>
    <xf numFmtId="0" fontId="0" fillId="96" borderId="63" xfId="0" applyFill="1" applyBorder="1"/>
    <xf numFmtId="0" fontId="4" fillId="96" borderId="62" xfId="0" applyFont="1" applyFill="1" applyBorder="1" applyAlignment="1">
      <alignment horizontal="left" indent="1"/>
    </xf>
    <xf numFmtId="0" fontId="4" fillId="96" borderId="0" xfId="0" applyFont="1" applyFill="1"/>
    <xf numFmtId="0" fontId="106" fillId="96" borderId="62" xfId="0" applyFont="1" applyFill="1" applyBorder="1" applyAlignment="1">
      <alignment horizontal="left" indent="1"/>
    </xf>
    <xf numFmtId="0" fontId="25" fillId="96" borderId="62" xfId="0" applyFont="1" applyFill="1" applyBorder="1" applyAlignment="1">
      <alignment horizontal="left" indent="1"/>
    </xf>
    <xf numFmtId="0" fontId="173" fillId="96" borderId="62" xfId="0" applyFont="1" applyFill="1" applyBorder="1" applyAlignment="1">
      <alignment horizontal="left" indent="1"/>
    </xf>
    <xf numFmtId="0" fontId="4" fillId="96" borderId="16" xfId="0" applyFont="1" applyFill="1" applyBorder="1"/>
    <xf numFmtId="0" fontId="0" fillId="96" borderId="16" xfId="0" applyFill="1" applyBorder="1"/>
    <xf numFmtId="0" fontId="0" fillId="96" borderId="65" xfId="0" applyFill="1" applyBorder="1"/>
    <xf numFmtId="0" fontId="25" fillId="96" borderId="31" xfId="0" applyFont="1" applyFill="1" applyBorder="1" applyAlignment="1">
      <alignment horizontal="left"/>
    </xf>
    <xf numFmtId="0" fontId="25" fillId="96" borderId="62" xfId="0" applyFont="1" applyFill="1" applyBorder="1" applyAlignment="1">
      <alignment horizontal="left"/>
    </xf>
    <xf numFmtId="0" fontId="0" fillId="96" borderId="62" xfId="0" applyFill="1" applyBorder="1" applyAlignment="1">
      <alignment horizontal="left"/>
    </xf>
    <xf numFmtId="184" fontId="99" fillId="0" borderId="0" xfId="267" applyNumberFormat="1" applyFont="1" applyAlignment="1">
      <alignment horizontal="center"/>
    </xf>
    <xf numFmtId="184" fontId="4" fillId="0" borderId="0" xfId="267" applyNumberFormat="1" applyAlignment="1">
      <alignment horizontal="center"/>
    </xf>
    <xf numFmtId="37" fontId="37" fillId="0" borderId="62" xfId="0" applyNumberFormat="1" applyFont="1" applyBorder="1"/>
    <xf numFmtId="37" fontId="37" fillId="0" borderId="63" xfId="0" applyNumberFormat="1" applyFont="1" applyBorder="1"/>
    <xf numFmtId="37" fontId="49" fillId="0" borderId="62" xfId="0" applyNumberFormat="1" applyFont="1" applyBorder="1" applyAlignment="1">
      <alignment horizontal="right"/>
    </xf>
    <xf numFmtId="37" fontId="49" fillId="0" borderId="63" xfId="0" applyNumberFormat="1" applyFont="1" applyBorder="1" applyAlignment="1">
      <alignment horizontal="center"/>
    </xf>
    <xf numFmtId="167" fontId="49" fillId="0" borderId="63" xfId="10761" applyNumberFormat="1" applyFont="1" applyFill="1" applyBorder="1" applyAlignment="1"/>
    <xf numFmtId="180" fontId="5" fillId="0" borderId="62" xfId="229" applyNumberFormat="1" applyFont="1" applyBorder="1" applyAlignment="1">
      <alignment horizontal="right"/>
    </xf>
    <xf numFmtId="178" fontId="49" fillId="0" borderId="61" xfId="96" applyNumberFormat="1" applyFont="1" applyFill="1" applyBorder="1" applyAlignment="1"/>
    <xf numFmtId="37" fontId="5" fillId="0" borderId="62" xfId="0" applyNumberFormat="1" applyFont="1" applyBorder="1" applyAlignment="1">
      <alignment horizontal="right"/>
    </xf>
    <xf numFmtId="37" fontId="5" fillId="0" borderId="63" xfId="0" applyNumberFormat="1" applyFont="1" applyBorder="1"/>
    <xf numFmtId="10" fontId="49" fillId="0" borderId="63" xfId="230" applyNumberFormat="1" applyFont="1" applyFill="1" applyBorder="1" applyAlignment="1"/>
    <xf numFmtId="10" fontId="49" fillId="0" borderId="65" xfId="230" applyNumberFormat="1" applyFont="1" applyFill="1" applyBorder="1" applyAlignment="1"/>
    <xf numFmtId="37" fontId="5" fillId="0" borderId="62" xfId="0" applyNumberFormat="1" applyFont="1" applyBorder="1"/>
    <xf numFmtId="10" fontId="167" fillId="0" borderId="63" xfId="230" applyNumberFormat="1" applyFont="1" applyFill="1" applyBorder="1" applyAlignment="1"/>
    <xf numFmtId="37" fontId="49" fillId="26" borderId="63" xfId="0" applyNumberFormat="1" applyFont="1" applyFill="1" applyBorder="1"/>
    <xf numFmtId="37" fontId="164" fillId="0" borderId="64" xfId="0" applyNumberFormat="1" applyFont="1" applyBorder="1" applyAlignment="1">
      <alignment horizontal="right"/>
    </xf>
    <xf numFmtId="167" fontId="49" fillId="0" borderId="16" xfId="63" applyNumberFormat="1" applyFont="1" applyFill="1" applyBorder="1" applyAlignment="1"/>
    <xf numFmtId="167" fontId="49" fillId="0" borderId="65" xfId="63" applyNumberFormat="1" applyFont="1" applyFill="1" applyBorder="1" applyAlignment="1"/>
    <xf numFmtId="0" fontId="4" fillId="0" borderId="62" xfId="0" applyFont="1" applyBorder="1"/>
    <xf numFmtId="37" fontId="49" fillId="0" borderId="64" xfId="0" applyNumberFormat="1" applyFont="1" applyBorder="1" applyAlignment="1">
      <alignment horizontal="right"/>
    </xf>
    <xf numFmtId="167" fontId="49" fillId="0" borderId="30" xfId="10761" applyNumberFormat="1" applyFont="1" applyFill="1" applyBorder="1" applyAlignment="1"/>
    <xf numFmtId="10" fontId="49" fillId="0" borderId="66" xfId="230" applyNumberFormat="1" applyFont="1" applyFill="1" applyBorder="1" applyAlignment="1"/>
    <xf numFmtId="167" fontId="5" fillId="0" borderId="0" xfId="63" applyNumberFormat="1" applyFont="1" applyFill="1" applyProtection="1"/>
    <xf numFmtId="167" fontId="52" fillId="0" borderId="0" xfId="63" applyNumberFormat="1" applyFont="1" applyFill="1" applyProtection="1"/>
    <xf numFmtId="167" fontId="99" fillId="0" borderId="0" xfId="63" applyNumberFormat="1" applyFont="1"/>
    <xf numFmtId="167" fontId="99" fillId="0" borderId="16" xfId="63" applyNumberFormat="1" applyFont="1" applyFill="1" applyBorder="1"/>
    <xf numFmtId="43" fontId="111" fillId="20" borderId="0" xfId="65" applyFont="1" applyFill="1" applyBorder="1"/>
    <xf numFmtId="43" fontId="25" fillId="0" borderId="0" xfId="65" applyFont="1" applyFill="1" applyBorder="1"/>
    <xf numFmtId="167" fontId="25" fillId="0" borderId="0" xfId="65" applyNumberFormat="1" applyFont="1" applyFill="1" applyBorder="1"/>
    <xf numFmtId="167" fontId="76" fillId="0" borderId="0" xfId="70" applyNumberFormat="1" applyFont="1" applyFill="1" applyBorder="1"/>
    <xf numFmtId="178" fontId="99" fillId="0" borderId="0" xfId="96" applyNumberFormat="1" applyFont="1" applyFill="1"/>
    <xf numFmtId="167" fontId="43" fillId="0" borderId="0" xfId="63" applyNumberFormat="1" applyFont="1" applyFill="1"/>
    <xf numFmtId="167" fontId="105" fillId="0" borderId="0" xfId="0" applyNumberFormat="1" applyFont="1"/>
    <xf numFmtId="167" fontId="97" fillId="0" borderId="16" xfId="68" applyNumberFormat="1" applyFont="1" applyFill="1" applyBorder="1"/>
    <xf numFmtId="167" fontId="53" fillId="0" borderId="0" xfId="63" applyNumberFormat="1" applyFont="1" applyFill="1"/>
    <xf numFmtId="167" fontId="43" fillId="0" borderId="14" xfId="63" applyNumberFormat="1" applyFont="1" applyFill="1" applyBorder="1"/>
    <xf numFmtId="167" fontId="31" fillId="0" borderId="0" xfId="63" applyNumberFormat="1" applyFont="1" applyFill="1"/>
    <xf numFmtId="167" fontId="43" fillId="0" borderId="16" xfId="63" applyNumberFormat="1" applyFont="1" applyFill="1" applyBorder="1"/>
    <xf numFmtId="167" fontId="97" fillId="0" borderId="0" xfId="63" applyNumberFormat="1" applyFont="1" applyFill="1" applyAlignment="1">
      <alignment horizontal="center"/>
    </xf>
    <xf numFmtId="167" fontId="99" fillId="0" borderId="16" xfId="68" applyNumberFormat="1" applyFont="1" applyFill="1" applyBorder="1"/>
    <xf numFmtId="167" fontId="30" fillId="0" borderId="14" xfId="68" applyNumberFormat="1" applyFill="1" applyBorder="1"/>
    <xf numFmtId="43" fontId="0" fillId="0" borderId="0" xfId="63" applyFont="1" applyFill="1"/>
    <xf numFmtId="178" fontId="4" fillId="21" borderId="0" xfId="99" applyNumberFormat="1" applyFont="1" applyFill="1"/>
    <xf numFmtId="167" fontId="4" fillId="21" borderId="0" xfId="63" applyNumberFormat="1" applyFont="1" applyFill="1"/>
    <xf numFmtId="167" fontId="4" fillId="21" borderId="16" xfId="63" applyNumberFormat="1" applyFont="1" applyFill="1" applyBorder="1"/>
    <xf numFmtId="43" fontId="4" fillId="21" borderId="0" xfId="63" applyFont="1" applyFill="1"/>
    <xf numFmtId="43" fontId="4" fillId="21" borderId="14" xfId="63" applyFont="1" applyFill="1" applyBorder="1"/>
    <xf numFmtId="43" fontId="4" fillId="21" borderId="0" xfId="68" applyFont="1" applyFill="1"/>
    <xf numFmtId="167" fontId="4" fillId="21" borderId="14" xfId="63" applyNumberFormat="1" applyFont="1" applyFill="1" applyBorder="1"/>
    <xf numFmtId="184" fontId="4" fillId="0" borderId="0" xfId="0" applyNumberFormat="1" applyFont="1"/>
    <xf numFmtId="10" fontId="4" fillId="0" borderId="0" xfId="229" applyNumberFormat="1" applyFont="1"/>
    <xf numFmtId="167" fontId="4" fillId="0" borderId="0" xfId="63" applyNumberFormat="1" applyFont="1" applyFill="1" applyAlignment="1">
      <alignment horizontal="center"/>
    </xf>
    <xf numFmtId="167" fontId="0" fillId="21" borderId="0" xfId="63" applyNumberFormat="1" applyFont="1" applyFill="1"/>
    <xf numFmtId="167" fontId="25" fillId="0" borderId="0" xfId="63" applyNumberFormat="1" applyFont="1" applyAlignment="1">
      <alignment horizontal="center"/>
    </xf>
    <xf numFmtId="167" fontId="0" fillId="21" borderId="13" xfId="63" applyNumberFormat="1" applyFont="1" applyFill="1" applyBorder="1"/>
    <xf numFmtId="167" fontId="0" fillId="21" borderId="30" xfId="63" applyNumberFormat="1" applyFont="1" applyFill="1" applyBorder="1"/>
    <xf numFmtId="167" fontId="0" fillId="21" borderId="16" xfId="63" applyNumberFormat="1" applyFont="1" applyFill="1" applyBorder="1"/>
    <xf numFmtId="167" fontId="25" fillId="0" borderId="30" xfId="63" applyNumberFormat="1" applyFont="1" applyBorder="1" applyAlignment="1">
      <alignment horizontal="center"/>
    </xf>
    <xf numFmtId="167" fontId="0" fillId="21" borderId="29" xfId="63" applyNumberFormat="1" applyFont="1" applyFill="1" applyBorder="1"/>
    <xf numFmtId="167" fontId="43" fillId="0" borderId="30" xfId="63" applyNumberFormat="1" applyFont="1" applyFill="1" applyBorder="1"/>
    <xf numFmtId="43" fontId="43" fillId="0" borderId="30" xfId="63" applyFont="1" applyFill="1" applyBorder="1"/>
    <xf numFmtId="43" fontId="4" fillId="0" borderId="0" xfId="63" applyFill="1"/>
    <xf numFmtId="167" fontId="43" fillId="0" borderId="29" xfId="63" applyNumberFormat="1" applyFont="1" applyFill="1" applyBorder="1"/>
    <xf numFmtId="43" fontId="4" fillId="0" borderId="0" xfId="63" applyFont="1" applyFill="1" applyAlignment="1">
      <alignment horizontal="center"/>
    </xf>
    <xf numFmtId="43" fontId="99" fillId="0" borderId="0" xfId="68" applyFont="1" applyFill="1" applyAlignment="1">
      <alignment horizontal="center"/>
    </xf>
    <xf numFmtId="43" fontId="97" fillId="0" borderId="0" xfId="63" applyFont="1" applyAlignment="1">
      <alignment horizontal="center"/>
    </xf>
    <xf numFmtId="43" fontId="97" fillId="0" borderId="0" xfId="63" applyFont="1" applyFill="1" applyAlignment="1">
      <alignment horizontal="center"/>
    </xf>
    <xf numFmtId="43" fontId="97" fillId="0" borderId="0" xfId="63" applyFont="1" applyFill="1" applyBorder="1" applyAlignment="1">
      <alignment horizontal="center"/>
    </xf>
    <xf numFmtId="43" fontId="97" fillId="0" borderId="16" xfId="63" applyFont="1" applyFill="1" applyBorder="1" applyAlignment="1">
      <alignment horizontal="center"/>
    </xf>
    <xf numFmtId="43" fontId="99" fillId="0" borderId="0" xfId="63" applyFont="1" applyAlignment="1">
      <alignment horizontal="center"/>
    </xf>
    <xf numFmtId="43" fontId="99" fillId="0" borderId="0" xfId="63" applyFont="1" applyFill="1" applyAlignment="1">
      <alignment horizontal="center"/>
    </xf>
    <xf numFmtId="43" fontId="99" fillId="0" borderId="16" xfId="63" applyFont="1" applyFill="1" applyBorder="1" applyAlignment="1">
      <alignment horizontal="center"/>
    </xf>
    <xf numFmtId="43" fontId="99" fillId="0" borderId="0" xfId="63" applyFont="1" applyFill="1" applyBorder="1" applyAlignment="1">
      <alignment horizontal="center"/>
    </xf>
    <xf numFmtId="17" fontId="4" fillId="94" borderId="16" xfId="0" applyNumberFormat="1" applyFont="1" applyFill="1" applyBorder="1" applyAlignment="1">
      <alignment horizontal="center"/>
    </xf>
    <xf numFmtId="17" fontId="4" fillId="94" borderId="65" xfId="0" applyNumberFormat="1" applyFont="1" applyFill="1" applyBorder="1" applyAlignment="1">
      <alignment horizontal="center"/>
    </xf>
    <xf numFmtId="43" fontId="4" fillId="94" borderId="13" xfId="63" applyFont="1" applyFill="1" applyBorder="1" applyAlignment="1">
      <alignment horizontal="center"/>
    </xf>
    <xf numFmtId="43" fontId="4" fillId="94" borderId="61" xfId="63" applyFont="1" applyFill="1" applyBorder="1" applyAlignment="1">
      <alignment horizontal="center"/>
    </xf>
    <xf numFmtId="167" fontId="25" fillId="0" borderId="0" xfId="63" applyNumberFormat="1" applyFont="1" applyFill="1" applyAlignment="1">
      <alignment horizontal="center"/>
    </xf>
    <xf numFmtId="0" fontId="25" fillId="0" borderId="31" xfId="0" applyFont="1" applyBorder="1"/>
    <xf numFmtId="0" fontId="118" fillId="0" borderId="0" xfId="0" applyFont="1" applyAlignment="1" applyProtection="1">
      <alignment horizontal="left"/>
      <protection locked="0"/>
    </xf>
    <xf numFmtId="0" fontId="118" fillId="0" borderId="0" xfId="82" applyNumberFormat="1" applyFont="1" applyFill="1" applyAlignment="1">
      <alignment horizontal="center"/>
    </xf>
    <xf numFmtId="167" fontId="118" fillId="0" borderId="36" xfId="82" applyNumberFormat="1" applyFont="1" applyFill="1" applyBorder="1" applyAlignment="1">
      <alignment horizontal="center"/>
    </xf>
    <xf numFmtId="16" fontId="25" fillId="0" borderId="28" xfId="0" quotePrefix="1" applyNumberFormat="1" applyFont="1" applyBorder="1" applyAlignment="1">
      <alignment horizontal="centerContinuous"/>
    </xf>
    <xf numFmtId="0" fontId="118" fillId="0" borderId="38" xfId="82" applyNumberFormat="1" applyFont="1" applyFill="1" applyBorder="1" applyAlignment="1">
      <alignment horizontal="center"/>
    </xf>
    <xf numFmtId="167" fontId="118" fillId="0" borderId="39" xfId="82" applyNumberFormat="1" applyFont="1" applyFill="1" applyBorder="1" applyAlignment="1">
      <alignment horizontal="center"/>
    </xf>
    <xf numFmtId="167" fontId="4" fillId="94" borderId="13" xfId="63" applyNumberFormat="1" applyFont="1" applyFill="1" applyBorder="1" applyAlignment="1">
      <alignment horizontal="center"/>
    </xf>
    <xf numFmtId="0" fontId="24" fillId="94" borderId="13" xfId="0" applyFont="1" applyFill="1" applyBorder="1" applyAlignment="1">
      <alignment horizontal="center"/>
    </xf>
    <xf numFmtId="0" fontId="25" fillId="0" borderId="0" xfId="0" applyFont="1" applyAlignment="1">
      <alignment horizontal="right"/>
    </xf>
    <xf numFmtId="10" fontId="76" fillId="0" borderId="0" xfId="232" applyNumberFormat="1" applyFont="1" applyFill="1"/>
    <xf numFmtId="10" fontId="4" fillId="0" borderId="0" xfId="229" applyNumberFormat="1" applyFont="1" applyFill="1"/>
    <xf numFmtId="10" fontId="99" fillId="0" borderId="0" xfId="229" applyNumberFormat="1" applyFont="1" applyFill="1"/>
    <xf numFmtId="0" fontId="174" fillId="95" borderId="0" xfId="0" applyFont="1" applyFill="1"/>
    <xf numFmtId="0" fontId="175" fillId="95" borderId="0" xfId="0" applyFont="1" applyFill="1"/>
    <xf numFmtId="0" fontId="100" fillId="0" borderId="0" xfId="0" applyFont="1" applyAlignment="1">
      <alignment horizontal="centerContinuous"/>
    </xf>
    <xf numFmtId="37" fontId="176" fillId="95" borderId="31" xfId="0" applyNumberFormat="1" applyFont="1" applyFill="1" applyBorder="1"/>
    <xf numFmtId="37" fontId="176" fillId="95" borderId="13" xfId="0" applyNumberFormat="1" applyFont="1" applyFill="1" applyBorder="1"/>
    <xf numFmtId="37" fontId="176" fillId="95" borderId="61" xfId="0" applyNumberFormat="1" applyFont="1" applyFill="1" applyBorder="1"/>
    <xf numFmtId="0" fontId="169" fillId="95" borderId="13" xfId="0" applyFont="1" applyFill="1" applyBorder="1"/>
    <xf numFmtId="0" fontId="169" fillId="95" borderId="61" xfId="0" applyFont="1" applyFill="1" applyBorder="1"/>
    <xf numFmtId="0" fontId="177" fillId="0" borderId="62" xfId="0" applyFont="1" applyBorder="1"/>
    <xf numFmtId="10" fontId="75" fillId="0" borderId="0" xfId="232" applyNumberFormat="1" applyFont="1"/>
    <xf numFmtId="10" fontId="172" fillId="0" borderId="0" xfId="39610" applyNumberFormat="1" applyFont="1" applyFill="1"/>
    <xf numFmtId="10" fontId="75" fillId="0" borderId="0" xfId="232" applyNumberFormat="1" applyFont="1" applyFill="1"/>
    <xf numFmtId="10" fontId="172" fillId="0" borderId="0" xfId="232" applyNumberFormat="1" applyFont="1" applyFill="1"/>
    <xf numFmtId="167" fontId="4" fillId="25" borderId="0" xfId="68" applyNumberFormat="1" applyFont="1" applyFill="1" applyBorder="1"/>
    <xf numFmtId="167" fontId="4" fillId="25" borderId="0" xfId="63" applyNumberFormat="1" applyFont="1" applyFill="1" applyBorder="1" applyAlignment="1">
      <alignment horizontal="center"/>
    </xf>
    <xf numFmtId="0" fontId="111" fillId="96" borderId="62" xfId="0" applyFont="1" applyFill="1" applyBorder="1" applyAlignment="1">
      <alignment horizontal="left" indent="1"/>
    </xf>
    <xf numFmtId="0" fontId="111" fillId="25" borderId="64" xfId="0" applyFont="1" applyFill="1" applyBorder="1" applyAlignment="1">
      <alignment horizontal="left" indent="1"/>
    </xf>
    <xf numFmtId="170" fontId="97" fillId="21" borderId="0" xfId="0" applyNumberFormat="1" applyFont="1" applyFill="1"/>
    <xf numFmtId="167" fontId="76" fillId="21" borderId="29" xfId="70" applyNumberFormat="1" applyFont="1" applyFill="1" applyBorder="1"/>
    <xf numFmtId="0" fontId="97" fillId="97" borderId="0" xfId="0" applyFont="1" applyFill="1" applyAlignment="1">
      <alignment horizontal="left"/>
    </xf>
    <xf numFmtId="0" fontId="97" fillId="97" borderId="0" xfId="0" applyFont="1" applyFill="1"/>
    <xf numFmtId="0" fontId="97" fillId="97" borderId="0" xfId="0" quotePrefix="1" applyFont="1" applyFill="1"/>
    <xf numFmtId="167" fontId="4" fillId="0" borderId="0" xfId="67" applyNumberFormat="1" applyFill="1"/>
    <xf numFmtId="10" fontId="4" fillId="29" borderId="0" xfId="0" applyNumberFormat="1" applyFont="1" applyFill="1" applyProtection="1">
      <protection locked="0"/>
    </xf>
    <xf numFmtId="37" fontId="4" fillId="29" borderId="34" xfId="0" applyNumberFormat="1" applyFont="1" applyFill="1" applyBorder="1"/>
    <xf numFmtId="167" fontId="4" fillId="0" borderId="0" xfId="63" applyNumberFormat="1" applyFont="1" applyFill="1" applyBorder="1" applyAlignment="1">
      <alignment horizontal="center"/>
    </xf>
    <xf numFmtId="167" fontId="0" fillId="0" borderId="0" xfId="63" applyNumberFormat="1" applyFont="1" applyFill="1" applyAlignment="1">
      <alignment horizontal="centerContinuous"/>
    </xf>
    <xf numFmtId="167" fontId="4" fillId="0" borderId="13" xfId="63" applyNumberFormat="1" applyFont="1" applyFill="1" applyBorder="1" applyAlignment="1">
      <alignment horizontal="center"/>
    </xf>
    <xf numFmtId="17" fontId="4" fillId="0" borderId="16" xfId="0" applyNumberFormat="1" applyFont="1" applyBorder="1" applyAlignment="1">
      <alignment horizontal="center"/>
    </xf>
    <xf numFmtId="43" fontId="99" fillId="98" borderId="0" xfId="10761" applyFont="1" applyFill="1"/>
    <xf numFmtId="43" fontId="99" fillId="98" borderId="0" xfId="65" applyFont="1" applyFill="1"/>
    <xf numFmtId="167" fontId="99" fillId="98" borderId="0" xfId="10761" applyNumberFormat="1" applyFont="1" applyFill="1"/>
    <xf numFmtId="167" fontId="99" fillId="20" borderId="0" xfId="0" applyNumberFormat="1" applyFont="1" applyFill="1"/>
    <xf numFmtId="37" fontId="5" fillId="28" borderId="0" xfId="0" applyNumberFormat="1" applyFont="1" applyFill="1"/>
    <xf numFmtId="43" fontId="97" fillId="20" borderId="0" xfId="68" applyFont="1" applyFill="1" applyAlignment="1">
      <alignment horizontal="center"/>
    </xf>
    <xf numFmtId="167" fontId="99" fillId="28" borderId="0" xfId="0" applyNumberFormat="1" applyFont="1" applyFill="1"/>
    <xf numFmtId="0" fontId="37" fillId="0" borderId="0" xfId="12762" applyFont="1" applyAlignment="1">
      <alignment vertical="center"/>
    </xf>
    <xf numFmtId="0" fontId="4" fillId="0" borderId="0" xfId="12762"/>
    <xf numFmtId="0" fontId="4" fillId="0" borderId="0" xfId="12762" applyAlignment="1">
      <alignment vertical="center"/>
    </xf>
    <xf numFmtId="37" fontId="111" fillId="0" borderId="0" xfId="12762" applyNumberFormat="1" applyFont="1" applyAlignment="1">
      <alignment vertical="center"/>
    </xf>
    <xf numFmtId="0" fontId="106" fillId="0" borderId="0" xfId="12762" applyFont="1" applyAlignment="1">
      <alignment horizontal="center" vertical="center"/>
    </xf>
    <xf numFmtId="0" fontId="25" fillId="0" borderId="0" xfId="12762" applyFont="1" applyAlignment="1">
      <alignment horizontal="center" vertical="center"/>
    </xf>
    <xf numFmtId="0" fontId="25" fillId="0" borderId="0" xfId="12762" applyFont="1" applyAlignment="1">
      <alignment horizontal="center"/>
    </xf>
    <xf numFmtId="0" fontId="25" fillId="0" borderId="0" xfId="12762" applyFont="1" applyAlignment="1">
      <alignment vertical="center"/>
    </xf>
    <xf numFmtId="167" fontId="99" fillId="0" borderId="0" xfId="67" applyNumberFormat="1" applyFont="1" applyAlignment="1">
      <alignment vertical="center"/>
    </xf>
    <xf numFmtId="0" fontId="25" fillId="0" borderId="0" xfId="12762" applyFont="1"/>
    <xf numFmtId="0" fontId="2" fillId="0" borderId="0" xfId="20999"/>
    <xf numFmtId="167" fontId="4" fillId="0" borderId="0" xfId="67" applyNumberFormat="1" applyFont="1" applyFill="1" applyAlignment="1">
      <alignment vertical="center"/>
    </xf>
    <xf numFmtId="0" fontId="4" fillId="0" borderId="0" xfId="39611"/>
    <xf numFmtId="0" fontId="25" fillId="0" borderId="0" xfId="12762" applyFont="1" applyAlignment="1">
      <alignment horizontal="left"/>
    </xf>
    <xf numFmtId="167" fontId="25" fillId="18" borderId="0" xfId="67" applyNumberFormat="1" applyFont="1" applyFill="1" applyAlignment="1">
      <alignment vertical="center"/>
    </xf>
    <xf numFmtId="167" fontId="0" fillId="0" borderId="0" xfId="67" applyNumberFormat="1" applyFont="1"/>
    <xf numFmtId="14" fontId="4" fillId="0" borderId="0" xfId="12762" applyNumberFormat="1"/>
    <xf numFmtId="167" fontId="4" fillId="0" borderId="0" xfId="12762" applyNumberFormat="1"/>
    <xf numFmtId="0" fontId="4" fillId="20" borderId="0" xfId="12762" applyFill="1"/>
    <xf numFmtId="178" fontId="99" fillId="28" borderId="0" xfId="96" applyNumberFormat="1" applyFont="1" applyFill="1"/>
    <xf numFmtId="167" fontId="99" fillId="28" borderId="0" xfId="68" applyNumberFormat="1" applyFont="1" applyFill="1"/>
    <xf numFmtId="167" fontId="99" fillId="20" borderId="0" xfId="68" applyNumberFormat="1" applyFont="1" applyFill="1"/>
    <xf numFmtId="0" fontId="24" fillId="0" borderId="0" xfId="12739" applyFont="1"/>
    <xf numFmtId="0" fontId="24" fillId="0" borderId="0" xfId="12739" applyFont="1" applyAlignment="1">
      <alignment horizontal="centerContinuous"/>
    </xf>
    <xf numFmtId="0" fontId="4" fillId="0" borderId="0" xfId="12739"/>
    <xf numFmtId="0" fontId="23" fillId="0" borderId="0" xfId="12739" applyFont="1"/>
    <xf numFmtId="166" fontId="24" fillId="0" borderId="0" xfId="12739" applyNumberFormat="1" applyFont="1"/>
    <xf numFmtId="0" fontId="24" fillId="0" borderId="0" xfId="12739" applyFont="1" applyAlignment="1">
      <alignment horizontal="center"/>
    </xf>
    <xf numFmtId="0" fontId="29" fillId="0" borderId="0" xfId="12739" applyFont="1" applyAlignment="1">
      <alignment horizontal="center"/>
    </xf>
    <xf numFmtId="39" fontId="24" fillId="0" borderId="0" xfId="12739" applyNumberFormat="1" applyFont="1"/>
    <xf numFmtId="0" fontId="24" fillId="0" borderId="0" xfId="12739" applyFont="1" applyAlignment="1">
      <alignment horizontal="right"/>
    </xf>
    <xf numFmtId="37" fontId="28" fillId="0" borderId="0" xfId="12739" applyNumberFormat="1" applyFont="1" applyProtection="1">
      <protection locked="0"/>
    </xf>
    <xf numFmtId="37" fontId="24" fillId="0" borderId="0" xfId="12739" applyNumberFormat="1" applyFont="1"/>
    <xf numFmtId="39" fontId="28" fillId="0" borderId="0" xfId="12739" applyNumberFormat="1" applyFont="1" applyProtection="1">
      <protection locked="0"/>
    </xf>
    <xf numFmtId="49" fontId="24" fillId="0" borderId="0" xfId="12739" applyNumberFormat="1" applyFont="1" applyAlignment="1">
      <alignment horizontal="left"/>
    </xf>
    <xf numFmtId="49" fontId="24" fillId="0" borderId="0" xfId="12739" applyNumberFormat="1" applyFont="1" applyAlignment="1">
      <alignment horizontal="center"/>
    </xf>
    <xf numFmtId="174" fontId="24" fillId="0" borderId="0" xfId="12739" applyNumberFormat="1" applyFont="1" applyAlignment="1">
      <alignment horizontal="left"/>
    </xf>
    <xf numFmtId="39" fontId="4" fillId="0" borderId="0" xfId="12739" applyNumberFormat="1"/>
    <xf numFmtId="39" fontId="114" fillId="0" borderId="0" xfId="12739" applyNumberFormat="1" applyFont="1"/>
    <xf numFmtId="37" fontId="28" fillId="25" borderId="0" xfId="12739" applyNumberFormat="1" applyFont="1" applyFill="1" applyProtection="1">
      <protection locked="0"/>
    </xf>
    <xf numFmtId="37" fontId="24" fillId="25" borderId="0" xfId="12739" applyNumberFormat="1" applyFont="1" applyFill="1"/>
    <xf numFmtId="0" fontId="4" fillId="0" borderId="16" xfId="12739" applyBorder="1"/>
    <xf numFmtId="0" fontId="49" fillId="0" borderId="0" xfId="0" applyFont="1" applyAlignment="1">
      <alignment horizontal="centerContinuous"/>
    </xf>
    <xf numFmtId="191" fontId="76" fillId="0" borderId="0" xfId="0" applyNumberFormat="1" applyFont="1" applyAlignment="1">
      <alignment horizontal="center"/>
    </xf>
    <xf numFmtId="0" fontId="75" fillId="0" borderId="0" xfId="0" applyFont="1"/>
    <xf numFmtId="0" fontId="179" fillId="0" borderId="0" xfId="0" applyFont="1"/>
    <xf numFmtId="0" fontId="180" fillId="0" borderId="0" xfId="0" quotePrefix="1" applyFont="1" applyAlignment="1">
      <alignment horizontal="center"/>
    </xf>
    <xf numFmtId="0" fontId="180" fillId="0" borderId="0" xfId="0" applyFont="1"/>
    <xf numFmtId="192" fontId="25" fillId="0" borderId="0" xfId="0" applyNumberFormat="1" applyFont="1"/>
    <xf numFmtId="37" fontId="4" fillId="0" borderId="16" xfId="0" applyNumberFormat="1" applyFont="1" applyBorder="1"/>
    <xf numFmtId="167" fontId="4" fillId="0" borderId="0" xfId="39612" applyNumberFormat="1" applyFont="1" applyFill="1"/>
    <xf numFmtId="43" fontId="4" fillId="0" borderId="0" xfId="39612" applyFont="1" applyFill="1" applyBorder="1"/>
    <xf numFmtId="43" fontId="75" fillId="0" borderId="0" xfId="0" applyNumberFormat="1" applyFont="1"/>
    <xf numFmtId="43" fontId="4" fillId="0" borderId="0" xfId="0" applyNumberFormat="1" applyFont="1"/>
    <xf numFmtId="2" fontId="4" fillId="0" borderId="0" xfId="0" applyNumberFormat="1" applyFont="1"/>
    <xf numFmtId="43" fontId="4" fillId="0" borderId="0" xfId="398" applyFont="1" applyFill="1"/>
    <xf numFmtId="0" fontId="75" fillId="0" borderId="0" xfId="0" applyFont="1" applyAlignment="1">
      <alignment horizontal="right"/>
    </xf>
    <xf numFmtId="0" fontId="76" fillId="0" borderId="0" xfId="0" applyFont="1"/>
    <xf numFmtId="2" fontId="75" fillId="0" borderId="0" xfId="0" applyNumberFormat="1" applyFont="1"/>
    <xf numFmtId="43" fontId="76" fillId="0" borderId="0" xfId="39612" applyFont="1" applyFill="1" applyBorder="1"/>
    <xf numFmtId="167" fontId="25" fillId="0" borderId="0" xfId="39612" applyNumberFormat="1" applyFont="1" applyFill="1" applyBorder="1" applyAlignment="1">
      <alignment horizontal="left"/>
    </xf>
    <xf numFmtId="0" fontId="75" fillId="0" borderId="0" xfId="0" applyFont="1" applyAlignment="1">
      <alignment horizontal="left" indent="1"/>
    </xf>
    <xf numFmtId="167" fontId="75" fillId="0" borderId="0" xfId="39612" applyNumberFormat="1" applyFont="1" applyFill="1"/>
    <xf numFmtId="0" fontId="4" fillId="0" borderId="0" xfId="0" quotePrefix="1" applyFont="1" applyAlignment="1">
      <alignment horizontal="right"/>
    </xf>
    <xf numFmtId="0" fontId="25" fillId="0" borderId="0" xfId="0" applyFont="1" applyAlignment="1">
      <alignment horizontal="left"/>
    </xf>
    <xf numFmtId="2" fontId="4" fillId="0" borderId="0" xfId="39612" applyNumberFormat="1" applyFont="1" applyFill="1"/>
    <xf numFmtId="192" fontId="4" fillId="0" borderId="0" xfId="0" quotePrefix="1" applyNumberFormat="1" applyFont="1" applyAlignment="1">
      <alignment horizontal="right"/>
    </xf>
    <xf numFmtId="10" fontId="25" fillId="0" borderId="16" xfId="229" applyNumberFormat="1" applyFont="1" applyFill="1" applyBorder="1"/>
    <xf numFmtId="10" fontId="25" fillId="0" borderId="16" xfId="39612" applyNumberFormat="1" applyFont="1" applyFill="1" applyBorder="1"/>
    <xf numFmtId="10" fontId="4" fillId="0" borderId="30" xfId="229" applyNumberFormat="1" applyFont="1" applyBorder="1"/>
    <xf numFmtId="167" fontId="4" fillId="0" borderId="16" xfId="39612" applyNumberFormat="1" applyFont="1" applyFill="1" applyBorder="1"/>
    <xf numFmtId="0" fontId="75" fillId="0" borderId="0" xfId="0" applyFont="1" applyAlignment="1">
      <alignment horizontal="left"/>
    </xf>
    <xf numFmtId="193" fontId="25" fillId="0" borderId="0" xfId="229" applyNumberFormat="1" applyFont="1"/>
    <xf numFmtId="193" fontId="25" fillId="0" borderId="0" xfId="0" applyNumberFormat="1" applyFont="1"/>
    <xf numFmtId="167" fontId="124" fillId="0" borderId="0" xfId="63" applyNumberFormat="1" applyFont="1"/>
    <xf numFmtId="167" fontId="4" fillId="20" borderId="0" xfId="39612" applyNumberFormat="1" applyFont="1" applyFill="1"/>
    <xf numFmtId="167" fontId="4" fillId="20" borderId="16" xfId="39612" applyNumberFormat="1" applyFont="1" applyFill="1" applyBorder="1"/>
    <xf numFmtId="10" fontId="25" fillId="0" borderId="0" xfId="229" applyNumberFormat="1" applyFont="1" applyFill="1" applyBorder="1"/>
    <xf numFmtId="10" fontId="4" fillId="0" borderId="0" xfId="229" applyNumberFormat="1" applyFont="1" applyBorder="1"/>
    <xf numFmtId="0" fontId="75" fillId="20" borderId="0" xfId="0" applyFont="1" applyFill="1"/>
    <xf numFmtId="2" fontId="4" fillId="20" borderId="0" xfId="0" applyNumberFormat="1" applyFont="1" applyFill="1"/>
    <xf numFmtId="0" fontId="4" fillId="20" borderId="16" xfId="0" applyFont="1" applyFill="1" applyBorder="1"/>
    <xf numFmtId="43" fontId="4" fillId="20" borderId="0" xfId="39612" applyFont="1" applyFill="1" applyBorder="1"/>
    <xf numFmtId="10" fontId="75" fillId="0" borderId="0" xfId="229" applyNumberFormat="1" applyFont="1" applyFill="1"/>
    <xf numFmtId="192" fontId="4" fillId="0" borderId="0" xfId="0" applyNumberFormat="1" applyFont="1"/>
    <xf numFmtId="10" fontId="76" fillId="0" borderId="0" xfId="0" applyNumberFormat="1" applyFont="1"/>
    <xf numFmtId="10" fontId="4" fillId="0" borderId="16" xfId="229" applyNumberFormat="1" applyFont="1" applyBorder="1"/>
    <xf numFmtId="0" fontId="4" fillId="98" borderId="16" xfId="0" applyFont="1" applyFill="1" applyBorder="1"/>
    <xf numFmtId="167" fontId="4" fillId="98" borderId="0" xfId="39612" applyNumberFormat="1" applyFont="1" applyFill="1"/>
    <xf numFmtId="2" fontId="4" fillId="98" borderId="0" xfId="0" applyNumberFormat="1" applyFont="1" applyFill="1"/>
    <xf numFmtId="43" fontId="4" fillId="98" borderId="0" xfId="39612" applyFont="1" applyFill="1" applyBorder="1"/>
    <xf numFmtId="0" fontId="75" fillId="98" borderId="0" xfId="0" applyFont="1" applyFill="1"/>
    <xf numFmtId="180" fontId="4" fillId="0" borderId="0" xfId="229" applyNumberFormat="1" applyFont="1"/>
    <xf numFmtId="180" fontId="4" fillId="0" borderId="0" xfId="0" applyNumberFormat="1" applyFont="1"/>
    <xf numFmtId="180" fontId="4" fillId="20" borderId="0" xfId="0" applyNumberFormat="1" applyFont="1" applyFill="1"/>
    <xf numFmtId="0" fontId="75" fillId="31" borderId="0" xfId="0" applyFont="1" applyFill="1"/>
    <xf numFmtId="167" fontId="4" fillId="31" borderId="0" xfId="39612" applyNumberFormat="1" applyFont="1" applyFill="1"/>
    <xf numFmtId="43" fontId="4" fillId="31" borderId="0" xfId="39612" applyFont="1" applyFill="1" applyBorder="1"/>
    <xf numFmtId="2" fontId="4" fillId="31" borderId="0" xfId="0" applyNumberFormat="1" applyFont="1" applyFill="1"/>
    <xf numFmtId="10" fontId="25" fillId="31" borderId="16" xfId="229" applyNumberFormat="1" applyFont="1" applyFill="1" applyBorder="1"/>
    <xf numFmtId="10" fontId="4" fillId="0" borderId="16" xfId="0" applyNumberFormat="1" applyFont="1" applyBorder="1"/>
    <xf numFmtId="0" fontId="75" fillId="23" borderId="0" xfId="0" applyFont="1" applyFill="1"/>
    <xf numFmtId="167" fontId="4" fillId="23" borderId="0" xfId="39612" applyNumberFormat="1" applyFont="1" applyFill="1"/>
    <xf numFmtId="43" fontId="4" fillId="23" borderId="0" xfId="39612" applyFont="1" applyFill="1" applyBorder="1"/>
    <xf numFmtId="2" fontId="4" fillId="23" borderId="0" xfId="0" applyNumberFormat="1" applyFont="1" applyFill="1"/>
    <xf numFmtId="0" fontId="75" fillId="99" borderId="0" xfId="0" applyFont="1" applyFill="1"/>
    <xf numFmtId="2" fontId="4" fillId="99" borderId="0" xfId="0" applyNumberFormat="1" applyFont="1" applyFill="1"/>
    <xf numFmtId="167" fontId="4" fillId="99" borderId="0" xfId="39612" applyNumberFormat="1" applyFont="1" applyFill="1"/>
    <xf numFmtId="0" fontId="4" fillId="99" borderId="16" xfId="0" applyFont="1" applyFill="1" applyBorder="1"/>
    <xf numFmtId="43" fontId="4" fillId="99" borderId="0" xfId="39612" applyFont="1" applyFill="1" applyBorder="1"/>
    <xf numFmtId="0" fontId="75" fillId="33" borderId="0" xfId="0" applyFont="1" applyFill="1"/>
    <xf numFmtId="167" fontId="4" fillId="33" borderId="0" xfId="39612" applyNumberFormat="1" applyFont="1" applyFill="1"/>
    <xf numFmtId="2" fontId="4" fillId="33" borderId="0" xfId="0" applyNumberFormat="1" applyFont="1" applyFill="1"/>
    <xf numFmtId="167" fontId="4" fillId="0" borderId="0" xfId="39612" applyNumberFormat="1" applyFont="1" applyFill="1" applyBorder="1"/>
    <xf numFmtId="167" fontId="4" fillId="99" borderId="0" xfId="39612" applyNumberFormat="1" applyFont="1" applyFill="1" applyBorder="1"/>
    <xf numFmtId="0" fontId="76" fillId="0" borderId="16" xfId="0" applyFont="1" applyBorder="1" applyAlignment="1">
      <alignment horizontal="center"/>
    </xf>
    <xf numFmtId="2" fontId="0" fillId="0" borderId="0" xfId="0" applyNumberFormat="1"/>
    <xf numFmtId="10" fontId="49" fillId="0" borderId="0" xfId="229" applyNumberFormat="1" applyFont="1" applyAlignment="1">
      <alignment horizontal="right"/>
    </xf>
    <xf numFmtId="10" fontId="49" fillId="0" borderId="0" xfId="229" applyNumberFormat="1" applyFont="1" applyFill="1"/>
    <xf numFmtId="189" fontId="49" fillId="0" borderId="0" xfId="5623" quotePrefix="1" applyNumberFormat="1" applyFont="1" applyAlignment="1">
      <alignment horizontal="left"/>
    </xf>
    <xf numFmtId="10" fontId="49" fillId="0" borderId="0" xfId="229" applyNumberFormat="1" applyFont="1"/>
    <xf numFmtId="167" fontId="172" fillId="0" borderId="0" xfId="232" applyNumberFormat="1" applyFont="1" applyFill="1"/>
    <xf numFmtId="170" fontId="97" fillId="33" borderId="0" xfId="0" applyNumberFormat="1" applyFont="1" applyFill="1"/>
    <xf numFmtId="167" fontId="97" fillId="33" borderId="0" xfId="63" applyNumberFormat="1" applyFont="1" applyFill="1"/>
    <xf numFmtId="43" fontId="170" fillId="33" borderId="0" xfId="65" applyFont="1" applyFill="1"/>
    <xf numFmtId="167" fontId="50" fillId="92" borderId="0" xfId="0" applyNumberFormat="1" applyFont="1" applyFill="1"/>
    <xf numFmtId="43" fontId="50" fillId="92" borderId="0" xfId="0" applyNumberFormat="1" applyFont="1" applyFill="1"/>
    <xf numFmtId="167" fontId="4" fillId="0" borderId="0" xfId="67" applyNumberFormat="1" applyFont="1" applyFill="1" applyBorder="1"/>
    <xf numFmtId="167" fontId="4" fillId="0" borderId="0" xfId="67" applyNumberFormat="1" applyFont="1" applyFill="1"/>
    <xf numFmtId="10" fontId="25" fillId="26" borderId="0" xfId="229" applyNumberFormat="1" applyFont="1" applyFill="1"/>
    <xf numFmtId="0" fontId="182" fillId="100" borderId="13" xfId="39613" applyFont="1" applyBorder="1">
      <alignment vertical="center"/>
    </xf>
    <xf numFmtId="0" fontId="171" fillId="28" borderId="30" xfId="0" applyFont="1" applyFill="1" applyBorder="1" applyAlignment="1">
      <alignment horizontal="centerContinuous"/>
    </xf>
    <xf numFmtId="0" fontId="171" fillId="28" borderId="66" xfId="0" applyFont="1" applyFill="1" applyBorder="1" applyAlignment="1">
      <alignment horizontal="centerContinuous"/>
    </xf>
    <xf numFmtId="0" fontId="183" fillId="0" borderId="0" xfId="39614" applyFont="1" applyAlignment="1">
      <alignment horizontal="center"/>
    </xf>
    <xf numFmtId="0" fontId="181" fillId="100" borderId="0" xfId="39613">
      <alignment vertical="center"/>
    </xf>
    <xf numFmtId="0" fontId="182" fillId="100" borderId="0" xfId="39613" applyFont="1">
      <alignment vertical="center"/>
    </xf>
    <xf numFmtId="0" fontId="185" fillId="0" borderId="68" xfId="39615" applyFont="1" applyBorder="1">
      <alignment horizontal="center"/>
    </xf>
    <xf numFmtId="195" fontId="185" fillId="25" borderId="69" xfId="39616" applyNumberFormat="1" applyAlignment="1">
      <alignment horizontal="center"/>
      <protection locked="0"/>
    </xf>
    <xf numFmtId="195" fontId="185" fillId="0" borderId="0" xfId="39617">
      <alignment horizontal="center"/>
    </xf>
    <xf numFmtId="0" fontId="0" fillId="0" borderId="0" xfId="0" applyAlignment="1">
      <alignment horizontal="right"/>
    </xf>
    <xf numFmtId="197" fontId="185" fillId="25" borderId="69" xfId="39618" applyNumberFormat="1">
      <protection locked="0"/>
    </xf>
    <xf numFmtId="41" fontId="186" fillId="100" borderId="0" xfId="39613" applyNumberFormat="1" applyFont="1">
      <alignment vertical="center"/>
    </xf>
    <xf numFmtId="0" fontId="25" fillId="0" borderId="0" xfId="39614"/>
    <xf numFmtId="0" fontId="186" fillId="0" borderId="0" xfId="39619">
      <alignment vertical="center"/>
    </xf>
    <xf numFmtId="0" fontId="187" fillId="0" borderId="0" xfId="39620" applyAlignment="1">
      <alignment horizontal="right"/>
    </xf>
    <xf numFmtId="196" fontId="185" fillId="0" borderId="0" xfId="39621" applyAlignment="1">
      <alignment horizontal="center"/>
    </xf>
    <xf numFmtId="0" fontId="187" fillId="0" borderId="0" xfId="39620"/>
    <xf numFmtId="0" fontId="188" fillId="0" borderId="0" xfId="39622">
      <alignment horizontal="left" vertical="center"/>
    </xf>
    <xf numFmtId="0" fontId="189" fillId="101" borderId="0" xfId="39623">
      <alignment vertical="center"/>
    </xf>
    <xf numFmtId="0" fontId="190" fillId="102" borderId="0" xfId="39624">
      <alignment vertical="center"/>
    </xf>
    <xf numFmtId="0" fontId="1" fillId="0" borderId="0" xfId="0" applyFont="1"/>
    <xf numFmtId="0" fontId="191" fillId="0" borderId="0" xfId="39625">
      <alignment horizontal="center"/>
    </xf>
    <xf numFmtId="0" fontId="0" fillId="0" borderId="13" xfId="0" applyBorder="1"/>
    <xf numFmtId="198" fontId="193" fillId="0" borderId="70" xfId="39626">
      <alignment horizontal="center" vertical="center"/>
    </xf>
    <xf numFmtId="196" fontId="122" fillId="0" borderId="0" xfId="39621" applyFont="1"/>
    <xf numFmtId="0" fontId="194" fillId="0" borderId="0" xfId="0" applyFont="1"/>
    <xf numFmtId="168" fontId="101" fillId="0" borderId="0" xfId="0" applyNumberFormat="1" applyFont="1"/>
    <xf numFmtId="197" fontId="185" fillId="103" borderId="69" xfId="39618" applyNumberFormat="1" applyFill="1">
      <protection locked="0"/>
    </xf>
    <xf numFmtId="1" fontId="116" fillId="0" borderId="0" xfId="0" applyNumberFormat="1" applyFont="1" applyAlignment="1">
      <alignment horizontal="center"/>
    </xf>
    <xf numFmtId="167" fontId="1" fillId="0" borderId="0" xfId="0" applyNumberFormat="1" applyFont="1"/>
    <xf numFmtId="182" fontId="195" fillId="0" borderId="0" xfId="0" applyNumberFormat="1" applyFont="1"/>
    <xf numFmtId="0" fontId="116" fillId="0" borderId="0" xfId="0" applyFont="1"/>
    <xf numFmtId="0" fontId="0" fillId="103" borderId="0" xfId="0" applyFill="1"/>
    <xf numFmtId="0" fontId="192" fillId="0" borderId="13" xfId="39619" applyFont="1" applyBorder="1" applyAlignment="1">
      <alignment horizontal="left" vertical="center" indent="1"/>
    </xf>
    <xf numFmtId="37" fontId="122" fillId="0" borderId="0" xfId="0" applyNumberFormat="1" applyFont="1"/>
    <xf numFmtId="199" fontId="185" fillId="103" borderId="0" xfId="39628" applyFill="1"/>
    <xf numFmtId="200" fontId="185" fillId="26" borderId="69" xfId="39629" applyNumberFormat="1">
      <protection locked="0"/>
    </xf>
    <xf numFmtId="200" fontId="185" fillId="26" borderId="71" xfId="39629" applyNumberFormat="1" applyBorder="1">
      <protection locked="0"/>
    </xf>
    <xf numFmtId="17" fontId="0" fillId="0" borderId="0" xfId="0" applyNumberFormat="1"/>
    <xf numFmtId="170" fontId="43" fillId="0" borderId="0" xfId="0" quotePrefix="1" applyNumberFormat="1" applyFont="1"/>
    <xf numFmtId="167" fontId="4" fillId="32" borderId="0" xfId="63" applyNumberFormat="1" applyFont="1" applyFill="1"/>
    <xf numFmtId="167" fontId="4" fillId="0" borderId="0" xfId="63" applyNumberFormat="1" applyFont="1" applyAlignment="1">
      <alignment horizontal="center"/>
    </xf>
    <xf numFmtId="168" fontId="4" fillId="0" borderId="0" xfId="63" applyNumberFormat="1" applyFont="1" applyFill="1" applyAlignment="1">
      <alignment horizontal="center"/>
    </xf>
    <xf numFmtId="43" fontId="4" fillId="0" borderId="0" xfId="63" applyFont="1" applyAlignment="1">
      <alignment horizontal="center"/>
    </xf>
    <xf numFmtId="181" fontId="4" fillId="0" borderId="0" xfId="63" applyNumberFormat="1" applyFont="1" applyAlignment="1">
      <alignment horizontal="center"/>
    </xf>
    <xf numFmtId="43" fontId="4" fillId="0" borderId="16" xfId="63" applyFont="1" applyBorder="1" applyAlignment="1">
      <alignment horizontal="center"/>
    </xf>
    <xf numFmtId="43" fontId="4" fillId="28" borderId="16" xfId="63" applyFont="1" applyFill="1" applyBorder="1" applyAlignment="1">
      <alignment horizontal="center"/>
    </xf>
    <xf numFmtId="43" fontId="4" fillId="29" borderId="0" xfId="63" applyFont="1" applyFill="1" applyAlignment="1">
      <alignment horizontal="center"/>
    </xf>
    <xf numFmtId="17" fontId="18" fillId="94" borderId="16" xfId="0" applyNumberFormat="1" applyFont="1" applyFill="1" applyBorder="1" applyAlignment="1">
      <alignment horizontal="center"/>
    </xf>
    <xf numFmtId="169" fontId="4" fillId="0" borderId="27" xfId="0" applyNumberFormat="1" applyFont="1" applyBorder="1" applyProtection="1">
      <protection locked="0"/>
    </xf>
    <xf numFmtId="167" fontId="4" fillId="0" borderId="16" xfId="63" applyNumberFormat="1" applyFont="1" applyBorder="1"/>
    <xf numFmtId="43" fontId="4" fillId="27" borderId="0" xfId="63" applyFont="1" applyFill="1"/>
    <xf numFmtId="167" fontId="4" fillId="27" borderId="0" xfId="63" applyNumberFormat="1" applyFont="1" applyFill="1"/>
    <xf numFmtId="173" fontId="43" fillId="27" borderId="0" xfId="0" applyNumberFormat="1" applyFont="1" applyFill="1"/>
    <xf numFmtId="167" fontId="31" fillId="27" borderId="0" xfId="63" applyNumberFormat="1" applyFont="1" applyFill="1"/>
    <xf numFmtId="167" fontId="43" fillId="27" borderId="0" xfId="63" applyNumberFormat="1" applyFont="1" applyFill="1"/>
    <xf numFmtId="170" fontId="31" fillId="27" borderId="0" xfId="0" applyNumberFormat="1" applyFont="1" applyFill="1"/>
    <xf numFmtId="0" fontId="43" fillId="27" borderId="0" xfId="0" quotePrefix="1" applyFont="1" applyFill="1"/>
    <xf numFmtId="43" fontId="43" fillId="27" borderId="29" xfId="63" applyFont="1" applyFill="1" applyBorder="1"/>
    <xf numFmtId="43" fontId="44" fillId="27" borderId="0" xfId="63" applyFont="1" applyFill="1"/>
    <xf numFmtId="10" fontId="49" fillId="0" borderId="0" xfId="239" applyNumberFormat="1" applyFont="1"/>
    <xf numFmtId="43" fontId="49" fillId="0" borderId="0" xfId="79" applyFont="1"/>
    <xf numFmtId="10" fontId="49" fillId="0" borderId="16" xfId="239" applyNumberFormat="1" applyFont="1" applyBorder="1"/>
    <xf numFmtId="42" fontId="49" fillId="20" borderId="16" xfId="0" applyNumberFormat="1" applyFont="1" applyFill="1" applyBorder="1"/>
    <xf numFmtId="0" fontId="49" fillId="0" borderId="0" xfId="0" applyFont="1" applyAlignment="1">
      <alignment horizontal="left"/>
    </xf>
    <xf numFmtId="167" fontId="49" fillId="0" borderId="0" xfId="79" applyNumberFormat="1" applyFont="1"/>
    <xf numFmtId="8" fontId="49" fillId="0" borderId="0" xfId="0" applyNumberFormat="1" applyFont="1"/>
    <xf numFmtId="42" fontId="49" fillId="0" borderId="16" xfId="0" applyNumberFormat="1" applyFont="1" applyBorder="1"/>
    <xf numFmtId="14" fontId="4" fillId="0" borderId="0" xfId="0" applyNumberFormat="1" applyFont="1" applyAlignment="1">
      <alignment horizontal="center"/>
    </xf>
    <xf numFmtId="0" fontId="49" fillId="93" borderId="0" xfId="0" applyFont="1" applyFill="1"/>
    <xf numFmtId="37" fontId="49" fillId="0" borderId="0" xfId="79" applyNumberFormat="1" applyFont="1" applyFill="1"/>
    <xf numFmtId="0" fontId="49" fillId="94" borderId="0" xfId="0" applyFont="1" applyFill="1"/>
    <xf numFmtId="167" fontId="49" fillId="0" borderId="0" xfId="63" applyNumberFormat="1" applyFont="1"/>
    <xf numFmtId="6" fontId="49" fillId="37" borderId="0" xfId="0" applyNumberFormat="1" applyFont="1" applyFill="1"/>
    <xf numFmtId="3" fontId="49" fillId="37" borderId="0" xfId="0" applyNumberFormat="1" applyFont="1" applyFill="1"/>
    <xf numFmtId="37" fontId="49" fillId="37" borderId="16" xfId="0" applyNumberFormat="1" applyFont="1" applyFill="1" applyBorder="1"/>
    <xf numFmtId="0" fontId="49" fillId="37" borderId="0" xfId="0" quotePrefix="1" applyFont="1" applyFill="1" applyAlignment="1">
      <alignment horizontal="left"/>
    </xf>
    <xf numFmtId="0" fontId="49" fillId="37" borderId="0" xfId="0" applyFont="1" applyFill="1"/>
    <xf numFmtId="10" fontId="49" fillId="37" borderId="0" xfId="0" applyNumberFormat="1" applyFont="1" applyFill="1"/>
    <xf numFmtId="10" fontId="49" fillId="37" borderId="16" xfId="0" applyNumberFormat="1" applyFont="1" applyFill="1" applyBorder="1"/>
    <xf numFmtId="0" fontId="49" fillId="37" borderId="16" xfId="0" quotePrefix="1" applyFont="1" applyFill="1" applyBorder="1" applyAlignment="1">
      <alignment horizontal="left"/>
    </xf>
    <xf numFmtId="6" fontId="49" fillId="37" borderId="16" xfId="0" applyNumberFormat="1" applyFont="1" applyFill="1" applyBorder="1"/>
    <xf numFmtId="37" fontId="49" fillId="37" borderId="0" xfId="79" applyNumberFormat="1" applyFont="1" applyFill="1"/>
    <xf numFmtId="37" fontId="49" fillId="37" borderId="0" xfId="0" quotePrefix="1" applyNumberFormat="1" applyFont="1" applyFill="1" applyAlignment="1">
      <alignment horizontal="left"/>
    </xf>
    <xf numFmtId="37" fontId="49" fillId="37" borderId="0" xfId="0" applyNumberFormat="1" applyFont="1" applyFill="1"/>
    <xf numFmtId="37" fontId="49" fillId="37" borderId="0" xfId="0" applyNumberFormat="1" applyFont="1" applyFill="1" applyAlignment="1">
      <alignment horizontal="right"/>
    </xf>
    <xf numFmtId="0" fontId="186" fillId="0" borderId="0" xfId="39619" applyAlignment="1">
      <alignment horizontal="right" vertical="center"/>
    </xf>
    <xf numFmtId="0" fontId="188" fillId="0" borderId="0" xfId="39622" applyAlignment="1">
      <alignment horizontal="right" vertical="center"/>
    </xf>
    <xf numFmtId="22" fontId="0" fillId="26" borderId="70" xfId="0" applyNumberFormat="1" applyFill="1" applyBorder="1" applyAlignment="1">
      <alignment horizontal="left"/>
    </xf>
    <xf numFmtId="201" fontId="0" fillId="26" borderId="70" xfId="0" applyNumberFormat="1" applyFill="1" applyBorder="1" applyAlignment="1">
      <alignment horizontal="left"/>
    </xf>
    <xf numFmtId="0" fontId="186" fillId="0" borderId="0" xfId="39619" applyAlignment="1">
      <alignment horizontal="left" vertical="center" indent="1"/>
    </xf>
    <xf numFmtId="0" fontId="186" fillId="103" borderId="67" xfId="39619" applyFill="1" applyBorder="1">
      <alignment vertical="center"/>
    </xf>
    <xf numFmtId="0" fontId="0" fillId="103" borderId="30" xfId="0" applyFill="1" applyBorder="1"/>
    <xf numFmtId="0" fontId="0" fillId="103" borderId="66" xfId="0" applyFill="1" applyBorder="1"/>
    <xf numFmtId="9" fontId="25" fillId="0" borderId="13" xfId="229" applyFont="1" applyBorder="1" applyAlignment="1">
      <alignment horizontal="left"/>
    </xf>
    <xf numFmtId="9" fontId="25" fillId="0" borderId="13" xfId="229" applyFont="1" applyBorder="1" applyAlignment="1">
      <alignment horizontal="left" indent="1"/>
    </xf>
    <xf numFmtId="0" fontId="186" fillId="0" borderId="0" xfId="39619" applyAlignment="1">
      <alignment horizontal="left" vertical="center"/>
    </xf>
    <xf numFmtId="10" fontId="172" fillId="37" borderId="0" xfId="232" applyNumberFormat="1" applyFont="1" applyFill="1"/>
    <xf numFmtId="10" fontId="75" fillId="37" borderId="0" xfId="232" applyNumberFormat="1" applyFont="1" applyFill="1"/>
    <xf numFmtId="43" fontId="99" fillId="31" borderId="0" xfId="65" applyFont="1" applyFill="1"/>
    <xf numFmtId="0" fontId="75" fillId="0" borderId="0" xfId="0" applyFont="1" applyAlignment="1">
      <alignment horizontal="center"/>
    </xf>
    <xf numFmtId="192" fontId="4" fillId="0" borderId="0" xfId="0" applyNumberFormat="1" applyFont="1" applyAlignment="1">
      <alignment horizontal="center"/>
    </xf>
    <xf numFmtId="37" fontId="49" fillId="0" borderId="16" xfId="0" applyNumberFormat="1" applyFont="1" applyBorder="1" applyAlignment="1">
      <alignment horizontal="right"/>
    </xf>
    <xf numFmtId="10" fontId="37" fillId="0" borderId="0" xfId="229" applyNumberFormat="1" applyFont="1" applyAlignment="1">
      <alignment horizontal="right"/>
    </xf>
    <xf numFmtId="37" fontId="37" fillId="0" borderId="0" xfId="0" applyNumberFormat="1" applyFont="1" applyAlignment="1">
      <alignment horizontal="right"/>
    </xf>
    <xf numFmtId="202" fontId="171" fillId="28" borderId="67" xfId="0" applyNumberFormat="1" applyFont="1" applyFill="1" applyBorder="1" applyAlignment="1">
      <alignment horizontal="centerContinuous"/>
    </xf>
    <xf numFmtId="199" fontId="185" fillId="0" borderId="0" xfId="39629" applyNumberFormat="1" applyFill="1" applyBorder="1">
      <protection locked="0"/>
    </xf>
    <xf numFmtId="196" fontId="185" fillId="26" borderId="69" xfId="39618" applyFill="1">
      <protection locked="0"/>
    </xf>
    <xf numFmtId="196" fontId="185" fillId="26" borderId="71" xfId="39618" applyFill="1" applyBorder="1">
      <protection locked="0"/>
    </xf>
    <xf numFmtId="196" fontId="183" fillId="26" borderId="72" xfId="39618" applyFont="1" applyFill="1" applyBorder="1">
      <protection locked="0"/>
    </xf>
    <xf numFmtId="200" fontId="183" fillId="26" borderId="72" xfId="39629" applyNumberFormat="1" applyFont="1" applyBorder="1">
      <protection locked="0"/>
    </xf>
    <xf numFmtId="0" fontId="196" fillId="0" borderId="0" xfId="39619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195" fontId="185" fillId="0" borderId="0" xfId="39617" applyAlignment="1">
      <alignment horizontal="center" vertical="top"/>
    </xf>
    <xf numFmtId="170" fontId="97" fillId="28" borderId="16" xfId="0" applyNumberFormat="1" applyFont="1" applyFill="1" applyBorder="1"/>
    <xf numFmtId="170" fontId="99" fillId="28" borderId="0" xfId="0" applyNumberFormat="1" applyFont="1" applyFill="1"/>
    <xf numFmtId="37" fontId="49" fillId="0" borderId="0" xfId="5091" applyNumberFormat="1" applyFont="1" applyFill="1"/>
    <xf numFmtId="37" fontId="49" fillId="0" borderId="0" xfId="5091" applyNumberFormat="1" applyFont="1"/>
    <xf numFmtId="195" fontId="183" fillId="0" borderId="0" xfId="39617" applyFont="1">
      <alignment horizontal="center"/>
    </xf>
    <xf numFmtId="167" fontId="106" fillId="27" borderId="0" xfId="67" applyNumberFormat="1" applyFont="1" applyFill="1" applyAlignment="1">
      <alignment vertical="center"/>
    </xf>
    <xf numFmtId="167" fontId="99" fillId="27" borderId="0" xfId="67" applyNumberFormat="1" applyFont="1" applyFill="1" applyAlignment="1">
      <alignment vertical="center"/>
    </xf>
    <xf numFmtId="0" fontId="4" fillId="20" borderId="0" xfId="12762" applyFill="1" applyAlignment="1">
      <alignment wrapText="1"/>
    </xf>
    <xf numFmtId="167" fontId="4" fillId="20" borderId="0" xfId="12762" applyNumberFormat="1" applyFill="1"/>
    <xf numFmtId="167" fontId="4" fillId="0" borderId="0" xfId="63" applyNumberFormat="1" applyFont="1" applyBorder="1"/>
    <xf numFmtId="167" fontId="5" fillId="104" borderId="0" xfId="63" applyNumberFormat="1" applyFont="1" applyFill="1"/>
    <xf numFmtId="167" fontId="16" fillId="0" borderId="0" xfId="63" applyNumberFormat="1" applyFont="1" applyFill="1"/>
    <xf numFmtId="167" fontId="16" fillId="0" borderId="17" xfId="63" applyNumberFormat="1" applyFont="1" applyFill="1" applyBorder="1"/>
    <xf numFmtId="167" fontId="0" fillId="20" borderId="0" xfId="63" applyNumberFormat="1" applyFont="1" applyFill="1" applyAlignment="1">
      <alignment horizontal="centerContinuous"/>
    </xf>
    <xf numFmtId="0" fontId="4" fillId="20" borderId="0" xfId="0" applyFont="1" applyFill="1" applyAlignment="1">
      <alignment horizontal="left"/>
    </xf>
    <xf numFmtId="0" fontId="4" fillId="20" borderId="43" xfId="0" applyFont="1" applyFill="1" applyBorder="1" applyAlignment="1">
      <alignment horizontal="center"/>
    </xf>
    <xf numFmtId="0" fontId="4" fillId="20" borderId="44" xfId="0" applyFont="1" applyFill="1" applyBorder="1" applyAlignment="1">
      <alignment horizontal="center"/>
    </xf>
    <xf numFmtId="170" fontId="4" fillId="20" borderId="0" xfId="0" applyNumberFormat="1" applyFont="1" applyFill="1"/>
    <xf numFmtId="170" fontId="4" fillId="20" borderId="16" xfId="0" applyNumberFormat="1" applyFont="1" applyFill="1" applyBorder="1"/>
    <xf numFmtId="167" fontId="4" fillId="20" borderId="0" xfId="68" applyNumberFormat="1" applyFont="1" applyFill="1"/>
    <xf numFmtId="167" fontId="4" fillId="20" borderId="16" xfId="63" applyNumberFormat="1" applyFont="1" applyFill="1" applyBorder="1"/>
    <xf numFmtId="167" fontId="4" fillId="20" borderId="30" xfId="63" applyNumberFormat="1" applyFont="1" applyFill="1" applyBorder="1"/>
    <xf numFmtId="43" fontId="4" fillId="20" borderId="0" xfId="63" applyFont="1" applyFill="1"/>
    <xf numFmtId="167" fontId="4" fillId="20" borderId="29" xfId="63" applyNumberFormat="1" applyFont="1" applyFill="1" applyBorder="1"/>
    <xf numFmtId="167" fontId="4" fillId="20" borderId="0" xfId="63" applyNumberFormat="1" applyFont="1" applyFill="1" applyAlignment="1">
      <alignment horizontal="center"/>
    </xf>
    <xf numFmtId="43" fontId="4" fillId="20" borderId="0" xfId="63" applyFont="1" applyFill="1" applyAlignment="1">
      <alignment horizontal="center"/>
    </xf>
    <xf numFmtId="0" fontId="4" fillId="20" borderId="0" xfId="0" applyFont="1" applyFill="1" applyAlignment="1">
      <alignment horizontal="center"/>
    </xf>
    <xf numFmtId="181" fontId="4" fillId="20" borderId="0" xfId="63" applyNumberFormat="1" applyFont="1" applyFill="1" applyAlignment="1">
      <alignment horizontal="center"/>
    </xf>
    <xf numFmtId="0" fontId="0" fillId="20" borderId="0" xfId="0" applyFill="1"/>
    <xf numFmtId="174" fontId="24" fillId="20" borderId="0" xfId="12739" applyNumberFormat="1" applyFont="1" applyFill="1" applyAlignment="1">
      <alignment horizontal="left"/>
    </xf>
    <xf numFmtId="43" fontId="4" fillId="28" borderId="0" xfId="63" applyFont="1" applyFill="1"/>
    <xf numFmtId="167" fontId="99" fillId="20" borderId="16" xfId="63" applyNumberFormat="1" applyFont="1" applyFill="1" applyBorder="1"/>
    <xf numFmtId="167" fontId="0" fillId="30" borderId="0" xfId="63" applyNumberFormat="1" applyFont="1" applyFill="1"/>
    <xf numFmtId="167" fontId="0" fillId="23" borderId="0" xfId="0" applyNumberFormat="1" applyFill="1"/>
    <xf numFmtId="167" fontId="0" fillId="20" borderId="0" xfId="63" applyNumberFormat="1" applyFont="1" applyFill="1"/>
    <xf numFmtId="167" fontId="25" fillId="0" borderId="0" xfId="63" applyNumberFormat="1" applyFont="1" applyFill="1"/>
    <xf numFmtId="167" fontId="4" fillId="105" borderId="0" xfId="63" applyNumberFormat="1" applyFont="1" applyFill="1"/>
    <xf numFmtId="167" fontId="0" fillId="105" borderId="0" xfId="63" applyNumberFormat="1" applyFont="1" applyFill="1"/>
    <xf numFmtId="167" fontId="99" fillId="105" borderId="0" xfId="63" applyNumberFormat="1" applyFont="1" applyFill="1"/>
    <xf numFmtId="167" fontId="4" fillId="28" borderId="0" xfId="63" applyNumberFormat="1" applyFill="1"/>
    <xf numFmtId="167" fontId="0" fillId="106" borderId="0" xfId="63" applyNumberFormat="1" applyFont="1" applyFill="1"/>
    <xf numFmtId="167" fontId="99" fillId="106" borderId="16" xfId="63" applyNumberFormat="1" applyFont="1" applyFill="1" applyBorder="1"/>
    <xf numFmtId="3" fontId="49" fillId="23" borderId="0" xfId="0" applyNumberFormat="1" applyFont="1" applyFill="1"/>
    <xf numFmtId="37" fontId="120" fillId="23" borderId="16" xfId="0" applyNumberFormat="1" applyFont="1" applyFill="1" applyBorder="1"/>
    <xf numFmtId="3" fontId="74" fillId="0" borderId="0" xfId="0" applyNumberFormat="1" applyFont="1"/>
    <xf numFmtId="6" fontId="74" fillId="0" borderId="0" xfId="0" applyNumberFormat="1" applyFont="1"/>
    <xf numFmtId="43" fontId="74" fillId="0" borderId="0" xfId="63" applyFont="1"/>
    <xf numFmtId="3" fontId="37" fillId="23" borderId="16" xfId="0" applyNumberFormat="1" applyFont="1" applyFill="1" applyBorder="1"/>
    <xf numFmtId="6" fontId="49" fillId="23" borderId="0" xfId="0" applyNumberFormat="1" applyFont="1" applyFill="1"/>
    <xf numFmtId="10" fontId="49" fillId="23" borderId="0" xfId="0" applyNumberFormat="1" applyFont="1" applyFill="1"/>
    <xf numFmtId="6" fontId="37" fillId="23" borderId="0" xfId="0" applyNumberFormat="1" applyFont="1" applyFill="1"/>
    <xf numFmtId="10" fontId="49" fillId="23" borderId="16" xfId="0" applyNumberFormat="1" applyFont="1" applyFill="1" applyBorder="1"/>
    <xf numFmtId="0" fontId="49" fillId="23" borderId="0" xfId="0" applyFont="1" applyFill="1"/>
    <xf numFmtId="37" fontId="5" fillId="23" borderId="0" xfId="0" applyNumberFormat="1" applyFont="1" applyFill="1"/>
    <xf numFmtId="167" fontId="4" fillId="107" borderId="0" xfId="63" applyNumberFormat="1" applyFont="1" applyFill="1" applyBorder="1"/>
    <xf numFmtId="167" fontId="4" fillId="107" borderId="0" xfId="68" applyNumberFormat="1" applyFont="1" applyFill="1" applyBorder="1"/>
    <xf numFmtId="167" fontId="5" fillId="0" borderId="0" xfId="63" applyNumberFormat="1" applyFont="1" applyFill="1"/>
    <xf numFmtId="167" fontId="5" fillId="0" borderId="16" xfId="63" applyNumberFormat="1" applyFont="1" applyFill="1" applyBorder="1"/>
    <xf numFmtId="167" fontId="19" fillId="0" borderId="0" xfId="63" applyNumberFormat="1" applyFont="1" applyFill="1" applyProtection="1">
      <protection locked="0"/>
    </xf>
    <xf numFmtId="167" fontId="6" fillId="23" borderId="0" xfId="0" applyNumberFormat="1" applyFont="1" applyFill="1" applyProtection="1">
      <protection locked="0"/>
    </xf>
    <xf numFmtId="167" fontId="19" fillId="23" borderId="0" xfId="63" applyNumberFormat="1" applyFont="1" applyFill="1" applyProtection="1">
      <protection locked="0"/>
    </xf>
    <xf numFmtId="164" fontId="16" fillId="23" borderId="0" xfId="0" applyNumberFormat="1" applyFont="1" applyFill="1"/>
    <xf numFmtId="174" fontId="24" fillId="30" borderId="0" xfId="12739" applyNumberFormat="1" applyFont="1" applyFill="1" applyAlignment="1">
      <alignment horizontal="left"/>
    </xf>
    <xf numFmtId="167" fontId="99" fillId="30" borderId="0" xfId="63" applyNumberFormat="1" applyFont="1" applyFill="1"/>
    <xf numFmtId="167" fontId="99" fillId="30" borderId="16" xfId="63" applyNumberFormat="1" applyFont="1" applyFill="1" applyBorder="1"/>
    <xf numFmtId="167" fontId="99" fillId="30" borderId="0" xfId="68" applyNumberFormat="1" applyFont="1" applyFill="1"/>
    <xf numFmtId="39" fontId="5" fillId="0" borderId="0" xfId="0" applyNumberFormat="1" applyFont="1"/>
    <xf numFmtId="167" fontId="6" fillId="20" borderId="0" xfId="0" applyNumberFormat="1" applyFont="1" applyFill="1" applyProtection="1">
      <protection locked="0"/>
    </xf>
    <xf numFmtId="167" fontId="97" fillId="20" borderId="0" xfId="63" applyNumberFormat="1" applyFont="1" applyFill="1"/>
    <xf numFmtId="167" fontId="97" fillId="20" borderId="16" xfId="63" applyNumberFormat="1" applyFont="1" applyFill="1" applyBorder="1"/>
    <xf numFmtId="167" fontId="5" fillId="20" borderId="0" xfId="0" applyNumberFormat="1" applyFont="1" applyFill="1" applyProtection="1">
      <protection locked="0"/>
    </xf>
    <xf numFmtId="167" fontId="6" fillId="20" borderId="17" xfId="63" applyNumberFormat="1" applyFont="1" applyFill="1" applyBorder="1"/>
    <xf numFmtId="167" fontId="19" fillId="29" borderId="0" xfId="63" applyNumberFormat="1" applyFont="1" applyFill="1" applyProtection="1">
      <protection locked="0"/>
    </xf>
    <xf numFmtId="167" fontId="99" fillId="29" borderId="0" xfId="63" applyNumberFormat="1" applyFont="1" applyFill="1"/>
    <xf numFmtId="167" fontId="99" fillId="29" borderId="0" xfId="68" applyNumberFormat="1" applyFont="1" applyFill="1"/>
    <xf numFmtId="167" fontId="5" fillId="20" borderId="16" xfId="0" applyNumberFormat="1" applyFont="1" applyFill="1" applyBorder="1" applyProtection="1">
      <protection locked="0"/>
    </xf>
    <xf numFmtId="10" fontId="109" fillId="20" borderId="0" xfId="0" applyNumberFormat="1" applyFont="1" applyFill="1"/>
    <xf numFmtId="164" fontId="16" fillId="0" borderId="29" xfId="0" applyNumberFormat="1" applyFont="1" applyBorder="1"/>
    <xf numFmtId="43" fontId="16" fillId="0" borderId="17" xfId="63" applyFont="1" applyBorder="1"/>
    <xf numFmtId="164" fontId="123" fillId="20" borderId="0" xfId="0" applyNumberFormat="1" applyFont="1" applyFill="1"/>
    <xf numFmtId="0" fontId="116" fillId="0" borderId="0" xfId="12762" applyFont="1" applyAlignment="1">
      <alignment horizontal="right" vertical="center"/>
    </xf>
    <xf numFmtId="0" fontId="116" fillId="0" borderId="15" xfId="12762" applyFont="1" applyBorder="1" applyAlignment="1">
      <alignment horizontal="center" vertical="center"/>
    </xf>
    <xf numFmtId="14" fontId="116" fillId="20" borderId="15" xfId="12762" applyNumberFormat="1" applyFont="1" applyFill="1" applyBorder="1" applyAlignment="1">
      <alignment horizontal="center" vertical="center"/>
    </xf>
    <xf numFmtId="0" fontId="25" fillId="108" borderId="0" xfId="12762" applyFont="1" applyFill="1" applyAlignment="1">
      <alignment horizontal="center" vertical="center"/>
    </xf>
    <xf numFmtId="0" fontId="25" fillId="109" borderId="0" xfId="12762" applyFont="1" applyFill="1" applyAlignment="1">
      <alignment horizontal="center" vertical="center"/>
    </xf>
    <xf numFmtId="167" fontId="4" fillId="0" borderId="0" xfId="67" applyNumberFormat="1" applyAlignment="1">
      <alignment horizontal="left" vertical="center"/>
    </xf>
    <xf numFmtId="167" fontId="25" fillId="0" borderId="0" xfId="67" applyNumberFormat="1" applyFont="1" applyAlignment="1">
      <alignment vertical="center"/>
    </xf>
    <xf numFmtId="167" fontId="25" fillId="0" borderId="73" xfId="67" applyNumberFormat="1" applyFont="1" applyFill="1" applyBorder="1" applyAlignment="1">
      <alignment vertical="center"/>
    </xf>
    <xf numFmtId="43" fontId="4" fillId="27" borderId="0" xfId="67" applyFill="1"/>
    <xf numFmtId="43" fontId="5" fillId="0" borderId="0" xfId="0" applyNumberFormat="1" applyFont="1"/>
    <xf numFmtId="0" fontId="5" fillId="30" borderId="0" xfId="0" applyFont="1" applyFill="1"/>
    <xf numFmtId="167" fontId="5" fillId="30" borderId="0" xfId="63" applyNumberFormat="1" applyFont="1" applyFill="1"/>
    <xf numFmtId="167" fontId="6" fillId="30" borderId="0" xfId="63" applyNumberFormat="1" applyFont="1" applyFill="1" applyProtection="1">
      <protection locked="0"/>
    </xf>
    <xf numFmtId="180" fontId="99" fillId="30" borderId="0" xfId="12762" applyNumberFormat="1" applyFont="1" applyFill="1" applyAlignment="1">
      <alignment horizontal="center"/>
    </xf>
    <xf numFmtId="14" fontId="4" fillId="0" borderId="0" xfId="0" applyNumberFormat="1" applyFont="1"/>
    <xf numFmtId="0" fontId="112" fillId="0" borderId="40" xfId="0" applyFont="1" applyBorder="1" applyAlignment="1">
      <alignment horizontal="center"/>
    </xf>
    <xf numFmtId="0" fontId="112" fillId="0" borderId="41" xfId="0" applyFont="1" applyBorder="1" applyAlignment="1">
      <alignment horizontal="center"/>
    </xf>
    <xf numFmtId="0" fontId="112" fillId="0" borderId="42" xfId="0" applyFont="1" applyBorder="1" applyAlignment="1">
      <alignment horizontal="center"/>
    </xf>
    <xf numFmtId="0" fontId="124" fillId="0" borderId="32" xfId="0" applyFont="1" applyBorder="1" applyAlignment="1">
      <alignment horizontal="center"/>
    </xf>
    <xf numFmtId="0" fontId="124" fillId="0" borderId="0" xfId="0" applyFont="1" applyAlignment="1">
      <alignment horizontal="center"/>
    </xf>
    <xf numFmtId="0" fontId="124" fillId="0" borderId="27" xfId="0" applyFont="1" applyBorder="1" applyAlignment="1">
      <alignment horizontal="center"/>
    </xf>
    <xf numFmtId="0" fontId="7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88" fontId="37" fillId="0" borderId="0" xfId="5623" applyNumberFormat="1" applyFont="1" applyAlignment="1">
      <alignment horizontal="center"/>
    </xf>
    <xf numFmtId="188" fontId="37" fillId="0" borderId="0" xfId="5623" quotePrefix="1" applyNumberFormat="1" applyFont="1" applyAlignment="1">
      <alignment horizontal="center"/>
    </xf>
    <xf numFmtId="169" fontId="37" fillId="0" borderId="0" xfId="12739" applyNumberFormat="1" applyFont="1" applyAlignment="1">
      <alignment horizontal="center"/>
    </xf>
    <xf numFmtId="37" fontId="49" fillId="0" borderId="0" xfId="5623" applyNumberFormat="1" applyFont="1" applyAlignment="1">
      <alignment horizontal="right"/>
    </xf>
    <xf numFmtId="0" fontId="75" fillId="0" borderId="0" xfId="5623" applyFont="1" applyAlignment="1">
      <alignment horizontal="left" vertical="top" wrapText="1"/>
    </xf>
    <xf numFmtId="0" fontId="75" fillId="0" borderId="0" xfId="12739" applyFont="1" applyAlignment="1">
      <alignment vertical="top" wrapText="1"/>
    </xf>
    <xf numFmtId="0" fontId="37" fillId="0" borderId="0" xfId="12739" applyFont="1" applyAlignment="1">
      <alignment horizontal="center"/>
    </xf>
    <xf numFmtId="169" fontId="37" fillId="0" borderId="0" xfId="12739" quotePrefix="1" applyNumberFormat="1" applyFont="1" applyAlignment="1">
      <alignment horizontal="center"/>
    </xf>
    <xf numFmtId="0" fontId="73" fillId="0" borderId="0" xfId="0" applyFont="1" applyAlignment="1">
      <alignment horizontal="center"/>
    </xf>
    <xf numFmtId="0" fontId="37" fillId="0" borderId="0" xfId="0" applyFont="1" applyAlignment="1">
      <alignment horizontal="center"/>
    </xf>
  </cellXfs>
  <cellStyles count="39630">
    <cellStyle name="_2006 Budget FINAL for CASH FLOW" xfId="1"/>
    <cellStyle name="_2007 Budget  FINAL 01_15_07 w. tax" xfId="2"/>
    <cellStyle name="_2008 Reforecast 0+12  03.14.08" xfId="3"/>
    <cellStyle name="_2008_ACCT 17103" xfId="4"/>
    <cellStyle name="_2008_ACCT 17103 2" xfId="5"/>
    <cellStyle name="_2008_ACCT 17103 2 2" xfId="6"/>
    <cellStyle name="_2008_ACCT 17103 2 3" xfId="7"/>
    <cellStyle name="_2008_ACCT 17103 3" xfId="8"/>
    <cellStyle name="_2008_ACCT 17103 4" xfId="9"/>
    <cellStyle name="_2008_ACCT 17103 4 2" xfId="10"/>
    <cellStyle name="_2008_ACCT 17103 5" xfId="11"/>
    <cellStyle name="_2008_ACCT 17103 5 2" xfId="12"/>
    <cellStyle name="_2008_ACCT 17103 6" xfId="13"/>
    <cellStyle name="_2009 Budget 5_02_08  FINAL" xfId="14"/>
    <cellStyle name="_Balance Sheet 0809" xfId="15"/>
    <cellStyle name="_Reformatted Cash Flow Consolidation 0706" xfId="16"/>
    <cellStyle name="_Reformatted Cash Flow Consolidation 0706 2" xfId="17"/>
    <cellStyle name="_Reformatted Cash Flow Consolidation 0706 2 2" xfId="18"/>
    <cellStyle name="_Reformatted Cash Flow Consolidation 0706 2 3" xfId="19"/>
    <cellStyle name="_Reformatted Cash Flow Consolidation 0706 3" xfId="20"/>
    <cellStyle name="_Reformatted Cash Flow Consolidation 0706 4" xfId="21"/>
    <cellStyle name="_Reformatted Cash Flow Consolidation 0706 4 2" xfId="22"/>
    <cellStyle name="_Reformatted Cash Flow Consolidation 0706 5" xfId="23"/>
    <cellStyle name="_Reformatted Cash Flow Consolidation 0706 5 2" xfId="24"/>
    <cellStyle name="_Reformatted Cash Flow Consolidation 0706 6" xfId="25"/>
    <cellStyle name="_Reformatted Cash Flow Consolidation 0906" xfId="26"/>
    <cellStyle name="_Reformatted Cash Flow Consolidation 0906 2" xfId="27"/>
    <cellStyle name="_Reformatted Cash Flow Consolidation 0906 2 2" xfId="28"/>
    <cellStyle name="_Reformatted Cash Flow Consolidation 0906 2 3" xfId="29"/>
    <cellStyle name="_Reformatted Cash Flow Consolidation 0906 3" xfId="30"/>
    <cellStyle name="_Reformatted Cash Flow Consolidation 0906 4" xfId="31"/>
    <cellStyle name="_Reformatted Cash Flow Consolidation 0906 4 2" xfId="32"/>
    <cellStyle name="_Reformatted Cash Flow Consolidation 0906 5" xfId="33"/>
    <cellStyle name="_Reformatted Cash Flow Consolidation 0906 5 2" xfId="34"/>
    <cellStyle name="_Reformatted Cash Flow Consolidation 0906 6" xfId="35"/>
    <cellStyle name="1. CALC Amount" xfId="39621"/>
    <cellStyle name="1. CALC Amount Total" xfId="39627"/>
    <cellStyle name="1. DATA Amount" xfId="39618"/>
    <cellStyle name="2. CALC Percent" xfId="39628"/>
    <cellStyle name="20% - Accent1" xfId="36" builtinId="30" customBuiltin="1"/>
    <cellStyle name="20% - Accent1 10" xfId="14243"/>
    <cellStyle name="20% - Accent1 10 2" xfId="30527"/>
    <cellStyle name="20% - Accent1 11" xfId="17462"/>
    <cellStyle name="20% - Accent1 11 2" xfId="33683"/>
    <cellStyle name="20% - Accent1 12" xfId="26983"/>
    <cellStyle name="20% - Accent1 13" xfId="38902"/>
    <cellStyle name="20% - Accent1 14" xfId="4830"/>
    <cellStyle name="20% - Accent1 2" xfId="4866"/>
    <cellStyle name="20% - Accent1 2 10" xfId="17463"/>
    <cellStyle name="20% - Accent1 2 10 2" xfId="33684"/>
    <cellStyle name="20% - Accent1 2 11" xfId="27002"/>
    <cellStyle name="20% - Accent1 2 12" xfId="38768"/>
    <cellStyle name="20% - Accent1 2 2" xfId="6495"/>
    <cellStyle name="20% - Accent1 2 2 10" xfId="27799"/>
    <cellStyle name="20% - Accent1 2 2 11" xfId="38960"/>
    <cellStyle name="20% - Accent1 2 2 2" xfId="6494"/>
    <cellStyle name="20% - Accent1 2 2 2 10" xfId="39150"/>
    <cellStyle name="20% - Accent1 2 2 2 2" xfId="6493"/>
    <cellStyle name="20% - Accent1 2 2 2 2 2" xfId="6492"/>
    <cellStyle name="20% - Accent1 2 2 2 2 2 2" xfId="6491"/>
    <cellStyle name="20% - Accent1 2 2 2 2 2 2 2" xfId="9604"/>
    <cellStyle name="20% - Accent1 2 2 2 2 2 2 2 2" xfId="19225"/>
    <cellStyle name="20% - Accent1 2 2 2 2 2 2 2 2 2" xfId="35446"/>
    <cellStyle name="20% - Accent1 2 2 2 2 2 2 2 3" xfId="28758"/>
    <cellStyle name="20% - Accent1 2 2 2 2 2 2 3" xfId="17165"/>
    <cellStyle name="20% - Accent1 2 2 2 2 2 2 3 2" xfId="33386"/>
    <cellStyle name="20% - Accent1 2 2 2 2 2 2 4" xfId="17468"/>
    <cellStyle name="20% - Accent1 2 2 2 2 2 2 4 2" xfId="33689"/>
    <cellStyle name="20% - Accent1 2 2 2 2 2 2 5" xfId="27795"/>
    <cellStyle name="20% - Accent1 2 2 2 2 2 3" xfId="9603"/>
    <cellStyle name="20% - Accent1 2 2 2 2 2 3 2" xfId="19224"/>
    <cellStyle name="20% - Accent1 2 2 2 2 2 3 2 2" xfId="35445"/>
    <cellStyle name="20% - Accent1 2 2 2 2 2 3 3" xfId="28757"/>
    <cellStyle name="20% - Accent1 2 2 2 2 2 4" xfId="15580"/>
    <cellStyle name="20% - Accent1 2 2 2 2 2 4 2" xfId="31802"/>
    <cellStyle name="20% - Accent1 2 2 2 2 2 5" xfId="17467"/>
    <cellStyle name="20% - Accent1 2 2 2 2 2 5 2" xfId="33688"/>
    <cellStyle name="20% - Accent1 2 2 2 2 2 6" xfId="27796"/>
    <cellStyle name="20% - Accent1 2 2 2 2 3" xfId="6490"/>
    <cellStyle name="20% - Accent1 2 2 2 2 3 2" xfId="9605"/>
    <cellStyle name="20% - Accent1 2 2 2 2 3 2 2" xfId="19226"/>
    <cellStyle name="20% - Accent1 2 2 2 2 3 2 2 2" xfId="35447"/>
    <cellStyle name="20% - Accent1 2 2 2 2 3 2 3" xfId="28759"/>
    <cellStyle name="20% - Accent1 2 2 2 2 3 3" xfId="16373"/>
    <cellStyle name="20% - Accent1 2 2 2 2 3 3 2" xfId="32594"/>
    <cellStyle name="20% - Accent1 2 2 2 2 3 4" xfId="17469"/>
    <cellStyle name="20% - Accent1 2 2 2 2 3 4 2" xfId="33690"/>
    <cellStyle name="20% - Accent1 2 2 2 2 3 5" xfId="27794"/>
    <cellStyle name="20% - Accent1 2 2 2 2 4" xfId="9602"/>
    <cellStyle name="20% - Accent1 2 2 2 2 4 2" xfId="19223"/>
    <cellStyle name="20% - Accent1 2 2 2 2 4 2 2" xfId="35444"/>
    <cellStyle name="20% - Accent1 2 2 2 2 4 3" xfId="28756"/>
    <cellStyle name="20% - Accent1 2 2 2 2 5" xfId="14788"/>
    <cellStyle name="20% - Accent1 2 2 2 2 5 2" xfId="31010"/>
    <cellStyle name="20% - Accent1 2 2 2 2 6" xfId="17466"/>
    <cellStyle name="20% - Accent1 2 2 2 2 6 2" xfId="33687"/>
    <cellStyle name="20% - Accent1 2 2 2 2 7" xfId="27797"/>
    <cellStyle name="20% - Accent1 2 2 2 3" xfId="6489"/>
    <cellStyle name="20% - Accent1 2 2 2 3 2" xfId="6488"/>
    <cellStyle name="20% - Accent1 2 2 2 3 2 2" xfId="6487"/>
    <cellStyle name="20% - Accent1 2 2 2 3 2 2 2" xfId="9608"/>
    <cellStyle name="20% - Accent1 2 2 2 3 2 2 2 2" xfId="19229"/>
    <cellStyle name="20% - Accent1 2 2 2 3 2 2 2 2 2" xfId="35450"/>
    <cellStyle name="20% - Accent1 2 2 2 3 2 2 2 3" xfId="28762"/>
    <cellStyle name="20% - Accent1 2 2 2 3 2 2 3" xfId="17429"/>
    <cellStyle name="20% - Accent1 2 2 2 3 2 2 3 2" xfId="33650"/>
    <cellStyle name="20% - Accent1 2 2 2 3 2 2 4" xfId="17472"/>
    <cellStyle name="20% - Accent1 2 2 2 3 2 2 4 2" xfId="33693"/>
    <cellStyle name="20% - Accent1 2 2 2 3 2 2 5" xfId="27791"/>
    <cellStyle name="20% - Accent1 2 2 2 3 2 3" xfId="9607"/>
    <cellStyle name="20% - Accent1 2 2 2 3 2 3 2" xfId="19228"/>
    <cellStyle name="20% - Accent1 2 2 2 3 2 3 2 2" xfId="35449"/>
    <cellStyle name="20% - Accent1 2 2 2 3 2 3 3" xfId="28761"/>
    <cellStyle name="20% - Accent1 2 2 2 3 2 4" xfId="15844"/>
    <cellStyle name="20% - Accent1 2 2 2 3 2 4 2" xfId="32066"/>
    <cellStyle name="20% - Accent1 2 2 2 3 2 5" xfId="17471"/>
    <cellStyle name="20% - Accent1 2 2 2 3 2 5 2" xfId="33692"/>
    <cellStyle name="20% - Accent1 2 2 2 3 2 6" xfId="27792"/>
    <cellStyle name="20% - Accent1 2 2 2 3 3" xfId="6486"/>
    <cellStyle name="20% - Accent1 2 2 2 3 3 2" xfId="9609"/>
    <cellStyle name="20% - Accent1 2 2 2 3 3 2 2" xfId="19230"/>
    <cellStyle name="20% - Accent1 2 2 2 3 3 2 2 2" xfId="35451"/>
    <cellStyle name="20% - Accent1 2 2 2 3 3 2 3" xfId="28763"/>
    <cellStyle name="20% - Accent1 2 2 2 3 3 3" xfId="16637"/>
    <cellStyle name="20% - Accent1 2 2 2 3 3 3 2" xfId="32858"/>
    <cellStyle name="20% - Accent1 2 2 2 3 3 4" xfId="17473"/>
    <cellStyle name="20% - Accent1 2 2 2 3 3 4 2" xfId="33694"/>
    <cellStyle name="20% - Accent1 2 2 2 3 3 5" xfId="27790"/>
    <cellStyle name="20% - Accent1 2 2 2 3 4" xfId="9606"/>
    <cellStyle name="20% - Accent1 2 2 2 3 4 2" xfId="19227"/>
    <cellStyle name="20% - Accent1 2 2 2 3 4 2 2" xfId="35448"/>
    <cellStyle name="20% - Accent1 2 2 2 3 4 3" xfId="28760"/>
    <cellStyle name="20% - Accent1 2 2 2 3 5" xfId="15052"/>
    <cellStyle name="20% - Accent1 2 2 2 3 5 2" xfId="31274"/>
    <cellStyle name="20% - Accent1 2 2 2 3 6" xfId="17470"/>
    <cellStyle name="20% - Accent1 2 2 2 3 6 2" xfId="33691"/>
    <cellStyle name="20% - Accent1 2 2 2 3 7" xfId="27793"/>
    <cellStyle name="20% - Accent1 2 2 2 4" xfId="6485"/>
    <cellStyle name="20% - Accent1 2 2 2 4 2" xfId="6484"/>
    <cellStyle name="20% - Accent1 2 2 2 4 2 2" xfId="9611"/>
    <cellStyle name="20% - Accent1 2 2 2 4 2 2 2" xfId="19232"/>
    <cellStyle name="20% - Accent1 2 2 2 4 2 2 2 2" xfId="35453"/>
    <cellStyle name="20% - Accent1 2 2 2 4 2 2 3" xfId="28765"/>
    <cellStyle name="20% - Accent1 2 2 2 4 2 3" xfId="16901"/>
    <cellStyle name="20% - Accent1 2 2 2 4 2 3 2" xfId="33122"/>
    <cellStyle name="20% - Accent1 2 2 2 4 2 4" xfId="17475"/>
    <cellStyle name="20% - Accent1 2 2 2 4 2 4 2" xfId="33696"/>
    <cellStyle name="20% - Accent1 2 2 2 4 2 5" xfId="27788"/>
    <cellStyle name="20% - Accent1 2 2 2 4 3" xfId="9610"/>
    <cellStyle name="20% - Accent1 2 2 2 4 3 2" xfId="19231"/>
    <cellStyle name="20% - Accent1 2 2 2 4 3 2 2" xfId="35452"/>
    <cellStyle name="20% - Accent1 2 2 2 4 3 3" xfId="28764"/>
    <cellStyle name="20% - Accent1 2 2 2 4 4" xfId="15316"/>
    <cellStyle name="20% - Accent1 2 2 2 4 4 2" xfId="31538"/>
    <cellStyle name="20% - Accent1 2 2 2 4 5" xfId="17474"/>
    <cellStyle name="20% - Accent1 2 2 2 4 5 2" xfId="33695"/>
    <cellStyle name="20% - Accent1 2 2 2 4 6" xfId="27789"/>
    <cellStyle name="20% - Accent1 2 2 2 5" xfId="6483"/>
    <cellStyle name="20% - Accent1 2 2 2 5 2" xfId="9612"/>
    <cellStyle name="20% - Accent1 2 2 2 5 2 2" xfId="19233"/>
    <cellStyle name="20% - Accent1 2 2 2 5 2 2 2" xfId="35454"/>
    <cellStyle name="20% - Accent1 2 2 2 5 2 3" xfId="28766"/>
    <cellStyle name="20% - Accent1 2 2 2 5 3" xfId="16109"/>
    <cellStyle name="20% - Accent1 2 2 2 5 3 2" xfId="32330"/>
    <cellStyle name="20% - Accent1 2 2 2 5 4" xfId="17476"/>
    <cellStyle name="20% - Accent1 2 2 2 5 4 2" xfId="33697"/>
    <cellStyle name="20% - Accent1 2 2 2 5 5" xfId="27787"/>
    <cellStyle name="20% - Accent1 2 2 2 6" xfId="9601"/>
    <cellStyle name="20% - Accent1 2 2 2 6 2" xfId="19222"/>
    <cellStyle name="20% - Accent1 2 2 2 6 2 2" xfId="35443"/>
    <cellStyle name="20% - Accent1 2 2 2 6 3" xfId="28755"/>
    <cellStyle name="20% - Accent1 2 2 2 7" xfId="14524"/>
    <cellStyle name="20% - Accent1 2 2 2 7 2" xfId="30746"/>
    <cellStyle name="20% - Accent1 2 2 2 8" xfId="17465"/>
    <cellStyle name="20% - Accent1 2 2 2 8 2" xfId="33686"/>
    <cellStyle name="20% - Accent1 2 2 2 9" xfId="27798"/>
    <cellStyle name="20% - Accent1 2 2 3" xfId="6482"/>
    <cellStyle name="20% - Accent1 2 2 3 2" xfId="6481"/>
    <cellStyle name="20% - Accent1 2 2 3 2 2" xfId="6480"/>
    <cellStyle name="20% - Accent1 2 2 3 2 2 2" xfId="9615"/>
    <cellStyle name="20% - Accent1 2 2 3 2 2 2 2" xfId="19236"/>
    <cellStyle name="20% - Accent1 2 2 3 2 2 2 2 2" xfId="35457"/>
    <cellStyle name="20% - Accent1 2 2 3 2 2 2 3" xfId="28769"/>
    <cellStyle name="20% - Accent1 2 2 3 2 2 3" xfId="17033"/>
    <cellStyle name="20% - Accent1 2 2 3 2 2 3 2" xfId="33254"/>
    <cellStyle name="20% - Accent1 2 2 3 2 2 4" xfId="17479"/>
    <cellStyle name="20% - Accent1 2 2 3 2 2 4 2" xfId="33700"/>
    <cellStyle name="20% - Accent1 2 2 3 2 2 5" xfId="27784"/>
    <cellStyle name="20% - Accent1 2 2 3 2 3" xfId="9614"/>
    <cellStyle name="20% - Accent1 2 2 3 2 3 2" xfId="19235"/>
    <cellStyle name="20% - Accent1 2 2 3 2 3 2 2" xfId="35456"/>
    <cellStyle name="20% - Accent1 2 2 3 2 3 3" xfId="28768"/>
    <cellStyle name="20% - Accent1 2 2 3 2 4" xfId="15448"/>
    <cellStyle name="20% - Accent1 2 2 3 2 4 2" xfId="31670"/>
    <cellStyle name="20% - Accent1 2 2 3 2 5" xfId="17478"/>
    <cellStyle name="20% - Accent1 2 2 3 2 5 2" xfId="33699"/>
    <cellStyle name="20% - Accent1 2 2 3 2 6" xfId="27785"/>
    <cellStyle name="20% - Accent1 2 2 3 3" xfId="6479"/>
    <cellStyle name="20% - Accent1 2 2 3 3 2" xfId="9616"/>
    <cellStyle name="20% - Accent1 2 2 3 3 2 2" xfId="19237"/>
    <cellStyle name="20% - Accent1 2 2 3 3 2 2 2" xfId="35458"/>
    <cellStyle name="20% - Accent1 2 2 3 3 2 3" xfId="28770"/>
    <cellStyle name="20% - Accent1 2 2 3 3 3" xfId="16241"/>
    <cellStyle name="20% - Accent1 2 2 3 3 3 2" xfId="32462"/>
    <cellStyle name="20% - Accent1 2 2 3 3 4" xfId="17480"/>
    <cellStyle name="20% - Accent1 2 2 3 3 4 2" xfId="33701"/>
    <cellStyle name="20% - Accent1 2 2 3 3 5" xfId="27783"/>
    <cellStyle name="20% - Accent1 2 2 3 4" xfId="9613"/>
    <cellStyle name="20% - Accent1 2 2 3 4 2" xfId="19234"/>
    <cellStyle name="20% - Accent1 2 2 3 4 2 2" xfId="35455"/>
    <cellStyle name="20% - Accent1 2 2 3 4 3" xfId="28767"/>
    <cellStyle name="20% - Accent1 2 2 3 5" xfId="14656"/>
    <cellStyle name="20% - Accent1 2 2 3 5 2" xfId="30878"/>
    <cellStyle name="20% - Accent1 2 2 3 6" xfId="17477"/>
    <cellStyle name="20% - Accent1 2 2 3 6 2" xfId="33698"/>
    <cellStyle name="20% - Accent1 2 2 3 7" xfId="27786"/>
    <cellStyle name="20% - Accent1 2 2 3 8" xfId="39298"/>
    <cellStyle name="20% - Accent1 2 2 4" xfId="6478"/>
    <cellStyle name="20% - Accent1 2 2 4 2" xfId="6477"/>
    <cellStyle name="20% - Accent1 2 2 4 2 2" xfId="6476"/>
    <cellStyle name="20% - Accent1 2 2 4 2 2 2" xfId="9619"/>
    <cellStyle name="20% - Accent1 2 2 4 2 2 2 2" xfId="19240"/>
    <cellStyle name="20% - Accent1 2 2 4 2 2 2 2 2" xfId="35461"/>
    <cellStyle name="20% - Accent1 2 2 4 2 2 2 3" xfId="28773"/>
    <cellStyle name="20% - Accent1 2 2 4 2 2 3" xfId="17297"/>
    <cellStyle name="20% - Accent1 2 2 4 2 2 3 2" xfId="33518"/>
    <cellStyle name="20% - Accent1 2 2 4 2 2 4" xfId="17483"/>
    <cellStyle name="20% - Accent1 2 2 4 2 2 4 2" xfId="33704"/>
    <cellStyle name="20% - Accent1 2 2 4 2 2 5" xfId="27780"/>
    <cellStyle name="20% - Accent1 2 2 4 2 3" xfId="9618"/>
    <cellStyle name="20% - Accent1 2 2 4 2 3 2" xfId="19239"/>
    <cellStyle name="20% - Accent1 2 2 4 2 3 2 2" xfId="35460"/>
    <cellStyle name="20% - Accent1 2 2 4 2 3 3" xfId="28772"/>
    <cellStyle name="20% - Accent1 2 2 4 2 4" xfId="15712"/>
    <cellStyle name="20% - Accent1 2 2 4 2 4 2" xfId="31934"/>
    <cellStyle name="20% - Accent1 2 2 4 2 5" xfId="17482"/>
    <cellStyle name="20% - Accent1 2 2 4 2 5 2" xfId="33703"/>
    <cellStyle name="20% - Accent1 2 2 4 2 6" xfId="27781"/>
    <cellStyle name="20% - Accent1 2 2 4 3" xfId="6475"/>
    <cellStyle name="20% - Accent1 2 2 4 3 2" xfId="9620"/>
    <cellStyle name="20% - Accent1 2 2 4 3 2 2" xfId="19241"/>
    <cellStyle name="20% - Accent1 2 2 4 3 2 2 2" xfId="35462"/>
    <cellStyle name="20% - Accent1 2 2 4 3 2 3" xfId="28774"/>
    <cellStyle name="20% - Accent1 2 2 4 3 3" xfId="16505"/>
    <cellStyle name="20% - Accent1 2 2 4 3 3 2" xfId="32726"/>
    <cellStyle name="20% - Accent1 2 2 4 3 4" xfId="17484"/>
    <cellStyle name="20% - Accent1 2 2 4 3 4 2" xfId="33705"/>
    <cellStyle name="20% - Accent1 2 2 4 3 5" xfId="27779"/>
    <cellStyle name="20% - Accent1 2 2 4 4" xfId="9617"/>
    <cellStyle name="20% - Accent1 2 2 4 4 2" xfId="19238"/>
    <cellStyle name="20% - Accent1 2 2 4 4 2 2" xfId="35459"/>
    <cellStyle name="20% - Accent1 2 2 4 4 3" xfId="28771"/>
    <cellStyle name="20% - Accent1 2 2 4 5" xfId="14920"/>
    <cellStyle name="20% - Accent1 2 2 4 5 2" xfId="31142"/>
    <cellStyle name="20% - Accent1 2 2 4 6" xfId="17481"/>
    <cellStyle name="20% - Accent1 2 2 4 6 2" xfId="33702"/>
    <cellStyle name="20% - Accent1 2 2 4 7" xfId="27782"/>
    <cellStyle name="20% - Accent1 2 2 4 8" xfId="39447"/>
    <cellStyle name="20% - Accent1 2 2 5" xfId="6474"/>
    <cellStyle name="20% - Accent1 2 2 5 2" xfId="6473"/>
    <cellStyle name="20% - Accent1 2 2 5 2 2" xfId="9622"/>
    <cellStyle name="20% - Accent1 2 2 5 2 2 2" xfId="19243"/>
    <cellStyle name="20% - Accent1 2 2 5 2 2 2 2" xfId="35464"/>
    <cellStyle name="20% - Accent1 2 2 5 2 2 3" xfId="28776"/>
    <cellStyle name="20% - Accent1 2 2 5 2 3" xfId="16769"/>
    <cellStyle name="20% - Accent1 2 2 5 2 3 2" xfId="32990"/>
    <cellStyle name="20% - Accent1 2 2 5 2 4" xfId="17486"/>
    <cellStyle name="20% - Accent1 2 2 5 2 4 2" xfId="33707"/>
    <cellStyle name="20% - Accent1 2 2 5 2 5" xfId="27777"/>
    <cellStyle name="20% - Accent1 2 2 5 3" xfId="9621"/>
    <cellStyle name="20% - Accent1 2 2 5 3 2" xfId="19242"/>
    <cellStyle name="20% - Accent1 2 2 5 3 2 2" xfId="35463"/>
    <cellStyle name="20% - Accent1 2 2 5 3 3" xfId="28775"/>
    <cellStyle name="20% - Accent1 2 2 5 4" xfId="15184"/>
    <cellStyle name="20% - Accent1 2 2 5 4 2" xfId="31406"/>
    <cellStyle name="20% - Accent1 2 2 5 5" xfId="17485"/>
    <cellStyle name="20% - Accent1 2 2 5 5 2" xfId="33706"/>
    <cellStyle name="20% - Accent1 2 2 5 6" xfId="27778"/>
    <cellStyle name="20% - Accent1 2 2 6" xfId="6472"/>
    <cellStyle name="20% - Accent1 2 2 6 2" xfId="9623"/>
    <cellStyle name="20% - Accent1 2 2 6 2 2" xfId="19244"/>
    <cellStyle name="20% - Accent1 2 2 6 2 2 2" xfId="35465"/>
    <cellStyle name="20% - Accent1 2 2 6 2 3" xfId="28777"/>
    <cellStyle name="20% - Accent1 2 2 6 3" xfId="15977"/>
    <cellStyle name="20% - Accent1 2 2 6 3 2" xfId="32198"/>
    <cellStyle name="20% - Accent1 2 2 6 4" xfId="17487"/>
    <cellStyle name="20% - Accent1 2 2 6 4 2" xfId="33708"/>
    <cellStyle name="20% - Accent1 2 2 6 5" xfId="27776"/>
    <cellStyle name="20% - Accent1 2 2 7" xfId="9600"/>
    <cellStyle name="20% - Accent1 2 2 7 2" xfId="19221"/>
    <cellStyle name="20% - Accent1 2 2 7 2 2" xfId="35442"/>
    <cellStyle name="20% - Accent1 2 2 7 3" xfId="28754"/>
    <cellStyle name="20% - Accent1 2 2 8" xfId="14392"/>
    <cellStyle name="20% - Accent1 2 2 8 2" xfId="30614"/>
    <cellStyle name="20% - Accent1 2 2 9" xfId="17464"/>
    <cellStyle name="20% - Accent1 2 2 9 2" xfId="33685"/>
    <cellStyle name="20% - Accent1 2 3" xfId="6471"/>
    <cellStyle name="20% - Accent1 2 3 10" xfId="39094"/>
    <cellStyle name="20% - Accent1 2 3 2" xfId="5720"/>
    <cellStyle name="20% - Accent1 2 3 2 2" xfId="6469"/>
    <cellStyle name="20% - Accent1 2 3 2 2 2" xfId="6468"/>
    <cellStyle name="20% - Accent1 2 3 2 2 2 2" xfId="9627"/>
    <cellStyle name="20% - Accent1 2 3 2 2 2 2 2" xfId="19248"/>
    <cellStyle name="20% - Accent1 2 3 2 2 2 2 2 2" xfId="35469"/>
    <cellStyle name="20% - Accent1 2 3 2 2 2 2 3" xfId="28781"/>
    <cellStyle name="20% - Accent1 2 3 2 2 2 3" xfId="17099"/>
    <cellStyle name="20% - Accent1 2 3 2 2 2 3 2" xfId="33320"/>
    <cellStyle name="20% - Accent1 2 3 2 2 2 4" xfId="17491"/>
    <cellStyle name="20% - Accent1 2 3 2 2 2 4 2" xfId="33712"/>
    <cellStyle name="20% - Accent1 2 3 2 2 2 5" xfId="27773"/>
    <cellStyle name="20% - Accent1 2 3 2 2 3" xfId="9626"/>
    <cellStyle name="20% - Accent1 2 3 2 2 3 2" xfId="19247"/>
    <cellStyle name="20% - Accent1 2 3 2 2 3 2 2" xfId="35468"/>
    <cellStyle name="20% - Accent1 2 3 2 2 3 3" xfId="28780"/>
    <cellStyle name="20% - Accent1 2 3 2 2 4" xfId="15514"/>
    <cellStyle name="20% - Accent1 2 3 2 2 4 2" xfId="31736"/>
    <cellStyle name="20% - Accent1 2 3 2 2 5" xfId="17490"/>
    <cellStyle name="20% - Accent1 2 3 2 2 5 2" xfId="33711"/>
    <cellStyle name="20% - Accent1 2 3 2 2 6" xfId="27774"/>
    <cellStyle name="20% - Accent1 2 3 2 3" xfId="6467"/>
    <cellStyle name="20% - Accent1 2 3 2 3 2" xfId="9628"/>
    <cellStyle name="20% - Accent1 2 3 2 3 2 2" xfId="19249"/>
    <cellStyle name="20% - Accent1 2 3 2 3 2 2 2" xfId="35470"/>
    <cellStyle name="20% - Accent1 2 3 2 3 2 3" xfId="28782"/>
    <cellStyle name="20% - Accent1 2 3 2 3 3" xfId="16307"/>
    <cellStyle name="20% - Accent1 2 3 2 3 3 2" xfId="32528"/>
    <cellStyle name="20% - Accent1 2 3 2 3 4" xfId="17492"/>
    <cellStyle name="20% - Accent1 2 3 2 3 4 2" xfId="33713"/>
    <cellStyle name="20% - Accent1 2 3 2 3 5" xfId="27772"/>
    <cellStyle name="20% - Accent1 2 3 2 4" xfId="9625"/>
    <cellStyle name="20% - Accent1 2 3 2 4 2" xfId="19246"/>
    <cellStyle name="20% - Accent1 2 3 2 4 2 2" xfId="35467"/>
    <cellStyle name="20% - Accent1 2 3 2 4 3" xfId="28779"/>
    <cellStyle name="20% - Accent1 2 3 2 5" xfId="14722"/>
    <cellStyle name="20% - Accent1 2 3 2 5 2" xfId="30944"/>
    <cellStyle name="20% - Accent1 2 3 2 6" xfId="17489"/>
    <cellStyle name="20% - Accent1 2 3 2 6 2" xfId="33710"/>
    <cellStyle name="20% - Accent1 2 3 2 7" xfId="27026"/>
    <cellStyle name="20% - Accent1 2 3 3" xfId="6466"/>
    <cellStyle name="20% - Accent1 2 3 3 2" xfId="6465"/>
    <cellStyle name="20% - Accent1 2 3 3 2 2" xfId="6464"/>
    <cellStyle name="20% - Accent1 2 3 3 2 2 2" xfId="9631"/>
    <cellStyle name="20% - Accent1 2 3 3 2 2 2 2" xfId="19252"/>
    <cellStyle name="20% - Accent1 2 3 3 2 2 2 2 2" xfId="35473"/>
    <cellStyle name="20% - Accent1 2 3 3 2 2 2 3" xfId="28785"/>
    <cellStyle name="20% - Accent1 2 3 3 2 2 3" xfId="17363"/>
    <cellStyle name="20% - Accent1 2 3 3 2 2 3 2" xfId="33584"/>
    <cellStyle name="20% - Accent1 2 3 3 2 2 4" xfId="17495"/>
    <cellStyle name="20% - Accent1 2 3 3 2 2 4 2" xfId="33716"/>
    <cellStyle name="20% - Accent1 2 3 3 2 2 5" xfId="27769"/>
    <cellStyle name="20% - Accent1 2 3 3 2 3" xfId="9630"/>
    <cellStyle name="20% - Accent1 2 3 3 2 3 2" xfId="19251"/>
    <cellStyle name="20% - Accent1 2 3 3 2 3 2 2" xfId="35472"/>
    <cellStyle name="20% - Accent1 2 3 3 2 3 3" xfId="28784"/>
    <cellStyle name="20% - Accent1 2 3 3 2 4" xfId="15778"/>
    <cellStyle name="20% - Accent1 2 3 3 2 4 2" xfId="32000"/>
    <cellStyle name="20% - Accent1 2 3 3 2 5" xfId="17494"/>
    <cellStyle name="20% - Accent1 2 3 3 2 5 2" xfId="33715"/>
    <cellStyle name="20% - Accent1 2 3 3 2 6" xfId="27770"/>
    <cellStyle name="20% - Accent1 2 3 3 3" xfId="6463"/>
    <cellStyle name="20% - Accent1 2 3 3 3 2" xfId="9632"/>
    <cellStyle name="20% - Accent1 2 3 3 3 2 2" xfId="19253"/>
    <cellStyle name="20% - Accent1 2 3 3 3 2 2 2" xfId="35474"/>
    <cellStyle name="20% - Accent1 2 3 3 3 2 3" xfId="28786"/>
    <cellStyle name="20% - Accent1 2 3 3 3 3" xfId="16571"/>
    <cellStyle name="20% - Accent1 2 3 3 3 3 2" xfId="32792"/>
    <cellStyle name="20% - Accent1 2 3 3 3 4" xfId="17496"/>
    <cellStyle name="20% - Accent1 2 3 3 3 4 2" xfId="33717"/>
    <cellStyle name="20% - Accent1 2 3 3 3 5" xfId="27768"/>
    <cellStyle name="20% - Accent1 2 3 3 4" xfId="9629"/>
    <cellStyle name="20% - Accent1 2 3 3 4 2" xfId="19250"/>
    <cellStyle name="20% - Accent1 2 3 3 4 2 2" xfId="35471"/>
    <cellStyle name="20% - Accent1 2 3 3 4 3" xfId="28783"/>
    <cellStyle name="20% - Accent1 2 3 3 5" xfId="14986"/>
    <cellStyle name="20% - Accent1 2 3 3 5 2" xfId="31208"/>
    <cellStyle name="20% - Accent1 2 3 3 6" xfId="17493"/>
    <cellStyle name="20% - Accent1 2 3 3 6 2" xfId="33714"/>
    <cellStyle name="20% - Accent1 2 3 3 7" xfId="27771"/>
    <cellStyle name="20% - Accent1 2 3 4" xfId="6462"/>
    <cellStyle name="20% - Accent1 2 3 4 2" xfId="6461"/>
    <cellStyle name="20% - Accent1 2 3 4 2 2" xfId="9634"/>
    <cellStyle name="20% - Accent1 2 3 4 2 2 2" xfId="19255"/>
    <cellStyle name="20% - Accent1 2 3 4 2 2 2 2" xfId="35476"/>
    <cellStyle name="20% - Accent1 2 3 4 2 2 3" xfId="28788"/>
    <cellStyle name="20% - Accent1 2 3 4 2 3" xfId="16835"/>
    <cellStyle name="20% - Accent1 2 3 4 2 3 2" xfId="33056"/>
    <cellStyle name="20% - Accent1 2 3 4 2 4" xfId="17498"/>
    <cellStyle name="20% - Accent1 2 3 4 2 4 2" xfId="33719"/>
    <cellStyle name="20% - Accent1 2 3 4 2 5" xfId="27766"/>
    <cellStyle name="20% - Accent1 2 3 4 3" xfId="9633"/>
    <cellStyle name="20% - Accent1 2 3 4 3 2" xfId="19254"/>
    <cellStyle name="20% - Accent1 2 3 4 3 2 2" xfId="35475"/>
    <cellStyle name="20% - Accent1 2 3 4 3 3" xfId="28787"/>
    <cellStyle name="20% - Accent1 2 3 4 4" xfId="15250"/>
    <cellStyle name="20% - Accent1 2 3 4 4 2" xfId="31472"/>
    <cellStyle name="20% - Accent1 2 3 4 5" xfId="17497"/>
    <cellStyle name="20% - Accent1 2 3 4 5 2" xfId="33718"/>
    <cellStyle name="20% - Accent1 2 3 4 6" xfId="27767"/>
    <cellStyle name="20% - Accent1 2 3 5" xfId="6460"/>
    <cellStyle name="20% - Accent1 2 3 5 2" xfId="9635"/>
    <cellStyle name="20% - Accent1 2 3 5 2 2" xfId="19256"/>
    <cellStyle name="20% - Accent1 2 3 5 2 2 2" xfId="35477"/>
    <cellStyle name="20% - Accent1 2 3 5 2 3" xfId="28789"/>
    <cellStyle name="20% - Accent1 2 3 5 3" xfId="16043"/>
    <cellStyle name="20% - Accent1 2 3 5 3 2" xfId="32264"/>
    <cellStyle name="20% - Accent1 2 3 5 4" xfId="17499"/>
    <cellStyle name="20% - Accent1 2 3 5 4 2" xfId="33720"/>
    <cellStyle name="20% - Accent1 2 3 5 5" xfId="27765"/>
    <cellStyle name="20% - Accent1 2 3 6" xfId="9624"/>
    <cellStyle name="20% - Accent1 2 3 6 2" xfId="19245"/>
    <cellStyle name="20% - Accent1 2 3 6 2 2" xfId="35466"/>
    <cellStyle name="20% - Accent1 2 3 6 3" xfId="28778"/>
    <cellStyle name="20% - Accent1 2 3 7" xfId="14458"/>
    <cellStyle name="20% - Accent1 2 3 7 2" xfId="30680"/>
    <cellStyle name="20% - Accent1 2 3 8" xfId="17488"/>
    <cellStyle name="20% - Accent1 2 3 8 2" xfId="33709"/>
    <cellStyle name="20% - Accent1 2 3 9" xfId="27775"/>
    <cellStyle name="20% - Accent1 2 4" xfId="6459"/>
    <cellStyle name="20% - Accent1 2 4 2" xfId="6458"/>
    <cellStyle name="20% - Accent1 2 4 2 2" xfId="6457"/>
    <cellStyle name="20% - Accent1 2 4 2 2 2" xfId="9638"/>
    <cellStyle name="20% - Accent1 2 4 2 2 2 2" xfId="19259"/>
    <cellStyle name="20% - Accent1 2 4 2 2 2 2 2" xfId="35480"/>
    <cellStyle name="20% - Accent1 2 4 2 2 2 3" xfId="28792"/>
    <cellStyle name="20% - Accent1 2 4 2 2 3" xfId="16967"/>
    <cellStyle name="20% - Accent1 2 4 2 2 3 2" xfId="33188"/>
    <cellStyle name="20% - Accent1 2 4 2 2 4" xfId="17502"/>
    <cellStyle name="20% - Accent1 2 4 2 2 4 2" xfId="33723"/>
    <cellStyle name="20% - Accent1 2 4 2 2 5" xfId="27762"/>
    <cellStyle name="20% - Accent1 2 4 2 3" xfId="9637"/>
    <cellStyle name="20% - Accent1 2 4 2 3 2" xfId="19258"/>
    <cellStyle name="20% - Accent1 2 4 2 3 2 2" xfId="35479"/>
    <cellStyle name="20% - Accent1 2 4 2 3 3" xfId="28791"/>
    <cellStyle name="20% - Accent1 2 4 2 4" xfId="15382"/>
    <cellStyle name="20% - Accent1 2 4 2 4 2" xfId="31604"/>
    <cellStyle name="20% - Accent1 2 4 2 5" xfId="17501"/>
    <cellStyle name="20% - Accent1 2 4 2 5 2" xfId="33722"/>
    <cellStyle name="20% - Accent1 2 4 2 6" xfId="27763"/>
    <cellStyle name="20% - Accent1 2 4 3" xfId="6456"/>
    <cellStyle name="20% - Accent1 2 4 3 2" xfId="9639"/>
    <cellStyle name="20% - Accent1 2 4 3 2 2" xfId="19260"/>
    <cellStyle name="20% - Accent1 2 4 3 2 2 2" xfId="35481"/>
    <cellStyle name="20% - Accent1 2 4 3 2 3" xfId="28793"/>
    <cellStyle name="20% - Accent1 2 4 3 3" xfId="16175"/>
    <cellStyle name="20% - Accent1 2 4 3 3 2" xfId="32396"/>
    <cellStyle name="20% - Accent1 2 4 3 4" xfId="17503"/>
    <cellStyle name="20% - Accent1 2 4 3 4 2" xfId="33724"/>
    <cellStyle name="20% - Accent1 2 4 3 5" xfId="27761"/>
    <cellStyle name="20% - Accent1 2 4 4" xfId="9636"/>
    <cellStyle name="20% - Accent1 2 4 4 2" xfId="19257"/>
    <cellStyle name="20% - Accent1 2 4 4 2 2" xfId="35478"/>
    <cellStyle name="20% - Accent1 2 4 4 3" xfId="28790"/>
    <cellStyle name="20% - Accent1 2 4 5" xfId="14590"/>
    <cellStyle name="20% - Accent1 2 4 5 2" xfId="30812"/>
    <cellStyle name="20% - Accent1 2 4 6" xfId="17500"/>
    <cellStyle name="20% - Accent1 2 4 6 2" xfId="33721"/>
    <cellStyle name="20% - Accent1 2 4 7" xfId="27764"/>
    <cellStyle name="20% - Accent1 2 4 8" xfId="39242"/>
    <cellStyle name="20% - Accent1 2 5" xfId="6455"/>
    <cellStyle name="20% - Accent1 2 5 2" xfId="5723"/>
    <cellStyle name="20% - Accent1 2 5 2 2" xfId="6454"/>
    <cellStyle name="20% - Accent1 2 5 2 2 2" xfId="9642"/>
    <cellStyle name="20% - Accent1 2 5 2 2 2 2" xfId="19263"/>
    <cellStyle name="20% - Accent1 2 5 2 2 2 2 2" xfId="35484"/>
    <cellStyle name="20% - Accent1 2 5 2 2 2 3" xfId="28796"/>
    <cellStyle name="20% - Accent1 2 5 2 2 3" xfId="17231"/>
    <cellStyle name="20% - Accent1 2 5 2 2 3 2" xfId="33452"/>
    <cellStyle name="20% - Accent1 2 5 2 2 4" xfId="17506"/>
    <cellStyle name="20% - Accent1 2 5 2 2 4 2" xfId="33727"/>
    <cellStyle name="20% - Accent1 2 5 2 2 5" xfId="27759"/>
    <cellStyle name="20% - Accent1 2 5 2 3" xfId="9641"/>
    <cellStyle name="20% - Accent1 2 5 2 3 2" xfId="19262"/>
    <cellStyle name="20% - Accent1 2 5 2 3 2 2" xfId="35483"/>
    <cellStyle name="20% - Accent1 2 5 2 3 3" xfId="28795"/>
    <cellStyle name="20% - Accent1 2 5 2 4" xfId="15646"/>
    <cellStyle name="20% - Accent1 2 5 2 4 2" xfId="31868"/>
    <cellStyle name="20% - Accent1 2 5 2 5" xfId="17505"/>
    <cellStyle name="20% - Accent1 2 5 2 5 2" xfId="33726"/>
    <cellStyle name="20% - Accent1 2 5 2 6" xfId="27029"/>
    <cellStyle name="20% - Accent1 2 5 3" xfId="6453"/>
    <cellStyle name="20% - Accent1 2 5 3 2" xfId="9643"/>
    <cellStyle name="20% - Accent1 2 5 3 2 2" xfId="19264"/>
    <cellStyle name="20% - Accent1 2 5 3 2 2 2" xfId="35485"/>
    <cellStyle name="20% - Accent1 2 5 3 2 3" xfId="28797"/>
    <cellStyle name="20% - Accent1 2 5 3 3" xfId="16439"/>
    <cellStyle name="20% - Accent1 2 5 3 3 2" xfId="32660"/>
    <cellStyle name="20% - Accent1 2 5 3 4" xfId="17507"/>
    <cellStyle name="20% - Accent1 2 5 3 4 2" xfId="33728"/>
    <cellStyle name="20% - Accent1 2 5 3 5" xfId="27758"/>
    <cellStyle name="20% - Accent1 2 5 4" xfId="9640"/>
    <cellStyle name="20% - Accent1 2 5 4 2" xfId="19261"/>
    <cellStyle name="20% - Accent1 2 5 4 2 2" xfId="35482"/>
    <cellStyle name="20% - Accent1 2 5 4 3" xfId="28794"/>
    <cellStyle name="20% - Accent1 2 5 5" xfId="14854"/>
    <cellStyle name="20% - Accent1 2 5 5 2" xfId="31076"/>
    <cellStyle name="20% - Accent1 2 5 6" xfId="17504"/>
    <cellStyle name="20% - Accent1 2 5 6 2" xfId="33725"/>
    <cellStyle name="20% - Accent1 2 5 7" xfId="27760"/>
    <cellStyle name="20% - Accent1 2 5 8" xfId="39391"/>
    <cellStyle name="20% - Accent1 2 6" xfId="6452"/>
    <cellStyle name="20% - Accent1 2 6 2" xfId="6451"/>
    <cellStyle name="20% - Accent1 2 6 2 2" xfId="9645"/>
    <cellStyle name="20% - Accent1 2 6 2 2 2" xfId="19266"/>
    <cellStyle name="20% - Accent1 2 6 2 2 2 2" xfId="35487"/>
    <cellStyle name="20% - Accent1 2 6 2 2 3" xfId="28799"/>
    <cellStyle name="20% - Accent1 2 6 2 3" xfId="16703"/>
    <cellStyle name="20% - Accent1 2 6 2 3 2" xfId="32924"/>
    <cellStyle name="20% - Accent1 2 6 2 4" xfId="17509"/>
    <cellStyle name="20% - Accent1 2 6 2 4 2" xfId="33730"/>
    <cellStyle name="20% - Accent1 2 6 2 5" xfId="27756"/>
    <cellStyle name="20% - Accent1 2 6 3" xfId="9644"/>
    <cellStyle name="20% - Accent1 2 6 3 2" xfId="19265"/>
    <cellStyle name="20% - Accent1 2 6 3 2 2" xfId="35486"/>
    <cellStyle name="20% - Accent1 2 6 3 3" xfId="28798"/>
    <cellStyle name="20% - Accent1 2 6 4" xfId="15118"/>
    <cellStyle name="20% - Accent1 2 6 4 2" xfId="31340"/>
    <cellStyle name="20% - Accent1 2 6 5" xfId="17508"/>
    <cellStyle name="20% - Accent1 2 6 5 2" xfId="33729"/>
    <cellStyle name="20% - Accent1 2 6 6" xfId="27757"/>
    <cellStyle name="20% - Accent1 2 7" xfId="6450"/>
    <cellStyle name="20% - Accent1 2 7 2" xfId="9646"/>
    <cellStyle name="20% - Accent1 2 7 2 2" xfId="19267"/>
    <cellStyle name="20% - Accent1 2 7 2 2 2" xfId="35488"/>
    <cellStyle name="20% - Accent1 2 7 2 3" xfId="28800"/>
    <cellStyle name="20% - Accent1 2 7 3" xfId="15911"/>
    <cellStyle name="20% - Accent1 2 7 3 2" xfId="32132"/>
    <cellStyle name="20% - Accent1 2 7 4" xfId="17510"/>
    <cellStyle name="20% - Accent1 2 7 4 2" xfId="33731"/>
    <cellStyle name="20% - Accent1 2 7 5" xfId="27755"/>
    <cellStyle name="20% - Accent1 2 8" xfId="9599"/>
    <cellStyle name="20% - Accent1 2 8 2" xfId="19220"/>
    <cellStyle name="20% - Accent1 2 8 2 2" xfId="35441"/>
    <cellStyle name="20% - Accent1 2 8 3" xfId="28753"/>
    <cellStyle name="20% - Accent1 2 9" xfId="14326"/>
    <cellStyle name="20% - Accent1 2 9 2" xfId="30548"/>
    <cellStyle name="20% - Accent1 3" xfId="6449"/>
    <cellStyle name="20% - Accent1 3 10" xfId="27754"/>
    <cellStyle name="20% - Accent1 3 11" xfId="38973"/>
    <cellStyle name="20% - Accent1 3 2" xfId="6448"/>
    <cellStyle name="20% - Accent1 3 2 10" xfId="39015"/>
    <cellStyle name="20% - Accent1 3 2 2" xfId="6447"/>
    <cellStyle name="20% - Accent1 3 2 2 2" xfId="6446"/>
    <cellStyle name="20% - Accent1 3 2 2 2 2" xfId="6445"/>
    <cellStyle name="20% - Accent1 3 2 2 2 2 2" xfId="9651"/>
    <cellStyle name="20% - Accent1 3 2 2 2 2 2 2" xfId="19272"/>
    <cellStyle name="20% - Accent1 3 2 2 2 2 2 2 2" xfId="35493"/>
    <cellStyle name="20% - Accent1 3 2 2 2 2 2 3" xfId="28805"/>
    <cellStyle name="20% - Accent1 3 2 2 2 2 3" xfId="17132"/>
    <cellStyle name="20% - Accent1 3 2 2 2 2 3 2" xfId="33353"/>
    <cellStyle name="20% - Accent1 3 2 2 2 2 4" xfId="17515"/>
    <cellStyle name="20% - Accent1 3 2 2 2 2 4 2" xfId="33736"/>
    <cellStyle name="20% - Accent1 3 2 2 2 2 5" xfId="27750"/>
    <cellStyle name="20% - Accent1 3 2 2 2 3" xfId="9650"/>
    <cellStyle name="20% - Accent1 3 2 2 2 3 2" xfId="19271"/>
    <cellStyle name="20% - Accent1 3 2 2 2 3 2 2" xfId="35492"/>
    <cellStyle name="20% - Accent1 3 2 2 2 3 3" xfId="28804"/>
    <cellStyle name="20% - Accent1 3 2 2 2 4" xfId="15547"/>
    <cellStyle name="20% - Accent1 3 2 2 2 4 2" xfId="31769"/>
    <cellStyle name="20% - Accent1 3 2 2 2 5" xfId="17514"/>
    <cellStyle name="20% - Accent1 3 2 2 2 5 2" xfId="33735"/>
    <cellStyle name="20% - Accent1 3 2 2 2 6" xfId="27751"/>
    <cellStyle name="20% - Accent1 3 2 2 3" xfId="6444"/>
    <cellStyle name="20% - Accent1 3 2 2 3 2" xfId="9652"/>
    <cellStyle name="20% - Accent1 3 2 2 3 2 2" xfId="19273"/>
    <cellStyle name="20% - Accent1 3 2 2 3 2 2 2" xfId="35494"/>
    <cellStyle name="20% - Accent1 3 2 2 3 2 3" xfId="28806"/>
    <cellStyle name="20% - Accent1 3 2 2 3 3" xfId="16340"/>
    <cellStyle name="20% - Accent1 3 2 2 3 3 2" xfId="32561"/>
    <cellStyle name="20% - Accent1 3 2 2 3 4" xfId="17516"/>
    <cellStyle name="20% - Accent1 3 2 2 3 4 2" xfId="33737"/>
    <cellStyle name="20% - Accent1 3 2 2 3 5" xfId="27749"/>
    <cellStyle name="20% - Accent1 3 2 2 4" xfId="9649"/>
    <cellStyle name="20% - Accent1 3 2 2 4 2" xfId="19270"/>
    <cellStyle name="20% - Accent1 3 2 2 4 2 2" xfId="35491"/>
    <cellStyle name="20% - Accent1 3 2 2 4 3" xfId="28803"/>
    <cellStyle name="20% - Accent1 3 2 2 5" xfId="14755"/>
    <cellStyle name="20% - Accent1 3 2 2 5 2" xfId="30977"/>
    <cellStyle name="20% - Accent1 3 2 2 6" xfId="17513"/>
    <cellStyle name="20% - Accent1 3 2 2 6 2" xfId="33734"/>
    <cellStyle name="20% - Accent1 3 2 2 7" xfId="27752"/>
    <cellStyle name="20% - Accent1 3 2 2 8" xfId="39163"/>
    <cellStyle name="20% - Accent1 3 2 3" xfId="6443"/>
    <cellStyle name="20% - Accent1 3 2 3 2" xfId="6442"/>
    <cellStyle name="20% - Accent1 3 2 3 2 2" xfId="6441"/>
    <cellStyle name="20% - Accent1 3 2 3 2 2 2" xfId="9655"/>
    <cellStyle name="20% - Accent1 3 2 3 2 2 2 2" xfId="19276"/>
    <cellStyle name="20% - Accent1 3 2 3 2 2 2 2 2" xfId="35497"/>
    <cellStyle name="20% - Accent1 3 2 3 2 2 2 3" xfId="28809"/>
    <cellStyle name="20% - Accent1 3 2 3 2 2 3" xfId="17396"/>
    <cellStyle name="20% - Accent1 3 2 3 2 2 3 2" xfId="33617"/>
    <cellStyle name="20% - Accent1 3 2 3 2 2 4" xfId="17519"/>
    <cellStyle name="20% - Accent1 3 2 3 2 2 4 2" xfId="33740"/>
    <cellStyle name="20% - Accent1 3 2 3 2 2 5" xfId="27746"/>
    <cellStyle name="20% - Accent1 3 2 3 2 3" xfId="9654"/>
    <cellStyle name="20% - Accent1 3 2 3 2 3 2" xfId="19275"/>
    <cellStyle name="20% - Accent1 3 2 3 2 3 2 2" xfId="35496"/>
    <cellStyle name="20% - Accent1 3 2 3 2 3 3" xfId="28808"/>
    <cellStyle name="20% - Accent1 3 2 3 2 4" xfId="15811"/>
    <cellStyle name="20% - Accent1 3 2 3 2 4 2" xfId="32033"/>
    <cellStyle name="20% - Accent1 3 2 3 2 5" xfId="17518"/>
    <cellStyle name="20% - Accent1 3 2 3 2 5 2" xfId="33739"/>
    <cellStyle name="20% - Accent1 3 2 3 2 6" xfId="27747"/>
    <cellStyle name="20% - Accent1 3 2 3 3" xfId="6440"/>
    <cellStyle name="20% - Accent1 3 2 3 3 2" xfId="9656"/>
    <cellStyle name="20% - Accent1 3 2 3 3 2 2" xfId="19277"/>
    <cellStyle name="20% - Accent1 3 2 3 3 2 2 2" xfId="35498"/>
    <cellStyle name="20% - Accent1 3 2 3 3 2 3" xfId="28810"/>
    <cellStyle name="20% - Accent1 3 2 3 3 3" xfId="16604"/>
    <cellStyle name="20% - Accent1 3 2 3 3 3 2" xfId="32825"/>
    <cellStyle name="20% - Accent1 3 2 3 3 4" xfId="17520"/>
    <cellStyle name="20% - Accent1 3 2 3 3 4 2" xfId="33741"/>
    <cellStyle name="20% - Accent1 3 2 3 3 5" xfId="27745"/>
    <cellStyle name="20% - Accent1 3 2 3 4" xfId="9653"/>
    <cellStyle name="20% - Accent1 3 2 3 4 2" xfId="19274"/>
    <cellStyle name="20% - Accent1 3 2 3 4 2 2" xfId="35495"/>
    <cellStyle name="20% - Accent1 3 2 3 4 3" xfId="28807"/>
    <cellStyle name="20% - Accent1 3 2 3 5" xfId="15019"/>
    <cellStyle name="20% - Accent1 3 2 3 5 2" xfId="31241"/>
    <cellStyle name="20% - Accent1 3 2 3 6" xfId="17517"/>
    <cellStyle name="20% - Accent1 3 2 3 6 2" xfId="33738"/>
    <cellStyle name="20% - Accent1 3 2 3 7" xfId="27748"/>
    <cellStyle name="20% - Accent1 3 2 3 8" xfId="39311"/>
    <cellStyle name="20% - Accent1 3 2 4" xfId="6439"/>
    <cellStyle name="20% - Accent1 3 2 4 2" xfId="6438"/>
    <cellStyle name="20% - Accent1 3 2 4 2 2" xfId="9658"/>
    <cellStyle name="20% - Accent1 3 2 4 2 2 2" xfId="19279"/>
    <cellStyle name="20% - Accent1 3 2 4 2 2 2 2" xfId="35500"/>
    <cellStyle name="20% - Accent1 3 2 4 2 2 3" xfId="28812"/>
    <cellStyle name="20% - Accent1 3 2 4 2 3" xfId="16868"/>
    <cellStyle name="20% - Accent1 3 2 4 2 3 2" xfId="33089"/>
    <cellStyle name="20% - Accent1 3 2 4 2 4" xfId="17522"/>
    <cellStyle name="20% - Accent1 3 2 4 2 4 2" xfId="33743"/>
    <cellStyle name="20% - Accent1 3 2 4 2 5" xfId="27743"/>
    <cellStyle name="20% - Accent1 3 2 4 3" xfId="9657"/>
    <cellStyle name="20% - Accent1 3 2 4 3 2" xfId="19278"/>
    <cellStyle name="20% - Accent1 3 2 4 3 2 2" xfId="35499"/>
    <cellStyle name="20% - Accent1 3 2 4 3 3" xfId="28811"/>
    <cellStyle name="20% - Accent1 3 2 4 4" xfId="15283"/>
    <cellStyle name="20% - Accent1 3 2 4 4 2" xfId="31505"/>
    <cellStyle name="20% - Accent1 3 2 4 5" xfId="17521"/>
    <cellStyle name="20% - Accent1 3 2 4 5 2" xfId="33742"/>
    <cellStyle name="20% - Accent1 3 2 4 6" xfId="27744"/>
    <cellStyle name="20% - Accent1 3 2 4 7" xfId="39460"/>
    <cellStyle name="20% - Accent1 3 2 5" xfId="6437"/>
    <cellStyle name="20% - Accent1 3 2 5 2" xfId="9659"/>
    <cellStyle name="20% - Accent1 3 2 5 2 2" xfId="19280"/>
    <cellStyle name="20% - Accent1 3 2 5 2 2 2" xfId="35501"/>
    <cellStyle name="20% - Accent1 3 2 5 2 3" xfId="28813"/>
    <cellStyle name="20% - Accent1 3 2 5 3" xfId="16076"/>
    <cellStyle name="20% - Accent1 3 2 5 3 2" xfId="32297"/>
    <cellStyle name="20% - Accent1 3 2 5 4" xfId="17523"/>
    <cellStyle name="20% - Accent1 3 2 5 4 2" xfId="33744"/>
    <cellStyle name="20% - Accent1 3 2 5 5" xfId="27742"/>
    <cellStyle name="20% - Accent1 3 2 6" xfId="9648"/>
    <cellStyle name="20% - Accent1 3 2 6 2" xfId="19269"/>
    <cellStyle name="20% - Accent1 3 2 6 2 2" xfId="35490"/>
    <cellStyle name="20% - Accent1 3 2 6 3" xfId="28802"/>
    <cellStyle name="20% - Accent1 3 2 7" xfId="14491"/>
    <cellStyle name="20% - Accent1 3 2 7 2" xfId="30713"/>
    <cellStyle name="20% - Accent1 3 2 8" xfId="17512"/>
    <cellStyle name="20% - Accent1 3 2 8 2" xfId="33733"/>
    <cellStyle name="20% - Accent1 3 2 9" xfId="27753"/>
    <cellStyle name="20% - Accent1 3 3" xfId="6436"/>
    <cellStyle name="20% - Accent1 3 3 2" xfId="6435"/>
    <cellStyle name="20% - Accent1 3 3 2 2" xfId="6434"/>
    <cellStyle name="20% - Accent1 3 3 2 2 2" xfId="9662"/>
    <cellStyle name="20% - Accent1 3 3 2 2 2 2" xfId="19283"/>
    <cellStyle name="20% - Accent1 3 3 2 2 2 2 2" xfId="35504"/>
    <cellStyle name="20% - Accent1 3 3 2 2 2 3" xfId="28816"/>
    <cellStyle name="20% - Accent1 3 3 2 2 3" xfId="17000"/>
    <cellStyle name="20% - Accent1 3 3 2 2 3 2" xfId="33221"/>
    <cellStyle name="20% - Accent1 3 3 2 2 4" xfId="17526"/>
    <cellStyle name="20% - Accent1 3 3 2 2 4 2" xfId="33747"/>
    <cellStyle name="20% - Accent1 3 3 2 2 5" xfId="27739"/>
    <cellStyle name="20% - Accent1 3 3 2 3" xfId="9661"/>
    <cellStyle name="20% - Accent1 3 3 2 3 2" xfId="19282"/>
    <cellStyle name="20% - Accent1 3 3 2 3 2 2" xfId="35503"/>
    <cellStyle name="20% - Accent1 3 3 2 3 3" xfId="28815"/>
    <cellStyle name="20% - Accent1 3 3 2 4" xfId="15415"/>
    <cellStyle name="20% - Accent1 3 3 2 4 2" xfId="31637"/>
    <cellStyle name="20% - Accent1 3 3 2 5" xfId="17525"/>
    <cellStyle name="20% - Accent1 3 3 2 5 2" xfId="33746"/>
    <cellStyle name="20% - Accent1 3 3 2 6" xfId="27740"/>
    <cellStyle name="20% - Accent1 3 3 3" xfId="6433"/>
    <cellStyle name="20% - Accent1 3 3 3 2" xfId="9663"/>
    <cellStyle name="20% - Accent1 3 3 3 2 2" xfId="19284"/>
    <cellStyle name="20% - Accent1 3 3 3 2 2 2" xfId="35505"/>
    <cellStyle name="20% - Accent1 3 3 3 2 3" xfId="28817"/>
    <cellStyle name="20% - Accent1 3 3 3 3" xfId="16208"/>
    <cellStyle name="20% - Accent1 3 3 3 3 2" xfId="32429"/>
    <cellStyle name="20% - Accent1 3 3 3 4" xfId="17527"/>
    <cellStyle name="20% - Accent1 3 3 3 4 2" xfId="33748"/>
    <cellStyle name="20% - Accent1 3 3 3 5" xfId="27738"/>
    <cellStyle name="20% - Accent1 3 3 4" xfId="9660"/>
    <cellStyle name="20% - Accent1 3 3 4 2" xfId="19281"/>
    <cellStyle name="20% - Accent1 3 3 4 2 2" xfId="35502"/>
    <cellStyle name="20% - Accent1 3 3 4 3" xfId="28814"/>
    <cellStyle name="20% - Accent1 3 3 5" xfId="14623"/>
    <cellStyle name="20% - Accent1 3 3 5 2" xfId="30845"/>
    <cellStyle name="20% - Accent1 3 3 6" xfId="17524"/>
    <cellStyle name="20% - Accent1 3 3 6 2" xfId="33745"/>
    <cellStyle name="20% - Accent1 3 3 7" xfId="27741"/>
    <cellStyle name="20% - Accent1 3 3 8" xfId="39107"/>
    <cellStyle name="20% - Accent1 3 4" xfId="6432"/>
    <cellStyle name="20% - Accent1 3 4 2" xfId="6431"/>
    <cellStyle name="20% - Accent1 3 4 2 2" xfId="6430"/>
    <cellStyle name="20% - Accent1 3 4 2 2 2" xfId="9666"/>
    <cellStyle name="20% - Accent1 3 4 2 2 2 2" xfId="19287"/>
    <cellStyle name="20% - Accent1 3 4 2 2 2 2 2" xfId="35508"/>
    <cellStyle name="20% - Accent1 3 4 2 2 2 3" xfId="28820"/>
    <cellStyle name="20% - Accent1 3 4 2 2 3" xfId="17264"/>
    <cellStyle name="20% - Accent1 3 4 2 2 3 2" xfId="33485"/>
    <cellStyle name="20% - Accent1 3 4 2 2 4" xfId="17530"/>
    <cellStyle name="20% - Accent1 3 4 2 2 4 2" xfId="33751"/>
    <cellStyle name="20% - Accent1 3 4 2 2 5" xfId="27735"/>
    <cellStyle name="20% - Accent1 3 4 2 3" xfId="9665"/>
    <cellStyle name="20% - Accent1 3 4 2 3 2" xfId="19286"/>
    <cellStyle name="20% - Accent1 3 4 2 3 2 2" xfId="35507"/>
    <cellStyle name="20% - Accent1 3 4 2 3 3" xfId="28819"/>
    <cellStyle name="20% - Accent1 3 4 2 4" xfId="15679"/>
    <cellStyle name="20% - Accent1 3 4 2 4 2" xfId="31901"/>
    <cellStyle name="20% - Accent1 3 4 2 5" xfId="17529"/>
    <cellStyle name="20% - Accent1 3 4 2 5 2" xfId="33750"/>
    <cellStyle name="20% - Accent1 3 4 2 6" xfId="27736"/>
    <cellStyle name="20% - Accent1 3 4 3" xfId="6429"/>
    <cellStyle name="20% - Accent1 3 4 3 2" xfId="9667"/>
    <cellStyle name="20% - Accent1 3 4 3 2 2" xfId="19288"/>
    <cellStyle name="20% - Accent1 3 4 3 2 2 2" xfId="35509"/>
    <cellStyle name="20% - Accent1 3 4 3 2 3" xfId="28821"/>
    <cellStyle name="20% - Accent1 3 4 3 3" xfId="16472"/>
    <cellStyle name="20% - Accent1 3 4 3 3 2" xfId="32693"/>
    <cellStyle name="20% - Accent1 3 4 3 4" xfId="17531"/>
    <cellStyle name="20% - Accent1 3 4 3 4 2" xfId="33752"/>
    <cellStyle name="20% - Accent1 3 4 3 5" xfId="27734"/>
    <cellStyle name="20% - Accent1 3 4 4" xfId="9664"/>
    <cellStyle name="20% - Accent1 3 4 4 2" xfId="19285"/>
    <cellStyle name="20% - Accent1 3 4 4 2 2" xfId="35506"/>
    <cellStyle name="20% - Accent1 3 4 4 3" xfId="28818"/>
    <cellStyle name="20% - Accent1 3 4 5" xfId="14887"/>
    <cellStyle name="20% - Accent1 3 4 5 2" xfId="31109"/>
    <cellStyle name="20% - Accent1 3 4 6" xfId="17528"/>
    <cellStyle name="20% - Accent1 3 4 6 2" xfId="33749"/>
    <cellStyle name="20% - Accent1 3 4 7" xfId="27737"/>
    <cellStyle name="20% - Accent1 3 4 8" xfId="39255"/>
    <cellStyle name="20% - Accent1 3 5" xfId="6428"/>
    <cellStyle name="20% - Accent1 3 5 2" xfId="6427"/>
    <cellStyle name="20% - Accent1 3 5 2 2" xfId="9669"/>
    <cellStyle name="20% - Accent1 3 5 2 2 2" xfId="19290"/>
    <cellStyle name="20% - Accent1 3 5 2 2 2 2" xfId="35511"/>
    <cellStyle name="20% - Accent1 3 5 2 2 3" xfId="28823"/>
    <cellStyle name="20% - Accent1 3 5 2 3" xfId="16736"/>
    <cellStyle name="20% - Accent1 3 5 2 3 2" xfId="32957"/>
    <cellStyle name="20% - Accent1 3 5 2 4" xfId="17533"/>
    <cellStyle name="20% - Accent1 3 5 2 4 2" xfId="33754"/>
    <cellStyle name="20% - Accent1 3 5 2 5" xfId="27732"/>
    <cellStyle name="20% - Accent1 3 5 3" xfId="9668"/>
    <cellStyle name="20% - Accent1 3 5 3 2" xfId="19289"/>
    <cellStyle name="20% - Accent1 3 5 3 2 2" xfId="35510"/>
    <cellStyle name="20% - Accent1 3 5 3 3" xfId="28822"/>
    <cellStyle name="20% - Accent1 3 5 4" xfId="15151"/>
    <cellStyle name="20% - Accent1 3 5 4 2" xfId="31373"/>
    <cellStyle name="20% - Accent1 3 5 5" xfId="17532"/>
    <cellStyle name="20% - Accent1 3 5 5 2" xfId="33753"/>
    <cellStyle name="20% - Accent1 3 5 6" xfId="27733"/>
    <cellStyle name="20% - Accent1 3 5 7" xfId="39404"/>
    <cellStyle name="20% - Accent1 3 6" xfId="6426"/>
    <cellStyle name="20% - Accent1 3 6 2" xfId="9670"/>
    <cellStyle name="20% - Accent1 3 6 2 2" xfId="19291"/>
    <cellStyle name="20% - Accent1 3 6 2 2 2" xfId="35512"/>
    <cellStyle name="20% - Accent1 3 6 2 3" xfId="28824"/>
    <cellStyle name="20% - Accent1 3 6 3" xfId="15944"/>
    <cellStyle name="20% - Accent1 3 6 3 2" xfId="32165"/>
    <cellStyle name="20% - Accent1 3 6 4" xfId="17534"/>
    <cellStyle name="20% - Accent1 3 6 4 2" xfId="33755"/>
    <cellStyle name="20% - Accent1 3 6 5" xfId="27731"/>
    <cellStyle name="20% - Accent1 3 7" xfId="9647"/>
    <cellStyle name="20% - Accent1 3 7 2" xfId="19268"/>
    <cellStyle name="20% - Accent1 3 7 2 2" xfId="35489"/>
    <cellStyle name="20% - Accent1 3 7 3" xfId="28801"/>
    <cellStyle name="20% - Accent1 3 8" xfId="14359"/>
    <cellStyle name="20% - Accent1 3 8 2" xfId="30581"/>
    <cellStyle name="20% - Accent1 3 9" xfId="17511"/>
    <cellStyle name="20% - Accent1 3 9 2" xfId="33732"/>
    <cellStyle name="20% - Accent1 4" xfId="6425"/>
    <cellStyle name="20% - Accent1 4 10" xfId="38986"/>
    <cellStyle name="20% - Accent1 4 2" xfId="6424"/>
    <cellStyle name="20% - Accent1 4 2 2" xfId="6423"/>
    <cellStyle name="20% - Accent1 4 2 2 2" xfId="6422"/>
    <cellStyle name="20% - Accent1 4 2 2 2 2" xfId="9674"/>
    <cellStyle name="20% - Accent1 4 2 2 2 2 2" xfId="19295"/>
    <cellStyle name="20% - Accent1 4 2 2 2 2 2 2" xfId="35516"/>
    <cellStyle name="20% - Accent1 4 2 2 2 2 3" xfId="28828"/>
    <cellStyle name="20% - Accent1 4 2 2 2 3" xfId="17066"/>
    <cellStyle name="20% - Accent1 4 2 2 2 3 2" xfId="33287"/>
    <cellStyle name="20% - Accent1 4 2 2 2 4" xfId="17538"/>
    <cellStyle name="20% - Accent1 4 2 2 2 4 2" xfId="33759"/>
    <cellStyle name="20% - Accent1 4 2 2 2 5" xfId="27727"/>
    <cellStyle name="20% - Accent1 4 2 2 3" xfId="9673"/>
    <cellStyle name="20% - Accent1 4 2 2 3 2" xfId="19294"/>
    <cellStyle name="20% - Accent1 4 2 2 3 2 2" xfId="35515"/>
    <cellStyle name="20% - Accent1 4 2 2 3 3" xfId="28827"/>
    <cellStyle name="20% - Accent1 4 2 2 4" xfId="15481"/>
    <cellStyle name="20% - Accent1 4 2 2 4 2" xfId="31703"/>
    <cellStyle name="20% - Accent1 4 2 2 5" xfId="17537"/>
    <cellStyle name="20% - Accent1 4 2 2 5 2" xfId="33758"/>
    <cellStyle name="20% - Accent1 4 2 2 6" xfId="27728"/>
    <cellStyle name="20% - Accent1 4 2 2 7" xfId="39176"/>
    <cellStyle name="20% - Accent1 4 2 3" xfId="6421"/>
    <cellStyle name="20% - Accent1 4 2 3 2" xfId="9675"/>
    <cellStyle name="20% - Accent1 4 2 3 2 2" xfId="19296"/>
    <cellStyle name="20% - Accent1 4 2 3 2 2 2" xfId="35517"/>
    <cellStyle name="20% - Accent1 4 2 3 2 3" xfId="28829"/>
    <cellStyle name="20% - Accent1 4 2 3 3" xfId="16274"/>
    <cellStyle name="20% - Accent1 4 2 3 3 2" xfId="32495"/>
    <cellStyle name="20% - Accent1 4 2 3 4" xfId="17539"/>
    <cellStyle name="20% - Accent1 4 2 3 4 2" xfId="33760"/>
    <cellStyle name="20% - Accent1 4 2 3 5" xfId="27726"/>
    <cellStyle name="20% - Accent1 4 2 3 6" xfId="39324"/>
    <cellStyle name="20% - Accent1 4 2 4" xfId="9672"/>
    <cellStyle name="20% - Accent1 4 2 4 2" xfId="19293"/>
    <cellStyle name="20% - Accent1 4 2 4 2 2" xfId="35514"/>
    <cellStyle name="20% - Accent1 4 2 4 3" xfId="28826"/>
    <cellStyle name="20% - Accent1 4 2 4 4" xfId="39473"/>
    <cellStyle name="20% - Accent1 4 2 5" xfId="14689"/>
    <cellStyle name="20% - Accent1 4 2 5 2" xfId="30911"/>
    <cellStyle name="20% - Accent1 4 2 6" xfId="17536"/>
    <cellStyle name="20% - Accent1 4 2 6 2" xfId="33757"/>
    <cellStyle name="20% - Accent1 4 2 7" xfId="27729"/>
    <cellStyle name="20% - Accent1 4 2 8" xfId="39028"/>
    <cellStyle name="20% - Accent1 4 3" xfId="6420"/>
    <cellStyle name="20% - Accent1 4 3 2" xfId="6419"/>
    <cellStyle name="20% - Accent1 4 3 2 2" xfId="6418"/>
    <cellStyle name="20% - Accent1 4 3 2 2 2" xfId="9678"/>
    <cellStyle name="20% - Accent1 4 3 2 2 2 2" xfId="19299"/>
    <cellStyle name="20% - Accent1 4 3 2 2 2 2 2" xfId="35520"/>
    <cellStyle name="20% - Accent1 4 3 2 2 2 3" xfId="28832"/>
    <cellStyle name="20% - Accent1 4 3 2 2 3" xfId="17330"/>
    <cellStyle name="20% - Accent1 4 3 2 2 3 2" xfId="33551"/>
    <cellStyle name="20% - Accent1 4 3 2 2 4" xfId="17542"/>
    <cellStyle name="20% - Accent1 4 3 2 2 4 2" xfId="33763"/>
    <cellStyle name="20% - Accent1 4 3 2 2 5" xfId="27723"/>
    <cellStyle name="20% - Accent1 4 3 2 3" xfId="9677"/>
    <cellStyle name="20% - Accent1 4 3 2 3 2" xfId="19298"/>
    <cellStyle name="20% - Accent1 4 3 2 3 2 2" xfId="35519"/>
    <cellStyle name="20% - Accent1 4 3 2 3 3" xfId="28831"/>
    <cellStyle name="20% - Accent1 4 3 2 4" xfId="15745"/>
    <cellStyle name="20% - Accent1 4 3 2 4 2" xfId="31967"/>
    <cellStyle name="20% - Accent1 4 3 2 5" xfId="17541"/>
    <cellStyle name="20% - Accent1 4 3 2 5 2" xfId="33762"/>
    <cellStyle name="20% - Accent1 4 3 2 6" xfId="27724"/>
    <cellStyle name="20% - Accent1 4 3 3" xfId="6417"/>
    <cellStyle name="20% - Accent1 4 3 3 2" xfId="9679"/>
    <cellStyle name="20% - Accent1 4 3 3 2 2" xfId="19300"/>
    <cellStyle name="20% - Accent1 4 3 3 2 2 2" xfId="35521"/>
    <cellStyle name="20% - Accent1 4 3 3 2 3" xfId="28833"/>
    <cellStyle name="20% - Accent1 4 3 3 3" xfId="16538"/>
    <cellStyle name="20% - Accent1 4 3 3 3 2" xfId="32759"/>
    <cellStyle name="20% - Accent1 4 3 3 4" xfId="17543"/>
    <cellStyle name="20% - Accent1 4 3 3 4 2" xfId="33764"/>
    <cellStyle name="20% - Accent1 4 3 3 5" xfId="27722"/>
    <cellStyle name="20% - Accent1 4 3 4" xfId="9676"/>
    <cellStyle name="20% - Accent1 4 3 4 2" xfId="19297"/>
    <cellStyle name="20% - Accent1 4 3 4 2 2" xfId="35518"/>
    <cellStyle name="20% - Accent1 4 3 4 3" xfId="28830"/>
    <cellStyle name="20% - Accent1 4 3 5" xfId="14953"/>
    <cellStyle name="20% - Accent1 4 3 5 2" xfId="31175"/>
    <cellStyle name="20% - Accent1 4 3 6" xfId="17540"/>
    <cellStyle name="20% - Accent1 4 3 6 2" xfId="33761"/>
    <cellStyle name="20% - Accent1 4 3 7" xfId="27725"/>
    <cellStyle name="20% - Accent1 4 3 8" xfId="39120"/>
    <cellStyle name="20% - Accent1 4 4" xfId="6416"/>
    <cellStyle name="20% - Accent1 4 4 2" xfId="6415"/>
    <cellStyle name="20% - Accent1 4 4 2 2" xfId="9681"/>
    <cellStyle name="20% - Accent1 4 4 2 2 2" xfId="19302"/>
    <cellStyle name="20% - Accent1 4 4 2 2 2 2" xfId="35523"/>
    <cellStyle name="20% - Accent1 4 4 2 2 3" xfId="28835"/>
    <cellStyle name="20% - Accent1 4 4 2 3" xfId="16802"/>
    <cellStyle name="20% - Accent1 4 4 2 3 2" xfId="33023"/>
    <cellStyle name="20% - Accent1 4 4 2 4" xfId="17545"/>
    <cellStyle name="20% - Accent1 4 4 2 4 2" xfId="33766"/>
    <cellStyle name="20% - Accent1 4 4 2 5" xfId="27720"/>
    <cellStyle name="20% - Accent1 4 4 3" xfId="9680"/>
    <cellStyle name="20% - Accent1 4 4 3 2" xfId="19301"/>
    <cellStyle name="20% - Accent1 4 4 3 2 2" xfId="35522"/>
    <cellStyle name="20% - Accent1 4 4 3 3" xfId="28834"/>
    <cellStyle name="20% - Accent1 4 4 4" xfId="15217"/>
    <cellStyle name="20% - Accent1 4 4 4 2" xfId="31439"/>
    <cellStyle name="20% - Accent1 4 4 5" xfId="17544"/>
    <cellStyle name="20% - Accent1 4 4 5 2" xfId="33765"/>
    <cellStyle name="20% - Accent1 4 4 6" xfId="27721"/>
    <cellStyle name="20% - Accent1 4 4 7" xfId="39268"/>
    <cellStyle name="20% - Accent1 4 5" xfId="6414"/>
    <cellStyle name="20% - Accent1 4 5 2" xfId="9682"/>
    <cellStyle name="20% - Accent1 4 5 2 2" xfId="19303"/>
    <cellStyle name="20% - Accent1 4 5 2 2 2" xfId="35524"/>
    <cellStyle name="20% - Accent1 4 5 2 3" xfId="28836"/>
    <cellStyle name="20% - Accent1 4 5 3" xfId="16010"/>
    <cellStyle name="20% - Accent1 4 5 3 2" xfId="32231"/>
    <cellStyle name="20% - Accent1 4 5 4" xfId="17546"/>
    <cellStyle name="20% - Accent1 4 5 4 2" xfId="33767"/>
    <cellStyle name="20% - Accent1 4 5 5" xfId="27719"/>
    <cellStyle name="20% - Accent1 4 5 6" xfId="39417"/>
    <cellStyle name="20% - Accent1 4 6" xfId="9671"/>
    <cellStyle name="20% - Accent1 4 6 2" xfId="19292"/>
    <cellStyle name="20% - Accent1 4 6 2 2" xfId="35513"/>
    <cellStyle name="20% - Accent1 4 6 3" xfId="28825"/>
    <cellStyle name="20% - Accent1 4 7" xfId="14425"/>
    <cellStyle name="20% - Accent1 4 7 2" xfId="30647"/>
    <cellStyle name="20% - Accent1 4 8" xfId="17535"/>
    <cellStyle name="20% - Accent1 4 8 2" xfId="33756"/>
    <cellStyle name="20% - Accent1 4 9" xfId="27730"/>
    <cellStyle name="20% - Accent1 5" xfId="6413"/>
    <cellStyle name="20% - Accent1 5 2" xfId="6412"/>
    <cellStyle name="20% - Accent1 5 2 2" xfId="6411"/>
    <cellStyle name="20% - Accent1 5 2 2 2" xfId="9685"/>
    <cellStyle name="20% - Accent1 5 2 2 2 2" xfId="19306"/>
    <cellStyle name="20% - Accent1 5 2 2 2 2 2" xfId="35527"/>
    <cellStyle name="20% - Accent1 5 2 2 2 3" xfId="28839"/>
    <cellStyle name="20% - Accent1 5 2 2 3" xfId="16934"/>
    <cellStyle name="20% - Accent1 5 2 2 3 2" xfId="33155"/>
    <cellStyle name="20% - Accent1 5 2 2 4" xfId="17549"/>
    <cellStyle name="20% - Accent1 5 2 2 4 2" xfId="33770"/>
    <cellStyle name="20% - Accent1 5 2 2 5" xfId="27716"/>
    <cellStyle name="20% - Accent1 5 2 3" xfId="9684"/>
    <cellStyle name="20% - Accent1 5 2 3 2" xfId="19305"/>
    <cellStyle name="20% - Accent1 5 2 3 2 2" xfId="35526"/>
    <cellStyle name="20% - Accent1 5 2 3 3" xfId="28838"/>
    <cellStyle name="20% - Accent1 5 2 4" xfId="15349"/>
    <cellStyle name="20% - Accent1 5 2 4 2" xfId="31571"/>
    <cellStyle name="20% - Accent1 5 2 5" xfId="17548"/>
    <cellStyle name="20% - Accent1 5 2 5 2" xfId="33769"/>
    <cellStyle name="20% - Accent1 5 2 6" xfId="27717"/>
    <cellStyle name="20% - Accent1 5 2 7" xfId="39132"/>
    <cellStyle name="20% - Accent1 5 3" xfId="5737"/>
    <cellStyle name="20% - Accent1 5 3 2" xfId="9686"/>
    <cellStyle name="20% - Accent1 5 3 2 2" xfId="19307"/>
    <cellStyle name="20% - Accent1 5 3 2 2 2" xfId="35528"/>
    <cellStyle name="20% - Accent1 5 3 2 3" xfId="28840"/>
    <cellStyle name="20% - Accent1 5 3 3" xfId="16142"/>
    <cellStyle name="20% - Accent1 5 3 3 2" xfId="32363"/>
    <cellStyle name="20% - Accent1 5 3 4" xfId="17550"/>
    <cellStyle name="20% - Accent1 5 3 4 2" xfId="33771"/>
    <cellStyle name="20% - Accent1 5 3 5" xfId="27043"/>
    <cellStyle name="20% - Accent1 5 3 6" xfId="39280"/>
    <cellStyle name="20% - Accent1 5 4" xfId="9683"/>
    <cellStyle name="20% - Accent1 5 4 2" xfId="19304"/>
    <cellStyle name="20% - Accent1 5 4 2 2" xfId="35525"/>
    <cellStyle name="20% - Accent1 5 4 3" xfId="28837"/>
    <cellStyle name="20% - Accent1 5 4 4" xfId="39429"/>
    <cellStyle name="20% - Accent1 5 5" xfId="14557"/>
    <cellStyle name="20% - Accent1 5 5 2" xfId="30779"/>
    <cellStyle name="20% - Accent1 5 6" xfId="17547"/>
    <cellStyle name="20% - Accent1 5 6 2" xfId="33768"/>
    <cellStyle name="20% - Accent1 5 7" xfId="27718"/>
    <cellStyle name="20% - Accent1 5 8" xfId="38998"/>
    <cellStyle name="20% - Accent1 6" xfId="6410"/>
    <cellStyle name="20% - Accent1 6 2" xfId="6409"/>
    <cellStyle name="20% - Accent1 6 2 2" xfId="6408"/>
    <cellStyle name="20% - Accent1 6 2 2 2" xfId="9689"/>
    <cellStyle name="20% - Accent1 6 2 2 2 2" xfId="19310"/>
    <cellStyle name="20% - Accent1 6 2 2 2 2 2" xfId="35531"/>
    <cellStyle name="20% - Accent1 6 2 2 2 3" xfId="28843"/>
    <cellStyle name="20% - Accent1 6 2 2 3" xfId="17198"/>
    <cellStyle name="20% - Accent1 6 2 2 3 2" xfId="33419"/>
    <cellStyle name="20% - Accent1 6 2 2 4" xfId="17553"/>
    <cellStyle name="20% - Accent1 6 2 2 4 2" xfId="33774"/>
    <cellStyle name="20% - Accent1 6 2 2 5" xfId="27713"/>
    <cellStyle name="20% - Accent1 6 2 3" xfId="9688"/>
    <cellStyle name="20% - Accent1 6 2 3 2" xfId="19309"/>
    <cellStyle name="20% - Accent1 6 2 3 2 2" xfId="35530"/>
    <cellStyle name="20% - Accent1 6 2 3 3" xfId="28842"/>
    <cellStyle name="20% - Accent1 6 2 4" xfId="15613"/>
    <cellStyle name="20% - Accent1 6 2 4 2" xfId="31835"/>
    <cellStyle name="20% - Accent1 6 2 5" xfId="17552"/>
    <cellStyle name="20% - Accent1 6 2 5 2" xfId="33773"/>
    <cellStyle name="20% - Accent1 6 2 6" xfId="27714"/>
    <cellStyle name="20% - Accent1 6 3" xfId="6407"/>
    <cellStyle name="20% - Accent1 6 3 2" xfId="9690"/>
    <cellStyle name="20% - Accent1 6 3 2 2" xfId="19311"/>
    <cellStyle name="20% - Accent1 6 3 2 2 2" xfId="35532"/>
    <cellStyle name="20% - Accent1 6 3 2 3" xfId="28844"/>
    <cellStyle name="20% - Accent1 6 3 3" xfId="16406"/>
    <cellStyle name="20% - Accent1 6 3 3 2" xfId="32627"/>
    <cellStyle name="20% - Accent1 6 3 4" xfId="17554"/>
    <cellStyle name="20% - Accent1 6 3 4 2" xfId="33775"/>
    <cellStyle name="20% - Accent1 6 3 5" xfId="27712"/>
    <cellStyle name="20% - Accent1 6 4" xfId="9687"/>
    <cellStyle name="20% - Accent1 6 4 2" xfId="19308"/>
    <cellStyle name="20% - Accent1 6 4 2 2" xfId="35529"/>
    <cellStyle name="20% - Accent1 6 4 3" xfId="28841"/>
    <cellStyle name="20% - Accent1 6 5" xfId="14821"/>
    <cellStyle name="20% - Accent1 6 5 2" xfId="31043"/>
    <cellStyle name="20% - Accent1 6 6" xfId="17551"/>
    <cellStyle name="20% - Accent1 6 6 2" xfId="33772"/>
    <cellStyle name="20% - Accent1 6 7" xfId="27715"/>
    <cellStyle name="20% - Accent1 6 8" xfId="39076"/>
    <cellStyle name="20% - Accent1 7" xfId="6406"/>
    <cellStyle name="20% - Accent1 7 2" xfId="6405"/>
    <cellStyle name="20% - Accent1 7 2 2" xfId="9692"/>
    <cellStyle name="20% - Accent1 7 2 2 2" xfId="19313"/>
    <cellStyle name="20% - Accent1 7 2 2 2 2" xfId="35534"/>
    <cellStyle name="20% - Accent1 7 2 2 3" xfId="28846"/>
    <cellStyle name="20% - Accent1 7 2 3" xfId="16670"/>
    <cellStyle name="20% - Accent1 7 2 3 2" xfId="32891"/>
    <cellStyle name="20% - Accent1 7 2 4" xfId="17556"/>
    <cellStyle name="20% - Accent1 7 2 4 2" xfId="33777"/>
    <cellStyle name="20% - Accent1 7 2 5" xfId="27710"/>
    <cellStyle name="20% - Accent1 7 3" xfId="9691"/>
    <cellStyle name="20% - Accent1 7 3 2" xfId="19312"/>
    <cellStyle name="20% - Accent1 7 3 2 2" xfId="35533"/>
    <cellStyle name="20% - Accent1 7 3 3" xfId="28845"/>
    <cellStyle name="20% - Accent1 7 4" xfId="15085"/>
    <cellStyle name="20% - Accent1 7 4 2" xfId="31307"/>
    <cellStyle name="20% - Accent1 7 5" xfId="17555"/>
    <cellStyle name="20% - Accent1 7 5 2" xfId="33776"/>
    <cellStyle name="20% - Accent1 7 6" xfId="27711"/>
    <cellStyle name="20% - Accent1 7 7" xfId="39224"/>
    <cellStyle name="20% - Accent1 8" xfId="6404"/>
    <cellStyle name="20% - Accent1 8 2" xfId="9693"/>
    <cellStyle name="20% - Accent1 8 2 2" xfId="19314"/>
    <cellStyle name="20% - Accent1 8 2 2 2" xfId="35535"/>
    <cellStyle name="20% - Accent1 8 2 3" xfId="28847"/>
    <cellStyle name="20% - Accent1 8 3" xfId="15878"/>
    <cellStyle name="20% - Accent1 8 3 2" xfId="32099"/>
    <cellStyle name="20% - Accent1 8 4" xfId="17557"/>
    <cellStyle name="20% - Accent1 8 4 2" xfId="33778"/>
    <cellStyle name="20% - Accent1 8 5" xfId="27709"/>
    <cellStyle name="20% - Accent1 8 6" xfId="39373"/>
    <cellStyle name="20% - Accent1 9" xfId="9598"/>
    <cellStyle name="20% - Accent1 9 2" xfId="19219"/>
    <cellStyle name="20% - Accent1 9 2 2" xfId="35440"/>
    <cellStyle name="20% - Accent1 9 3" xfId="28752"/>
    <cellStyle name="20% - Accent2" xfId="37" builtinId="34" customBuiltin="1"/>
    <cellStyle name="20% - Accent2 10" xfId="14242"/>
    <cellStyle name="20% - Accent2 10 2" xfId="30526"/>
    <cellStyle name="20% - Accent2 11" xfId="17558"/>
    <cellStyle name="20% - Accent2 11 2" xfId="33779"/>
    <cellStyle name="20% - Accent2 12" xfId="26985"/>
    <cellStyle name="20% - Accent2 13" xfId="38904"/>
    <cellStyle name="20% - Accent2 14" xfId="4834"/>
    <cellStyle name="20% - Accent2 2" xfId="4867"/>
    <cellStyle name="20% - Accent2 2 10" xfId="17559"/>
    <cellStyle name="20% - Accent2 2 10 2" xfId="33780"/>
    <cellStyle name="20% - Accent2 2 11" xfId="27003"/>
    <cellStyle name="20% - Accent2 2 12" xfId="38769"/>
    <cellStyle name="20% - Accent2 2 2" xfId="6403"/>
    <cellStyle name="20% - Accent2 2 2 10" xfId="27708"/>
    <cellStyle name="20% - Accent2 2 2 11" xfId="38962"/>
    <cellStyle name="20% - Accent2 2 2 2" xfId="5734"/>
    <cellStyle name="20% - Accent2 2 2 2 10" xfId="39152"/>
    <cellStyle name="20% - Accent2 2 2 2 2" xfId="6402"/>
    <cellStyle name="20% - Accent2 2 2 2 2 2" xfId="6401"/>
    <cellStyle name="20% - Accent2 2 2 2 2 2 2" xfId="6400"/>
    <cellStyle name="20% - Accent2 2 2 2 2 2 2 2" xfId="9700"/>
    <cellStyle name="20% - Accent2 2 2 2 2 2 2 2 2" xfId="19321"/>
    <cellStyle name="20% - Accent2 2 2 2 2 2 2 2 2 2" xfId="35542"/>
    <cellStyle name="20% - Accent2 2 2 2 2 2 2 2 3" xfId="28854"/>
    <cellStyle name="20% - Accent2 2 2 2 2 2 2 3" xfId="17166"/>
    <cellStyle name="20% - Accent2 2 2 2 2 2 2 3 2" xfId="33387"/>
    <cellStyle name="20% - Accent2 2 2 2 2 2 2 4" xfId="17564"/>
    <cellStyle name="20% - Accent2 2 2 2 2 2 2 4 2" xfId="33785"/>
    <cellStyle name="20% - Accent2 2 2 2 2 2 2 5" xfId="27705"/>
    <cellStyle name="20% - Accent2 2 2 2 2 2 3" xfId="9699"/>
    <cellStyle name="20% - Accent2 2 2 2 2 2 3 2" xfId="19320"/>
    <cellStyle name="20% - Accent2 2 2 2 2 2 3 2 2" xfId="35541"/>
    <cellStyle name="20% - Accent2 2 2 2 2 2 3 3" xfId="28853"/>
    <cellStyle name="20% - Accent2 2 2 2 2 2 4" xfId="15581"/>
    <cellStyle name="20% - Accent2 2 2 2 2 2 4 2" xfId="31803"/>
    <cellStyle name="20% - Accent2 2 2 2 2 2 5" xfId="17563"/>
    <cellStyle name="20% - Accent2 2 2 2 2 2 5 2" xfId="33784"/>
    <cellStyle name="20% - Accent2 2 2 2 2 2 6" xfId="27706"/>
    <cellStyle name="20% - Accent2 2 2 2 2 3" xfId="5724"/>
    <cellStyle name="20% - Accent2 2 2 2 2 3 2" xfId="9701"/>
    <cellStyle name="20% - Accent2 2 2 2 2 3 2 2" xfId="19322"/>
    <cellStyle name="20% - Accent2 2 2 2 2 3 2 2 2" xfId="35543"/>
    <cellStyle name="20% - Accent2 2 2 2 2 3 2 3" xfId="28855"/>
    <cellStyle name="20% - Accent2 2 2 2 2 3 3" xfId="16374"/>
    <cellStyle name="20% - Accent2 2 2 2 2 3 3 2" xfId="32595"/>
    <cellStyle name="20% - Accent2 2 2 2 2 3 4" xfId="17565"/>
    <cellStyle name="20% - Accent2 2 2 2 2 3 4 2" xfId="33786"/>
    <cellStyle name="20% - Accent2 2 2 2 2 3 5" xfId="27030"/>
    <cellStyle name="20% - Accent2 2 2 2 2 4" xfId="9698"/>
    <cellStyle name="20% - Accent2 2 2 2 2 4 2" xfId="19319"/>
    <cellStyle name="20% - Accent2 2 2 2 2 4 2 2" xfId="35540"/>
    <cellStyle name="20% - Accent2 2 2 2 2 4 3" xfId="28852"/>
    <cellStyle name="20% - Accent2 2 2 2 2 5" xfId="14789"/>
    <cellStyle name="20% - Accent2 2 2 2 2 5 2" xfId="31011"/>
    <cellStyle name="20% - Accent2 2 2 2 2 6" xfId="17562"/>
    <cellStyle name="20% - Accent2 2 2 2 2 6 2" xfId="33783"/>
    <cellStyle name="20% - Accent2 2 2 2 2 7" xfId="27707"/>
    <cellStyle name="20% - Accent2 2 2 2 3" xfId="6399"/>
    <cellStyle name="20% - Accent2 2 2 2 3 2" xfId="6398"/>
    <cellStyle name="20% - Accent2 2 2 2 3 2 2" xfId="6397"/>
    <cellStyle name="20% - Accent2 2 2 2 3 2 2 2" xfId="9704"/>
    <cellStyle name="20% - Accent2 2 2 2 3 2 2 2 2" xfId="19325"/>
    <cellStyle name="20% - Accent2 2 2 2 3 2 2 2 2 2" xfId="35546"/>
    <cellStyle name="20% - Accent2 2 2 2 3 2 2 2 3" xfId="28858"/>
    <cellStyle name="20% - Accent2 2 2 2 3 2 2 3" xfId="17430"/>
    <cellStyle name="20% - Accent2 2 2 2 3 2 2 3 2" xfId="33651"/>
    <cellStyle name="20% - Accent2 2 2 2 3 2 2 4" xfId="17568"/>
    <cellStyle name="20% - Accent2 2 2 2 3 2 2 4 2" xfId="33789"/>
    <cellStyle name="20% - Accent2 2 2 2 3 2 2 5" xfId="27702"/>
    <cellStyle name="20% - Accent2 2 2 2 3 2 3" xfId="9703"/>
    <cellStyle name="20% - Accent2 2 2 2 3 2 3 2" xfId="19324"/>
    <cellStyle name="20% - Accent2 2 2 2 3 2 3 2 2" xfId="35545"/>
    <cellStyle name="20% - Accent2 2 2 2 3 2 3 3" xfId="28857"/>
    <cellStyle name="20% - Accent2 2 2 2 3 2 4" xfId="15845"/>
    <cellStyle name="20% - Accent2 2 2 2 3 2 4 2" xfId="32067"/>
    <cellStyle name="20% - Accent2 2 2 2 3 2 5" xfId="17567"/>
    <cellStyle name="20% - Accent2 2 2 2 3 2 5 2" xfId="33788"/>
    <cellStyle name="20% - Accent2 2 2 2 3 2 6" xfId="27703"/>
    <cellStyle name="20% - Accent2 2 2 2 3 3" xfId="6396"/>
    <cellStyle name="20% - Accent2 2 2 2 3 3 2" xfId="9705"/>
    <cellStyle name="20% - Accent2 2 2 2 3 3 2 2" xfId="19326"/>
    <cellStyle name="20% - Accent2 2 2 2 3 3 2 2 2" xfId="35547"/>
    <cellStyle name="20% - Accent2 2 2 2 3 3 2 3" xfId="28859"/>
    <cellStyle name="20% - Accent2 2 2 2 3 3 3" xfId="16638"/>
    <cellStyle name="20% - Accent2 2 2 2 3 3 3 2" xfId="32859"/>
    <cellStyle name="20% - Accent2 2 2 2 3 3 4" xfId="17569"/>
    <cellStyle name="20% - Accent2 2 2 2 3 3 4 2" xfId="33790"/>
    <cellStyle name="20% - Accent2 2 2 2 3 3 5" xfId="27701"/>
    <cellStyle name="20% - Accent2 2 2 2 3 4" xfId="9702"/>
    <cellStyle name="20% - Accent2 2 2 2 3 4 2" xfId="19323"/>
    <cellStyle name="20% - Accent2 2 2 2 3 4 2 2" xfId="35544"/>
    <cellStyle name="20% - Accent2 2 2 2 3 4 3" xfId="28856"/>
    <cellStyle name="20% - Accent2 2 2 2 3 5" xfId="15053"/>
    <cellStyle name="20% - Accent2 2 2 2 3 5 2" xfId="31275"/>
    <cellStyle name="20% - Accent2 2 2 2 3 6" xfId="17566"/>
    <cellStyle name="20% - Accent2 2 2 2 3 6 2" xfId="33787"/>
    <cellStyle name="20% - Accent2 2 2 2 3 7" xfId="27704"/>
    <cellStyle name="20% - Accent2 2 2 2 4" xfId="6395"/>
    <cellStyle name="20% - Accent2 2 2 2 4 2" xfId="6394"/>
    <cellStyle name="20% - Accent2 2 2 2 4 2 2" xfId="9707"/>
    <cellStyle name="20% - Accent2 2 2 2 4 2 2 2" xfId="19328"/>
    <cellStyle name="20% - Accent2 2 2 2 4 2 2 2 2" xfId="35549"/>
    <cellStyle name="20% - Accent2 2 2 2 4 2 2 3" xfId="28861"/>
    <cellStyle name="20% - Accent2 2 2 2 4 2 3" xfId="16902"/>
    <cellStyle name="20% - Accent2 2 2 2 4 2 3 2" xfId="33123"/>
    <cellStyle name="20% - Accent2 2 2 2 4 2 4" xfId="17571"/>
    <cellStyle name="20% - Accent2 2 2 2 4 2 4 2" xfId="33792"/>
    <cellStyle name="20% - Accent2 2 2 2 4 2 5" xfId="27699"/>
    <cellStyle name="20% - Accent2 2 2 2 4 3" xfId="9706"/>
    <cellStyle name="20% - Accent2 2 2 2 4 3 2" xfId="19327"/>
    <cellStyle name="20% - Accent2 2 2 2 4 3 2 2" xfId="35548"/>
    <cellStyle name="20% - Accent2 2 2 2 4 3 3" xfId="28860"/>
    <cellStyle name="20% - Accent2 2 2 2 4 4" xfId="15317"/>
    <cellStyle name="20% - Accent2 2 2 2 4 4 2" xfId="31539"/>
    <cellStyle name="20% - Accent2 2 2 2 4 5" xfId="17570"/>
    <cellStyle name="20% - Accent2 2 2 2 4 5 2" xfId="33791"/>
    <cellStyle name="20% - Accent2 2 2 2 4 6" xfId="27700"/>
    <cellStyle name="20% - Accent2 2 2 2 5" xfId="6393"/>
    <cellStyle name="20% - Accent2 2 2 2 5 2" xfId="9708"/>
    <cellStyle name="20% - Accent2 2 2 2 5 2 2" xfId="19329"/>
    <cellStyle name="20% - Accent2 2 2 2 5 2 2 2" xfId="35550"/>
    <cellStyle name="20% - Accent2 2 2 2 5 2 3" xfId="28862"/>
    <cellStyle name="20% - Accent2 2 2 2 5 3" xfId="16110"/>
    <cellStyle name="20% - Accent2 2 2 2 5 3 2" xfId="32331"/>
    <cellStyle name="20% - Accent2 2 2 2 5 4" xfId="17572"/>
    <cellStyle name="20% - Accent2 2 2 2 5 4 2" xfId="33793"/>
    <cellStyle name="20% - Accent2 2 2 2 5 5" xfId="27698"/>
    <cellStyle name="20% - Accent2 2 2 2 6" xfId="9697"/>
    <cellStyle name="20% - Accent2 2 2 2 6 2" xfId="19318"/>
    <cellStyle name="20% - Accent2 2 2 2 6 2 2" xfId="35539"/>
    <cellStyle name="20% - Accent2 2 2 2 6 3" xfId="28851"/>
    <cellStyle name="20% - Accent2 2 2 2 7" xfId="14525"/>
    <cellStyle name="20% - Accent2 2 2 2 7 2" xfId="30747"/>
    <cellStyle name="20% - Accent2 2 2 2 8" xfId="17561"/>
    <cellStyle name="20% - Accent2 2 2 2 8 2" xfId="33782"/>
    <cellStyle name="20% - Accent2 2 2 2 9" xfId="27040"/>
    <cellStyle name="20% - Accent2 2 2 3" xfId="6392"/>
    <cellStyle name="20% - Accent2 2 2 3 2" xfId="6391"/>
    <cellStyle name="20% - Accent2 2 2 3 2 2" xfId="5717"/>
    <cellStyle name="20% - Accent2 2 2 3 2 2 2" xfId="9711"/>
    <cellStyle name="20% - Accent2 2 2 3 2 2 2 2" xfId="19332"/>
    <cellStyle name="20% - Accent2 2 2 3 2 2 2 2 2" xfId="35553"/>
    <cellStyle name="20% - Accent2 2 2 3 2 2 2 3" xfId="28865"/>
    <cellStyle name="20% - Accent2 2 2 3 2 2 3" xfId="17034"/>
    <cellStyle name="20% - Accent2 2 2 3 2 2 3 2" xfId="33255"/>
    <cellStyle name="20% - Accent2 2 2 3 2 2 4" xfId="17575"/>
    <cellStyle name="20% - Accent2 2 2 3 2 2 4 2" xfId="33796"/>
    <cellStyle name="20% - Accent2 2 2 3 2 2 5" xfId="27023"/>
    <cellStyle name="20% - Accent2 2 2 3 2 3" xfId="9710"/>
    <cellStyle name="20% - Accent2 2 2 3 2 3 2" xfId="19331"/>
    <cellStyle name="20% - Accent2 2 2 3 2 3 2 2" xfId="35552"/>
    <cellStyle name="20% - Accent2 2 2 3 2 3 3" xfId="28864"/>
    <cellStyle name="20% - Accent2 2 2 3 2 4" xfId="15449"/>
    <cellStyle name="20% - Accent2 2 2 3 2 4 2" xfId="31671"/>
    <cellStyle name="20% - Accent2 2 2 3 2 5" xfId="17574"/>
    <cellStyle name="20% - Accent2 2 2 3 2 5 2" xfId="33795"/>
    <cellStyle name="20% - Accent2 2 2 3 2 6" xfId="27696"/>
    <cellStyle name="20% - Accent2 2 2 3 3" xfId="6390"/>
    <cellStyle name="20% - Accent2 2 2 3 3 2" xfId="9712"/>
    <cellStyle name="20% - Accent2 2 2 3 3 2 2" xfId="19333"/>
    <cellStyle name="20% - Accent2 2 2 3 3 2 2 2" xfId="35554"/>
    <cellStyle name="20% - Accent2 2 2 3 3 2 3" xfId="28866"/>
    <cellStyle name="20% - Accent2 2 2 3 3 3" xfId="16242"/>
    <cellStyle name="20% - Accent2 2 2 3 3 3 2" xfId="32463"/>
    <cellStyle name="20% - Accent2 2 2 3 3 4" xfId="17576"/>
    <cellStyle name="20% - Accent2 2 2 3 3 4 2" xfId="33797"/>
    <cellStyle name="20% - Accent2 2 2 3 3 5" xfId="27695"/>
    <cellStyle name="20% - Accent2 2 2 3 4" xfId="9709"/>
    <cellStyle name="20% - Accent2 2 2 3 4 2" xfId="19330"/>
    <cellStyle name="20% - Accent2 2 2 3 4 2 2" xfId="35551"/>
    <cellStyle name="20% - Accent2 2 2 3 4 3" xfId="28863"/>
    <cellStyle name="20% - Accent2 2 2 3 5" xfId="14657"/>
    <cellStyle name="20% - Accent2 2 2 3 5 2" xfId="30879"/>
    <cellStyle name="20% - Accent2 2 2 3 6" xfId="17573"/>
    <cellStyle name="20% - Accent2 2 2 3 6 2" xfId="33794"/>
    <cellStyle name="20% - Accent2 2 2 3 7" xfId="27697"/>
    <cellStyle name="20% - Accent2 2 2 3 8" xfId="39300"/>
    <cellStyle name="20% - Accent2 2 2 4" xfId="6389"/>
    <cellStyle name="20% - Accent2 2 2 4 2" xfId="6388"/>
    <cellStyle name="20% - Accent2 2 2 4 2 2" xfId="6387"/>
    <cellStyle name="20% - Accent2 2 2 4 2 2 2" xfId="9715"/>
    <cellStyle name="20% - Accent2 2 2 4 2 2 2 2" xfId="19336"/>
    <cellStyle name="20% - Accent2 2 2 4 2 2 2 2 2" xfId="35557"/>
    <cellStyle name="20% - Accent2 2 2 4 2 2 2 3" xfId="28869"/>
    <cellStyle name="20% - Accent2 2 2 4 2 2 3" xfId="17298"/>
    <cellStyle name="20% - Accent2 2 2 4 2 2 3 2" xfId="33519"/>
    <cellStyle name="20% - Accent2 2 2 4 2 2 4" xfId="17579"/>
    <cellStyle name="20% - Accent2 2 2 4 2 2 4 2" xfId="33800"/>
    <cellStyle name="20% - Accent2 2 2 4 2 2 5" xfId="27692"/>
    <cellStyle name="20% - Accent2 2 2 4 2 3" xfId="9714"/>
    <cellStyle name="20% - Accent2 2 2 4 2 3 2" xfId="19335"/>
    <cellStyle name="20% - Accent2 2 2 4 2 3 2 2" xfId="35556"/>
    <cellStyle name="20% - Accent2 2 2 4 2 3 3" xfId="28868"/>
    <cellStyle name="20% - Accent2 2 2 4 2 4" xfId="15713"/>
    <cellStyle name="20% - Accent2 2 2 4 2 4 2" xfId="31935"/>
    <cellStyle name="20% - Accent2 2 2 4 2 5" xfId="17578"/>
    <cellStyle name="20% - Accent2 2 2 4 2 5 2" xfId="33799"/>
    <cellStyle name="20% - Accent2 2 2 4 2 6" xfId="27693"/>
    <cellStyle name="20% - Accent2 2 2 4 3" xfId="6386"/>
    <cellStyle name="20% - Accent2 2 2 4 3 2" xfId="9716"/>
    <cellStyle name="20% - Accent2 2 2 4 3 2 2" xfId="19337"/>
    <cellStyle name="20% - Accent2 2 2 4 3 2 2 2" xfId="35558"/>
    <cellStyle name="20% - Accent2 2 2 4 3 2 3" xfId="28870"/>
    <cellStyle name="20% - Accent2 2 2 4 3 3" xfId="16506"/>
    <cellStyle name="20% - Accent2 2 2 4 3 3 2" xfId="32727"/>
    <cellStyle name="20% - Accent2 2 2 4 3 4" xfId="17580"/>
    <cellStyle name="20% - Accent2 2 2 4 3 4 2" xfId="33801"/>
    <cellStyle name="20% - Accent2 2 2 4 3 5" xfId="27691"/>
    <cellStyle name="20% - Accent2 2 2 4 4" xfId="9713"/>
    <cellStyle name="20% - Accent2 2 2 4 4 2" xfId="19334"/>
    <cellStyle name="20% - Accent2 2 2 4 4 2 2" xfId="35555"/>
    <cellStyle name="20% - Accent2 2 2 4 4 3" xfId="28867"/>
    <cellStyle name="20% - Accent2 2 2 4 5" xfId="14921"/>
    <cellStyle name="20% - Accent2 2 2 4 5 2" xfId="31143"/>
    <cellStyle name="20% - Accent2 2 2 4 6" xfId="17577"/>
    <cellStyle name="20% - Accent2 2 2 4 6 2" xfId="33798"/>
    <cellStyle name="20% - Accent2 2 2 4 7" xfId="27694"/>
    <cellStyle name="20% - Accent2 2 2 4 8" xfId="39449"/>
    <cellStyle name="20% - Accent2 2 2 5" xfId="6385"/>
    <cellStyle name="20% - Accent2 2 2 5 2" xfId="6384"/>
    <cellStyle name="20% - Accent2 2 2 5 2 2" xfId="9718"/>
    <cellStyle name="20% - Accent2 2 2 5 2 2 2" xfId="19339"/>
    <cellStyle name="20% - Accent2 2 2 5 2 2 2 2" xfId="35560"/>
    <cellStyle name="20% - Accent2 2 2 5 2 2 3" xfId="28872"/>
    <cellStyle name="20% - Accent2 2 2 5 2 3" xfId="16770"/>
    <cellStyle name="20% - Accent2 2 2 5 2 3 2" xfId="32991"/>
    <cellStyle name="20% - Accent2 2 2 5 2 4" xfId="17582"/>
    <cellStyle name="20% - Accent2 2 2 5 2 4 2" xfId="33803"/>
    <cellStyle name="20% - Accent2 2 2 5 2 5" xfId="27689"/>
    <cellStyle name="20% - Accent2 2 2 5 3" xfId="9717"/>
    <cellStyle name="20% - Accent2 2 2 5 3 2" xfId="19338"/>
    <cellStyle name="20% - Accent2 2 2 5 3 2 2" xfId="35559"/>
    <cellStyle name="20% - Accent2 2 2 5 3 3" xfId="28871"/>
    <cellStyle name="20% - Accent2 2 2 5 4" xfId="15185"/>
    <cellStyle name="20% - Accent2 2 2 5 4 2" xfId="31407"/>
    <cellStyle name="20% - Accent2 2 2 5 5" xfId="17581"/>
    <cellStyle name="20% - Accent2 2 2 5 5 2" xfId="33802"/>
    <cellStyle name="20% - Accent2 2 2 5 6" xfId="27690"/>
    <cellStyle name="20% - Accent2 2 2 6" xfId="6383"/>
    <cellStyle name="20% - Accent2 2 2 6 2" xfId="9719"/>
    <cellStyle name="20% - Accent2 2 2 6 2 2" xfId="19340"/>
    <cellStyle name="20% - Accent2 2 2 6 2 2 2" xfId="35561"/>
    <cellStyle name="20% - Accent2 2 2 6 2 3" xfId="28873"/>
    <cellStyle name="20% - Accent2 2 2 6 3" xfId="15978"/>
    <cellStyle name="20% - Accent2 2 2 6 3 2" xfId="32199"/>
    <cellStyle name="20% - Accent2 2 2 6 4" xfId="17583"/>
    <cellStyle name="20% - Accent2 2 2 6 4 2" xfId="33804"/>
    <cellStyle name="20% - Accent2 2 2 6 5" xfId="27688"/>
    <cellStyle name="20% - Accent2 2 2 7" xfId="9696"/>
    <cellStyle name="20% - Accent2 2 2 7 2" xfId="19317"/>
    <cellStyle name="20% - Accent2 2 2 7 2 2" xfId="35538"/>
    <cellStyle name="20% - Accent2 2 2 7 3" xfId="28850"/>
    <cellStyle name="20% - Accent2 2 2 8" xfId="14393"/>
    <cellStyle name="20% - Accent2 2 2 8 2" xfId="30615"/>
    <cellStyle name="20% - Accent2 2 2 9" xfId="17560"/>
    <cellStyle name="20% - Accent2 2 2 9 2" xfId="33781"/>
    <cellStyle name="20% - Accent2 2 3" xfId="6382"/>
    <cellStyle name="20% - Accent2 2 3 10" xfId="39096"/>
    <cellStyle name="20% - Accent2 2 3 2" xfId="6381"/>
    <cellStyle name="20% - Accent2 2 3 2 2" xfId="6380"/>
    <cellStyle name="20% - Accent2 2 3 2 2 2" xfId="6379"/>
    <cellStyle name="20% - Accent2 2 3 2 2 2 2" xfId="9723"/>
    <cellStyle name="20% - Accent2 2 3 2 2 2 2 2" xfId="19344"/>
    <cellStyle name="20% - Accent2 2 3 2 2 2 2 2 2" xfId="35565"/>
    <cellStyle name="20% - Accent2 2 3 2 2 2 2 3" xfId="28877"/>
    <cellStyle name="20% - Accent2 2 3 2 2 2 3" xfId="17100"/>
    <cellStyle name="20% - Accent2 2 3 2 2 2 3 2" xfId="33321"/>
    <cellStyle name="20% - Accent2 2 3 2 2 2 4" xfId="17587"/>
    <cellStyle name="20% - Accent2 2 3 2 2 2 4 2" xfId="33808"/>
    <cellStyle name="20% - Accent2 2 3 2 2 2 5" xfId="27684"/>
    <cellStyle name="20% - Accent2 2 3 2 2 3" xfId="9722"/>
    <cellStyle name="20% - Accent2 2 3 2 2 3 2" xfId="19343"/>
    <cellStyle name="20% - Accent2 2 3 2 2 3 2 2" xfId="35564"/>
    <cellStyle name="20% - Accent2 2 3 2 2 3 3" xfId="28876"/>
    <cellStyle name="20% - Accent2 2 3 2 2 4" xfId="15515"/>
    <cellStyle name="20% - Accent2 2 3 2 2 4 2" xfId="31737"/>
    <cellStyle name="20% - Accent2 2 3 2 2 5" xfId="17586"/>
    <cellStyle name="20% - Accent2 2 3 2 2 5 2" xfId="33807"/>
    <cellStyle name="20% - Accent2 2 3 2 2 6" xfId="27685"/>
    <cellStyle name="20% - Accent2 2 3 2 3" xfId="6378"/>
    <cellStyle name="20% - Accent2 2 3 2 3 2" xfId="9724"/>
    <cellStyle name="20% - Accent2 2 3 2 3 2 2" xfId="19345"/>
    <cellStyle name="20% - Accent2 2 3 2 3 2 2 2" xfId="35566"/>
    <cellStyle name="20% - Accent2 2 3 2 3 2 3" xfId="28878"/>
    <cellStyle name="20% - Accent2 2 3 2 3 3" xfId="16308"/>
    <cellStyle name="20% - Accent2 2 3 2 3 3 2" xfId="32529"/>
    <cellStyle name="20% - Accent2 2 3 2 3 4" xfId="17588"/>
    <cellStyle name="20% - Accent2 2 3 2 3 4 2" xfId="33809"/>
    <cellStyle name="20% - Accent2 2 3 2 3 5" xfId="27683"/>
    <cellStyle name="20% - Accent2 2 3 2 4" xfId="9721"/>
    <cellStyle name="20% - Accent2 2 3 2 4 2" xfId="19342"/>
    <cellStyle name="20% - Accent2 2 3 2 4 2 2" xfId="35563"/>
    <cellStyle name="20% - Accent2 2 3 2 4 3" xfId="28875"/>
    <cellStyle name="20% - Accent2 2 3 2 5" xfId="14723"/>
    <cellStyle name="20% - Accent2 2 3 2 5 2" xfId="30945"/>
    <cellStyle name="20% - Accent2 2 3 2 6" xfId="17585"/>
    <cellStyle name="20% - Accent2 2 3 2 6 2" xfId="33806"/>
    <cellStyle name="20% - Accent2 2 3 2 7" xfId="27686"/>
    <cellStyle name="20% - Accent2 2 3 3" xfId="6377"/>
    <cellStyle name="20% - Accent2 2 3 3 2" xfId="6376"/>
    <cellStyle name="20% - Accent2 2 3 3 2 2" xfId="6375"/>
    <cellStyle name="20% - Accent2 2 3 3 2 2 2" xfId="9727"/>
    <cellStyle name="20% - Accent2 2 3 3 2 2 2 2" xfId="19348"/>
    <cellStyle name="20% - Accent2 2 3 3 2 2 2 2 2" xfId="35569"/>
    <cellStyle name="20% - Accent2 2 3 3 2 2 2 3" xfId="28881"/>
    <cellStyle name="20% - Accent2 2 3 3 2 2 3" xfId="17364"/>
    <cellStyle name="20% - Accent2 2 3 3 2 2 3 2" xfId="33585"/>
    <cellStyle name="20% - Accent2 2 3 3 2 2 4" xfId="17591"/>
    <cellStyle name="20% - Accent2 2 3 3 2 2 4 2" xfId="33812"/>
    <cellStyle name="20% - Accent2 2 3 3 2 2 5" xfId="27680"/>
    <cellStyle name="20% - Accent2 2 3 3 2 3" xfId="9726"/>
    <cellStyle name="20% - Accent2 2 3 3 2 3 2" xfId="19347"/>
    <cellStyle name="20% - Accent2 2 3 3 2 3 2 2" xfId="35568"/>
    <cellStyle name="20% - Accent2 2 3 3 2 3 3" xfId="28880"/>
    <cellStyle name="20% - Accent2 2 3 3 2 4" xfId="15779"/>
    <cellStyle name="20% - Accent2 2 3 3 2 4 2" xfId="32001"/>
    <cellStyle name="20% - Accent2 2 3 3 2 5" xfId="17590"/>
    <cellStyle name="20% - Accent2 2 3 3 2 5 2" xfId="33811"/>
    <cellStyle name="20% - Accent2 2 3 3 2 6" xfId="27681"/>
    <cellStyle name="20% - Accent2 2 3 3 3" xfId="6374"/>
    <cellStyle name="20% - Accent2 2 3 3 3 2" xfId="9728"/>
    <cellStyle name="20% - Accent2 2 3 3 3 2 2" xfId="19349"/>
    <cellStyle name="20% - Accent2 2 3 3 3 2 2 2" xfId="35570"/>
    <cellStyle name="20% - Accent2 2 3 3 3 2 3" xfId="28882"/>
    <cellStyle name="20% - Accent2 2 3 3 3 3" xfId="16572"/>
    <cellStyle name="20% - Accent2 2 3 3 3 3 2" xfId="32793"/>
    <cellStyle name="20% - Accent2 2 3 3 3 4" xfId="17592"/>
    <cellStyle name="20% - Accent2 2 3 3 3 4 2" xfId="33813"/>
    <cellStyle name="20% - Accent2 2 3 3 3 5" xfId="27679"/>
    <cellStyle name="20% - Accent2 2 3 3 4" xfId="9725"/>
    <cellStyle name="20% - Accent2 2 3 3 4 2" xfId="19346"/>
    <cellStyle name="20% - Accent2 2 3 3 4 2 2" xfId="35567"/>
    <cellStyle name="20% - Accent2 2 3 3 4 3" xfId="28879"/>
    <cellStyle name="20% - Accent2 2 3 3 5" xfId="14987"/>
    <cellStyle name="20% - Accent2 2 3 3 5 2" xfId="31209"/>
    <cellStyle name="20% - Accent2 2 3 3 6" xfId="17589"/>
    <cellStyle name="20% - Accent2 2 3 3 6 2" xfId="33810"/>
    <cellStyle name="20% - Accent2 2 3 3 7" xfId="27682"/>
    <cellStyle name="20% - Accent2 2 3 4" xfId="6373"/>
    <cellStyle name="20% - Accent2 2 3 4 2" xfId="5729"/>
    <cellStyle name="20% - Accent2 2 3 4 2 2" xfId="9730"/>
    <cellStyle name="20% - Accent2 2 3 4 2 2 2" xfId="19351"/>
    <cellStyle name="20% - Accent2 2 3 4 2 2 2 2" xfId="35572"/>
    <cellStyle name="20% - Accent2 2 3 4 2 2 3" xfId="28884"/>
    <cellStyle name="20% - Accent2 2 3 4 2 3" xfId="16836"/>
    <cellStyle name="20% - Accent2 2 3 4 2 3 2" xfId="33057"/>
    <cellStyle name="20% - Accent2 2 3 4 2 4" xfId="17594"/>
    <cellStyle name="20% - Accent2 2 3 4 2 4 2" xfId="33815"/>
    <cellStyle name="20% - Accent2 2 3 4 2 5" xfId="27035"/>
    <cellStyle name="20% - Accent2 2 3 4 3" xfId="9729"/>
    <cellStyle name="20% - Accent2 2 3 4 3 2" xfId="19350"/>
    <cellStyle name="20% - Accent2 2 3 4 3 2 2" xfId="35571"/>
    <cellStyle name="20% - Accent2 2 3 4 3 3" xfId="28883"/>
    <cellStyle name="20% - Accent2 2 3 4 4" xfId="15251"/>
    <cellStyle name="20% - Accent2 2 3 4 4 2" xfId="31473"/>
    <cellStyle name="20% - Accent2 2 3 4 5" xfId="17593"/>
    <cellStyle name="20% - Accent2 2 3 4 5 2" xfId="33814"/>
    <cellStyle name="20% - Accent2 2 3 4 6" xfId="27678"/>
    <cellStyle name="20% - Accent2 2 3 5" xfId="5731"/>
    <cellStyle name="20% - Accent2 2 3 5 2" xfId="9731"/>
    <cellStyle name="20% - Accent2 2 3 5 2 2" xfId="19352"/>
    <cellStyle name="20% - Accent2 2 3 5 2 2 2" xfId="35573"/>
    <cellStyle name="20% - Accent2 2 3 5 2 3" xfId="28885"/>
    <cellStyle name="20% - Accent2 2 3 5 3" xfId="16044"/>
    <cellStyle name="20% - Accent2 2 3 5 3 2" xfId="32265"/>
    <cellStyle name="20% - Accent2 2 3 5 4" xfId="17595"/>
    <cellStyle name="20% - Accent2 2 3 5 4 2" xfId="33816"/>
    <cellStyle name="20% - Accent2 2 3 5 5" xfId="27037"/>
    <cellStyle name="20% - Accent2 2 3 6" xfId="9720"/>
    <cellStyle name="20% - Accent2 2 3 6 2" xfId="19341"/>
    <cellStyle name="20% - Accent2 2 3 6 2 2" xfId="35562"/>
    <cellStyle name="20% - Accent2 2 3 6 3" xfId="28874"/>
    <cellStyle name="20% - Accent2 2 3 7" xfId="14459"/>
    <cellStyle name="20% - Accent2 2 3 7 2" xfId="30681"/>
    <cellStyle name="20% - Accent2 2 3 8" xfId="17584"/>
    <cellStyle name="20% - Accent2 2 3 8 2" xfId="33805"/>
    <cellStyle name="20% - Accent2 2 3 9" xfId="27687"/>
    <cellStyle name="20% - Accent2 2 4" xfId="6372"/>
    <cellStyle name="20% - Accent2 2 4 2" xfId="6371"/>
    <cellStyle name="20% - Accent2 2 4 2 2" xfId="6370"/>
    <cellStyle name="20% - Accent2 2 4 2 2 2" xfId="9734"/>
    <cellStyle name="20% - Accent2 2 4 2 2 2 2" xfId="19355"/>
    <cellStyle name="20% - Accent2 2 4 2 2 2 2 2" xfId="35576"/>
    <cellStyle name="20% - Accent2 2 4 2 2 2 3" xfId="28888"/>
    <cellStyle name="20% - Accent2 2 4 2 2 3" xfId="16968"/>
    <cellStyle name="20% - Accent2 2 4 2 2 3 2" xfId="33189"/>
    <cellStyle name="20% - Accent2 2 4 2 2 4" xfId="17598"/>
    <cellStyle name="20% - Accent2 2 4 2 2 4 2" xfId="33819"/>
    <cellStyle name="20% - Accent2 2 4 2 2 5" xfId="27675"/>
    <cellStyle name="20% - Accent2 2 4 2 3" xfId="9733"/>
    <cellStyle name="20% - Accent2 2 4 2 3 2" xfId="19354"/>
    <cellStyle name="20% - Accent2 2 4 2 3 2 2" xfId="35575"/>
    <cellStyle name="20% - Accent2 2 4 2 3 3" xfId="28887"/>
    <cellStyle name="20% - Accent2 2 4 2 4" xfId="15383"/>
    <cellStyle name="20% - Accent2 2 4 2 4 2" xfId="31605"/>
    <cellStyle name="20% - Accent2 2 4 2 5" xfId="17597"/>
    <cellStyle name="20% - Accent2 2 4 2 5 2" xfId="33818"/>
    <cellStyle name="20% - Accent2 2 4 2 6" xfId="27676"/>
    <cellStyle name="20% - Accent2 2 4 3" xfId="6369"/>
    <cellStyle name="20% - Accent2 2 4 3 2" xfId="9735"/>
    <cellStyle name="20% - Accent2 2 4 3 2 2" xfId="19356"/>
    <cellStyle name="20% - Accent2 2 4 3 2 2 2" xfId="35577"/>
    <cellStyle name="20% - Accent2 2 4 3 2 3" xfId="28889"/>
    <cellStyle name="20% - Accent2 2 4 3 3" xfId="16176"/>
    <cellStyle name="20% - Accent2 2 4 3 3 2" xfId="32397"/>
    <cellStyle name="20% - Accent2 2 4 3 4" xfId="17599"/>
    <cellStyle name="20% - Accent2 2 4 3 4 2" xfId="33820"/>
    <cellStyle name="20% - Accent2 2 4 3 5" xfId="27674"/>
    <cellStyle name="20% - Accent2 2 4 4" xfId="9732"/>
    <cellStyle name="20% - Accent2 2 4 4 2" xfId="19353"/>
    <cellStyle name="20% - Accent2 2 4 4 2 2" xfId="35574"/>
    <cellStyle name="20% - Accent2 2 4 4 3" xfId="28886"/>
    <cellStyle name="20% - Accent2 2 4 5" xfId="14591"/>
    <cellStyle name="20% - Accent2 2 4 5 2" xfId="30813"/>
    <cellStyle name="20% - Accent2 2 4 6" xfId="17596"/>
    <cellStyle name="20% - Accent2 2 4 6 2" xfId="33817"/>
    <cellStyle name="20% - Accent2 2 4 7" xfId="27677"/>
    <cellStyle name="20% - Accent2 2 4 8" xfId="39244"/>
    <cellStyle name="20% - Accent2 2 5" xfId="6368"/>
    <cellStyle name="20% - Accent2 2 5 2" xfId="6367"/>
    <cellStyle name="20% - Accent2 2 5 2 2" xfId="6366"/>
    <cellStyle name="20% - Accent2 2 5 2 2 2" xfId="9738"/>
    <cellStyle name="20% - Accent2 2 5 2 2 2 2" xfId="19359"/>
    <cellStyle name="20% - Accent2 2 5 2 2 2 2 2" xfId="35580"/>
    <cellStyle name="20% - Accent2 2 5 2 2 2 3" xfId="28892"/>
    <cellStyle name="20% - Accent2 2 5 2 2 3" xfId="17232"/>
    <cellStyle name="20% - Accent2 2 5 2 2 3 2" xfId="33453"/>
    <cellStyle name="20% - Accent2 2 5 2 2 4" xfId="17602"/>
    <cellStyle name="20% - Accent2 2 5 2 2 4 2" xfId="33823"/>
    <cellStyle name="20% - Accent2 2 5 2 2 5" xfId="27671"/>
    <cellStyle name="20% - Accent2 2 5 2 3" xfId="9737"/>
    <cellStyle name="20% - Accent2 2 5 2 3 2" xfId="19358"/>
    <cellStyle name="20% - Accent2 2 5 2 3 2 2" xfId="35579"/>
    <cellStyle name="20% - Accent2 2 5 2 3 3" xfId="28891"/>
    <cellStyle name="20% - Accent2 2 5 2 4" xfId="15647"/>
    <cellStyle name="20% - Accent2 2 5 2 4 2" xfId="31869"/>
    <cellStyle name="20% - Accent2 2 5 2 5" xfId="17601"/>
    <cellStyle name="20% - Accent2 2 5 2 5 2" xfId="33822"/>
    <cellStyle name="20% - Accent2 2 5 2 6" xfId="27672"/>
    <cellStyle name="20% - Accent2 2 5 3" xfId="6365"/>
    <cellStyle name="20% - Accent2 2 5 3 2" xfId="9739"/>
    <cellStyle name="20% - Accent2 2 5 3 2 2" xfId="19360"/>
    <cellStyle name="20% - Accent2 2 5 3 2 2 2" xfId="35581"/>
    <cellStyle name="20% - Accent2 2 5 3 2 3" xfId="28893"/>
    <cellStyle name="20% - Accent2 2 5 3 3" xfId="16440"/>
    <cellStyle name="20% - Accent2 2 5 3 3 2" xfId="32661"/>
    <cellStyle name="20% - Accent2 2 5 3 4" xfId="17603"/>
    <cellStyle name="20% - Accent2 2 5 3 4 2" xfId="33824"/>
    <cellStyle name="20% - Accent2 2 5 3 5" xfId="27670"/>
    <cellStyle name="20% - Accent2 2 5 4" xfId="9736"/>
    <cellStyle name="20% - Accent2 2 5 4 2" xfId="19357"/>
    <cellStyle name="20% - Accent2 2 5 4 2 2" xfId="35578"/>
    <cellStyle name="20% - Accent2 2 5 4 3" xfId="28890"/>
    <cellStyle name="20% - Accent2 2 5 5" xfId="14855"/>
    <cellStyle name="20% - Accent2 2 5 5 2" xfId="31077"/>
    <cellStyle name="20% - Accent2 2 5 6" xfId="17600"/>
    <cellStyle name="20% - Accent2 2 5 6 2" xfId="33821"/>
    <cellStyle name="20% - Accent2 2 5 7" xfId="27673"/>
    <cellStyle name="20% - Accent2 2 5 8" xfId="39393"/>
    <cellStyle name="20% - Accent2 2 6" xfId="6364"/>
    <cellStyle name="20% - Accent2 2 6 2" xfId="6363"/>
    <cellStyle name="20% - Accent2 2 6 2 2" xfId="9741"/>
    <cellStyle name="20% - Accent2 2 6 2 2 2" xfId="19362"/>
    <cellStyle name="20% - Accent2 2 6 2 2 2 2" xfId="35583"/>
    <cellStyle name="20% - Accent2 2 6 2 2 3" xfId="28895"/>
    <cellStyle name="20% - Accent2 2 6 2 3" xfId="16704"/>
    <cellStyle name="20% - Accent2 2 6 2 3 2" xfId="32925"/>
    <cellStyle name="20% - Accent2 2 6 2 4" xfId="17605"/>
    <cellStyle name="20% - Accent2 2 6 2 4 2" xfId="33826"/>
    <cellStyle name="20% - Accent2 2 6 2 5" xfId="27668"/>
    <cellStyle name="20% - Accent2 2 6 3" xfId="9740"/>
    <cellStyle name="20% - Accent2 2 6 3 2" xfId="19361"/>
    <cellStyle name="20% - Accent2 2 6 3 2 2" xfId="35582"/>
    <cellStyle name="20% - Accent2 2 6 3 3" xfId="28894"/>
    <cellStyle name="20% - Accent2 2 6 4" xfId="15119"/>
    <cellStyle name="20% - Accent2 2 6 4 2" xfId="31341"/>
    <cellStyle name="20% - Accent2 2 6 5" xfId="17604"/>
    <cellStyle name="20% - Accent2 2 6 5 2" xfId="33825"/>
    <cellStyle name="20% - Accent2 2 6 6" xfId="27669"/>
    <cellStyle name="20% - Accent2 2 7" xfId="6362"/>
    <cellStyle name="20% - Accent2 2 7 2" xfId="9742"/>
    <cellStyle name="20% - Accent2 2 7 2 2" xfId="19363"/>
    <cellStyle name="20% - Accent2 2 7 2 2 2" xfId="35584"/>
    <cellStyle name="20% - Accent2 2 7 2 3" xfId="28896"/>
    <cellStyle name="20% - Accent2 2 7 3" xfId="15912"/>
    <cellStyle name="20% - Accent2 2 7 3 2" xfId="32133"/>
    <cellStyle name="20% - Accent2 2 7 4" xfId="17606"/>
    <cellStyle name="20% - Accent2 2 7 4 2" xfId="33827"/>
    <cellStyle name="20% - Accent2 2 7 5" xfId="27667"/>
    <cellStyle name="20% - Accent2 2 8" xfId="9695"/>
    <cellStyle name="20% - Accent2 2 8 2" xfId="19316"/>
    <cellStyle name="20% - Accent2 2 8 2 2" xfId="35537"/>
    <cellStyle name="20% - Accent2 2 8 3" xfId="28849"/>
    <cellStyle name="20% - Accent2 2 9" xfId="14327"/>
    <cellStyle name="20% - Accent2 2 9 2" xfId="30549"/>
    <cellStyle name="20% - Accent2 3" xfId="6361"/>
    <cellStyle name="20% - Accent2 3 10" xfId="27666"/>
    <cellStyle name="20% - Accent2 3 11" xfId="38975"/>
    <cellStyle name="20% - Accent2 3 2" xfId="6360"/>
    <cellStyle name="20% - Accent2 3 2 10" xfId="39017"/>
    <cellStyle name="20% - Accent2 3 2 2" xfId="6359"/>
    <cellStyle name="20% - Accent2 3 2 2 2" xfId="6358"/>
    <cellStyle name="20% - Accent2 3 2 2 2 2" xfId="6357"/>
    <cellStyle name="20% - Accent2 3 2 2 2 2 2" xfId="9747"/>
    <cellStyle name="20% - Accent2 3 2 2 2 2 2 2" xfId="19368"/>
    <cellStyle name="20% - Accent2 3 2 2 2 2 2 2 2" xfId="35589"/>
    <cellStyle name="20% - Accent2 3 2 2 2 2 2 3" xfId="28901"/>
    <cellStyle name="20% - Accent2 3 2 2 2 2 3" xfId="17133"/>
    <cellStyle name="20% - Accent2 3 2 2 2 2 3 2" xfId="33354"/>
    <cellStyle name="20% - Accent2 3 2 2 2 2 4" xfId="17611"/>
    <cellStyle name="20% - Accent2 3 2 2 2 2 4 2" xfId="33832"/>
    <cellStyle name="20% - Accent2 3 2 2 2 2 5" xfId="27662"/>
    <cellStyle name="20% - Accent2 3 2 2 2 3" xfId="9746"/>
    <cellStyle name="20% - Accent2 3 2 2 2 3 2" xfId="19367"/>
    <cellStyle name="20% - Accent2 3 2 2 2 3 2 2" xfId="35588"/>
    <cellStyle name="20% - Accent2 3 2 2 2 3 3" xfId="28900"/>
    <cellStyle name="20% - Accent2 3 2 2 2 4" xfId="15548"/>
    <cellStyle name="20% - Accent2 3 2 2 2 4 2" xfId="31770"/>
    <cellStyle name="20% - Accent2 3 2 2 2 5" xfId="17610"/>
    <cellStyle name="20% - Accent2 3 2 2 2 5 2" xfId="33831"/>
    <cellStyle name="20% - Accent2 3 2 2 2 6" xfId="27663"/>
    <cellStyle name="20% - Accent2 3 2 2 3" xfId="6356"/>
    <cellStyle name="20% - Accent2 3 2 2 3 2" xfId="9748"/>
    <cellStyle name="20% - Accent2 3 2 2 3 2 2" xfId="19369"/>
    <cellStyle name="20% - Accent2 3 2 2 3 2 2 2" xfId="35590"/>
    <cellStyle name="20% - Accent2 3 2 2 3 2 3" xfId="28902"/>
    <cellStyle name="20% - Accent2 3 2 2 3 3" xfId="16341"/>
    <cellStyle name="20% - Accent2 3 2 2 3 3 2" xfId="32562"/>
    <cellStyle name="20% - Accent2 3 2 2 3 4" xfId="17612"/>
    <cellStyle name="20% - Accent2 3 2 2 3 4 2" xfId="33833"/>
    <cellStyle name="20% - Accent2 3 2 2 3 5" xfId="27661"/>
    <cellStyle name="20% - Accent2 3 2 2 4" xfId="9745"/>
    <cellStyle name="20% - Accent2 3 2 2 4 2" xfId="19366"/>
    <cellStyle name="20% - Accent2 3 2 2 4 2 2" xfId="35587"/>
    <cellStyle name="20% - Accent2 3 2 2 4 3" xfId="28899"/>
    <cellStyle name="20% - Accent2 3 2 2 5" xfId="14756"/>
    <cellStyle name="20% - Accent2 3 2 2 5 2" xfId="30978"/>
    <cellStyle name="20% - Accent2 3 2 2 6" xfId="17609"/>
    <cellStyle name="20% - Accent2 3 2 2 6 2" xfId="33830"/>
    <cellStyle name="20% - Accent2 3 2 2 7" xfId="27664"/>
    <cellStyle name="20% - Accent2 3 2 2 8" xfId="39165"/>
    <cellStyle name="20% - Accent2 3 2 3" xfId="6355"/>
    <cellStyle name="20% - Accent2 3 2 3 2" xfId="6354"/>
    <cellStyle name="20% - Accent2 3 2 3 2 2" xfId="6353"/>
    <cellStyle name="20% - Accent2 3 2 3 2 2 2" xfId="9751"/>
    <cellStyle name="20% - Accent2 3 2 3 2 2 2 2" xfId="19372"/>
    <cellStyle name="20% - Accent2 3 2 3 2 2 2 2 2" xfId="35593"/>
    <cellStyle name="20% - Accent2 3 2 3 2 2 2 3" xfId="28905"/>
    <cellStyle name="20% - Accent2 3 2 3 2 2 3" xfId="17397"/>
    <cellStyle name="20% - Accent2 3 2 3 2 2 3 2" xfId="33618"/>
    <cellStyle name="20% - Accent2 3 2 3 2 2 4" xfId="17615"/>
    <cellStyle name="20% - Accent2 3 2 3 2 2 4 2" xfId="33836"/>
    <cellStyle name="20% - Accent2 3 2 3 2 2 5" xfId="27658"/>
    <cellStyle name="20% - Accent2 3 2 3 2 3" xfId="9750"/>
    <cellStyle name="20% - Accent2 3 2 3 2 3 2" xfId="19371"/>
    <cellStyle name="20% - Accent2 3 2 3 2 3 2 2" xfId="35592"/>
    <cellStyle name="20% - Accent2 3 2 3 2 3 3" xfId="28904"/>
    <cellStyle name="20% - Accent2 3 2 3 2 4" xfId="15812"/>
    <cellStyle name="20% - Accent2 3 2 3 2 4 2" xfId="32034"/>
    <cellStyle name="20% - Accent2 3 2 3 2 5" xfId="17614"/>
    <cellStyle name="20% - Accent2 3 2 3 2 5 2" xfId="33835"/>
    <cellStyle name="20% - Accent2 3 2 3 2 6" xfId="27659"/>
    <cellStyle name="20% - Accent2 3 2 3 3" xfId="6352"/>
    <cellStyle name="20% - Accent2 3 2 3 3 2" xfId="9752"/>
    <cellStyle name="20% - Accent2 3 2 3 3 2 2" xfId="19373"/>
    <cellStyle name="20% - Accent2 3 2 3 3 2 2 2" xfId="35594"/>
    <cellStyle name="20% - Accent2 3 2 3 3 2 3" xfId="28906"/>
    <cellStyle name="20% - Accent2 3 2 3 3 3" xfId="16605"/>
    <cellStyle name="20% - Accent2 3 2 3 3 3 2" xfId="32826"/>
    <cellStyle name="20% - Accent2 3 2 3 3 4" xfId="17616"/>
    <cellStyle name="20% - Accent2 3 2 3 3 4 2" xfId="33837"/>
    <cellStyle name="20% - Accent2 3 2 3 3 5" xfId="27657"/>
    <cellStyle name="20% - Accent2 3 2 3 4" xfId="9749"/>
    <cellStyle name="20% - Accent2 3 2 3 4 2" xfId="19370"/>
    <cellStyle name="20% - Accent2 3 2 3 4 2 2" xfId="35591"/>
    <cellStyle name="20% - Accent2 3 2 3 4 3" xfId="28903"/>
    <cellStyle name="20% - Accent2 3 2 3 5" xfId="15020"/>
    <cellStyle name="20% - Accent2 3 2 3 5 2" xfId="31242"/>
    <cellStyle name="20% - Accent2 3 2 3 6" xfId="17613"/>
    <cellStyle name="20% - Accent2 3 2 3 6 2" xfId="33834"/>
    <cellStyle name="20% - Accent2 3 2 3 7" xfId="27660"/>
    <cellStyle name="20% - Accent2 3 2 3 8" xfId="39313"/>
    <cellStyle name="20% - Accent2 3 2 4" xfId="6351"/>
    <cellStyle name="20% - Accent2 3 2 4 2" xfId="6350"/>
    <cellStyle name="20% - Accent2 3 2 4 2 2" xfId="9754"/>
    <cellStyle name="20% - Accent2 3 2 4 2 2 2" xfId="19375"/>
    <cellStyle name="20% - Accent2 3 2 4 2 2 2 2" xfId="35596"/>
    <cellStyle name="20% - Accent2 3 2 4 2 2 3" xfId="28908"/>
    <cellStyle name="20% - Accent2 3 2 4 2 3" xfId="16869"/>
    <cellStyle name="20% - Accent2 3 2 4 2 3 2" xfId="33090"/>
    <cellStyle name="20% - Accent2 3 2 4 2 4" xfId="17618"/>
    <cellStyle name="20% - Accent2 3 2 4 2 4 2" xfId="33839"/>
    <cellStyle name="20% - Accent2 3 2 4 2 5" xfId="27655"/>
    <cellStyle name="20% - Accent2 3 2 4 3" xfId="9753"/>
    <cellStyle name="20% - Accent2 3 2 4 3 2" xfId="19374"/>
    <cellStyle name="20% - Accent2 3 2 4 3 2 2" xfId="35595"/>
    <cellStyle name="20% - Accent2 3 2 4 3 3" xfId="28907"/>
    <cellStyle name="20% - Accent2 3 2 4 4" xfId="15284"/>
    <cellStyle name="20% - Accent2 3 2 4 4 2" xfId="31506"/>
    <cellStyle name="20% - Accent2 3 2 4 5" xfId="17617"/>
    <cellStyle name="20% - Accent2 3 2 4 5 2" xfId="33838"/>
    <cellStyle name="20% - Accent2 3 2 4 6" xfId="27656"/>
    <cellStyle name="20% - Accent2 3 2 4 7" xfId="39462"/>
    <cellStyle name="20% - Accent2 3 2 5" xfId="6349"/>
    <cellStyle name="20% - Accent2 3 2 5 2" xfId="9755"/>
    <cellStyle name="20% - Accent2 3 2 5 2 2" xfId="19376"/>
    <cellStyle name="20% - Accent2 3 2 5 2 2 2" xfId="35597"/>
    <cellStyle name="20% - Accent2 3 2 5 2 3" xfId="28909"/>
    <cellStyle name="20% - Accent2 3 2 5 3" xfId="16077"/>
    <cellStyle name="20% - Accent2 3 2 5 3 2" xfId="32298"/>
    <cellStyle name="20% - Accent2 3 2 5 4" xfId="17619"/>
    <cellStyle name="20% - Accent2 3 2 5 4 2" xfId="33840"/>
    <cellStyle name="20% - Accent2 3 2 5 5" xfId="27654"/>
    <cellStyle name="20% - Accent2 3 2 6" xfId="9744"/>
    <cellStyle name="20% - Accent2 3 2 6 2" xfId="19365"/>
    <cellStyle name="20% - Accent2 3 2 6 2 2" xfId="35586"/>
    <cellStyle name="20% - Accent2 3 2 6 3" xfId="28898"/>
    <cellStyle name="20% - Accent2 3 2 7" xfId="14492"/>
    <cellStyle name="20% - Accent2 3 2 7 2" xfId="30714"/>
    <cellStyle name="20% - Accent2 3 2 8" xfId="17608"/>
    <cellStyle name="20% - Accent2 3 2 8 2" xfId="33829"/>
    <cellStyle name="20% - Accent2 3 2 9" xfId="27665"/>
    <cellStyle name="20% - Accent2 3 3" xfId="6348"/>
    <cellStyle name="20% - Accent2 3 3 2" xfId="6347"/>
    <cellStyle name="20% - Accent2 3 3 2 2" xfId="6346"/>
    <cellStyle name="20% - Accent2 3 3 2 2 2" xfId="9758"/>
    <cellStyle name="20% - Accent2 3 3 2 2 2 2" xfId="19379"/>
    <cellStyle name="20% - Accent2 3 3 2 2 2 2 2" xfId="35600"/>
    <cellStyle name="20% - Accent2 3 3 2 2 2 3" xfId="28912"/>
    <cellStyle name="20% - Accent2 3 3 2 2 3" xfId="17001"/>
    <cellStyle name="20% - Accent2 3 3 2 2 3 2" xfId="33222"/>
    <cellStyle name="20% - Accent2 3 3 2 2 4" xfId="17622"/>
    <cellStyle name="20% - Accent2 3 3 2 2 4 2" xfId="33843"/>
    <cellStyle name="20% - Accent2 3 3 2 2 5" xfId="27651"/>
    <cellStyle name="20% - Accent2 3 3 2 3" xfId="9757"/>
    <cellStyle name="20% - Accent2 3 3 2 3 2" xfId="19378"/>
    <cellStyle name="20% - Accent2 3 3 2 3 2 2" xfId="35599"/>
    <cellStyle name="20% - Accent2 3 3 2 3 3" xfId="28911"/>
    <cellStyle name="20% - Accent2 3 3 2 4" xfId="15416"/>
    <cellStyle name="20% - Accent2 3 3 2 4 2" xfId="31638"/>
    <cellStyle name="20% - Accent2 3 3 2 5" xfId="17621"/>
    <cellStyle name="20% - Accent2 3 3 2 5 2" xfId="33842"/>
    <cellStyle name="20% - Accent2 3 3 2 6" xfId="27652"/>
    <cellStyle name="20% - Accent2 3 3 3" xfId="6345"/>
    <cellStyle name="20% - Accent2 3 3 3 2" xfId="9759"/>
    <cellStyle name="20% - Accent2 3 3 3 2 2" xfId="19380"/>
    <cellStyle name="20% - Accent2 3 3 3 2 2 2" xfId="35601"/>
    <cellStyle name="20% - Accent2 3 3 3 2 3" xfId="28913"/>
    <cellStyle name="20% - Accent2 3 3 3 3" xfId="16209"/>
    <cellStyle name="20% - Accent2 3 3 3 3 2" xfId="32430"/>
    <cellStyle name="20% - Accent2 3 3 3 4" xfId="17623"/>
    <cellStyle name="20% - Accent2 3 3 3 4 2" xfId="33844"/>
    <cellStyle name="20% - Accent2 3 3 3 5" xfId="27650"/>
    <cellStyle name="20% - Accent2 3 3 4" xfId="9756"/>
    <cellStyle name="20% - Accent2 3 3 4 2" xfId="19377"/>
    <cellStyle name="20% - Accent2 3 3 4 2 2" xfId="35598"/>
    <cellStyle name="20% - Accent2 3 3 4 3" xfId="28910"/>
    <cellStyle name="20% - Accent2 3 3 5" xfId="14624"/>
    <cellStyle name="20% - Accent2 3 3 5 2" xfId="30846"/>
    <cellStyle name="20% - Accent2 3 3 6" xfId="17620"/>
    <cellStyle name="20% - Accent2 3 3 6 2" xfId="33841"/>
    <cellStyle name="20% - Accent2 3 3 7" xfId="27653"/>
    <cellStyle name="20% - Accent2 3 3 8" xfId="39109"/>
    <cellStyle name="20% - Accent2 3 4" xfId="6344"/>
    <cellStyle name="20% - Accent2 3 4 2" xfId="6343"/>
    <cellStyle name="20% - Accent2 3 4 2 2" xfId="6342"/>
    <cellStyle name="20% - Accent2 3 4 2 2 2" xfId="9762"/>
    <cellStyle name="20% - Accent2 3 4 2 2 2 2" xfId="19383"/>
    <cellStyle name="20% - Accent2 3 4 2 2 2 2 2" xfId="35604"/>
    <cellStyle name="20% - Accent2 3 4 2 2 2 3" xfId="28916"/>
    <cellStyle name="20% - Accent2 3 4 2 2 3" xfId="17265"/>
    <cellStyle name="20% - Accent2 3 4 2 2 3 2" xfId="33486"/>
    <cellStyle name="20% - Accent2 3 4 2 2 4" xfId="17626"/>
    <cellStyle name="20% - Accent2 3 4 2 2 4 2" xfId="33847"/>
    <cellStyle name="20% - Accent2 3 4 2 2 5" xfId="27647"/>
    <cellStyle name="20% - Accent2 3 4 2 3" xfId="9761"/>
    <cellStyle name="20% - Accent2 3 4 2 3 2" xfId="19382"/>
    <cellStyle name="20% - Accent2 3 4 2 3 2 2" xfId="35603"/>
    <cellStyle name="20% - Accent2 3 4 2 3 3" xfId="28915"/>
    <cellStyle name="20% - Accent2 3 4 2 4" xfId="15680"/>
    <cellStyle name="20% - Accent2 3 4 2 4 2" xfId="31902"/>
    <cellStyle name="20% - Accent2 3 4 2 5" xfId="17625"/>
    <cellStyle name="20% - Accent2 3 4 2 5 2" xfId="33846"/>
    <cellStyle name="20% - Accent2 3 4 2 6" xfId="27648"/>
    <cellStyle name="20% - Accent2 3 4 3" xfId="6341"/>
    <cellStyle name="20% - Accent2 3 4 3 2" xfId="9763"/>
    <cellStyle name="20% - Accent2 3 4 3 2 2" xfId="19384"/>
    <cellStyle name="20% - Accent2 3 4 3 2 2 2" xfId="35605"/>
    <cellStyle name="20% - Accent2 3 4 3 2 3" xfId="28917"/>
    <cellStyle name="20% - Accent2 3 4 3 3" xfId="16473"/>
    <cellStyle name="20% - Accent2 3 4 3 3 2" xfId="32694"/>
    <cellStyle name="20% - Accent2 3 4 3 4" xfId="17627"/>
    <cellStyle name="20% - Accent2 3 4 3 4 2" xfId="33848"/>
    <cellStyle name="20% - Accent2 3 4 3 5" xfId="27646"/>
    <cellStyle name="20% - Accent2 3 4 4" xfId="9760"/>
    <cellStyle name="20% - Accent2 3 4 4 2" xfId="19381"/>
    <cellStyle name="20% - Accent2 3 4 4 2 2" xfId="35602"/>
    <cellStyle name="20% - Accent2 3 4 4 3" xfId="28914"/>
    <cellStyle name="20% - Accent2 3 4 5" xfId="14888"/>
    <cellStyle name="20% - Accent2 3 4 5 2" xfId="31110"/>
    <cellStyle name="20% - Accent2 3 4 6" xfId="17624"/>
    <cellStyle name="20% - Accent2 3 4 6 2" xfId="33845"/>
    <cellStyle name="20% - Accent2 3 4 7" xfId="27649"/>
    <cellStyle name="20% - Accent2 3 4 8" xfId="39257"/>
    <cellStyle name="20% - Accent2 3 5" xfId="6340"/>
    <cellStyle name="20% - Accent2 3 5 2" xfId="6339"/>
    <cellStyle name="20% - Accent2 3 5 2 2" xfId="9765"/>
    <cellStyle name="20% - Accent2 3 5 2 2 2" xfId="19386"/>
    <cellStyle name="20% - Accent2 3 5 2 2 2 2" xfId="35607"/>
    <cellStyle name="20% - Accent2 3 5 2 2 3" xfId="28919"/>
    <cellStyle name="20% - Accent2 3 5 2 3" xfId="16737"/>
    <cellStyle name="20% - Accent2 3 5 2 3 2" xfId="32958"/>
    <cellStyle name="20% - Accent2 3 5 2 4" xfId="17629"/>
    <cellStyle name="20% - Accent2 3 5 2 4 2" xfId="33850"/>
    <cellStyle name="20% - Accent2 3 5 2 5" xfId="27644"/>
    <cellStyle name="20% - Accent2 3 5 3" xfId="9764"/>
    <cellStyle name="20% - Accent2 3 5 3 2" xfId="19385"/>
    <cellStyle name="20% - Accent2 3 5 3 2 2" xfId="35606"/>
    <cellStyle name="20% - Accent2 3 5 3 3" xfId="28918"/>
    <cellStyle name="20% - Accent2 3 5 4" xfId="15152"/>
    <cellStyle name="20% - Accent2 3 5 4 2" xfId="31374"/>
    <cellStyle name="20% - Accent2 3 5 5" xfId="17628"/>
    <cellStyle name="20% - Accent2 3 5 5 2" xfId="33849"/>
    <cellStyle name="20% - Accent2 3 5 6" xfId="27645"/>
    <cellStyle name="20% - Accent2 3 5 7" xfId="39406"/>
    <cellStyle name="20% - Accent2 3 6" xfId="6338"/>
    <cellStyle name="20% - Accent2 3 6 2" xfId="9766"/>
    <cellStyle name="20% - Accent2 3 6 2 2" xfId="19387"/>
    <cellStyle name="20% - Accent2 3 6 2 2 2" xfId="35608"/>
    <cellStyle name="20% - Accent2 3 6 2 3" xfId="28920"/>
    <cellStyle name="20% - Accent2 3 6 3" xfId="15945"/>
    <cellStyle name="20% - Accent2 3 6 3 2" xfId="32166"/>
    <cellStyle name="20% - Accent2 3 6 4" xfId="17630"/>
    <cellStyle name="20% - Accent2 3 6 4 2" xfId="33851"/>
    <cellStyle name="20% - Accent2 3 6 5" xfId="27643"/>
    <cellStyle name="20% - Accent2 3 7" xfId="9743"/>
    <cellStyle name="20% - Accent2 3 7 2" xfId="19364"/>
    <cellStyle name="20% - Accent2 3 7 2 2" xfId="35585"/>
    <cellStyle name="20% - Accent2 3 7 3" xfId="28897"/>
    <cellStyle name="20% - Accent2 3 8" xfId="14360"/>
    <cellStyle name="20% - Accent2 3 8 2" xfId="30582"/>
    <cellStyle name="20% - Accent2 3 9" xfId="17607"/>
    <cellStyle name="20% - Accent2 3 9 2" xfId="33828"/>
    <cellStyle name="20% - Accent2 4" xfId="6337"/>
    <cellStyle name="20% - Accent2 4 10" xfId="38988"/>
    <cellStyle name="20% - Accent2 4 2" xfId="6336"/>
    <cellStyle name="20% - Accent2 4 2 2" xfId="5727"/>
    <cellStyle name="20% - Accent2 4 2 2 2" xfId="6335"/>
    <cellStyle name="20% - Accent2 4 2 2 2 2" xfId="9770"/>
    <cellStyle name="20% - Accent2 4 2 2 2 2 2" xfId="19391"/>
    <cellStyle name="20% - Accent2 4 2 2 2 2 2 2" xfId="35612"/>
    <cellStyle name="20% - Accent2 4 2 2 2 2 3" xfId="28924"/>
    <cellStyle name="20% - Accent2 4 2 2 2 3" xfId="17067"/>
    <cellStyle name="20% - Accent2 4 2 2 2 3 2" xfId="33288"/>
    <cellStyle name="20% - Accent2 4 2 2 2 4" xfId="17634"/>
    <cellStyle name="20% - Accent2 4 2 2 2 4 2" xfId="33855"/>
    <cellStyle name="20% - Accent2 4 2 2 2 5" xfId="27640"/>
    <cellStyle name="20% - Accent2 4 2 2 3" xfId="9769"/>
    <cellStyle name="20% - Accent2 4 2 2 3 2" xfId="19390"/>
    <cellStyle name="20% - Accent2 4 2 2 3 2 2" xfId="35611"/>
    <cellStyle name="20% - Accent2 4 2 2 3 3" xfId="28923"/>
    <cellStyle name="20% - Accent2 4 2 2 4" xfId="15482"/>
    <cellStyle name="20% - Accent2 4 2 2 4 2" xfId="31704"/>
    <cellStyle name="20% - Accent2 4 2 2 5" xfId="17633"/>
    <cellStyle name="20% - Accent2 4 2 2 5 2" xfId="33854"/>
    <cellStyle name="20% - Accent2 4 2 2 6" xfId="27033"/>
    <cellStyle name="20% - Accent2 4 2 2 7" xfId="39178"/>
    <cellStyle name="20% - Accent2 4 2 3" xfId="6334"/>
    <cellStyle name="20% - Accent2 4 2 3 2" xfId="9771"/>
    <cellStyle name="20% - Accent2 4 2 3 2 2" xfId="19392"/>
    <cellStyle name="20% - Accent2 4 2 3 2 2 2" xfId="35613"/>
    <cellStyle name="20% - Accent2 4 2 3 2 3" xfId="28925"/>
    <cellStyle name="20% - Accent2 4 2 3 3" xfId="16275"/>
    <cellStyle name="20% - Accent2 4 2 3 3 2" xfId="32496"/>
    <cellStyle name="20% - Accent2 4 2 3 4" xfId="17635"/>
    <cellStyle name="20% - Accent2 4 2 3 4 2" xfId="33856"/>
    <cellStyle name="20% - Accent2 4 2 3 5" xfId="27639"/>
    <cellStyle name="20% - Accent2 4 2 3 6" xfId="39326"/>
    <cellStyle name="20% - Accent2 4 2 4" xfId="9768"/>
    <cellStyle name="20% - Accent2 4 2 4 2" xfId="19389"/>
    <cellStyle name="20% - Accent2 4 2 4 2 2" xfId="35610"/>
    <cellStyle name="20% - Accent2 4 2 4 3" xfId="28922"/>
    <cellStyle name="20% - Accent2 4 2 4 4" xfId="39475"/>
    <cellStyle name="20% - Accent2 4 2 5" xfId="14690"/>
    <cellStyle name="20% - Accent2 4 2 5 2" xfId="30912"/>
    <cellStyle name="20% - Accent2 4 2 6" xfId="17632"/>
    <cellStyle name="20% - Accent2 4 2 6 2" xfId="33853"/>
    <cellStyle name="20% - Accent2 4 2 7" xfId="27641"/>
    <cellStyle name="20% - Accent2 4 2 8" xfId="39030"/>
    <cellStyle name="20% - Accent2 4 3" xfId="6333"/>
    <cellStyle name="20% - Accent2 4 3 2" xfId="6332"/>
    <cellStyle name="20% - Accent2 4 3 2 2" xfId="6331"/>
    <cellStyle name="20% - Accent2 4 3 2 2 2" xfId="9774"/>
    <cellStyle name="20% - Accent2 4 3 2 2 2 2" xfId="19395"/>
    <cellStyle name="20% - Accent2 4 3 2 2 2 2 2" xfId="35616"/>
    <cellStyle name="20% - Accent2 4 3 2 2 2 3" xfId="28928"/>
    <cellStyle name="20% - Accent2 4 3 2 2 3" xfId="17331"/>
    <cellStyle name="20% - Accent2 4 3 2 2 3 2" xfId="33552"/>
    <cellStyle name="20% - Accent2 4 3 2 2 4" xfId="17638"/>
    <cellStyle name="20% - Accent2 4 3 2 2 4 2" xfId="33859"/>
    <cellStyle name="20% - Accent2 4 3 2 2 5" xfId="27636"/>
    <cellStyle name="20% - Accent2 4 3 2 3" xfId="9773"/>
    <cellStyle name="20% - Accent2 4 3 2 3 2" xfId="19394"/>
    <cellStyle name="20% - Accent2 4 3 2 3 2 2" xfId="35615"/>
    <cellStyle name="20% - Accent2 4 3 2 3 3" xfId="28927"/>
    <cellStyle name="20% - Accent2 4 3 2 4" xfId="15746"/>
    <cellStyle name="20% - Accent2 4 3 2 4 2" xfId="31968"/>
    <cellStyle name="20% - Accent2 4 3 2 5" xfId="17637"/>
    <cellStyle name="20% - Accent2 4 3 2 5 2" xfId="33858"/>
    <cellStyle name="20% - Accent2 4 3 2 6" xfId="27637"/>
    <cellStyle name="20% - Accent2 4 3 3" xfId="6330"/>
    <cellStyle name="20% - Accent2 4 3 3 2" xfId="9775"/>
    <cellStyle name="20% - Accent2 4 3 3 2 2" xfId="19396"/>
    <cellStyle name="20% - Accent2 4 3 3 2 2 2" xfId="35617"/>
    <cellStyle name="20% - Accent2 4 3 3 2 3" xfId="28929"/>
    <cellStyle name="20% - Accent2 4 3 3 3" xfId="16539"/>
    <cellStyle name="20% - Accent2 4 3 3 3 2" xfId="32760"/>
    <cellStyle name="20% - Accent2 4 3 3 4" xfId="17639"/>
    <cellStyle name="20% - Accent2 4 3 3 4 2" xfId="33860"/>
    <cellStyle name="20% - Accent2 4 3 3 5" xfId="27635"/>
    <cellStyle name="20% - Accent2 4 3 4" xfId="9772"/>
    <cellStyle name="20% - Accent2 4 3 4 2" xfId="19393"/>
    <cellStyle name="20% - Accent2 4 3 4 2 2" xfId="35614"/>
    <cellStyle name="20% - Accent2 4 3 4 3" xfId="28926"/>
    <cellStyle name="20% - Accent2 4 3 5" xfId="14954"/>
    <cellStyle name="20% - Accent2 4 3 5 2" xfId="31176"/>
    <cellStyle name="20% - Accent2 4 3 6" xfId="17636"/>
    <cellStyle name="20% - Accent2 4 3 6 2" xfId="33857"/>
    <cellStyle name="20% - Accent2 4 3 7" xfId="27638"/>
    <cellStyle name="20% - Accent2 4 3 8" xfId="39122"/>
    <cellStyle name="20% - Accent2 4 4" xfId="6329"/>
    <cellStyle name="20% - Accent2 4 4 2" xfId="6328"/>
    <cellStyle name="20% - Accent2 4 4 2 2" xfId="9777"/>
    <cellStyle name="20% - Accent2 4 4 2 2 2" xfId="19398"/>
    <cellStyle name="20% - Accent2 4 4 2 2 2 2" xfId="35619"/>
    <cellStyle name="20% - Accent2 4 4 2 2 3" xfId="28931"/>
    <cellStyle name="20% - Accent2 4 4 2 3" xfId="16803"/>
    <cellStyle name="20% - Accent2 4 4 2 3 2" xfId="33024"/>
    <cellStyle name="20% - Accent2 4 4 2 4" xfId="17641"/>
    <cellStyle name="20% - Accent2 4 4 2 4 2" xfId="33862"/>
    <cellStyle name="20% - Accent2 4 4 2 5" xfId="27633"/>
    <cellStyle name="20% - Accent2 4 4 3" xfId="9776"/>
    <cellStyle name="20% - Accent2 4 4 3 2" xfId="19397"/>
    <cellStyle name="20% - Accent2 4 4 3 2 2" xfId="35618"/>
    <cellStyle name="20% - Accent2 4 4 3 3" xfId="28930"/>
    <cellStyle name="20% - Accent2 4 4 4" xfId="15218"/>
    <cellStyle name="20% - Accent2 4 4 4 2" xfId="31440"/>
    <cellStyle name="20% - Accent2 4 4 5" xfId="17640"/>
    <cellStyle name="20% - Accent2 4 4 5 2" xfId="33861"/>
    <cellStyle name="20% - Accent2 4 4 6" xfId="27634"/>
    <cellStyle name="20% - Accent2 4 4 7" xfId="39270"/>
    <cellStyle name="20% - Accent2 4 5" xfId="6327"/>
    <cellStyle name="20% - Accent2 4 5 2" xfId="9778"/>
    <cellStyle name="20% - Accent2 4 5 2 2" xfId="19399"/>
    <cellStyle name="20% - Accent2 4 5 2 2 2" xfId="35620"/>
    <cellStyle name="20% - Accent2 4 5 2 3" xfId="28932"/>
    <cellStyle name="20% - Accent2 4 5 3" xfId="16011"/>
    <cellStyle name="20% - Accent2 4 5 3 2" xfId="32232"/>
    <cellStyle name="20% - Accent2 4 5 4" xfId="17642"/>
    <cellStyle name="20% - Accent2 4 5 4 2" xfId="33863"/>
    <cellStyle name="20% - Accent2 4 5 5" xfId="27632"/>
    <cellStyle name="20% - Accent2 4 5 6" xfId="39419"/>
    <cellStyle name="20% - Accent2 4 6" xfId="9767"/>
    <cellStyle name="20% - Accent2 4 6 2" xfId="19388"/>
    <cellStyle name="20% - Accent2 4 6 2 2" xfId="35609"/>
    <cellStyle name="20% - Accent2 4 6 3" xfId="28921"/>
    <cellStyle name="20% - Accent2 4 7" xfId="14426"/>
    <cellStyle name="20% - Accent2 4 7 2" xfId="30648"/>
    <cellStyle name="20% - Accent2 4 8" xfId="17631"/>
    <cellStyle name="20% - Accent2 4 8 2" xfId="33852"/>
    <cellStyle name="20% - Accent2 4 9" xfId="27642"/>
    <cellStyle name="20% - Accent2 5" xfId="6326"/>
    <cellStyle name="20% - Accent2 5 2" xfId="5725"/>
    <cellStyle name="20% - Accent2 5 2 2" xfId="6325"/>
    <cellStyle name="20% - Accent2 5 2 2 2" xfId="9781"/>
    <cellStyle name="20% - Accent2 5 2 2 2 2" xfId="19402"/>
    <cellStyle name="20% - Accent2 5 2 2 2 2 2" xfId="35623"/>
    <cellStyle name="20% - Accent2 5 2 2 2 3" xfId="28935"/>
    <cellStyle name="20% - Accent2 5 2 2 3" xfId="16935"/>
    <cellStyle name="20% - Accent2 5 2 2 3 2" xfId="33156"/>
    <cellStyle name="20% - Accent2 5 2 2 4" xfId="17645"/>
    <cellStyle name="20% - Accent2 5 2 2 4 2" xfId="33866"/>
    <cellStyle name="20% - Accent2 5 2 2 5" xfId="27630"/>
    <cellStyle name="20% - Accent2 5 2 3" xfId="9780"/>
    <cellStyle name="20% - Accent2 5 2 3 2" xfId="19401"/>
    <cellStyle name="20% - Accent2 5 2 3 2 2" xfId="35622"/>
    <cellStyle name="20% - Accent2 5 2 3 3" xfId="28934"/>
    <cellStyle name="20% - Accent2 5 2 4" xfId="15350"/>
    <cellStyle name="20% - Accent2 5 2 4 2" xfId="31572"/>
    <cellStyle name="20% - Accent2 5 2 5" xfId="17644"/>
    <cellStyle name="20% - Accent2 5 2 5 2" xfId="33865"/>
    <cellStyle name="20% - Accent2 5 2 6" xfId="27031"/>
    <cellStyle name="20% - Accent2 5 2 7" xfId="39133"/>
    <cellStyle name="20% - Accent2 5 3" xfId="6324"/>
    <cellStyle name="20% - Accent2 5 3 2" xfId="9782"/>
    <cellStyle name="20% - Accent2 5 3 2 2" xfId="19403"/>
    <cellStyle name="20% - Accent2 5 3 2 2 2" xfId="35624"/>
    <cellStyle name="20% - Accent2 5 3 2 3" xfId="28936"/>
    <cellStyle name="20% - Accent2 5 3 3" xfId="16143"/>
    <cellStyle name="20% - Accent2 5 3 3 2" xfId="32364"/>
    <cellStyle name="20% - Accent2 5 3 4" xfId="17646"/>
    <cellStyle name="20% - Accent2 5 3 4 2" xfId="33867"/>
    <cellStyle name="20% - Accent2 5 3 5" xfId="27629"/>
    <cellStyle name="20% - Accent2 5 3 6" xfId="39281"/>
    <cellStyle name="20% - Accent2 5 4" xfId="9779"/>
    <cellStyle name="20% - Accent2 5 4 2" xfId="19400"/>
    <cellStyle name="20% - Accent2 5 4 2 2" xfId="35621"/>
    <cellStyle name="20% - Accent2 5 4 3" xfId="28933"/>
    <cellStyle name="20% - Accent2 5 4 4" xfId="39430"/>
    <cellStyle name="20% - Accent2 5 5" xfId="14558"/>
    <cellStyle name="20% - Accent2 5 5 2" xfId="30780"/>
    <cellStyle name="20% - Accent2 5 6" xfId="17643"/>
    <cellStyle name="20% - Accent2 5 6 2" xfId="33864"/>
    <cellStyle name="20% - Accent2 5 7" xfId="27631"/>
    <cellStyle name="20% - Accent2 5 8" xfId="38999"/>
    <cellStyle name="20% - Accent2 6" xfId="6323"/>
    <cellStyle name="20% - Accent2 6 2" xfId="6322"/>
    <cellStyle name="20% - Accent2 6 2 2" xfId="6321"/>
    <cellStyle name="20% - Accent2 6 2 2 2" xfId="9785"/>
    <cellStyle name="20% - Accent2 6 2 2 2 2" xfId="19406"/>
    <cellStyle name="20% - Accent2 6 2 2 2 2 2" xfId="35627"/>
    <cellStyle name="20% - Accent2 6 2 2 2 3" xfId="28939"/>
    <cellStyle name="20% - Accent2 6 2 2 3" xfId="17199"/>
    <cellStyle name="20% - Accent2 6 2 2 3 2" xfId="33420"/>
    <cellStyle name="20% - Accent2 6 2 2 4" xfId="17649"/>
    <cellStyle name="20% - Accent2 6 2 2 4 2" xfId="33870"/>
    <cellStyle name="20% - Accent2 6 2 2 5" xfId="27626"/>
    <cellStyle name="20% - Accent2 6 2 3" xfId="9784"/>
    <cellStyle name="20% - Accent2 6 2 3 2" xfId="19405"/>
    <cellStyle name="20% - Accent2 6 2 3 2 2" xfId="35626"/>
    <cellStyle name="20% - Accent2 6 2 3 3" xfId="28938"/>
    <cellStyle name="20% - Accent2 6 2 4" xfId="15614"/>
    <cellStyle name="20% - Accent2 6 2 4 2" xfId="31836"/>
    <cellStyle name="20% - Accent2 6 2 5" xfId="17648"/>
    <cellStyle name="20% - Accent2 6 2 5 2" xfId="33869"/>
    <cellStyle name="20% - Accent2 6 2 6" xfId="27627"/>
    <cellStyle name="20% - Accent2 6 3" xfId="6320"/>
    <cellStyle name="20% - Accent2 6 3 2" xfId="9786"/>
    <cellStyle name="20% - Accent2 6 3 2 2" xfId="19407"/>
    <cellStyle name="20% - Accent2 6 3 2 2 2" xfId="35628"/>
    <cellStyle name="20% - Accent2 6 3 2 3" xfId="28940"/>
    <cellStyle name="20% - Accent2 6 3 3" xfId="16407"/>
    <cellStyle name="20% - Accent2 6 3 3 2" xfId="32628"/>
    <cellStyle name="20% - Accent2 6 3 4" xfId="17650"/>
    <cellStyle name="20% - Accent2 6 3 4 2" xfId="33871"/>
    <cellStyle name="20% - Accent2 6 3 5" xfId="27625"/>
    <cellStyle name="20% - Accent2 6 4" xfId="9783"/>
    <cellStyle name="20% - Accent2 6 4 2" xfId="19404"/>
    <cellStyle name="20% - Accent2 6 4 2 2" xfId="35625"/>
    <cellStyle name="20% - Accent2 6 4 3" xfId="28937"/>
    <cellStyle name="20% - Accent2 6 5" xfId="14822"/>
    <cellStyle name="20% - Accent2 6 5 2" xfId="31044"/>
    <cellStyle name="20% - Accent2 6 6" xfId="17647"/>
    <cellStyle name="20% - Accent2 6 6 2" xfId="33868"/>
    <cellStyle name="20% - Accent2 6 7" xfId="27628"/>
    <cellStyle name="20% - Accent2 6 8" xfId="39078"/>
    <cellStyle name="20% - Accent2 7" xfId="6319"/>
    <cellStyle name="20% - Accent2 7 2" xfId="6318"/>
    <cellStyle name="20% - Accent2 7 2 2" xfId="9788"/>
    <cellStyle name="20% - Accent2 7 2 2 2" xfId="19409"/>
    <cellStyle name="20% - Accent2 7 2 2 2 2" xfId="35630"/>
    <cellStyle name="20% - Accent2 7 2 2 3" xfId="28942"/>
    <cellStyle name="20% - Accent2 7 2 3" xfId="16671"/>
    <cellStyle name="20% - Accent2 7 2 3 2" xfId="32892"/>
    <cellStyle name="20% - Accent2 7 2 4" xfId="17652"/>
    <cellStyle name="20% - Accent2 7 2 4 2" xfId="33873"/>
    <cellStyle name="20% - Accent2 7 2 5" xfId="27623"/>
    <cellStyle name="20% - Accent2 7 3" xfId="9787"/>
    <cellStyle name="20% - Accent2 7 3 2" xfId="19408"/>
    <cellStyle name="20% - Accent2 7 3 2 2" xfId="35629"/>
    <cellStyle name="20% - Accent2 7 3 3" xfId="28941"/>
    <cellStyle name="20% - Accent2 7 4" xfId="15086"/>
    <cellStyle name="20% - Accent2 7 4 2" xfId="31308"/>
    <cellStyle name="20% - Accent2 7 5" xfId="17651"/>
    <cellStyle name="20% - Accent2 7 5 2" xfId="33872"/>
    <cellStyle name="20% - Accent2 7 6" xfId="27624"/>
    <cellStyle name="20% - Accent2 7 7" xfId="39226"/>
    <cellStyle name="20% - Accent2 8" xfId="6317"/>
    <cellStyle name="20% - Accent2 8 2" xfId="9789"/>
    <cellStyle name="20% - Accent2 8 2 2" xfId="19410"/>
    <cellStyle name="20% - Accent2 8 2 2 2" xfId="35631"/>
    <cellStyle name="20% - Accent2 8 2 3" xfId="28943"/>
    <cellStyle name="20% - Accent2 8 3" xfId="15879"/>
    <cellStyle name="20% - Accent2 8 3 2" xfId="32100"/>
    <cellStyle name="20% - Accent2 8 4" xfId="17653"/>
    <cellStyle name="20% - Accent2 8 4 2" xfId="33874"/>
    <cellStyle name="20% - Accent2 8 5" xfId="27622"/>
    <cellStyle name="20% - Accent2 8 6" xfId="39375"/>
    <cellStyle name="20% - Accent2 9" xfId="9694"/>
    <cellStyle name="20% - Accent2 9 2" xfId="19315"/>
    <cellStyle name="20% - Accent2 9 2 2" xfId="35536"/>
    <cellStyle name="20% - Accent2 9 3" xfId="28848"/>
    <cellStyle name="20% - Accent3" xfId="38" builtinId="38" customBuiltin="1"/>
    <cellStyle name="20% - Accent3 10" xfId="14241"/>
    <cellStyle name="20% - Accent3 10 2" xfId="30525"/>
    <cellStyle name="20% - Accent3 11" xfId="17654"/>
    <cellStyle name="20% - Accent3 11 2" xfId="33875"/>
    <cellStyle name="20% - Accent3 12" xfId="26987"/>
    <cellStyle name="20% - Accent3 13" xfId="38906"/>
    <cellStyle name="20% - Accent3 14" xfId="4838"/>
    <cellStyle name="20% - Accent3 2" xfId="4868"/>
    <cellStyle name="20% - Accent3 2 10" xfId="17655"/>
    <cellStyle name="20% - Accent3 2 10 2" xfId="33876"/>
    <cellStyle name="20% - Accent3 2 11" xfId="27004"/>
    <cellStyle name="20% - Accent3 2 12" xfId="38770"/>
    <cellStyle name="20% - Accent3 2 2" xfId="6316"/>
    <cellStyle name="20% - Accent3 2 2 10" xfId="27621"/>
    <cellStyle name="20% - Accent3 2 2 11" xfId="38964"/>
    <cellStyle name="20% - Accent3 2 2 2" xfId="5721"/>
    <cellStyle name="20% - Accent3 2 2 2 10" xfId="39154"/>
    <cellStyle name="20% - Accent3 2 2 2 2" xfId="6315"/>
    <cellStyle name="20% - Accent3 2 2 2 2 2" xfId="6314"/>
    <cellStyle name="20% - Accent3 2 2 2 2 2 2" xfId="6313"/>
    <cellStyle name="20% - Accent3 2 2 2 2 2 2 2" xfId="9796"/>
    <cellStyle name="20% - Accent3 2 2 2 2 2 2 2 2" xfId="19417"/>
    <cellStyle name="20% - Accent3 2 2 2 2 2 2 2 2 2" xfId="35638"/>
    <cellStyle name="20% - Accent3 2 2 2 2 2 2 2 3" xfId="28950"/>
    <cellStyle name="20% - Accent3 2 2 2 2 2 2 3" xfId="17167"/>
    <cellStyle name="20% - Accent3 2 2 2 2 2 2 3 2" xfId="33388"/>
    <cellStyle name="20% - Accent3 2 2 2 2 2 2 4" xfId="17660"/>
    <cellStyle name="20% - Accent3 2 2 2 2 2 2 4 2" xfId="33881"/>
    <cellStyle name="20% - Accent3 2 2 2 2 2 2 5" xfId="27618"/>
    <cellStyle name="20% - Accent3 2 2 2 2 2 3" xfId="9795"/>
    <cellStyle name="20% - Accent3 2 2 2 2 2 3 2" xfId="19416"/>
    <cellStyle name="20% - Accent3 2 2 2 2 2 3 2 2" xfId="35637"/>
    <cellStyle name="20% - Accent3 2 2 2 2 2 3 3" xfId="28949"/>
    <cellStyle name="20% - Accent3 2 2 2 2 2 4" xfId="15582"/>
    <cellStyle name="20% - Accent3 2 2 2 2 2 4 2" xfId="31804"/>
    <cellStyle name="20% - Accent3 2 2 2 2 2 5" xfId="17659"/>
    <cellStyle name="20% - Accent3 2 2 2 2 2 5 2" xfId="33880"/>
    <cellStyle name="20% - Accent3 2 2 2 2 2 6" xfId="27619"/>
    <cellStyle name="20% - Accent3 2 2 2 2 3" xfId="6312"/>
    <cellStyle name="20% - Accent3 2 2 2 2 3 2" xfId="9797"/>
    <cellStyle name="20% - Accent3 2 2 2 2 3 2 2" xfId="19418"/>
    <cellStyle name="20% - Accent3 2 2 2 2 3 2 2 2" xfId="35639"/>
    <cellStyle name="20% - Accent3 2 2 2 2 3 2 3" xfId="28951"/>
    <cellStyle name="20% - Accent3 2 2 2 2 3 3" xfId="16375"/>
    <cellStyle name="20% - Accent3 2 2 2 2 3 3 2" xfId="32596"/>
    <cellStyle name="20% - Accent3 2 2 2 2 3 4" xfId="17661"/>
    <cellStyle name="20% - Accent3 2 2 2 2 3 4 2" xfId="33882"/>
    <cellStyle name="20% - Accent3 2 2 2 2 3 5" xfId="27617"/>
    <cellStyle name="20% - Accent3 2 2 2 2 4" xfId="9794"/>
    <cellStyle name="20% - Accent3 2 2 2 2 4 2" xfId="19415"/>
    <cellStyle name="20% - Accent3 2 2 2 2 4 2 2" xfId="35636"/>
    <cellStyle name="20% - Accent3 2 2 2 2 4 3" xfId="28948"/>
    <cellStyle name="20% - Accent3 2 2 2 2 5" xfId="14790"/>
    <cellStyle name="20% - Accent3 2 2 2 2 5 2" xfId="31012"/>
    <cellStyle name="20% - Accent3 2 2 2 2 6" xfId="17658"/>
    <cellStyle name="20% - Accent3 2 2 2 2 6 2" xfId="33879"/>
    <cellStyle name="20% - Accent3 2 2 2 2 7" xfId="27620"/>
    <cellStyle name="20% - Accent3 2 2 2 3" xfId="6311"/>
    <cellStyle name="20% - Accent3 2 2 2 3 2" xfId="6310"/>
    <cellStyle name="20% - Accent3 2 2 2 3 2 2" xfId="6309"/>
    <cellStyle name="20% - Accent3 2 2 2 3 2 2 2" xfId="9800"/>
    <cellStyle name="20% - Accent3 2 2 2 3 2 2 2 2" xfId="19421"/>
    <cellStyle name="20% - Accent3 2 2 2 3 2 2 2 2 2" xfId="35642"/>
    <cellStyle name="20% - Accent3 2 2 2 3 2 2 2 3" xfId="28954"/>
    <cellStyle name="20% - Accent3 2 2 2 3 2 2 3" xfId="17431"/>
    <cellStyle name="20% - Accent3 2 2 2 3 2 2 3 2" xfId="33652"/>
    <cellStyle name="20% - Accent3 2 2 2 3 2 2 4" xfId="17664"/>
    <cellStyle name="20% - Accent3 2 2 2 3 2 2 4 2" xfId="33885"/>
    <cellStyle name="20% - Accent3 2 2 2 3 2 2 5" xfId="27614"/>
    <cellStyle name="20% - Accent3 2 2 2 3 2 3" xfId="9799"/>
    <cellStyle name="20% - Accent3 2 2 2 3 2 3 2" xfId="19420"/>
    <cellStyle name="20% - Accent3 2 2 2 3 2 3 2 2" xfId="35641"/>
    <cellStyle name="20% - Accent3 2 2 2 3 2 3 3" xfId="28953"/>
    <cellStyle name="20% - Accent3 2 2 2 3 2 4" xfId="15846"/>
    <cellStyle name="20% - Accent3 2 2 2 3 2 4 2" xfId="32068"/>
    <cellStyle name="20% - Accent3 2 2 2 3 2 5" xfId="17663"/>
    <cellStyle name="20% - Accent3 2 2 2 3 2 5 2" xfId="33884"/>
    <cellStyle name="20% - Accent3 2 2 2 3 2 6" xfId="27615"/>
    <cellStyle name="20% - Accent3 2 2 2 3 3" xfId="6308"/>
    <cellStyle name="20% - Accent3 2 2 2 3 3 2" xfId="9801"/>
    <cellStyle name="20% - Accent3 2 2 2 3 3 2 2" xfId="19422"/>
    <cellStyle name="20% - Accent3 2 2 2 3 3 2 2 2" xfId="35643"/>
    <cellStyle name="20% - Accent3 2 2 2 3 3 2 3" xfId="28955"/>
    <cellStyle name="20% - Accent3 2 2 2 3 3 3" xfId="16639"/>
    <cellStyle name="20% - Accent3 2 2 2 3 3 3 2" xfId="32860"/>
    <cellStyle name="20% - Accent3 2 2 2 3 3 4" xfId="17665"/>
    <cellStyle name="20% - Accent3 2 2 2 3 3 4 2" xfId="33886"/>
    <cellStyle name="20% - Accent3 2 2 2 3 3 5" xfId="27613"/>
    <cellStyle name="20% - Accent3 2 2 2 3 4" xfId="9798"/>
    <cellStyle name="20% - Accent3 2 2 2 3 4 2" xfId="19419"/>
    <cellStyle name="20% - Accent3 2 2 2 3 4 2 2" xfId="35640"/>
    <cellStyle name="20% - Accent3 2 2 2 3 4 3" xfId="28952"/>
    <cellStyle name="20% - Accent3 2 2 2 3 5" xfId="15054"/>
    <cellStyle name="20% - Accent3 2 2 2 3 5 2" xfId="31276"/>
    <cellStyle name="20% - Accent3 2 2 2 3 6" xfId="17662"/>
    <cellStyle name="20% - Accent3 2 2 2 3 6 2" xfId="33883"/>
    <cellStyle name="20% - Accent3 2 2 2 3 7" xfId="27616"/>
    <cellStyle name="20% - Accent3 2 2 2 4" xfId="6307"/>
    <cellStyle name="20% - Accent3 2 2 2 4 2" xfId="6306"/>
    <cellStyle name="20% - Accent3 2 2 2 4 2 2" xfId="9803"/>
    <cellStyle name="20% - Accent3 2 2 2 4 2 2 2" xfId="19424"/>
    <cellStyle name="20% - Accent3 2 2 2 4 2 2 2 2" xfId="35645"/>
    <cellStyle name="20% - Accent3 2 2 2 4 2 2 3" xfId="28957"/>
    <cellStyle name="20% - Accent3 2 2 2 4 2 3" xfId="16903"/>
    <cellStyle name="20% - Accent3 2 2 2 4 2 3 2" xfId="33124"/>
    <cellStyle name="20% - Accent3 2 2 2 4 2 4" xfId="17667"/>
    <cellStyle name="20% - Accent3 2 2 2 4 2 4 2" xfId="33888"/>
    <cellStyle name="20% - Accent3 2 2 2 4 2 5" xfId="27611"/>
    <cellStyle name="20% - Accent3 2 2 2 4 3" xfId="9802"/>
    <cellStyle name="20% - Accent3 2 2 2 4 3 2" xfId="19423"/>
    <cellStyle name="20% - Accent3 2 2 2 4 3 2 2" xfId="35644"/>
    <cellStyle name="20% - Accent3 2 2 2 4 3 3" xfId="28956"/>
    <cellStyle name="20% - Accent3 2 2 2 4 4" xfId="15318"/>
    <cellStyle name="20% - Accent3 2 2 2 4 4 2" xfId="31540"/>
    <cellStyle name="20% - Accent3 2 2 2 4 5" xfId="17666"/>
    <cellStyle name="20% - Accent3 2 2 2 4 5 2" xfId="33887"/>
    <cellStyle name="20% - Accent3 2 2 2 4 6" xfId="27612"/>
    <cellStyle name="20% - Accent3 2 2 2 5" xfId="6305"/>
    <cellStyle name="20% - Accent3 2 2 2 5 2" xfId="9804"/>
    <cellStyle name="20% - Accent3 2 2 2 5 2 2" xfId="19425"/>
    <cellStyle name="20% - Accent3 2 2 2 5 2 2 2" xfId="35646"/>
    <cellStyle name="20% - Accent3 2 2 2 5 2 3" xfId="28958"/>
    <cellStyle name="20% - Accent3 2 2 2 5 3" xfId="16111"/>
    <cellStyle name="20% - Accent3 2 2 2 5 3 2" xfId="32332"/>
    <cellStyle name="20% - Accent3 2 2 2 5 4" xfId="17668"/>
    <cellStyle name="20% - Accent3 2 2 2 5 4 2" xfId="33889"/>
    <cellStyle name="20% - Accent3 2 2 2 5 5" xfId="27610"/>
    <cellStyle name="20% - Accent3 2 2 2 6" xfId="9793"/>
    <cellStyle name="20% - Accent3 2 2 2 6 2" xfId="19414"/>
    <cellStyle name="20% - Accent3 2 2 2 6 2 2" xfId="35635"/>
    <cellStyle name="20% - Accent3 2 2 2 6 3" xfId="28947"/>
    <cellStyle name="20% - Accent3 2 2 2 7" xfId="14526"/>
    <cellStyle name="20% - Accent3 2 2 2 7 2" xfId="30748"/>
    <cellStyle name="20% - Accent3 2 2 2 8" xfId="17657"/>
    <cellStyle name="20% - Accent3 2 2 2 8 2" xfId="33878"/>
    <cellStyle name="20% - Accent3 2 2 2 9" xfId="27027"/>
    <cellStyle name="20% - Accent3 2 2 3" xfId="6304"/>
    <cellStyle name="20% - Accent3 2 2 3 2" xfId="6303"/>
    <cellStyle name="20% - Accent3 2 2 3 2 2" xfId="6302"/>
    <cellStyle name="20% - Accent3 2 2 3 2 2 2" xfId="9807"/>
    <cellStyle name="20% - Accent3 2 2 3 2 2 2 2" xfId="19428"/>
    <cellStyle name="20% - Accent3 2 2 3 2 2 2 2 2" xfId="35649"/>
    <cellStyle name="20% - Accent3 2 2 3 2 2 2 3" xfId="28961"/>
    <cellStyle name="20% - Accent3 2 2 3 2 2 3" xfId="17035"/>
    <cellStyle name="20% - Accent3 2 2 3 2 2 3 2" xfId="33256"/>
    <cellStyle name="20% - Accent3 2 2 3 2 2 4" xfId="17671"/>
    <cellStyle name="20% - Accent3 2 2 3 2 2 4 2" xfId="33892"/>
    <cellStyle name="20% - Accent3 2 2 3 2 2 5" xfId="27607"/>
    <cellStyle name="20% - Accent3 2 2 3 2 3" xfId="9806"/>
    <cellStyle name="20% - Accent3 2 2 3 2 3 2" xfId="19427"/>
    <cellStyle name="20% - Accent3 2 2 3 2 3 2 2" xfId="35648"/>
    <cellStyle name="20% - Accent3 2 2 3 2 3 3" xfId="28960"/>
    <cellStyle name="20% - Accent3 2 2 3 2 4" xfId="15450"/>
    <cellStyle name="20% - Accent3 2 2 3 2 4 2" xfId="31672"/>
    <cellStyle name="20% - Accent3 2 2 3 2 5" xfId="17670"/>
    <cellStyle name="20% - Accent3 2 2 3 2 5 2" xfId="33891"/>
    <cellStyle name="20% - Accent3 2 2 3 2 6" xfId="27608"/>
    <cellStyle name="20% - Accent3 2 2 3 3" xfId="6301"/>
    <cellStyle name="20% - Accent3 2 2 3 3 2" xfId="9808"/>
    <cellStyle name="20% - Accent3 2 2 3 3 2 2" xfId="19429"/>
    <cellStyle name="20% - Accent3 2 2 3 3 2 2 2" xfId="35650"/>
    <cellStyle name="20% - Accent3 2 2 3 3 2 3" xfId="28962"/>
    <cellStyle name="20% - Accent3 2 2 3 3 3" xfId="16243"/>
    <cellStyle name="20% - Accent3 2 2 3 3 3 2" xfId="32464"/>
    <cellStyle name="20% - Accent3 2 2 3 3 4" xfId="17672"/>
    <cellStyle name="20% - Accent3 2 2 3 3 4 2" xfId="33893"/>
    <cellStyle name="20% - Accent3 2 2 3 3 5" xfId="27606"/>
    <cellStyle name="20% - Accent3 2 2 3 4" xfId="9805"/>
    <cellStyle name="20% - Accent3 2 2 3 4 2" xfId="19426"/>
    <cellStyle name="20% - Accent3 2 2 3 4 2 2" xfId="35647"/>
    <cellStyle name="20% - Accent3 2 2 3 4 3" xfId="28959"/>
    <cellStyle name="20% - Accent3 2 2 3 5" xfId="14658"/>
    <cellStyle name="20% - Accent3 2 2 3 5 2" xfId="30880"/>
    <cellStyle name="20% - Accent3 2 2 3 6" xfId="17669"/>
    <cellStyle name="20% - Accent3 2 2 3 6 2" xfId="33890"/>
    <cellStyle name="20% - Accent3 2 2 3 7" xfId="27609"/>
    <cellStyle name="20% - Accent3 2 2 3 8" xfId="39302"/>
    <cellStyle name="20% - Accent3 2 2 4" xfId="6300"/>
    <cellStyle name="20% - Accent3 2 2 4 2" xfId="6299"/>
    <cellStyle name="20% - Accent3 2 2 4 2 2" xfId="6298"/>
    <cellStyle name="20% - Accent3 2 2 4 2 2 2" xfId="9811"/>
    <cellStyle name="20% - Accent3 2 2 4 2 2 2 2" xfId="19432"/>
    <cellStyle name="20% - Accent3 2 2 4 2 2 2 2 2" xfId="35653"/>
    <cellStyle name="20% - Accent3 2 2 4 2 2 2 3" xfId="28965"/>
    <cellStyle name="20% - Accent3 2 2 4 2 2 3" xfId="17299"/>
    <cellStyle name="20% - Accent3 2 2 4 2 2 3 2" xfId="33520"/>
    <cellStyle name="20% - Accent3 2 2 4 2 2 4" xfId="17675"/>
    <cellStyle name="20% - Accent3 2 2 4 2 2 4 2" xfId="33896"/>
    <cellStyle name="20% - Accent3 2 2 4 2 2 5" xfId="27603"/>
    <cellStyle name="20% - Accent3 2 2 4 2 3" xfId="9810"/>
    <cellStyle name="20% - Accent3 2 2 4 2 3 2" xfId="19431"/>
    <cellStyle name="20% - Accent3 2 2 4 2 3 2 2" xfId="35652"/>
    <cellStyle name="20% - Accent3 2 2 4 2 3 3" xfId="28964"/>
    <cellStyle name="20% - Accent3 2 2 4 2 4" xfId="15714"/>
    <cellStyle name="20% - Accent3 2 2 4 2 4 2" xfId="31936"/>
    <cellStyle name="20% - Accent3 2 2 4 2 5" xfId="17674"/>
    <cellStyle name="20% - Accent3 2 2 4 2 5 2" xfId="33895"/>
    <cellStyle name="20% - Accent3 2 2 4 2 6" xfId="27604"/>
    <cellStyle name="20% - Accent3 2 2 4 3" xfId="6297"/>
    <cellStyle name="20% - Accent3 2 2 4 3 2" xfId="9812"/>
    <cellStyle name="20% - Accent3 2 2 4 3 2 2" xfId="19433"/>
    <cellStyle name="20% - Accent3 2 2 4 3 2 2 2" xfId="35654"/>
    <cellStyle name="20% - Accent3 2 2 4 3 2 3" xfId="28966"/>
    <cellStyle name="20% - Accent3 2 2 4 3 3" xfId="16507"/>
    <cellStyle name="20% - Accent3 2 2 4 3 3 2" xfId="32728"/>
    <cellStyle name="20% - Accent3 2 2 4 3 4" xfId="17676"/>
    <cellStyle name="20% - Accent3 2 2 4 3 4 2" xfId="33897"/>
    <cellStyle name="20% - Accent3 2 2 4 3 5" xfId="27602"/>
    <cellStyle name="20% - Accent3 2 2 4 4" xfId="9809"/>
    <cellStyle name="20% - Accent3 2 2 4 4 2" xfId="19430"/>
    <cellStyle name="20% - Accent3 2 2 4 4 2 2" xfId="35651"/>
    <cellStyle name="20% - Accent3 2 2 4 4 3" xfId="28963"/>
    <cellStyle name="20% - Accent3 2 2 4 5" xfId="14922"/>
    <cellStyle name="20% - Accent3 2 2 4 5 2" xfId="31144"/>
    <cellStyle name="20% - Accent3 2 2 4 6" xfId="17673"/>
    <cellStyle name="20% - Accent3 2 2 4 6 2" xfId="33894"/>
    <cellStyle name="20% - Accent3 2 2 4 7" xfId="27605"/>
    <cellStyle name="20% - Accent3 2 2 4 8" xfId="39451"/>
    <cellStyle name="20% - Accent3 2 2 5" xfId="5722"/>
    <cellStyle name="20% - Accent3 2 2 5 2" xfId="6296"/>
    <cellStyle name="20% - Accent3 2 2 5 2 2" xfId="9814"/>
    <cellStyle name="20% - Accent3 2 2 5 2 2 2" xfId="19435"/>
    <cellStyle name="20% - Accent3 2 2 5 2 2 2 2" xfId="35656"/>
    <cellStyle name="20% - Accent3 2 2 5 2 2 3" xfId="28968"/>
    <cellStyle name="20% - Accent3 2 2 5 2 3" xfId="16771"/>
    <cellStyle name="20% - Accent3 2 2 5 2 3 2" xfId="32992"/>
    <cellStyle name="20% - Accent3 2 2 5 2 4" xfId="17678"/>
    <cellStyle name="20% - Accent3 2 2 5 2 4 2" xfId="33899"/>
    <cellStyle name="20% - Accent3 2 2 5 2 5" xfId="27601"/>
    <cellStyle name="20% - Accent3 2 2 5 3" xfId="9813"/>
    <cellStyle name="20% - Accent3 2 2 5 3 2" xfId="19434"/>
    <cellStyle name="20% - Accent3 2 2 5 3 2 2" xfId="35655"/>
    <cellStyle name="20% - Accent3 2 2 5 3 3" xfId="28967"/>
    <cellStyle name="20% - Accent3 2 2 5 4" xfId="15186"/>
    <cellStyle name="20% - Accent3 2 2 5 4 2" xfId="31408"/>
    <cellStyle name="20% - Accent3 2 2 5 5" xfId="17677"/>
    <cellStyle name="20% - Accent3 2 2 5 5 2" xfId="33898"/>
    <cellStyle name="20% - Accent3 2 2 5 6" xfId="27028"/>
    <cellStyle name="20% - Accent3 2 2 6" xfId="6295"/>
    <cellStyle name="20% - Accent3 2 2 6 2" xfId="9815"/>
    <cellStyle name="20% - Accent3 2 2 6 2 2" xfId="19436"/>
    <cellStyle name="20% - Accent3 2 2 6 2 2 2" xfId="35657"/>
    <cellStyle name="20% - Accent3 2 2 6 2 3" xfId="28969"/>
    <cellStyle name="20% - Accent3 2 2 6 3" xfId="15979"/>
    <cellStyle name="20% - Accent3 2 2 6 3 2" xfId="32200"/>
    <cellStyle name="20% - Accent3 2 2 6 4" xfId="17679"/>
    <cellStyle name="20% - Accent3 2 2 6 4 2" xfId="33900"/>
    <cellStyle name="20% - Accent3 2 2 6 5" xfId="27600"/>
    <cellStyle name="20% - Accent3 2 2 7" xfId="9792"/>
    <cellStyle name="20% - Accent3 2 2 7 2" xfId="19413"/>
    <cellStyle name="20% - Accent3 2 2 7 2 2" xfId="35634"/>
    <cellStyle name="20% - Accent3 2 2 7 3" xfId="28946"/>
    <cellStyle name="20% - Accent3 2 2 8" xfId="14394"/>
    <cellStyle name="20% - Accent3 2 2 8 2" xfId="30616"/>
    <cellStyle name="20% - Accent3 2 2 9" xfId="17656"/>
    <cellStyle name="20% - Accent3 2 2 9 2" xfId="33877"/>
    <cellStyle name="20% - Accent3 2 3" xfId="6294"/>
    <cellStyle name="20% - Accent3 2 3 10" xfId="39098"/>
    <cellStyle name="20% - Accent3 2 3 2" xfId="6293"/>
    <cellStyle name="20% - Accent3 2 3 2 2" xfId="6292"/>
    <cellStyle name="20% - Accent3 2 3 2 2 2" xfId="6291"/>
    <cellStyle name="20% - Accent3 2 3 2 2 2 2" xfId="9819"/>
    <cellStyle name="20% - Accent3 2 3 2 2 2 2 2" xfId="19440"/>
    <cellStyle name="20% - Accent3 2 3 2 2 2 2 2 2" xfId="35661"/>
    <cellStyle name="20% - Accent3 2 3 2 2 2 2 3" xfId="28973"/>
    <cellStyle name="20% - Accent3 2 3 2 2 2 3" xfId="17101"/>
    <cellStyle name="20% - Accent3 2 3 2 2 2 3 2" xfId="33322"/>
    <cellStyle name="20% - Accent3 2 3 2 2 2 4" xfId="17683"/>
    <cellStyle name="20% - Accent3 2 3 2 2 2 4 2" xfId="33904"/>
    <cellStyle name="20% - Accent3 2 3 2 2 2 5" xfId="27596"/>
    <cellStyle name="20% - Accent3 2 3 2 2 3" xfId="9818"/>
    <cellStyle name="20% - Accent3 2 3 2 2 3 2" xfId="19439"/>
    <cellStyle name="20% - Accent3 2 3 2 2 3 2 2" xfId="35660"/>
    <cellStyle name="20% - Accent3 2 3 2 2 3 3" xfId="28972"/>
    <cellStyle name="20% - Accent3 2 3 2 2 4" xfId="15516"/>
    <cellStyle name="20% - Accent3 2 3 2 2 4 2" xfId="31738"/>
    <cellStyle name="20% - Accent3 2 3 2 2 5" xfId="17682"/>
    <cellStyle name="20% - Accent3 2 3 2 2 5 2" xfId="33903"/>
    <cellStyle name="20% - Accent3 2 3 2 2 6" xfId="27597"/>
    <cellStyle name="20% - Accent3 2 3 2 3" xfId="6290"/>
    <cellStyle name="20% - Accent3 2 3 2 3 2" xfId="9820"/>
    <cellStyle name="20% - Accent3 2 3 2 3 2 2" xfId="19441"/>
    <cellStyle name="20% - Accent3 2 3 2 3 2 2 2" xfId="35662"/>
    <cellStyle name="20% - Accent3 2 3 2 3 2 3" xfId="28974"/>
    <cellStyle name="20% - Accent3 2 3 2 3 3" xfId="16309"/>
    <cellStyle name="20% - Accent3 2 3 2 3 3 2" xfId="32530"/>
    <cellStyle name="20% - Accent3 2 3 2 3 4" xfId="17684"/>
    <cellStyle name="20% - Accent3 2 3 2 3 4 2" xfId="33905"/>
    <cellStyle name="20% - Accent3 2 3 2 3 5" xfId="27595"/>
    <cellStyle name="20% - Accent3 2 3 2 4" xfId="9817"/>
    <cellStyle name="20% - Accent3 2 3 2 4 2" xfId="19438"/>
    <cellStyle name="20% - Accent3 2 3 2 4 2 2" xfId="35659"/>
    <cellStyle name="20% - Accent3 2 3 2 4 3" xfId="28971"/>
    <cellStyle name="20% - Accent3 2 3 2 5" xfId="14724"/>
    <cellStyle name="20% - Accent3 2 3 2 5 2" xfId="30946"/>
    <cellStyle name="20% - Accent3 2 3 2 6" xfId="17681"/>
    <cellStyle name="20% - Accent3 2 3 2 6 2" xfId="33902"/>
    <cellStyle name="20% - Accent3 2 3 2 7" xfId="27598"/>
    <cellStyle name="20% - Accent3 2 3 3" xfId="6289"/>
    <cellStyle name="20% - Accent3 2 3 3 2" xfId="6288"/>
    <cellStyle name="20% - Accent3 2 3 3 2 2" xfId="6287"/>
    <cellStyle name="20% - Accent3 2 3 3 2 2 2" xfId="9823"/>
    <cellStyle name="20% - Accent3 2 3 3 2 2 2 2" xfId="19444"/>
    <cellStyle name="20% - Accent3 2 3 3 2 2 2 2 2" xfId="35665"/>
    <cellStyle name="20% - Accent3 2 3 3 2 2 2 3" xfId="28977"/>
    <cellStyle name="20% - Accent3 2 3 3 2 2 3" xfId="17365"/>
    <cellStyle name="20% - Accent3 2 3 3 2 2 3 2" xfId="33586"/>
    <cellStyle name="20% - Accent3 2 3 3 2 2 4" xfId="17687"/>
    <cellStyle name="20% - Accent3 2 3 3 2 2 4 2" xfId="33908"/>
    <cellStyle name="20% - Accent3 2 3 3 2 2 5" xfId="27592"/>
    <cellStyle name="20% - Accent3 2 3 3 2 3" xfId="9822"/>
    <cellStyle name="20% - Accent3 2 3 3 2 3 2" xfId="19443"/>
    <cellStyle name="20% - Accent3 2 3 3 2 3 2 2" xfId="35664"/>
    <cellStyle name="20% - Accent3 2 3 3 2 3 3" xfId="28976"/>
    <cellStyle name="20% - Accent3 2 3 3 2 4" xfId="15780"/>
    <cellStyle name="20% - Accent3 2 3 3 2 4 2" xfId="32002"/>
    <cellStyle name="20% - Accent3 2 3 3 2 5" xfId="17686"/>
    <cellStyle name="20% - Accent3 2 3 3 2 5 2" xfId="33907"/>
    <cellStyle name="20% - Accent3 2 3 3 2 6" xfId="27593"/>
    <cellStyle name="20% - Accent3 2 3 3 3" xfId="6286"/>
    <cellStyle name="20% - Accent3 2 3 3 3 2" xfId="9824"/>
    <cellStyle name="20% - Accent3 2 3 3 3 2 2" xfId="19445"/>
    <cellStyle name="20% - Accent3 2 3 3 3 2 2 2" xfId="35666"/>
    <cellStyle name="20% - Accent3 2 3 3 3 2 3" xfId="28978"/>
    <cellStyle name="20% - Accent3 2 3 3 3 3" xfId="16573"/>
    <cellStyle name="20% - Accent3 2 3 3 3 3 2" xfId="32794"/>
    <cellStyle name="20% - Accent3 2 3 3 3 4" xfId="17688"/>
    <cellStyle name="20% - Accent3 2 3 3 3 4 2" xfId="33909"/>
    <cellStyle name="20% - Accent3 2 3 3 3 5" xfId="27591"/>
    <cellStyle name="20% - Accent3 2 3 3 4" xfId="9821"/>
    <cellStyle name="20% - Accent3 2 3 3 4 2" xfId="19442"/>
    <cellStyle name="20% - Accent3 2 3 3 4 2 2" xfId="35663"/>
    <cellStyle name="20% - Accent3 2 3 3 4 3" xfId="28975"/>
    <cellStyle name="20% - Accent3 2 3 3 5" xfId="14988"/>
    <cellStyle name="20% - Accent3 2 3 3 5 2" xfId="31210"/>
    <cellStyle name="20% - Accent3 2 3 3 6" xfId="17685"/>
    <cellStyle name="20% - Accent3 2 3 3 6 2" xfId="33906"/>
    <cellStyle name="20% - Accent3 2 3 3 7" xfId="27594"/>
    <cellStyle name="20% - Accent3 2 3 4" xfId="6285"/>
    <cellStyle name="20% - Accent3 2 3 4 2" xfId="6284"/>
    <cellStyle name="20% - Accent3 2 3 4 2 2" xfId="9826"/>
    <cellStyle name="20% - Accent3 2 3 4 2 2 2" xfId="19447"/>
    <cellStyle name="20% - Accent3 2 3 4 2 2 2 2" xfId="35668"/>
    <cellStyle name="20% - Accent3 2 3 4 2 2 3" xfId="28980"/>
    <cellStyle name="20% - Accent3 2 3 4 2 3" xfId="16837"/>
    <cellStyle name="20% - Accent3 2 3 4 2 3 2" xfId="33058"/>
    <cellStyle name="20% - Accent3 2 3 4 2 4" xfId="17690"/>
    <cellStyle name="20% - Accent3 2 3 4 2 4 2" xfId="33911"/>
    <cellStyle name="20% - Accent3 2 3 4 2 5" xfId="27589"/>
    <cellStyle name="20% - Accent3 2 3 4 3" xfId="9825"/>
    <cellStyle name="20% - Accent3 2 3 4 3 2" xfId="19446"/>
    <cellStyle name="20% - Accent3 2 3 4 3 2 2" xfId="35667"/>
    <cellStyle name="20% - Accent3 2 3 4 3 3" xfId="28979"/>
    <cellStyle name="20% - Accent3 2 3 4 4" xfId="15252"/>
    <cellStyle name="20% - Accent3 2 3 4 4 2" xfId="31474"/>
    <cellStyle name="20% - Accent3 2 3 4 5" xfId="17689"/>
    <cellStyle name="20% - Accent3 2 3 4 5 2" xfId="33910"/>
    <cellStyle name="20% - Accent3 2 3 4 6" xfId="27590"/>
    <cellStyle name="20% - Accent3 2 3 5" xfId="6283"/>
    <cellStyle name="20% - Accent3 2 3 5 2" xfId="9827"/>
    <cellStyle name="20% - Accent3 2 3 5 2 2" xfId="19448"/>
    <cellStyle name="20% - Accent3 2 3 5 2 2 2" xfId="35669"/>
    <cellStyle name="20% - Accent3 2 3 5 2 3" xfId="28981"/>
    <cellStyle name="20% - Accent3 2 3 5 3" xfId="16045"/>
    <cellStyle name="20% - Accent3 2 3 5 3 2" xfId="32266"/>
    <cellStyle name="20% - Accent3 2 3 5 4" xfId="17691"/>
    <cellStyle name="20% - Accent3 2 3 5 4 2" xfId="33912"/>
    <cellStyle name="20% - Accent3 2 3 5 5" xfId="27588"/>
    <cellStyle name="20% - Accent3 2 3 6" xfId="9816"/>
    <cellStyle name="20% - Accent3 2 3 6 2" xfId="19437"/>
    <cellStyle name="20% - Accent3 2 3 6 2 2" xfId="35658"/>
    <cellStyle name="20% - Accent3 2 3 6 3" xfId="28970"/>
    <cellStyle name="20% - Accent3 2 3 7" xfId="14460"/>
    <cellStyle name="20% - Accent3 2 3 7 2" xfId="30682"/>
    <cellStyle name="20% - Accent3 2 3 8" xfId="17680"/>
    <cellStyle name="20% - Accent3 2 3 8 2" xfId="33901"/>
    <cellStyle name="20% - Accent3 2 3 9" xfId="27599"/>
    <cellStyle name="20% - Accent3 2 4" xfId="6282"/>
    <cellStyle name="20% - Accent3 2 4 2" xfId="6281"/>
    <cellStyle name="20% - Accent3 2 4 2 2" xfId="6280"/>
    <cellStyle name="20% - Accent3 2 4 2 2 2" xfId="9830"/>
    <cellStyle name="20% - Accent3 2 4 2 2 2 2" xfId="19451"/>
    <cellStyle name="20% - Accent3 2 4 2 2 2 2 2" xfId="35672"/>
    <cellStyle name="20% - Accent3 2 4 2 2 2 3" xfId="28984"/>
    <cellStyle name="20% - Accent3 2 4 2 2 3" xfId="16969"/>
    <cellStyle name="20% - Accent3 2 4 2 2 3 2" xfId="33190"/>
    <cellStyle name="20% - Accent3 2 4 2 2 4" xfId="17694"/>
    <cellStyle name="20% - Accent3 2 4 2 2 4 2" xfId="33915"/>
    <cellStyle name="20% - Accent3 2 4 2 2 5" xfId="27585"/>
    <cellStyle name="20% - Accent3 2 4 2 3" xfId="9829"/>
    <cellStyle name="20% - Accent3 2 4 2 3 2" xfId="19450"/>
    <cellStyle name="20% - Accent3 2 4 2 3 2 2" xfId="35671"/>
    <cellStyle name="20% - Accent3 2 4 2 3 3" xfId="28983"/>
    <cellStyle name="20% - Accent3 2 4 2 4" xfId="15384"/>
    <cellStyle name="20% - Accent3 2 4 2 4 2" xfId="31606"/>
    <cellStyle name="20% - Accent3 2 4 2 5" xfId="17693"/>
    <cellStyle name="20% - Accent3 2 4 2 5 2" xfId="33914"/>
    <cellStyle name="20% - Accent3 2 4 2 6" xfId="27586"/>
    <cellStyle name="20% - Accent3 2 4 3" xfId="6279"/>
    <cellStyle name="20% - Accent3 2 4 3 2" xfId="9831"/>
    <cellStyle name="20% - Accent3 2 4 3 2 2" xfId="19452"/>
    <cellStyle name="20% - Accent3 2 4 3 2 2 2" xfId="35673"/>
    <cellStyle name="20% - Accent3 2 4 3 2 3" xfId="28985"/>
    <cellStyle name="20% - Accent3 2 4 3 3" xfId="16177"/>
    <cellStyle name="20% - Accent3 2 4 3 3 2" xfId="32398"/>
    <cellStyle name="20% - Accent3 2 4 3 4" xfId="17695"/>
    <cellStyle name="20% - Accent3 2 4 3 4 2" xfId="33916"/>
    <cellStyle name="20% - Accent3 2 4 3 5" xfId="27584"/>
    <cellStyle name="20% - Accent3 2 4 4" xfId="9828"/>
    <cellStyle name="20% - Accent3 2 4 4 2" xfId="19449"/>
    <cellStyle name="20% - Accent3 2 4 4 2 2" xfId="35670"/>
    <cellStyle name="20% - Accent3 2 4 4 3" xfId="28982"/>
    <cellStyle name="20% - Accent3 2 4 5" xfId="14592"/>
    <cellStyle name="20% - Accent3 2 4 5 2" xfId="30814"/>
    <cellStyle name="20% - Accent3 2 4 6" xfId="17692"/>
    <cellStyle name="20% - Accent3 2 4 6 2" xfId="33913"/>
    <cellStyle name="20% - Accent3 2 4 7" xfId="27587"/>
    <cellStyle name="20% - Accent3 2 4 8" xfId="39246"/>
    <cellStyle name="20% - Accent3 2 5" xfId="6278"/>
    <cellStyle name="20% - Accent3 2 5 2" xfId="6277"/>
    <cellStyle name="20% - Accent3 2 5 2 2" xfId="6276"/>
    <cellStyle name="20% - Accent3 2 5 2 2 2" xfId="9834"/>
    <cellStyle name="20% - Accent3 2 5 2 2 2 2" xfId="19455"/>
    <cellStyle name="20% - Accent3 2 5 2 2 2 2 2" xfId="35676"/>
    <cellStyle name="20% - Accent3 2 5 2 2 2 3" xfId="28988"/>
    <cellStyle name="20% - Accent3 2 5 2 2 3" xfId="17233"/>
    <cellStyle name="20% - Accent3 2 5 2 2 3 2" xfId="33454"/>
    <cellStyle name="20% - Accent3 2 5 2 2 4" xfId="17698"/>
    <cellStyle name="20% - Accent3 2 5 2 2 4 2" xfId="33919"/>
    <cellStyle name="20% - Accent3 2 5 2 2 5" xfId="27581"/>
    <cellStyle name="20% - Accent3 2 5 2 3" xfId="9833"/>
    <cellStyle name="20% - Accent3 2 5 2 3 2" xfId="19454"/>
    <cellStyle name="20% - Accent3 2 5 2 3 2 2" xfId="35675"/>
    <cellStyle name="20% - Accent3 2 5 2 3 3" xfId="28987"/>
    <cellStyle name="20% - Accent3 2 5 2 4" xfId="15648"/>
    <cellStyle name="20% - Accent3 2 5 2 4 2" xfId="31870"/>
    <cellStyle name="20% - Accent3 2 5 2 5" xfId="17697"/>
    <cellStyle name="20% - Accent3 2 5 2 5 2" xfId="33918"/>
    <cellStyle name="20% - Accent3 2 5 2 6" xfId="27582"/>
    <cellStyle name="20% - Accent3 2 5 3" xfId="6275"/>
    <cellStyle name="20% - Accent3 2 5 3 2" xfId="9835"/>
    <cellStyle name="20% - Accent3 2 5 3 2 2" xfId="19456"/>
    <cellStyle name="20% - Accent3 2 5 3 2 2 2" xfId="35677"/>
    <cellStyle name="20% - Accent3 2 5 3 2 3" xfId="28989"/>
    <cellStyle name="20% - Accent3 2 5 3 3" xfId="16441"/>
    <cellStyle name="20% - Accent3 2 5 3 3 2" xfId="32662"/>
    <cellStyle name="20% - Accent3 2 5 3 4" xfId="17699"/>
    <cellStyle name="20% - Accent3 2 5 3 4 2" xfId="33920"/>
    <cellStyle name="20% - Accent3 2 5 3 5" xfId="27580"/>
    <cellStyle name="20% - Accent3 2 5 4" xfId="9832"/>
    <cellStyle name="20% - Accent3 2 5 4 2" xfId="19453"/>
    <cellStyle name="20% - Accent3 2 5 4 2 2" xfId="35674"/>
    <cellStyle name="20% - Accent3 2 5 4 3" xfId="28986"/>
    <cellStyle name="20% - Accent3 2 5 5" xfId="14856"/>
    <cellStyle name="20% - Accent3 2 5 5 2" xfId="31078"/>
    <cellStyle name="20% - Accent3 2 5 6" xfId="17696"/>
    <cellStyle name="20% - Accent3 2 5 6 2" xfId="33917"/>
    <cellStyle name="20% - Accent3 2 5 7" xfId="27583"/>
    <cellStyle name="20% - Accent3 2 5 8" xfId="39395"/>
    <cellStyle name="20% - Accent3 2 6" xfId="6274"/>
    <cellStyle name="20% - Accent3 2 6 2" xfId="6273"/>
    <cellStyle name="20% - Accent3 2 6 2 2" xfId="9837"/>
    <cellStyle name="20% - Accent3 2 6 2 2 2" xfId="19458"/>
    <cellStyle name="20% - Accent3 2 6 2 2 2 2" xfId="35679"/>
    <cellStyle name="20% - Accent3 2 6 2 2 3" xfId="28991"/>
    <cellStyle name="20% - Accent3 2 6 2 3" xfId="16705"/>
    <cellStyle name="20% - Accent3 2 6 2 3 2" xfId="32926"/>
    <cellStyle name="20% - Accent3 2 6 2 4" xfId="17701"/>
    <cellStyle name="20% - Accent3 2 6 2 4 2" xfId="33922"/>
    <cellStyle name="20% - Accent3 2 6 2 5" xfId="27578"/>
    <cellStyle name="20% - Accent3 2 6 3" xfId="9836"/>
    <cellStyle name="20% - Accent3 2 6 3 2" xfId="19457"/>
    <cellStyle name="20% - Accent3 2 6 3 2 2" xfId="35678"/>
    <cellStyle name="20% - Accent3 2 6 3 3" xfId="28990"/>
    <cellStyle name="20% - Accent3 2 6 4" xfId="15120"/>
    <cellStyle name="20% - Accent3 2 6 4 2" xfId="31342"/>
    <cellStyle name="20% - Accent3 2 6 5" xfId="17700"/>
    <cellStyle name="20% - Accent3 2 6 5 2" xfId="33921"/>
    <cellStyle name="20% - Accent3 2 6 6" xfId="27579"/>
    <cellStyle name="20% - Accent3 2 7" xfId="6272"/>
    <cellStyle name="20% - Accent3 2 7 2" xfId="9838"/>
    <cellStyle name="20% - Accent3 2 7 2 2" xfId="19459"/>
    <cellStyle name="20% - Accent3 2 7 2 2 2" xfId="35680"/>
    <cellStyle name="20% - Accent3 2 7 2 3" xfId="28992"/>
    <cellStyle name="20% - Accent3 2 7 3" xfId="15913"/>
    <cellStyle name="20% - Accent3 2 7 3 2" xfId="32134"/>
    <cellStyle name="20% - Accent3 2 7 4" xfId="17702"/>
    <cellStyle name="20% - Accent3 2 7 4 2" xfId="33923"/>
    <cellStyle name="20% - Accent3 2 7 5" xfId="27577"/>
    <cellStyle name="20% - Accent3 2 8" xfId="9791"/>
    <cellStyle name="20% - Accent3 2 8 2" xfId="19412"/>
    <cellStyle name="20% - Accent3 2 8 2 2" xfId="35633"/>
    <cellStyle name="20% - Accent3 2 8 3" xfId="28945"/>
    <cellStyle name="20% - Accent3 2 9" xfId="14328"/>
    <cellStyle name="20% - Accent3 2 9 2" xfId="30550"/>
    <cellStyle name="20% - Accent3 3" xfId="6271"/>
    <cellStyle name="20% - Accent3 3 10" xfId="27576"/>
    <cellStyle name="20% - Accent3 3 11" xfId="38977"/>
    <cellStyle name="20% - Accent3 3 2" xfId="6270"/>
    <cellStyle name="20% - Accent3 3 2 10" xfId="39019"/>
    <cellStyle name="20% - Accent3 3 2 2" xfId="6269"/>
    <cellStyle name="20% - Accent3 3 2 2 2" xfId="6268"/>
    <cellStyle name="20% - Accent3 3 2 2 2 2" xfId="6267"/>
    <cellStyle name="20% - Accent3 3 2 2 2 2 2" xfId="9843"/>
    <cellStyle name="20% - Accent3 3 2 2 2 2 2 2" xfId="19464"/>
    <cellStyle name="20% - Accent3 3 2 2 2 2 2 2 2" xfId="35685"/>
    <cellStyle name="20% - Accent3 3 2 2 2 2 2 3" xfId="28997"/>
    <cellStyle name="20% - Accent3 3 2 2 2 2 3" xfId="17134"/>
    <cellStyle name="20% - Accent3 3 2 2 2 2 3 2" xfId="33355"/>
    <cellStyle name="20% - Accent3 3 2 2 2 2 4" xfId="17707"/>
    <cellStyle name="20% - Accent3 3 2 2 2 2 4 2" xfId="33928"/>
    <cellStyle name="20% - Accent3 3 2 2 2 2 5" xfId="27572"/>
    <cellStyle name="20% - Accent3 3 2 2 2 3" xfId="9842"/>
    <cellStyle name="20% - Accent3 3 2 2 2 3 2" xfId="19463"/>
    <cellStyle name="20% - Accent3 3 2 2 2 3 2 2" xfId="35684"/>
    <cellStyle name="20% - Accent3 3 2 2 2 3 3" xfId="28996"/>
    <cellStyle name="20% - Accent3 3 2 2 2 4" xfId="15549"/>
    <cellStyle name="20% - Accent3 3 2 2 2 4 2" xfId="31771"/>
    <cellStyle name="20% - Accent3 3 2 2 2 5" xfId="17706"/>
    <cellStyle name="20% - Accent3 3 2 2 2 5 2" xfId="33927"/>
    <cellStyle name="20% - Accent3 3 2 2 2 6" xfId="27573"/>
    <cellStyle name="20% - Accent3 3 2 2 3" xfId="6266"/>
    <cellStyle name="20% - Accent3 3 2 2 3 2" xfId="9844"/>
    <cellStyle name="20% - Accent3 3 2 2 3 2 2" xfId="19465"/>
    <cellStyle name="20% - Accent3 3 2 2 3 2 2 2" xfId="35686"/>
    <cellStyle name="20% - Accent3 3 2 2 3 2 3" xfId="28998"/>
    <cellStyle name="20% - Accent3 3 2 2 3 3" xfId="16342"/>
    <cellStyle name="20% - Accent3 3 2 2 3 3 2" xfId="32563"/>
    <cellStyle name="20% - Accent3 3 2 2 3 4" xfId="17708"/>
    <cellStyle name="20% - Accent3 3 2 2 3 4 2" xfId="33929"/>
    <cellStyle name="20% - Accent3 3 2 2 3 5" xfId="27571"/>
    <cellStyle name="20% - Accent3 3 2 2 4" xfId="9841"/>
    <cellStyle name="20% - Accent3 3 2 2 4 2" xfId="19462"/>
    <cellStyle name="20% - Accent3 3 2 2 4 2 2" xfId="35683"/>
    <cellStyle name="20% - Accent3 3 2 2 4 3" xfId="28995"/>
    <cellStyle name="20% - Accent3 3 2 2 5" xfId="14757"/>
    <cellStyle name="20% - Accent3 3 2 2 5 2" xfId="30979"/>
    <cellStyle name="20% - Accent3 3 2 2 6" xfId="17705"/>
    <cellStyle name="20% - Accent3 3 2 2 6 2" xfId="33926"/>
    <cellStyle name="20% - Accent3 3 2 2 7" xfId="27574"/>
    <cellStyle name="20% - Accent3 3 2 2 8" xfId="39167"/>
    <cellStyle name="20% - Accent3 3 2 3" xfId="6265"/>
    <cellStyle name="20% - Accent3 3 2 3 2" xfId="6264"/>
    <cellStyle name="20% - Accent3 3 2 3 2 2" xfId="6263"/>
    <cellStyle name="20% - Accent3 3 2 3 2 2 2" xfId="9847"/>
    <cellStyle name="20% - Accent3 3 2 3 2 2 2 2" xfId="19468"/>
    <cellStyle name="20% - Accent3 3 2 3 2 2 2 2 2" xfId="35689"/>
    <cellStyle name="20% - Accent3 3 2 3 2 2 2 3" xfId="29001"/>
    <cellStyle name="20% - Accent3 3 2 3 2 2 3" xfId="17398"/>
    <cellStyle name="20% - Accent3 3 2 3 2 2 3 2" xfId="33619"/>
    <cellStyle name="20% - Accent3 3 2 3 2 2 4" xfId="17711"/>
    <cellStyle name="20% - Accent3 3 2 3 2 2 4 2" xfId="33932"/>
    <cellStyle name="20% - Accent3 3 2 3 2 2 5" xfId="27568"/>
    <cellStyle name="20% - Accent3 3 2 3 2 3" xfId="9846"/>
    <cellStyle name="20% - Accent3 3 2 3 2 3 2" xfId="19467"/>
    <cellStyle name="20% - Accent3 3 2 3 2 3 2 2" xfId="35688"/>
    <cellStyle name="20% - Accent3 3 2 3 2 3 3" xfId="29000"/>
    <cellStyle name="20% - Accent3 3 2 3 2 4" xfId="15813"/>
    <cellStyle name="20% - Accent3 3 2 3 2 4 2" xfId="32035"/>
    <cellStyle name="20% - Accent3 3 2 3 2 5" xfId="17710"/>
    <cellStyle name="20% - Accent3 3 2 3 2 5 2" xfId="33931"/>
    <cellStyle name="20% - Accent3 3 2 3 2 6" xfId="27569"/>
    <cellStyle name="20% - Accent3 3 2 3 3" xfId="6262"/>
    <cellStyle name="20% - Accent3 3 2 3 3 2" xfId="9848"/>
    <cellStyle name="20% - Accent3 3 2 3 3 2 2" xfId="19469"/>
    <cellStyle name="20% - Accent3 3 2 3 3 2 2 2" xfId="35690"/>
    <cellStyle name="20% - Accent3 3 2 3 3 2 3" xfId="29002"/>
    <cellStyle name="20% - Accent3 3 2 3 3 3" xfId="16606"/>
    <cellStyle name="20% - Accent3 3 2 3 3 3 2" xfId="32827"/>
    <cellStyle name="20% - Accent3 3 2 3 3 4" xfId="17712"/>
    <cellStyle name="20% - Accent3 3 2 3 3 4 2" xfId="33933"/>
    <cellStyle name="20% - Accent3 3 2 3 3 5" xfId="27567"/>
    <cellStyle name="20% - Accent3 3 2 3 4" xfId="9845"/>
    <cellStyle name="20% - Accent3 3 2 3 4 2" xfId="19466"/>
    <cellStyle name="20% - Accent3 3 2 3 4 2 2" xfId="35687"/>
    <cellStyle name="20% - Accent3 3 2 3 4 3" xfId="28999"/>
    <cellStyle name="20% - Accent3 3 2 3 5" xfId="15021"/>
    <cellStyle name="20% - Accent3 3 2 3 5 2" xfId="31243"/>
    <cellStyle name="20% - Accent3 3 2 3 6" xfId="17709"/>
    <cellStyle name="20% - Accent3 3 2 3 6 2" xfId="33930"/>
    <cellStyle name="20% - Accent3 3 2 3 7" xfId="27570"/>
    <cellStyle name="20% - Accent3 3 2 3 8" xfId="39315"/>
    <cellStyle name="20% - Accent3 3 2 4" xfId="6261"/>
    <cellStyle name="20% - Accent3 3 2 4 2" xfId="6260"/>
    <cellStyle name="20% - Accent3 3 2 4 2 2" xfId="9850"/>
    <cellStyle name="20% - Accent3 3 2 4 2 2 2" xfId="19471"/>
    <cellStyle name="20% - Accent3 3 2 4 2 2 2 2" xfId="35692"/>
    <cellStyle name="20% - Accent3 3 2 4 2 2 3" xfId="29004"/>
    <cellStyle name="20% - Accent3 3 2 4 2 3" xfId="16870"/>
    <cellStyle name="20% - Accent3 3 2 4 2 3 2" xfId="33091"/>
    <cellStyle name="20% - Accent3 3 2 4 2 4" xfId="17714"/>
    <cellStyle name="20% - Accent3 3 2 4 2 4 2" xfId="33935"/>
    <cellStyle name="20% - Accent3 3 2 4 2 5" xfId="27565"/>
    <cellStyle name="20% - Accent3 3 2 4 3" xfId="9849"/>
    <cellStyle name="20% - Accent3 3 2 4 3 2" xfId="19470"/>
    <cellStyle name="20% - Accent3 3 2 4 3 2 2" xfId="35691"/>
    <cellStyle name="20% - Accent3 3 2 4 3 3" xfId="29003"/>
    <cellStyle name="20% - Accent3 3 2 4 4" xfId="15285"/>
    <cellStyle name="20% - Accent3 3 2 4 4 2" xfId="31507"/>
    <cellStyle name="20% - Accent3 3 2 4 5" xfId="17713"/>
    <cellStyle name="20% - Accent3 3 2 4 5 2" xfId="33934"/>
    <cellStyle name="20% - Accent3 3 2 4 6" xfId="27566"/>
    <cellStyle name="20% - Accent3 3 2 4 7" xfId="39464"/>
    <cellStyle name="20% - Accent3 3 2 5" xfId="6259"/>
    <cellStyle name="20% - Accent3 3 2 5 2" xfId="9851"/>
    <cellStyle name="20% - Accent3 3 2 5 2 2" xfId="19472"/>
    <cellStyle name="20% - Accent3 3 2 5 2 2 2" xfId="35693"/>
    <cellStyle name="20% - Accent3 3 2 5 2 3" xfId="29005"/>
    <cellStyle name="20% - Accent3 3 2 5 3" xfId="16078"/>
    <cellStyle name="20% - Accent3 3 2 5 3 2" xfId="32299"/>
    <cellStyle name="20% - Accent3 3 2 5 4" xfId="17715"/>
    <cellStyle name="20% - Accent3 3 2 5 4 2" xfId="33936"/>
    <cellStyle name="20% - Accent3 3 2 5 5" xfId="27564"/>
    <cellStyle name="20% - Accent3 3 2 6" xfId="9840"/>
    <cellStyle name="20% - Accent3 3 2 6 2" xfId="19461"/>
    <cellStyle name="20% - Accent3 3 2 6 2 2" xfId="35682"/>
    <cellStyle name="20% - Accent3 3 2 6 3" xfId="28994"/>
    <cellStyle name="20% - Accent3 3 2 7" xfId="14493"/>
    <cellStyle name="20% - Accent3 3 2 7 2" xfId="30715"/>
    <cellStyle name="20% - Accent3 3 2 8" xfId="17704"/>
    <cellStyle name="20% - Accent3 3 2 8 2" xfId="33925"/>
    <cellStyle name="20% - Accent3 3 2 9" xfId="27575"/>
    <cellStyle name="20% - Accent3 3 3" xfId="6258"/>
    <cellStyle name="20% - Accent3 3 3 2" xfId="6257"/>
    <cellStyle name="20% - Accent3 3 3 2 2" xfId="6256"/>
    <cellStyle name="20% - Accent3 3 3 2 2 2" xfId="9854"/>
    <cellStyle name="20% - Accent3 3 3 2 2 2 2" xfId="19475"/>
    <cellStyle name="20% - Accent3 3 3 2 2 2 2 2" xfId="35696"/>
    <cellStyle name="20% - Accent3 3 3 2 2 2 3" xfId="29008"/>
    <cellStyle name="20% - Accent3 3 3 2 2 3" xfId="17002"/>
    <cellStyle name="20% - Accent3 3 3 2 2 3 2" xfId="33223"/>
    <cellStyle name="20% - Accent3 3 3 2 2 4" xfId="17718"/>
    <cellStyle name="20% - Accent3 3 3 2 2 4 2" xfId="33939"/>
    <cellStyle name="20% - Accent3 3 3 2 2 5" xfId="27561"/>
    <cellStyle name="20% - Accent3 3 3 2 3" xfId="9853"/>
    <cellStyle name="20% - Accent3 3 3 2 3 2" xfId="19474"/>
    <cellStyle name="20% - Accent3 3 3 2 3 2 2" xfId="35695"/>
    <cellStyle name="20% - Accent3 3 3 2 3 3" xfId="29007"/>
    <cellStyle name="20% - Accent3 3 3 2 4" xfId="15417"/>
    <cellStyle name="20% - Accent3 3 3 2 4 2" xfId="31639"/>
    <cellStyle name="20% - Accent3 3 3 2 5" xfId="17717"/>
    <cellStyle name="20% - Accent3 3 3 2 5 2" xfId="33938"/>
    <cellStyle name="20% - Accent3 3 3 2 6" xfId="27562"/>
    <cellStyle name="20% - Accent3 3 3 3" xfId="6255"/>
    <cellStyle name="20% - Accent3 3 3 3 2" xfId="9855"/>
    <cellStyle name="20% - Accent3 3 3 3 2 2" xfId="19476"/>
    <cellStyle name="20% - Accent3 3 3 3 2 2 2" xfId="35697"/>
    <cellStyle name="20% - Accent3 3 3 3 2 3" xfId="29009"/>
    <cellStyle name="20% - Accent3 3 3 3 3" xfId="16210"/>
    <cellStyle name="20% - Accent3 3 3 3 3 2" xfId="32431"/>
    <cellStyle name="20% - Accent3 3 3 3 4" xfId="17719"/>
    <cellStyle name="20% - Accent3 3 3 3 4 2" xfId="33940"/>
    <cellStyle name="20% - Accent3 3 3 3 5" xfId="27560"/>
    <cellStyle name="20% - Accent3 3 3 4" xfId="9852"/>
    <cellStyle name="20% - Accent3 3 3 4 2" xfId="19473"/>
    <cellStyle name="20% - Accent3 3 3 4 2 2" xfId="35694"/>
    <cellStyle name="20% - Accent3 3 3 4 3" xfId="29006"/>
    <cellStyle name="20% - Accent3 3 3 5" xfId="14625"/>
    <cellStyle name="20% - Accent3 3 3 5 2" xfId="30847"/>
    <cellStyle name="20% - Accent3 3 3 6" xfId="17716"/>
    <cellStyle name="20% - Accent3 3 3 6 2" xfId="33937"/>
    <cellStyle name="20% - Accent3 3 3 7" xfId="27563"/>
    <cellStyle name="20% - Accent3 3 3 8" xfId="39111"/>
    <cellStyle name="20% - Accent3 3 4" xfId="6254"/>
    <cellStyle name="20% - Accent3 3 4 2" xfId="6253"/>
    <cellStyle name="20% - Accent3 3 4 2 2" xfId="6252"/>
    <cellStyle name="20% - Accent3 3 4 2 2 2" xfId="9858"/>
    <cellStyle name="20% - Accent3 3 4 2 2 2 2" xfId="19479"/>
    <cellStyle name="20% - Accent3 3 4 2 2 2 2 2" xfId="35700"/>
    <cellStyle name="20% - Accent3 3 4 2 2 2 3" xfId="29012"/>
    <cellStyle name="20% - Accent3 3 4 2 2 3" xfId="17266"/>
    <cellStyle name="20% - Accent3 3 4 2 2 3 2" xfId="33487"/>
    <cellStyle name="20% - Accent3 3 4 2 2 4" xfId="17722"/>
    <cellStyle name="20% - Accent3 3 4 2 2 4 2" xfId="33943"/>
    <cellStyle name="20% - Accent3 3 4 2 2 5" xfId="27557"/>
    <cellStyle name="20% - Accent3 3 4 2 3" xfId="9857"/>
    <cellStyle name="20% - Accent3 3 4 2 3 2" xfId="19478"/>
    <cellStyle name="20% - Accent3 3 4 2 3 2 2" xfId="35699"/>
    <cellStyle name="20% - Accent3 3 4 2 3 3" xfId="29011"/>
    <cellStyle name="20% - Accent3 3 4 2 4" xfId="15681"/>
    <cellStyle name="20% - Accent3 3 4 2 4 2" xfId="31903"/>
    <cellStyle name="20% - Accent3 3 4 2 5" xfId="17721"/>
    <cellStyle name="20% - Accent3 3 4 2 5 2" xfId="33942"/>
    <cellStyle name="20% - Accent3 3 4 2 6" xfId="27558"/>
    <cellStyle name="20% - Accent3 3 4 3" xfId="6251"/>
    <cellStyle name="20% - Accent3 3 4 3 2" xfId="9859"/>
    <cellStyle name="20% - Accent3 3 4 3 2 2" xfId="19480"/>
    <cellStyle name="20% - Accent3 3 4 3 2 2 2" xfId="35701"/>
    <cellStyle name="20% - Accent3 3 4 3 2 3" xfId="29013"/>
    <cellStyle name="20% - Accent3 3 4 3 3" xfId="16474"/>
    <cellStyle name="20% - Accent3 3 4 3 3 2" xfId="32695"/>
    <cellStyle name="20% - Accent3 3 4 3 4" xfId="17723"/>
    <cellStyle name="20% - Accent3 3 4 3 4 2" xfId="33944"/>
    <cellStyle name="20% - Accent3 3 4 3 5" xfId="27556"/>
    <cellStyle name="20% - Accent3 3 4 4" xfId="9856"/>
    <cellStyle name="20% - Accent3 3 4 4 2" xfId="19477"/>
    <cellStyle name="20% - Accent3 3 4 4 2 2" xfId="35698"/>
    <cellStyle name="20% - Accent3 3 4 4 3" xfId="29010"/>
    <cellStyle name="20% - Accent3 3 4 5" xfId="14889"/>
    <cellStyle name="20% - Accent3 3 4 5 2" xfId="31111"/>
    <cellStyle name="20% - Accent3 3 4 6" xfId="17720"/>
    <cellStyle name="20% - Accent3 3 4 6 2" xfId="33941"/>
    <cellStyle name="20% - Accent3 3 4 7" xfId="27559"/>
    <cellStyle name="20% - Accent3 3 4 8" xfId="39259"/>
    <cellStyle name="20% - Accent3 3 5" xfId="6250"/>
    <cellStyle name="20% - Accent3 3 5 2" xfId="6249"/>
    <cellStyle name="20% - Accent3 3 5 2 2" xfId="9861"/>
    <cellStyle name="20% - Accent3 3 5 2 2 2" xfId="19482"/>
    <cellStyle name="20% - Accent3 3 5 2 2 2 2" xfId="35703"/>
    <cellStyle name="20% - Accent3 3 5 2 2 3" xfId="29015"/>
    <cellStyle name="20% - Accent3 3 5 2 3" xfId="16738"/>
    <cellStyle name="20% - Accent3 3 5 2 3 2" xfId="32959"/>
    <cellStyle name="20% - Accent3 3 5 2 4" xfId="17725"/>
    <cellStyle name="20% - Accent3 3 5 2 4 2" xfId="33946"/>
    <cellStyle name="20% - Accent3 3 5 2 5" xfId="27554"/>
    <cellStyle name="20% - Accent3 3 5 3" xfId="9860"/>
    <cellStyle name="20% - Accent3 3 5 3 2" xfId="19481"/>
    <cellStyle name="20% - Accent3 3 5 3 2 2" xfId="35702"/>
    <cellStyle name="20% - Accent3 3 5 3 3" xfId="29014"/>
    <cellStyle name="20% - Accent3 3 5 4" xfId="15153"/>
    <cellStyle name="20% - Accent3 3 5 4 2" xfId="31375"/>
    <cellStyle name="20% - Accent3 3 5 5" xfId="17724"/>
    <cellStyle name="20% - Accent3 3 5 5 2" xfId="33945"/>
    <cellStyle name="20% - Accent3 3 5 6" xfId="27555"/>
    <cellStyle name="20% - Accent3 3 5 7" xfId="39408"/>
    <cellStyle name="20% - Accent3 3 6" xfId="6248"/>
    <cellStyle name="20% - Accent3 3 6 2" xfId="9862"/>
    <cellStyle name="20% - Accent3 3 6 2 2" xfId="19483"/>
    <cellStyle name="20% - Accent3 3 6 2 2 2" xfId="35704"/>
    <cellStyle name="20% - Accent3 3 6 2 3" xfId="29016"/>
    <cellStyle name="20% - Accent3 3 6 3" xfId="15946"/>
    <cellStyle name="20% - Accent3 3 6 3 2" xfId="32167"/>
    <cellStyle name="20% - Accent3 3 6 4" xfId="17726"/>
    <cellStyle name="20% - Accent3 3 6 4 2" xfId="33947"/>
    <cellStyle name="20% - Accent3 3 6 5" xfId="27553"/>
    <cellStyle name="20% - Accent3 3 7" xfId="9839"/>
    <cellStyle name="20% - Accent3 3 7 2" xfId="19460"/>
    <cellStyle name="20% - Accent3 3 7 2 2" xfId="35681"/>
    <cellStyle name="20% - Accent3 3 7 3" xfId="28993"/>
    <cellStyle name="20% - Accent3 3 8" xfId="14361"/>
    <cellStyle name="20% - Accent3 3 8 2" xfId="30583"/>
    <cellStyle name="20% - Accent3 3 9" xfId="17703"/>
    <cellStyle name="20% - Accent3 3 9 2" xfId="33924"/>
    <cellStyle name="20% - Accent3 4" xfId="6247"/>
    <cellStyle name="20% - Accent3 4 10" xfId="38990"/>
    <cellStyle name="20% - Accent3 4 2" xfId="6246"/>
    <cellStyle name="20% - Accent3 4 2 2" xfId="6245"/>
    <cellStyle name="20% - Accent3 4 2 2 2" xfId="6244"/>
    <cellStyle name="20% - Accent3 4 2 2 2 2" xfId="9866"/>
    <cellStyle name="20% - Accent3 4 2 2 2 2 2" xfId="19487"/>
    <cellStyle name="20% - Accent3 4 2 2 2 2 2 2" xfId="35708"/>
    <cellStyle name="20% - Accent3 4 2 2 2 2 3" xfId="29020"/>
    <cellStyle name="20% - Accent3 4 2 2 2 3" xfId="17068"/>
    <cellStyle name="20% - Accent3 4 2 2 2 3 2" xfId="33289"/>
    <cellStyle name="20% - Accent3 4 2 2 2 4" xfId="17730"/>
    <cellStyle name="20% - Accent3 4 2 2 2 4 2" xfId="33951"/>
    <cellStyle name="20% - Accent3 4 2 2 2 5" xfId="27549"/>
    <cellStyle name="20% - Accent3 4 2 2 3" xfId="9865"/>
    <cellStyle name="20% - Accent3 4 2 2 3 2" xfId="19486"/>
    <cellStyle name="20% - Accent3 4 2 2 3 2 2" xfId="35707"/>
    <cellStyle name="20% - Accent3 4 2 2 3 3" xfId="29019"/>
    <cellStyle name="20% - Accent3 4 2 2 4" xfId="15483"/>
    <cellStyle name="20% - Accent3 4 2 2 4 2" xfId="31705"/>
    <cellStyle name="20% - Accent3 4 2 2 5" xfId="17729"/>
    <cellStyle name="20% - Accent3 4 2 2 5 2" xfId="33950"/>
    <cellStyle name="20% - Accent3 4 2 2 6" xfId="27550"/>
    <cellStyle name="20% - Accent3 4 2 2 7" xfId="39180"/>
    <cellStyle name="20% - Accent3 4 2 3" xfId="6243"/>
    <cellStyle name="20% - Accent3 4 2 3 2" xfId="9867"/>
    <cellStyle name="20% - Accent3 4 2 3 2 2" xfId="19488"/>
    <cellStyle name="20% - Accent3 4 2 3 2 2 2" xfId="35709"/>
    <cellStyle name="20% - Accent3 4 2 3 2 3" xfId="29021"/>
    <cellStyle name="20% - Accent3 4 2 3 3" xfId="16276"/>
    <cellStyle name="20% - Accent3 4 2 3 3 2" xfId="32497"/>
    <cellStyle name="20% - Accent3 4 2 3 4" xfId="17731"/>
    <cellStyle name="20% - Accent3 4 2 3 4 2" xfId="33952"/>
    <cellStyle name="20% - Accent3 4 2 3 5" xfId="27548"/>
    <cellStyle name="20% - Accent3 4 2 3 6" xfId="39328"/>
    <cellStyle name="20% - Accent3 4 2 4" xfId="9864"/>
    <cellStyle name="20% - Accent3 4 2 4 2" xfId="19485"/>
    <cellStyle name="20% - Accent3 4 2 4 2 2" xfId="35706"/>
    <cellStyle name="20% - Accent3 4 2 4 3" xfId="29018"/>
    <cellStyle name="20% - Accent3 4 2 4 4" xfId="39477"/>
    <cellStyle name="20% - Accent3 4 2 5" xfId="14691"/>
    <cellStyle name="20% - Accent3 4 2 5 2" xfId="30913"/>
    <cellStyle name="20% - Accent3 4 2 6" xfId="17728"/>
    <cellStyle name="20% - Accent3 4 2 6 2" xfId="33949"/>
    <cellStyle name="20% - Accent3 4 2 7" xfId="27551"/>
    <cellStyle name="20% - Accent3 4 2 8" xfId="39032"/>
    <cellStyle name="20% - Accent3 4 3" xfId="6242"/>
    <cellStyle name="20% - Accent3 4 3 2" xfId="6241"/>
    <cellStyle name="20% - Accent3 4 3 2 2" xfId="6240"/>
    <cellStyle name="20% - Accent3 4 3 2 2 2" xfId="9870"/>
    <cellStyle name="20% - Accent3 4 3 2 2 2 2" xfId="19491"/>
    <cellStyle name="20% - Accent3 4 3 2 2 2 2 2" xfId="35712"/>
    <cellStyle name="20% - Accent3 4 3 2 2 2 3" xfId="29024"/>
    <cellStyle name="20% - Accent3 4 3 2 2 3" xfId="17332"/>
    <cellStyle name="20% - Accent3 4 3 2 2 3 2" xfId="33553"/>
    <cellStyle name="20% - Accent3 4 3 2 2 4" xfId="17734"/>
    <cellStyle name="20% - Accent3 4 3 2 2 4 2" xfId="33955"/>
    <cellStyle name="20% - Accent3 4 3 2 2 5" xfId="27545"/>
    <cellStyle name="20% - Accent3 4 3 2 3" xfId="9869"/>
    <cellStyle name="20% - Accent3 4 3 2 3 2" xfId="19490"/>
    <cellStyle name="20% - Accent3 4 3 2 3 2 2" xfId="35711"/>
    <cellStyle name="20% - Accent3 4 3 2 3 3" xfId="29023"/>
    <cellStyle name="20% - Accent3 4 3 2 4" xfId="15747"/>
    <cellStyle name="20% - Accent3 4 3 2 4 2" xfId="31969"/>
    <cellStyle name="20% - Accent3 4 3 2 5" xfId="17733"/>
    <cellStyle name="20% - Accent3 4 3 2 5 2" xfId="33954"/>
    <cellStyle name="20% - Accent3 4 3 2 6" xfId="27546"/>
    <cellStyle name="20% - Accent3 4 3 3" xfId="6239"/>
    <cellStyle name="20% - Accent3 4 3 3 2" xfId="9871"/>
    <cellStyle name="20% - Accent3 4 3 3 2 2" xfId="19492"/>
    <cellStyle name="20% - Accent3 4 3 3 2 2 2" xfId="35713"/>
    <cellStyle name="20% - Accent3 4 3 3 2 3" xfId="29025"/>
    <cellStyle name="20% - Accent3 4 3 3 3" xfId="16540"/>
    <cellStyle name="20% - Accent3 4 3 3 3 2" xfId="32761"/>
    <cellStyle name="20% - Accent3 4 3 3 4" xfId="17735"/>
    <cellStyle name="20% - Accent3 4 3 3 4 2" xfId="33956"/>
    <cellStyle name="20% - Accent3 4 3 3 5" xfId="27544"/>
    <cellStyle name="20% - Accent3 4 3 4" xfId="9868"/>
    <cellStyle name="20% - Accent3 4 3 4 2" xfId="19489"/>
    <cellStyle name="20% - Accent3 4 3 4 2 2" xfId="35710"/>
    <cellStyle name="20% - Accent3 4 3 4 3" xfId="29022"/>
    <cellStyle name="20% - Accent3 4 3 5" xfId="14955"/>
    <cellStyle name="20% - Accent3 4 3 5 2" xfId="31177"/>
    <cellStyle name="20% - Accent3 4 3 6" xfId="17732"/>
    <cellStyle name="20% - Accent3 4 3 6 2" xfId="33953"/>
    <cellStyle name="20% - Accent3 4 3 7" xfId="27547"/>
    <cellStyle name="20% - Accent3 4 3 8" xfId="39124"/>
    <cellStyle name="20% - Accent3 4 4" xfId="6238"/>
    <cellStyle name="20% - Accent3 4 4 2" xfId="6237"/>
    <cellStyle name="20% - Accent3 4 4 2 2" xfId="9873"/>
    <cellStyle name="20% - Accent3 4 4 2 2 2" xfId="19494"/>
    <cellStyle name="20% - Accent3 4 4 2 2 2 2" xfId="35715"/>
    <cellStyle name="20% - Accent3 4 4 2 2 3" xfId="29027"/>
    <cellStyle name="20% - Accent3 4 4 2 3" xfId="16804"/>
    <cellStyle name="20% - Accent3 4 4 2 3 2" xfId="33025"/>
    <cellStyle name="20% - Accent3 4 4 2 4" xfId="17737"/>
    <cellStyle name="20% - Accent3 4 4 2 4 2" xfId="33958"/>
    <cellStyle name="20% - Accent3 4 4 2 5" xfId="27542"/>
    <cellStyle name="20% - Accent3 4 4 3" xfId="9872"/>
    <cellStyle name="20% - Accent3 4 4 3 2" xfId="19493"/>
    <cellStyle name="20% - Accent3 4 4 3 2 2" xfId="35714"/>
    <cellStyle name="20% - Accent3 4 4 3 3" xfId="29026"/>
    <cellStyle name="20% - Accent3 4 4 4" xfId="15219"/>
    <cellStyle name="20% - Accent3 4 4 4 2" xfId="31441"/>
    <cellStyle name="20% - Accent3 4 4 5" xfId="17736"/>
    <cellStyle name="20% - Accent3 4 4 5 2" xfId="33957"/>
    <cellStyle name="20% - Accent3 4 4 6" xfId="27543"/>
    <cellStyle name="20% - Accent3 4 4 7" xfId="39272"/>
    <cellStyle name="20% - Accent3 4 5" xfId="6236"/>
    <cellStyle name="20% - Accent3 4 5 2" xfId="9874"/>
    <cellStyle name="20% - Accent3 4 5 2 2" xfId="19495"/>
    <cellStyle name="20% - Accent3 4 5 2 2 2" xfId="35716"/>
    <cellStyle name="20% - Accent3 4 5 2 3" xfId="29028"/>
    <cellStyle name="20% - Accent3 4 5 3" xfId="16012"/>
    <cellStyle name="20% - Accent3 4 5 3 2" xfId="32233"/>
    <cellStyle name="20% - Accent3 4 5 4" xfId="17738"/>
    <cellStyle name="20% - Accent3 4 5 4 2" xfId="33959"/>
    <cellStyle name="20% - Accent3 4 5 5" xfId="27541"/>
    <cellStyle name="20% - Accent3 4 5 6" xfId="39421"/>
    <cellStyle name="20% - Accent3 4 6" xfId="9863"/>
    <cellStyle name="20% - Accent3 4 6 2" xfId="19484"/>
    <cellStyle name="20% - Accent3 4 6 2 2" xfId="35705"/>
    <cellStyle name="20% - Accent3 4 6 3" xfId="29017"/>
    <cellStyle name="20% - Accent3 4 7" xfId="14427"/>
    <cellStyle name="20% - Accent3 4 7 2" xfId="30649"/>
    <cellStyle name="20% - Accent3 4 8" xfId="17727"/>
    <cellStyle name="20% - Accent3 4 8 2" xfId="33948"/>
    <cellStyle name="20% - Accent3 4 9" xfId="27552"/>
    <cellStyle name="20% - Accent3 5" xfId="6235"/>
    <cellStyle name="20% - Accent3 5 2" xfId="6234"/>
    <cellStyle name="20% - Accent3 5 2 2" xfId="6233"/>
    <cellStyle name="20% - Accent3 5 2 2 2" xfId="9877"/>
    <cellStyle name="20% - Accent3 5 2 2 2 2" xfId="19498"/>
    <cellStyle name="20% - Accent3 5 2 2 2 2 2" xfId="35719"/>
    <cellStyle name="20% - Accent3 5 2 2 2 3" xfId="29031"/>
    <cellStyle name="20% - Accent3 5 2 2 3" xfId="16936"/>
    <cellStyle name="20% - Accent3 5 2 2 3 2" xfId="33157"/>
    <cellStyle name="20% - Accent3 5 2 2 4" xfId="17741"/>
    <cellStyle name="20% - Accent3 5 2 2 4 2" xfId="33962"/>
    <cellStyle name="20% - Accent3 5 2 2 5" xfId="27538"/>
    <cellStyle name="20% - Accent3 5 2 3" xfId="9876"/>
    <cellStyle name="20% - Accent3 5 2 3 2" xfId="19497"/>
    <cellStyle name="20% - Accent3 5 2 3 2 2" xfId="35718"/>
    <cellStyle name="20% - Accent3 5 2 3 3" xfId="29030"/>
    <cellStyle name="20% - Accent3 5 2 4" xfId="15351"/>
    <cellStyle name="20% - Accent3 5 2 4 2" xfId="31573"/>
    <cellStyle name="20% - Accent3 5 2 5" xfId="17740"/>
    <cellStyle name="20% - Accent3 5 2 5 2" xfId="33961"/>
    <cellStyle name="20% - Accent3 5 2 6" xfId="27539"/>
    <cellStyle name="20% - Accent3 5 2 7" xfId="39134"/>
    <cellStyle name="20% - Accent3 5 3" xfId="6232"/>
    <cellStyle name="20% - Accent3 5 3 2" xfId="9878"/>
    <cellStyle name="20% - Accent3 5 3 2 2" xfId="19499"/>
    <cellStyle name="20% - Accent3 5 3 2 2 2" xfId="35720"/>
    <cellStyle name="20% - Accent3 5 3 2 3" xfId="29032"/>
    <cellStyle name="20% - Accent3 5 3 3" xfId="16144"/>
    <cellStyle name="20% - Accent3 5 3 3 2" xfId="32365"/>
    <cellStyle name="20% - Accent3 5 3 4" xfId="17742"/>
    <cellStyle name="20% - Accent3 5 3 4 2" xfId="33963"/>
    <cellStyle name="20% - Accent3 5 3 5" xfId="27537"/>
    <cellStyle name="20% - Accent3 5 3 6" xfId="39282"/>
    <cellStyle name="20% - Accent3 5 4" xfId="9875"/>
    <cellStyle name="20% - Accent3 5 4 2" xfId="19496"/>
    <cellStyle name="20% - Accent3 5 4 2 2" xfId="35717"/>
    <cellStyle name="20% - Accent3 5 4 3" xfId="29029"/>
    <cellStyle name="20% - Accent3 5 4 4" xfId="39431"/>
    <cellStyle name="20% - Accent3 5 5" xfId="14559"/>
    <cellStyle name="20% - Accent3 5 5 2" xfId="30781"/>
    <cellStyle name="20% - Accent3 5 6" xfId="17739"/>
    <cellStyle name="20% - Accent3 5 6 2" xfId="33960"/>
    <cellStyle name="20% - Accent3 5 7" xfId="27540"/>
    <cellStyle name="20% - Accent3 5 8" xfId="39000"/>
    <cellStyle name="20% - Accent3 6" xfId="6231"/>
    <cellStyle name="20% - Accent3 6 2" xfId="6230"/>
    <cellStyle name="20% - Accent3 6 2 2" xfId="6229"/>
    <cellStyle name="20% - Accent3 6 2 2 2" xfId="9881"/>
    <cellStyle name="20% - Accent3 6 2 2 2 2" xfId="19502"/>
    <cellStyle name="20% - Accent3 6 2 2 2 2 2" xfId="35723"/>
    <cellStyle name="20% - Accent3 6 2 2 2 3" xfId="29035"/>
    <cellStyle name="20% - Accent3 6 2 2 3" xfId="17200"/>
    <cellStyle name="20% - Accent3 6 2 2 3 2" xfId="33421"/>
    <cellStyle name="20% - Accent3 6 2 2 4" xfId="17745"/>
    <cellStyle name="20% - Accent3 6 2 2 4 2" xfId="33966"/>
    <cellStyle name="20% - Accent3 6 2 2 5" xfId="27534"/>
    <cellStyle name="20% - Accent3 6 2 3" xfId="9880"/>
    <cellStyle name="20% - Accent3 6 2 3 2" xfId="19501"/>
    <cellStyle name="20% - Accent3 6 2 3 2 2" xfId="35722"/>
    <cellStyle name="20% - Accent3 6 2 3 3" xfId="29034"/>
    <cellStyle name="20% - Accent3 6 2 4" xfId="15615"/>
    <cellStyle name="20% - Accent3 6 2 4 2" xfId="31837"/>
    <cellStyle name="20% - Accent3 6 2 5" xfId="17744"/>
    <cellStyle name="20% - Accent3 6 2 5 2" xfId="33965"/>
    <cellStyle name="20% - Accent3 6 2 6" xfId="27535"/>
    <cellStyle name="20% - Accent3 6 3" xfId="6228"/>
    <cellStyle name="20% - Accent3 6 3 2" xfId="9882"/>
    <cellStyle name="20% - Accent3 6 3 2 2" xfId="19503"/>
    <cellStyle name="20% - Accent3 6 3 2 2 2" xfId="35724"/>
    <cellStyle name="20% - Accent3 6 3 2 3" xfId="29036"/>
    <cellStyle name="20% - Accent3 6 3 3" xfId="16408"/>
    <cellStyle name="20% - Accent3 6 3 3 2" xfId="32629"/>
    <cellStyle name="20% - Accent3 6 3 4" xfId="17746"/>
    <cellStyle name="20% - Accent3 6 3 4 2" xfId="33967"/>
    <cellStyle name="20% - Accent3 6 3 5" xfId="27533"/>
    <cellStyle name="20% - Accent3 6 4" xfId="9879"/>
    <cellStyle name="20% - Accent3 6 4 2" xfId="19500"/>
    <cellStyle name="20% - Accent3 6 4 2 2" xfId="35721"/>
    <cellStyle name="20% - Accent3 6 4 3" xfId="29033"/>
    <cellStyle name="20% - Accent3 6 5" xfId="14823"/>
    <cellStyle name="20% - Accent3 6 5 2" xfId="31045"/>
    <cellStyle name="20% - Accent3 6 6" xfId="17743"/>
    <cellStyle name="20% - Accent3 6 6 2" xfId="33964"/>
    <cellStyle name="20% - Accent3 6 7" xfId="27536"/>
    <cellStyle name="20% - Accent3 6 8" xfId="39080"/>
    <cellStyle name="20% - Accent3 7" xfId="6227"/>
    <cellStyle name="20% - Accent3 7 2" xfId="6226"/>
    <cellStyle name="20% - Accent3 7 2 2" xfId="9884"/>
    <cellStyle name="20% - Accent3 7 2 2 2" xfId="19505"/>
    <cellStyle name="20% - Accent3 7 2 2 2 2" xfId="35726"/>
    <cellStyle name="20% - Accent3 7 2 2 3" xfId="29038"/>
    <cellStyle name="20% - Accent3 7 2 3" xfId="16672"/>
    <cellStyle name="20% - Accent3 7 2 3 2" xfId="32893"/>
    <cellStyle name="20% - Accent3 7 2 4" xfId="17748"/>
    <cellStyle name="20% - Accent3 7 2 4 2" xfId="33969"/>
    <cellStyle name="20% - Accent3 7 2 5" xfId="27531"/>
    <cellStyle name="20% - Accent3 7 3" xfId="9883"/>
    <cellStyle name="20% - Accent3 7 3 2" xfId="19504"/>
    <cellStyle name="20% - Accent3 7 3 2 2" xfId="35725"/>
    <cellStyle name="20% - Accent3 7 3 3" xfId="29037"/>
    <cellStyle name="20% - Accent3 7 4" xfId="15087"/>
    <cellStyle name="20% - Accent3 7 4 2" xfId="31309"/>
    <cellStyle name="20% - Accent3 7 5" xfId="17747"/>
    <cellStyle name="20% - Accent3 7 5 2" xfId="33968"/>
    <cellStyle name="20% - Accent3 7 6" xfId="27532"/>
    <cellStyle name="20% - Accent3 7 7" xfId="39228"/>
    <cellStyle name="20% - Accent3 8" xfId="6225"/>
    <cellStyle name="20% - Accent3 8 2" xfId="9885"/>
    <cellStyle name="20% - Accent3 8 2 2" xfId="19506"/>
    <cellStyle name="20% - Accent3 8 2 2 2" xfId="35727"/>
    <cellStyle name="20% - Accent3 8 2 3" xfId="29039"/>
    <cellStyle name="20% - Accent3 8 3" xfId="15881"/>
    <cellStyle name="20% - Accent3 8 3 2" xfId="32102"/>
    <cellStyle name="20% - Accent3 8 4" xfId="17749"/>
    <cellStyle name="20% - Accent3 8 4 2" xfId="33970"/>
    <cellStyle name="20% - Accent3 8 5" xfId="27530"/>
    <cellStyle name="20% - Accent3 8 6" xfId="39377"/>
    <cellStyle name="20% - Accent3 9" xfId="9790"/>
    <cellStyle name="20% - Accent3 9 2" xfId="19411"/>
    <cellStyle name="20% - Accent3 9 2 2" xfId="35632"/>
    <cellStyle name="20% - Accent3 9 3" xfId="28944"/>
    <cellStyle name="20% - Accent4" xfId="39" builtinId="42" customBuiltin="1"/>
    <cellStyle name="20% - Accent4 10" xfId="14227"/>
    <cellStyle name="20% - Accent4 10 2" xfId="30514"/>
    <cellStyle name="20% - Accent4 11" xfId="17750"/>
    <cellStyle name="20% - Accent4 11 2" xfId="33971"/>
    <cellStyle name="20% - Accent4 12" xfId="26989"/>
    <cellStyle name="20% - Accent4 13" xfId="38908"/>
    <cellStyle name="20% - Accent4 14" xfId="4842"/>
    <cellStyle name="20% - Accent4 2" xfId="4869"/>
    <cellStyle name="20% - Accent4 2 10" xfId="17751"/>
    <cellStyle name="20% - Accent4 2 10 2" xfId="33972"/>
    <cellStyle name="20% - Accent4 2 11" xfId="27005"/>
    <cellStyle name="20% - Accent4 2 12" xfId="38771"/>
    <cellStyle name="20% - Accent4 2 2" xfId="6224"/>
    <cellStyle name="20% - Accent4 2 2 10" xfId="27529"/>
    <cellStyle name="20% - Accent4 2 2 11" xfId="38966"/>
    <cellStyle name="20% - Accent4 2 2 2" xfId="6223"/>
    <cellStyle name="20% - Accent4 2 2 2 10" xfId="39156"/>
    <cellStyle name="20% - Accent4 2 2 2 2" xfId="6222"/>
    <cellStyle name="20% - Accent4 2 2 2 2 2" xfId="6221"/>
    <cellStyle name="20% - Accent4 2 2 2 2 2 2" xfId="6220"/>
    <cellStyle name="20% - Accent4 2 2 2 2 2 2 2" xfId="9892"/>
    <cellStyle name="20% - Accent4 2 2 2 2 2 2 2 2" xfId="19513"/>
    <cellStyle name="20% - Accent4 2 2 2 2 2 2 2 2 2" xfId="35734"/>
    <cellStyle name="20% - Accent4 2 2 2 2 2 2 2 3" xfId="29046"/>
    <cellStyle name="20% - Accent4 2 2 2 2 2 2 3" xfId="17168"/>
    <cellStyle name="20% - Accent4 2 2 2 2 2 2 3 2" xfId="33389"/>
    <cellStyle name="20% - Accent4 2 2 2 2 2 2 4" xfId="17756"/>
    <cellStyle name="20% - Accent4 2 2 2 2 2 2 4 2" xfId="33977"/>
    <cellStyle name="20% - Accent4 2 2 2 2 2 2 5" xfId="27525"/>
    <cellStyle name="20% - Accent4 2 2 2 2 2 3" xfId="9891"/>
    <cellStyle name="20% - Accent4 2 2 2 2 2 3 2" xfId="19512"/>
    <cellStyle name="20% - Accent4 2 2 2 2 2 3 2 2" xfId="35733"/>
    <cellStyle name="20% - Accent4 2 2 2 2 2 3 3" xfId="29045"/>
    <cellStyle name="20% - Accent4 2 2 2 2 2 4" xfId="15583"/>
    <cellStyle name="20% - Accent4 2 2 2 2 2 4 2" xfId="31805"/>
    <cellStyle name="20% - Accent4 2 2 2 2 2 5" xfId="17755"/>
    <cellStyle name="20% - Accent4 2 2 2 2 2 5 2" xfId="33976"/>
    <cellStyle name="20% - Accent4 2 2 2 2 2 6" xfId="27526"/>
    <cellStyle name="20% - Accent4 2 2 2 2 3" xfId="6219"/>
    <cellStyle name="20% - Accent4 2 2 2 2 3 2" xfId="9893"/>
    <cellStyle name="20% - Accent4 2 2 2 2 3 2 2" xfId="19514"/>
    <cellStyle name="20% - Accent4 2 2 2 2 3 2 2 2" xfId="35735"/>
    <cellStyle name="20% - Accent4 2 2 2 2 3 2 3" xfId="29047"/>
    <cellStyle name="20% - Accent4 2 2 2 2 3 3" xfId="16376"/>
    <cellStyle name="20% - Accent4 2 2 2 2 3 3 2" xfId="32597"/>
    <cellStyle name="20% - Accent4 2 2 2 2 3 4" xfId="17757"/>
    <cellStyle name="20% - Accent4 2 2 2 2 3 4 2" xfId="33978"/>
    <cellStyle name="20% - Accent4 2 2 2 2 3 5" xfId="27524"/>
    <cellStyle name="20% - Accent4 2 2 2 2 4" xfId="9890"/>
    <cellStyle name="20% - Accent4 2 2 2 2 4 2" xfId="19511"/>
    <cellStyle name="20% - Accent4 2 2 2 2 4 2 2" xfId="35732"/>
    <cellStyle name="20% - Accent4 2 2 2 2 4 3" xfId="29044"/>
    <cellStyle name="20% - Accent4 2 2 2 2 5" xfId="14791"/>
    <cellStyle name="20% - Accent4 2 2 2 2 5 2" xfId="31013"/>
    <cellStyle name="20% - Accent4 2 2 2 2 6" xfId="17754"/>
    <cellStyle name="20% - Accent4 2 2 2 2 6 2" xfId="33975"/>
    <cellStyle name="20% - Accent4 2 2 2 2 7" xfId="27527"/>
    <cellStyle name="20% - Accent4 2 2 2 3" xfId="6218"/>
    <cellStyle name="20% - Accent4 2 2 2 3 2" xfId="6217"/>
    <cellStyle name="20% - Accent4 2 2 2 3 2 2" xfId="6216"/>
    <cellStyle name="20% - Accent4 2 2 2 3 2 2 2" xfId="9896"/>
    <cellStyle name="20% - Accent4 2 2 2 3 2 2 2 2" xfId="19517"/>
    <cellStyle name="20% - Accent4 2 2 2 3 2 2 2 2 2" xfId="35738"/>
    <cellStyle name="20% - Accent4 2 2 2 3 2 2 2 3" xfId="29050"/>
    <cellStyle name="20% - Accent4 2 2 2 3 2 2 3" xfId="17432"/>
    <cellStyle name="20% - Accent4 2 2 2 3 2 2 3 2" xfId="33653"/>
    <cellStyle name="20% - Accent4 2 2 2 3 2 2 4" xfId="17760"/>
    <cellStyle name="20% - Accent4 2 2 2 3 2 2 4 2" xfId="33981"/>
    <cellStyle name="20% - Accent4 2 2 2 3 2 2 5" xfId="27521"/>
    <cellStyle name="20% - Accent4 2 2 2 3 2 3" xfId="9895"/>
    <cellStyle name="20% - Accent4 2 2 2 3 2 3 2" xfId="19516"/>
    <cellStyle name="20% - Accent4 2 2 2 3 2 3 2 2" xfId="35737"/>
    <cellStyle name="20% - Accent4 2 2 2 3 2 3 3" xfId="29049"/>
    <cellStyle name="20% - Accent4 2 2 2 3 2 4" xfId="15847"/>
    <cellStyle name="20% - Accent4 2 2 2 3 2 4 2" xfId="32069"/>
    <cellStyle name="20% - Accent4 2 2 2 3 2 5" xfId="17759"/>
    <cellStyle name="20% - Accent4 2 2 2 3 2 5 2" xfId="33980"/>
    <cellStyle name="20% - Accent4 2 2 2 3 2 6" xfId="27522"/>
    <cellStyle name="20% - Accent4 2 2 2 3 3" xfId="6215"/>
    <cellStyle name="20% - Accent4 2 2 2 3 3 2" xfId="9897"/>
    <cellStyle name="20% - Accent4 2 2 2 3 3 2 2" xfId="19518"/>
    <cellStyle name="20% - Accent4 2 2 2 3 3 2 2 2" xfId="35739"/>
    <cellStyle name="20% - Accent4 2 2 2 3 3 2 3" xfId="29051"/>
    <cellStyle name="20% - Accent4 2 2 2 3 3 3" xfId="16640"/>
    <cellStyle name="20% - Accent4 2 2 2 3 3 3 2" xfId="32861"/>
    <cellStyle name="20% - Accent4 2 2 2 3 3 4" xfId="17761"/>
    <cellStyle name="20% - Accent4 2 2 2 3 3 4 2" xfId="33982"/>
    <cellStyle name="20% - Accent4 2 2 2 3 3 5" xfId="27520"/>
    <cellStyle name="20% - Accent4 2 2 2 3 4" xfId="9894"/>
    <cellStyle name="20% - Accent4 2 2 2 3 4 2" xfId="19515"/>
    <cellStyle name="20% - Accent4 2 2 2 3 4 2 2" xfId="35736"/>
    <cellStyle name="20% - Accent4 2 2 2 3 4 3" xfId="29048"/>
    <cellStyle name="20% - Accent4 2 2 2 3 5" xfId="15055"/>
    <cellStyle name="20% - Accent4 2 2 2 3 5 2" xfId="31277"/>
    <cellStyle name="20% - Accent4 2 2 2 3 6" xfId="17758"/>
    <cellStyle name="20% - Accent4 2 2 2 3 6 2" xfId="33979"/>
    <cellStyle name="20% - Accent4 2 2 2 3 7" xfId="27523"/>
    <cellStyle name="20% - Accent4 2 2 2 4" xfId="6214"/>
    <cellStyle name="20% - Accent4 2 2 2 4 2" xfId="6213"/>
    <cellStyle name="20% - Accent4 2 2 2 4 2 2" xfId="9899"/>
    <cellStyle name="20% - Accent4 2 2 2 4 2 2 2" xfId="19520"/>
    <cellStyle name="20% - Accent4 2 2 2 4 2 2 2 2" xfId="35741"/>
    <cellStyle name="20% - Accent4 2 2 2 4 2 2 3" xfId="29053"/>
    <cellStyle name="20% - Accent4 2 2 2 4 2 3" xfId="16904"/>
    <cellStyle name="20% - Accent4 2 2 2 4 2 3 2" xfId="33125"/>
    <cellStyle name="20% - Accent4 2 2 2 4 2 4" xfId="17763"/>
    <cellStyle name="20% - Accent4 2 2 2 4 2 4 2" xfId="33984"/>
    <cellStyle name="20% - Accent4 2 2 2 4 2 5" xfId="27518"/>
    <cellStyle name="20% - Accent4 2 2 2 4 3" xfId="9898"/>
    <cellStyle name="20% - Accent4 2 2 2 4 3 2" xfId="19519"/>
    <cellStyle name="20% - Accent4 2 2 2 4 3 2 2" xfId="35740"/>
    <cellStyle name="20% - Accent4 2 2 2 4 3 3" xfId="29052"/>
    <cellStyle name="20% - Accent4 2 2 2 4 4" xfId="15319"/>
    <cellStyle name="20% - Accent4 2 2 2 4 4 2" xfId="31541"/>
    <cellStyle name="20% - Accent4 2 2 2 4 5" xfId="17762"/>
    <cellStyle name="20% - Accent4 2 2 2 4 5 2" xfId="33983"/>
    <cellStyle name="20% - Accent4 2 2 2 4 6" xfId="27519"/>
    <cellStyle name="20% - Accent4 2 2 2 5" xfId="6212"/>
    <cellStyle name="20% - Accent4 2 2 2 5 2" xfId="9900"/>
    <cellStyle name="20% - Accent4 2 2 2 5 2 2" xfId="19521"/>
    <cellStyle name="20% - Accent4 2 2 2 5 2 2 2" xfId="35742"/>
    <cellStyle name="20% - Accent4 2 2 2 5 2 3" xfId="29054"/>
    <cellStyle name="20% - Accent4 2 2 2 5 3" xfId="16112"/>
    <cellStyle name="20% - Accent4 2 2 2 5 3 2" xfId="32333"/>
    <cellStyle name="20% - Accent4 2 2 2 5 4" xfId="17764"/>
    <cellStyle name="20% - Accent4 2 2 2 5 4 2" xfId="33985"/>
    <cellStyle name="20% - Accent4 2 2 2 5 5" xfId="27517"/>
    <cellStyle name="20% - Accent4 2 2 2 6" xfId="9889"/>
    <cellStyle name="20% - Accent4 2 2 2 6 2" xfId="19510"/>
    <cellStyle name="20% - Accent4 2 2 2 6 2 2" xfId="35731"/>
    <cellStyle name="20% - Accent4 2 2 2 6 3" xfId="29043"/>
    <cellStyle name="20% - Accent4 2 2 2 7" xfId="14527"/>
    <cellStyle name="20% - Accent4 2 2 2 7 2" xfId="30749"/>
    <cellStyle name="20% - Accent4 2 2 2 8" xfId="17753"/>
    <cellStyle name="20% - Accent4 2 2 2 8 2" xfId="33974"/>
    <cellStyle name="20% - Accent4 2 2 2 9" xfId="27528"/>
    <cellStyle name="20% - Accent4 2 2 3" xfId="6211"/>
    <cellStyle name="20% - Accent4 2 2 3 2" xfId="6210"/>
    <cellStyle name="20% - Accent4 2 2 3 2 2" xfId="6209"/>
    <cellStyle name="20% - Accent4 2 2 3 2 2 2" xfId="9903"/>
    <cellStyle name="20% - Accent4 2 2 3 2 2 2 2" xfId="19524"/>
    <cellStyle name="20% - Accent4 2 2 3 2 2 2 2 2" xfId="35745"/>
    <cellStyle name="20% - Accent4 2 2 3 2 2 2 3" xfId="29057"/>
    <cellStyle name="20% - Accent4 2 2 3 2 2 3" xfId="17036"/>
    <cellStyle name="20% - Accent4 2 2 3 2 2 3 2" xfId="33257"/>
    <cellStyle name="20% - Accent4 2 2 3 2 2 4" xfId="17767"/>
    <cellStyle name="20% - Accent4 2 2 3 2 2 4 2" xfId="33988"/>
    <cellStyle name="20% - Accent4 2 2 3 2 2 5" xfId="27514"/>
    <cellStyle name="20% - Accent4 2 2 3 2 3" xfId="9902"/>
    <cellStyle name="20% - Accent4 2 2 3 2 3 2" xfId="19523"/>
    <cellStyle name="20% - Accent4 2 2 3 2 3 2 2" xfId="35744"/>
    <cellStyle name="20% - Accent4 2 2 3 2 3 3" xfId="29056"/>
    <cellStyle name="20% - Accent4 2 2 3 2 4" xfId="15451"/>
    <cellStyle name="20% - Accent4 2 2 3 2 4 2" xfId="31673"/>
    <cellStyle name="20% - Accent4 2 2 3 2 5" xfId="17766"/>
    <cellStyle name="20% - Accent4 2 2 3 2 5 2" xfId="33987"/>
    <cellStyle name="20% - Accent4 2 2 3 2 6" xfId="27515"/>
    <cellStyle name="20% - Accent4 2 2 3 3" xfId="6208"/>
    <cellStyle name="20% - Accent4 2 2 3 3 2" xfId="9904"/>
    <cellStyle name="20% - Accent4 2 2 3 3 2 2" xfId="19525"/>
    <cellStyle name="20% - Accent4 2 2 3 3 2 2 2" xfId="35746"/>
    <cellStyle name="20% - Accent4 2 2 3 3 2 3" xfId="29058"/>
    <cellStyle name="20% - Accent4 2 2 3 3 3" xfId="16244"/>
    <cellStyle name="20% - Accent4 2 2 3 3 3 2" xfId="32465"/>
    <cellStyle name="20% - Accent4 2 2 3 3 4" xfId="17768"/>
    <cellStyle name="20% - Accent4 2 2 3 3 4 2" xfId="33989"/>
    <cellStyle name="20% - Accent4 2 2 3 3 5" xfId="27513"/>
    <cellStyle name="20% - Accent4 2 2 3 4" xfId="9901"/>
    <cellStyle name="20% - Accent4 2 2 3 4 2" xfId="19522"/>
    <cellStyle name="20% - Accent4 2 2 3 4 2 2" xfId="35743"/>
    <cellStyle name="20% - Accent4 2 2 3 4 3" xfId="29055"/>
    <cellStyle name="20% - Accent4 2 2 3 5" xfId="14659"/>
    <cellStyle name="20% - Accent4 2 2 3 5 2" xfId="30881"/>
    <cellStyle name="20% - Accent4 2 2 3 6" xfId="17765"/>
    <cellStyle name="20% - Accent4 2 2 3 6 2" xfId="33986"/>
    <cellStyle name="20% - Accent4 2 2 3 7" xfId="27516"/>
    <cellStyle name="20% - Accent4 2 2 3 8" xfId="39304"/>
    <cellStyle name="20% - Accent4 2 2 4" xfId="6207"/>
    <cellStyle name="20% - Accent4 2 2 4 2" xfId="6206"/>
    <cellStyle name="20% - Accent4 2 2 4 2 2" xfId="6205"/>
    <cellStyle name="20% - Accent4 2 2 4 2 2 2" xfId="9907"/>
    <cellStyle name="20% - Accent4 2 2 4 2 2 2 2" xfId="19528"/>
    <cellStyle name="20% - Accent4 2 2 4 2 2 2 2 2" xfId="35749"/>
    <cellStyle name="20% - Accent4 2 2 4 2 2 2 3" xfId="29061"/>
    <cellStyle name="20% - Accent4 2 2 4 2 2 3" xfId="17300"/>
    <cellStyle name="20% - Accent4 2 2 4 2 2 3 2" xfId="33521"/>
    <cellStyle name="20% - Accent4 2 2 4 2 2 4" xfId="17771"/>
    <cellStyle name="20% - Accent4 2 2 4 2 2 4 2" xfId="33992"/>
    <cellStyle name="20% - Accent4 2 2 4 2 2 5" xfId="27510"/>
    <cellStyle name="20% - Accent4 2 2 4 2 3" xfId="9906"/>
    <cellStyle name="20% - Accent4 2 2 4 2 3 2" xfId="19527"/>
    <cellStyle name="20% - Accent4 2 2 4 2 3 2 2" xfId="35748"/>
    <cellStyle name="20% - Accent4 2 2 4 2 3 3" xfId="29060"/>
    <cellStyle name="20% - Accent4 2 2 4 2 4" xfId="15715"/>
    <cellStyle name="20% - Accent4 2 2 4 2 4 2" xfId="31937"/>
    <cellStyle name="20% - Accent4 2 2 4 2 5" xfId="17770"/>
    <cellStyle name="20% - Accent4 2 2 4 2 5 2" xfId="33991"/>
    <cellStyle name="20% - Accent4 2 2 4 2 6" xfId="27511"/>
    <cellStyle name="20% - Accent4 2 2 4 3" xfId="6204"/>
    <cellStyle name="20% - Accent4 2 2 4 3 2" xfId="9908"/>
    <cellStyle name="20% - Accent4 2 2 4 3 2 2" xfId="19529"/>
    <cellStyle name="20% - Accent4 2 2 4 3 2 2 2" xfId="35750"/>
    <cellStyle name="20% - Accent4 2 2 4 3 2 3" xfId="29062"/>
    <cellStyle name="20% - Accent4 2 2 4 3 3" xfId="16508"/>
    <cellStyle name="20% - Accent4 2 2 4 3 3 2" xfId="32729"/>
    <cellStyle name="20% - Accent4 2 2 4 3 4" xfId="17772"/>
    <cellStyle name="20% - Accent4 2 2 4 3 4 2" xfId="33993"/>
    <cellStyle name="20% - Accent4 2 2 4 3 5" xfId="27509"/>
    <cellStyle name="20% - Accent4 2 2 4 4" xfId="9905"/>
    <cellStyle name="20% - Accent4 2 2 4 4 2" xfId="19526"/>
    <cellStyle name="20% - Accent4 2 2 4 4 2 2" xfId="35747"/>
    <cellStyle name="20% - Accent4 2 2 4 4 3" xfId="29059"/>
    <cellStyle name="20% - Accent4 2 2 4 5" xfId="14923"/>
    <cellStyle name="20% - Accent4 2 2 4 5 2" xfId="31145"/>
    <cellStyle name="20% - Accent4 2 2 4 6" xfId="17769"/>
    <cellStyle name="20% - Accent4 2 2 4 6 2" xfId="33990"/>
    <cellStyle name="20% - Accent4 2 2 4 7" xfId="27512"/>
    <cellStyle name="20% - Accent4 2 2 4 8" xfId="39453"/>
    <cellStyle name="20% - Accent4 2 2 5" xfId="6203"/>
    <cellStyle name="20% - Accent4 2 2 5 2" xfId="6202"/>
    <cellStyle name="20% - Accent4 2 2 5 2 2" xfId="9910"/>
    <cellStyle name="20% - Accent4 2 2 5 2 2 2" xfId="19531"/>
    <cellStyle name="20% - Accent4 2 2 5 2 2 2 2" xfId="35752"/>
    <cellStyle name="20% - Accent4 2 2 5 2 2 3" xfId="29064"/>
    <cellStyle name="20% - Accent4 2 2 5 2 3" xfId="16772"/>
    <cellStyle name="20% - Accent4 2 2 5 2 3 2" xfId="32993"/>
    <cellStyle name="20% - Accent4 2 2 5 2 4" xfId="17774"/>
    <cellStyle name="20% - Accent4 2 2 5 2 4 2" xfId="33995"/>
    <cellStyle name="20% - Accent4 2 2 5 2 5" xfId="27507"/>
    <cellStyle name="20% - Accent4 2 2 5 3" xfId="9909"/>
    <cellStyle name="20% - Accent4 2 2 5 3 2" xfId="19530"/>
    <cellStyle name="20% - Accent4 2 2 5 3 2 2" xfId="35751"/>
    <cellStyle name="20% - Accent4 2 2 5 3 3" xfId="29063"/>
    <cellStyle name="20% - Accent4 2 2 5 4" xfId="15187"/>
    <cellStyle name="20% - Accent4 2 2 5 4 2" xfId="31409"/>
    <cellStyle name="20% - Accent4 2 2 5 5" xfId="17773"/>
    <cellStyle name="20% - Accent4 2 2 5 5 2" xfId="33994"/>
    <cellStyle name="20% - Accent4 2 2 5 6" xfId="27508"/>
    <cellStyle name="20% - Accent4 2 2 6" xfId="6201"/>
    <cellStyle name="20% - Accent4 2 2 6 2" xfId="9911"/>
    <cellStyle name="20% - Accent4 2 2 6 2 2" xfId="19532"/>
    <cellStyle name="20% - Accent4 2 2 6 2 2 2" xfId="35753"/>
    <cellStyle name="20% - Accent4 2 2 6 2 3" xfId="29065"/>
    <cellStyle name="20% - Accent4 2 2 6 3" xfId="15980"/>
    <cellStyle name="20% - Accent4 2 2 6 3 2" xfId="32201"/>
    <cellStyle name="20% - Accent4 2 2 6 4" xfId="17775"/>
    <cellStyle name="20% - Accent4 2 2 6 4 2" xfId="33996"/>
    <cellStyle name="20% - Accent4 2 2 6 5" xfId="27506"/>
    <cellStyle name="20% - Accent4 2 2 7" xfId="9888"/>
    <cellStyle name="20% - Accent4 2 2 7 2" xfId="19509"/>
    <cellStyle name="20% - Accent4 2 2 7 2 2" xfId="35730"/>
    <cellStyle name="20% - Accent4 2 2 7 3" xfId="29042"/>
    <cellStyle name="20% - Accent4 2 2 8" xfId="14395"/>
    <cellStyle name="20% - Accent4 2 2 8 2" xfId="30617"/>
    <cellStyle name="20% - Accent4 2 2 9" xfId="17752"/>
    <cellStyle name="20% - Accent4 2 2 9 2" xfId="33973"/>
    <cellStyle name="20% - Accent4 2 3" xfId="6200"/>
    <cellStyle name="20% - Accent4 2 3 10" xfId="39100"/>
    <cellStyle name="20% - Accent4 2 3 2" xfId="6199"/>
    <cellStyle name="20% - Accent4 2 3 2 2" xfId="6198"/>
    <cellStyle name="20% - Accent4 2 3 2 2 2" xfId="6197"/>
    <cellStyle name="20% - Accent4 2 3 2 2 2 2" xfId="9915"/>
    <cellStyle name="20% - Accent4 2 3 2 2 2 2 2" xfId="19536"/>
    <cellStyle name="20% - Accent4 2 3 2 2 2 2 2 2" xfId="35757"/>
    <cellStyle name="20% - Accent4 2 3 2 2 2 2 3" xfId="29069"/>
    <cellStyle name="20% - Accent4 2 3 2 2 2 3" xfId="17102"/>
    <cellStyle name="20% - Accent4 2 3 2 2 2 3 2" xfId="33323"/>
    <cellStyle name="20% - Accent4 2 3 2 2 2 4" xfId="17779"/>
    <cellStyle name="20% - Accent4 2 3 2 2 2 4 2" xfId="34000"/>
    <cellStyle name="20% - Accent4 2 3 2 2 2 5" xfId="27502"/>
    <cellStyle name="20% - Accent4 2 3 2 2 3" xfId="9914"/>
    <cellStyle name="20% - Accent4 2 3 2 2 3 2" xfId="19535"/>
    <cellStyle name="20% - Accent4 2 3 2 2 3 2 2" xfId="35756"/>
    <cellStyle name="20% - Accent4 2 3 2 2 3 3" xfId="29068"/>
    <cellStyle name="20% - Accent4 2 3 2 2 4" xfId="15517"/>
    <cellStyle name="20% - Accent4 2 3 2 2 4 2" xfId="31739"/>
    <cellStyle name="20% - Accent4 2 3 2 2 5" xfId="17778"/>
    <cellStyle name="20% - Accent4 2 3 2 2 5 2" xfId="33999"/>
    <cellStyle name="20% - Accent4 2 3 2 2 6" xfId="27503"/>
    <cellStyle name="20% - Accent4 2 3 2 3" xfId="6196"/>
    <cellStyle name="20% - Accent4 2 3 2 3 2" xfId="9916"/>
    <cellStyle name="20% - Accent4 2 3 2 3 2 2" xfId="19537"/>
    <cellStyle name="20% - Accent4 2 3 2 3 2 2 2" xfId="35758"/>
    <cellStyle name="20% - Accent4 2 3 2 3 2 3" xfId="29070"/>
    <cellStyle name="20% - Accent4 2 3 2 3 3" xfId="16310"/>
    <cellStyle name="20% - Accent4 2 3 2 3 3 2" xfId="32531"/>
    <cellStyle name="20% - Accent4 2 3 2 3 4" xfId="17780"/>
    <cellStyle name="20% - Accent4 2 3 2 3 4 2" xfId="34001"/>
    <cellStyle name="20% - Accent4 2 3 2 3 5" xfId="27501"/>
    <cellStyle name="20% - Accent4 2 3 2 4" xfId="9913"/>
    <cellStyle name="20% - Accent4 2 3 2 4 2" xfId="19534"/>
    <cellStyle name="20% - Accent4 2 3 2 4 2 2" xfId="35755"/>
    <cellStyle name="20% - Accent4 2 3 2 4 3" xfId="29067"/>
    <cellStyle name="20% - Accent4 2 3 2 5" xfId="14725"/>
    <cellStyle name="20% - Accent4 2 3 2 5 2" xfId="30947"/>
    <cellStyle name="20% - Accent4 2 3 2 6" xfId="17777"/>
    <cellStyle name="20% - Accent4 2 3 2 6 2" xfId="33998"/>
    <cellStyle name="20% - Accent4 2 3 2 7" xfId="27504"/>
    <cellStyle name="20% - Accent4 2 3 3" xfId="6195"/>
    <cellStyle name="20% - Accent4 2 3 3 2" xfId="6194"/>
    <cellStyle name="20% - Accent4 2 3 3 2 2" xfId="6193"/>
    <cellStyle name="20% - Accent4 2 3 3 2 2 2" xfId="9919"/>
    <cellStyle name="20% - Accent4 2 3 3 2 2 2 2" xfId="19540"/>
    <cellStyle name="20% - Accent4 2 3 3 2 2 2 2 2" xfId="35761"/>
    <cellStyle name="20% - Accent4 2 3 3 2 2 2 3" xfId="29073"/>
    <cellStyle name="20% - Accent4 2 3 3 2 2 3" xfId="17366"/>
    <cellStyle name="20% - Accent4 2 3 3 2 2 3 2" xfId="33587"/>
    <cellStyle name="20% - Accent4 2 3 3 2 2 4" xfId="17783"/>
    <cellStyle name="20% - Accent4 2 3 3 2 2 4 2" xfId="34004"/>
    <cellStyle name="20% - Accent4 2 3 3 2 2 5" xfId="27498"/>
    <cellStyle name="20% - Accent4 2 3 3 2 3" xfId="9918"/>
    <cellStyle name="20% - Accent4 2 3 3 2 3 2" xfId="19539"/>
    <cellStyle name="20% - Accent4 2 3 3 2 3 2 2" xfId="35760"/>
    <cellStyle name="20% - Accent4 2 3 3 2 3 3" xfId="29072"/>
    <cellStyle name="20% - Accent4 2 3 3 2 4" xfId="15781"/>
    <cellStyle name="20% - Accent4 2 3 3 2 4 2" xfId="32003"/>
    <cellStyle name="20% - Accent4 2 3 3 2 5" xfId="17782"/>
    <cellStyle name="20% - Accent4 2 3 3 2 5 2" xfId="34003"/>
    <cellStyle name="20% - Accent4 2 3 3 2 6" xfId="27499"/>
    <cellStyle name="20% - Accent4 2 3 3 3" xfId="6192"/>
    <cellStyle name="20% - Accent4 2 3 3 3 2" xfId="9920"/>
    <cellStyle name="20% - Accent4 2 3 3 3 2 2" xfId="19541"/>
    <cellStyle name="20% - Accent4 2 3 3 3 2 2 2" xfId="35762"/>
    <cellStyle name="20% - Accent4 2 3 3 3 2 3" xfId="29074"/>
    <cellStyle name="20% - Accent4 2 3 3 3 3" xfId="16574"/>
    <cellStyle name="20% - Accent4 2 3 3 3 3 2" xfId="32795"/>
    <cellStyle name="20% - Accent4 2 3 3 3 4" xfId="17784"/>
    <cellStyle name="20% - Accent4 2 3 3 3 4 2" xfId="34005"/>
    <cellStyle name="20% - Accent4 2 3 3 3 5" xfId="27497"/>
    <cellStyle name="20% - Accent4 2 3 3 4" xfId="9917"/>
    <cellStyle name="20% - Accent4 2 3 3 4 2" xfId="19538"/>
    <cellStyle name="20% - Accent4 2 3 3 4 2 2" xfId="35759"/>
    <cellStyle name="20% - Accent4 2 3 3 4 3" xfId="29071"/>
    <cellStyle name="20% - Accent4 2 3 3 5" xfId="14989"/>
    <cellStyle name="20% - Accent4 2 3 3 5 2" xfId="31211"/>
    <cellStyle name="20% - Accent4 2 3 3 6" xfId="17781"/>
    <cellStyle name="20% - Accent4 2 3 3 6 2" xfId="34002"/>
    <cellStyle name="20% - Accent4 2 3 3 7" xfId="27500"/>
    <cellStyle name="20% - Accent4 2 3 4" xfId="6191"/>
    <cellStyle name="20% - Accent4 2 3 4 2" xfId="6190"/>
    <cellStyle name="20% - Accent4 2 3 4 2 2" xfId="9922"/>
    <cellStyle name="20% - Accent4 2 3 4 2 2 2" xfId="19543"/>
    <cellStyle name="20% - Accent4 2 3 4 2 2 2 2" xfId="35764"/>
    <cellStyle name="20% - Accent4 2 3 4 2 2 3" xfId="29076"/>
    <cellStyle name="20% - Accent4 2 3 4 2 3" xfId="16838"/>
    <cellStyle name="20% - Accent4 2 3 4 2 3 2" xfId="33059"/>
    <cellStyle name="20% - Accent4 2 3 4 2 4" xfId="17786"/>
    <cellStyle name="20% - Accent4 2 3 4 2 4 2" xfId="34007"/>
    <cellStyle name="20% - Accent4 2 3 4 2 5" xfId="27495"/>
    <cellStyle name="20% - Accent4 2 3 4 3" xfId="9921"/>
    <cellStyle name="20% - Accent4 2 3 4 3 2" xfId="19542"/>
    <cellStyle name="20% - Accent4 2 3 4 3 2 2" xfId="35763"/>
    <cellStyle name="20% - Accent4 2 3 4 3 3" xfId="29075"/>
    <cellStyle name="20% - Accent4 2 3 4 4" xfId="15253"/>
    <cellStyle name="20% - Accent4 2 3 4 4 2" xfId="31475"/>
    <cellStyle name="20% - Accent4 2 3 4 5" xfId="17785"/>
    <cellStyle name="20% - Accent4 2 3 4 5 2" xfId="34006"/>
    <cellStyle name="20% - Accent4 2 3 4 6" xfId="27496"/>
    <cellStyle name="20% - Accent4 2 3 5" xfId="6189"/>
    <cellStyle name="20% - Accent4 2 3 5 2" xfId="9923"/>
    <cellStyle name="20% - Accent4 2 3 5 2 2" xfId="19544"/>
    <cellStyle name="20% - Accent4 2 3 5 2 2 2" xfId="35765"/>
    <cellStyle name="20% - Accent4 2 3 5 2 3" xfId="29077"/>
    <cellStyle name="20% - Accent4 2 3 5 3" xfId="16046"/>
    <cellStyle name="20% - Accent4 2 3 5 3 2" xfId="32267"/>
    <cellStyle name="20% - Accent4 2 3 5 4" xfId="17787"/>
    <cellStyle name="20% - Accent4 2 3 5 4 2" xfId="34008"/>
    <cellStyle name="20% - Accent4 2 3 5 5" xfId="27494"/>
    <cellStyle name="20% - Accent4 2 3 6" xfId="9912"/>
    <cellStyle name="20% - Accent4 2 3 6 2" xfId="19533"/>
    <cellStyle name="20% - Accent4 2 3 6 2 2" xfId="35754"/>
    <cellStyle name="20% - Accent4 2 3 6 3" xfId="29066"/>
    <cellStyle name="20% - Accent4 2 3 7" xfId="14461"/>
    <cellStyle name="20% - Accent4 2 3 7 2" xfId="30683"/>
    <cellStyle name="20% - Accent4 2 3 8" xfId="17776"/>
    <cellStyle name="20% - Accent4 2 3 8 2" xfId="33997"/>
    <cellStyle name="20% - Accent4 2 3 9" xfId="27505"/>
    <cellStyle name="20% - Accent4 2 4" xfId="6188"/>
    <cellStyle name="20% - Accent4 2 4 2" xfId="6187"/>
    <cellStyle name="20% - Accent4 2 4 2 2" xfId="6186"/>
    <cellStyle name="20% - Accent4 2 4 2 2 2" xfId="9926"/>
    <cellStyle name="20% - Accent4 2 4 2 2 2 2" xfId="19547"/>
    <cellStyle name="20% - Accent4 2 4 2 2 2 2 2" xfId="35768"/>
    <cellStyle name="20% - Accent4 2 4 2 2 2 3" xfId="29080"/>
    <cellStyle name="20% - Accent4 2 4 2 2 3" xfId="16970"/>
    <cellStyle name="20% - Accent4 2 4 2 2 3 2" xfId="33191"/>
    <cellStyle name="20% - Accent4 2 4 2 2 4" xfId="17790"/>
    <cellStyle name="20% - Accent4 2 4 2 2 4 2" xfId="34011"/>
    <cellStyle name="20% - Accent4 2 4 2 2 5" xfId="27491"/>
    <cellStyle name="20% - Accent4 2 4 2 3" xfId="9925"/>
    <cellStyle name="20% - Accent4 2 4 2 3 2" xfId="19546"/>
    <cellStyle name="20% - Accent4 2 4 2 3 2 2" xfId="35767"/>
    <cellStyle name="20% - Accent4 2 4 2 3 3" xfId="29079"/>
    <cellStyle name="20% - Accent4 2 4 2 4" xfId="15385"/>
    <cellStyle name="20% - Accent4 2 4 2 4 2" xfId="31607"/>
    <cellStyle name="20% - Accent4 2 4 2 5" xfId="17789"/>
    <cellStyle name="20% - Accent4 2 4 2 5 2" xfId="34010"/>
    <cellStyle name="20% - Accent4 2 4 2 6" xfId="27492"/>
    <cellStyle name="20% - Accent4 2 4 3" xfId="6185"/>
    <cellStyle name="20% - Accent4 2 4 3 2" xfId="9927"/>
    <cellStyle name="20% - Accent4 2 4 3 2 2" xfId="19548"/>
    <cellStyle name="20% - Accent4 2 4 3 2 2 2" xfId="35769"/>
    <cellStyle name="20% - Accent4 2 4 3 2 3" xfId="29081"/>
    <cellStyle name="20% - Accent4 2 4 3 3" xfId="16178"/>
    <cellStyle name="20% - Accent4 2 4 3 3 2" xfId="32399"/>
    <cellStyle name="20% - Accent4 2 4 3 4" xfId="17791"/>
    <cellStyle name="20% - Accent4 2 4 3 4 2" xfId="34012"/>
    <cellStyle name="20% - Accent4 2 4 3 5" xfId="27490"/>
    <cellStyle name="20% - Accent4 2 4 4" xfId="9924"/>
    <cellStyle name="20% - Accent4 2 4 4 2" xfId="19545"/>
    <cellStyle name="20% - Accent4 2 4 4 2 2" xfId="35766"/>
    <cellStyle name="20% - Accent4 2 4 4 3" xfId="29078"/>
    <cellStyle name="20% - Accent4 2 4 5" xfId="14593"/>
    <cellStyle name="20% - Accent4 2 4 5 2" xfId="30815"/>
    <cellStyle name="20% - Accent4 2 4 6" xfId="17788"/>
    <cellStyle name="20% - Accent4 2 4 6 2" xfId="34009"/>
    <cellStyle name="20% - Accent4 2 4 7" xfId="27493"/>
    <cellStyle name="20% - Accent4 2 4 8" xfId="39248"/>
    <cellStyle name="20% - Accent4 2 5" xfId="6184"/>
    <cellStyle name="20% - Accent4 2 5 2" xfId="6183"/>
    <cellStyle name="20% - Accent4 2 5 2 2" xfId="6182"/>
    <cellStyle name="20% - Accent4 2 5 2 2 2" xfId="9930"/>
    <cellStyle name="20% - Accent4 2 5 2 2 2 2" xfId="19551"/>
    <cellStyle name="20% - Accent4 2 5 2 2 2 2 2" xfId="35772"/>
    <cellStyle name="20% - Accent4 2 5 2 2 2 3" xfId="29084"/>
    <cellStyle name="20% - Accent4 2 5 2 2 3" xfId="17234"/>
    <cellStyle name="20% - Accent4 2 5 2 2 3 2" xfId="33455"/>
    <cellStyle name="20% - Accent4 2 5 2 2 4" xfId="17794"/>
    <cellStyle name="20% - Accent4 2 5 2 2 4 2" xfId="34015"/>
    <cellStyle name="20% - Accent4 2 5 2 2 5" xfId="27487"/>
    <cellStyle name="20% - Accent4 2 5 2 3" xfId="9929"/>
    <cellStyle name="20% - Accent4 2 5 2 3 2" xfId="19550"/>
    <cellStyle name="20% - Accent4 2 5 2 3 2 2" xfId="35771"/>
    <cellStyle name="20% - Accent4 2 5 2 3 3" xfId="29083"/>
    <cellStyle name="20% - Accent4 2 5 2 4" xfId="15649"/>
    <cellStyle name="20% - Accent4 2 5 2 4 2" xfId="31871"/>
    <cellStyle name="20% - Accent4 2 5 2 5" xfId="17793"/>
    <cellStyle name="20% - Accent4 2 5 2 5 2" xfId="34014"/>
    <cellStyle name="20% - Accent4 2 5 2 6" xfId="27488"/>
    <cellStyle name="20% - Accent4 2 5 3" xfId="6181"/>
    <cellStyle name="20% - Accent4 2 5 3 2" xfId="9931"/>
    <cellStyle name="20% - Accent4 2 5 3 2 2" xfId="19552"/>
    <cellStyle name="20% - Accent4 2 5 3 2 2 2" xfId="35773"/>
    <cellStyle name="20% - Accent4 2 5 3 2 3" xfId="29085"/>
    <cellStyle name="20% - Accent4 2 5 3 3" xfId="16442"/>
    <cellStyle name="20% - Accent4 2 5 3 3 2" xfId="32663"/>
    <cellStyle name="20% - Accent4 2 5 3 4" xfId="17795"/>
    <cellStyle name="20% - Accent4 2 5 3 4 2" xfId="34016"/>
    <cellStyle name="20% - Accent4 2 5 3 5" xfId="27486"/>
    <cellStyle name="20% - Accent4 2 5 4" xfId="9928"/>
    <cellStyle name="20% - Accent4 2 5 4 2" xfId="19549"/>
    <cellStyle name="20% - Accent4 2 5 4 2 2" xfId="35770"/>
    <cellStyle name="20% - Accent4 2 5 4 3" xfId="29082"/>
    <cellStyle name="20% - Accent4 2 5 5" xfId="14857"/>
    <cellStyle name="20% - Accent4 2 5 5 2" xfId="31079"/>
    <cellStyle name="20% - Accent4 2 5 6" xfId="17792"/>
    <cellStyle name="20% - Accent4 2 5 6 2" xfId="34013"/>
    <cellStyle name="20% - Accent4 2 5 7" xfId="27489"/>
    <cellStyle name="20% - Accent4 2 5 8" xfId="39397"/>
    <cellStyle name="20% - Accent4 2 6" xfId="6180"/>
    <cellStyle name="20% - Accent4 2 6 2" xfId="6179"/>
    <cellStyle name="20% - Accent4 2 6 2 2" xfId="9933"/>
    <cellStyle name="20% - Accent4 2 6 2 2 2" xfId="19554"/>
    <cellStyle name="20% - Accent4 2 6 2 2 2 2" xfId="35775"/>
    <cellStyle name="20% - Accent4 2 6 2 2 3" xfId="29087"/>
    <cellStyle name="20% - Accent4 2 6 2 3" xfId="16706"/>
    <cellStyle name="20% - Accent4 2 6 2 3 2" xfId="32927"/>
    <cellStyle name="20% - Accent4 2 6 2 4" xfId="17797"/>
    <cellStyle name="20% - Accent4 2 6 2 4 2" xfId="34018"/>
    <cellStyle name="20% - Accent4 2 6 2 5" xfId="27484"/>
    <cellStyle name="20% - Accent4 2 6 3" xfId="9932"/>
    <cellStyle name="20% - Accent4 2 6 3 2" xfId="19553"/>
    <cellStyle name="20% - Accent4 2 6 3 2 2" xfId="35774"/>
    <cellStyle name="20% - Accent4 2 6 3 3" xfId="29086"/>
    <cellStyle name="20% - Accent4 2 6 4" xfId="15121"/>
    <cellStyle name="20% - Accent4 2 6 4 2" xfId="31343"/>
    <cellStyle name="20% - Accent4 2 6 5" xfId="17796"/>
    <cellStyle name="20% - Accent4 2 6 5 2" xfId="34017"/>
    <cellStyle name="20% - Accent4 2 6 6" xfId="27485"/>
    <cellStyle name="20% - Accent4 2 7" xfId="6178"/>
    <cellStyle name="20% - Accent4 2 7 2" xfId="9934"/>
    <cellStyle name="20% - Accent4 2 7 2 2" xfId="19555"/>
    <cellStyle name="20% - Accent4 2 7 2 2 2" xfId="35776"/>
    <cellStyle name="20% - Accent4 2 7 2 3" xfId="29088"/>
    <cellStyle name="20% - Accent4 2 7 3" xfId="15914"/>
    <cellStyle name="20% - Accent4 2 7 3 2" xfId="32135"/>
    <cellStyle name="20% - Accent4 2 7 4" xfId="17798"/>
    <cellStyle name="20% - Accent4 2 7 4 2" xfId="34019"/>
    <cellStyle name="20% - Accent4 2 7 5" xfId="27483"/>
    <cellStyle name="20% - Accent4 2 8" xfId="9887"/>
    <cellStyle name="20% - Accent4 2 8 2" xfId="19508"/>
    <cellStyle name="20% - Accent4 2 8 2 2" xfId="35729"/>
    <cellStyle name="20% - Accent4 2 8 3" xfId="29041"/>
    <cellStyle name="20% - Accent4 2 9" xfId="14329"/>
    <cellStyle name="20% - Accent4 2 9 2" xfId="30551"/>
    <cellStyle name="20% - Accent4 3" xfId="6177"/>
    <cellStyle name="20% - Accent4 3 10" xfId="27482"/>
    <cellStyle name="20% - Accent4 3 11" xfId="38979"/>
    <cellStyle name="20% - Accent4 3 2" xfId="6176"/>
    <cellStyle name="20% - Accent4 3 2 10" xfId="39021"/>
    <cellStyle name="20% - Accent4 3 2 2" xfId="6175"/>
    <cellStyle name="20% - Accent4 3 2 2 2" xfId="6174"/>
    <cellStyle name="20% - Accent4 3 2 2 2 2" xfId="6173"/>
    <cellStyle name="20% - Accent4 3 2 2 2 2 2" xfId="9939"/>
    <cellStyle name="20% - Accent4 3 2 2 2 2 2 2" xfId="19560"/>
    <cellStyle name="20% - Accent4 3 2 2 2 2 2 2 2" xfId="35781"/>
    <cellStyle name="20% - Accent4 3 2 2 2 2 2 3" xfId="29093"/>
    <cellStyle name="20% - Accent4 3 2 2 2 2 3" xfId="17135"/>
    <cellStyle name="20% - Accent4 3 2 2 2 2 3 2" xfId="33356"/>
    <cellStyle name="20% - Accent4 3 2 2 2 2 4" xfId="17803"/>
    <cellStyle name="20% - Accent4 3 2 2 2 2 4 2" xfId="34024"/>
    <cellStyle name="20% - Accent4 3 2 2 2 2 5" xfId="27478"/>
    <cellStyle name="20% - Accent4 3 2 2 2 3" xfId="9938"/>
    <cellStyle name="20% - Accent4 3 2 2 2 3 2" xfId="19559"/>
    <cellStyle name="20% - Accent4 3 2 2 2 3 2 2" xfId="35780"/>
    <cellStyle name="20% - Accent4 3 2 2 2 3 3" xfId="29092"/>
    <cellStyle name="20% - Accent4 3 2 2 2 4" xfId="15550"/>
    <cellStyle name="20% - Accent4 3 2 2 2 4 2" xfId="31772"/>
    <cellStyle name="20% - Accent4 3 2 2 2 5" xfId="17802"/>
    <cellStyle name="20% - Accent4 3 2 2 2 5 2" xfId="34023"/>
    <cellStyle name="20% - Accent4 3 2 2 2 6" xfId="27479"/>
    <cellStyle name="20% - Accent4 3 2 2 3" xfId="6172"/>
    <cellStyle name="20% - Accent4 3 2 2 3 2" xfId="9940"/>
    <cellStyle name="20% - Accent4 3 2 2 3 2 2" xfId="19561"/>
    <cellStyle name="20% - Accent4 3 2 2 3 2 2 2" xfId="35782"/>
    <cellStyle name="20% - Accent4 3 2 2 3 2 3" xfId="29094"/>
    <cellStyle name="20% - Accent4 3 2 2 3 3" xfId="16343"/>
    <cellStyle name="20% - Accent4 3 2 2 3 3 2" xfId="32564"/>
    <cellStyle name="20% - Accent4 3 2 2 3 4" xfId="17804"/>
    <cellStyle name="20% - Accent4 3 2 2 3 4 2" xfId="34025"/>
    <cellStyle name="20% - Accent4 3 2 2 3 5" xfId="27477"/>
    <cellStyle name="20% - Accent4 3 2 2 4" xfId="9937"/>
    <cellStyle name="20% - Accent4 3 2 2 4 2" xfId="19558"/>
    <cellStyle name="20% - Accent4 3 2 2 4 2 2" xfId="35779"/>
    <cellStyle name="20% - Accent4 3 2 2 4 3" xfId="29091"/>
    <cellStyle name="20% - Accent4 3 2 2 5" xfId="14758"/>
    <cellStyle name="20% - Accent4 3 2 2 5 2" xfId="30980"/>
    <cellStyle name="20% - Accent4 3 2 2 6" xfId="17801"/>
    <cellStyle name="20% - Accent4 3 2 2 6 2" xfId="34022"/>
    <cellStyle name="20% - Accent4 3 2 2 7" xfId="27480"/>
    <cellStyle name="20% - Accent4 3 2 2 8" xfId="39169"/>
    <cellStyle name="20% - Accent4 3 2 3" xfId="6171"/>
    <cellStyle name="20% - Accent4 3 2 3 2" xfId="6170"/>
    <cellStyle name="20% - Accent4 3 2 3 2 2" xfId="6169"/>
    <cellStyle name="20% - Accent4 3 2 3 2 2 2" xfId="9943"/>
    <cellStyle name="20% - Accent4 3 2 3 2 2 2 2" xfId="19564"/>
    <cellStyle name="20% - Accent4 3 2 3 2 2 2 2 2" xfId="35785"/>
    <cellStyle name="20% - Accent4 3 2 3 2 2 2 3" xfId="29097"/>
    <cellStyle name="20% - Accent4 3 2 3 2 2 3" xfId="17399"/>
    <cellStyle name="20% - Accent4 3 2 3 2 2 3 2" xfId="33620"/>
    <cellStyle name="20% - Accent4 3 2 3 2 2 4" xfId="17807"/>
    <cellStyle name="20% - Accent4 3 2 3 2 2 4 2" xfId="34028"/>
    <cellStyle name="20% - Accent4 3 2 3 2 2 5" xfId="27474"/>
    <cellStyle name="20% - Accent4 3 2 3 2 3" xfId="9942"/>
    <cellStyle name="20% - Accent4 3 2 3 2 3 2" xfId="19563"/>
    <cellStyle name="20% - Accent4 3 2 3 2 3 2 2" xfId="35784"/>
    <cellStyle name="20% - Accent4 3 2 3 2 3 3" xfId="29096"/>
    <cellStyle name="20% - Accent4 3 2 3 2 4" xfId="15814"/>
    <cellStyle name="20% - Accent4 3 2 3 2 4 2" xfId="32036"/>
    <cellStyle name="20% - Accent4 3 2 3 2 5" xfId="17806"/>
    <cellStyle name="20% - Accent4 3 2 3 2 5 2" xfId="34027"/>
    <cellStyle name="20% - Accent4 3 2 3 2 6" xfId="27475"/>
    <cellStyle name="20% - Accent4 3 2 3 3" xfId="6168"/>
    <cellStyle name="20% - Accent4 3 2 3 3 2" xfId="9944"/>
    <cellStyle name="20% - Accent4 3 2 3 3 2 2" xfId="19565"/>
    <cellStyle name="20% - Accent4 3 2 3 3 2 2 2" xfId="35786"/>
    <cellStyle name="20% - Accent4 3 2 3 3 2 3" xfId="29098"/>
    <cellStyle name="20% - Accent4 3 2 3 3 3" xfId="16607"/>
    <cellStyle name="20% - Accent4 3 2 3 3 3 2" xfId="32828"/>
    <cellStyle name="20% - Accent4 3 2 3 3 4" xfId="17808"/>
    <cellStyle name="20% - Accent4 3 2 3 3 4 2" xfId="34029"/>
    <cellStyle name="20% - Accent4 3 2 3 3 5" xfId="27473"/>
    <cellStyle name="20% - Accent4 3 2 3 4" xfId="9941"/>
    <cellStyle name="20% - Accent4 3 2 3 4 2" xfId="19562"/>
    <cellStyle name="20% - Accent4 3 2 3 4 2 2" xfId="35783"/>
    <cellStyle name="20% - Accent4 3 2 3 4 3" xfId="29095"/>
    <cellStyle name="20% - Accent4 3 2 3 5" xfId="15022"/>
    <cellStyle name="20% - Accent4 3 2 3 5 2" xfId="31244"/>
    <cellStyle name="20% - Accent4 3 2 3 6" xfId="17805"/>
    <cellStyle name="20% - Accent4 3 2 3 6 2" xfId="34026"/>
    <cellStyle name="20% - Accent4 3 2 3 7" xfId="27476"/>
    <cellStyle name="20% - Accent4 3 2 3 8" xfId="39317"/>
    <cellStyle name="20% - Accent4 3 2 4" xfId="6167"/>
    <cellStyle name="20% - Accent4 3 2 4 2" xfId="6166"/>
    <cellStyle name="20% - Accent4 3 2 4 2 2" xfId="9946"/>
    <cellStyle name="20% - Accent4 3 2 4 2 2 2" xfId="19567"/>
    <cellStyle name="20% - Accent4 3 2 4 2 2 2 2" xfId="35788"/>
    <cellStyle name="20% - Accent4 3 2 4 2 2 3" xfId="29100"/>
    <cellStyle name="20% - Accent4 3 2 4 2 3" xfId="16871"/>
    <cellStyle name="20% - Accent4 3 2 4 2 3 2" xfId="33092"/>
    <cellStyle name="20% - Accent4 3 2 4 2 4" xfId="17810"/>
    <cellStyle name="20% - Accent4 3 2 4 2 4 2" xfId="34031"/>
    <cellStyle name="20% - Accent4 3 2 4 2 5" xfId="27471"/>
    <cellStyle name="20% - Accent4 3 2 4 3" xfId="9945"/>
    <cellStyle name="20% - Accent4 3 2 4 3 2" xfId="19566"/>
    <cellStyle name="20% - Accent4 3 2 4 3 2 2" xfId="35787"/>
    <cellStyle name="20% - Accent4 3 2 4 3 3" xfId="29099"/>
    <cellStyle name="20% - Accent4 3 2 4 4" xfId="15286"/>
    <cellStyle name="20% - Accent4 3 2 4 4 2" xfId="31508"/>
    <cellStyle name="20% - Accent4 3 2 4 5" xfId="17809"/>
    <cellStyle name="20% - Accent4 3 2 4 5 2" xfId="34030"/>
    <cellStyle name="20% - Accent4 3 2 4 6" xfId="27472"/>
    <cellStyle name="20% - Accent4 3 2 4 7" xfId="39466"/>
    <cellStyle name="20% - Accent4 3 2 5" xfId="6165"/>
    <cellStyle name="20% - Accent4 3 2 5 2" xfId="9947"/>
    <cellStyle name="20% - Accent4 3 2 5 2 2" xfId="19568"/>
    <cellStyle name="20% - Accent4 3 2 5 2 2 2" xfId="35789"/>
    <cellStyle name="20% - Accent4 3 2 5 2 3" xfId="29101"/>
    <cellStyle name="20% - Accent4 3 2 5 3" xfId="16079"/>
    <cellStyle name="20% - Accent4 3 2 5 3 2" xfId="32300"/>
    <cellStyle name="20% - Accent4 3 2 5 4" xfId="17811"/>
    <cellStyle name="20% - Accent4 3 2 5 4 2" xfId="34032"/>
    <cellStyle name="20% - Accent4 3 2 5 5" xfId="27470"/>
    <cellStyle name="20% - Accent4 3 2 6" xfId="9936"/>
    <cellStyle name="20% - Accent4 3 2 6 2" xfId="19557"/>
    <cellStyle name="20% - Accent4 3 2 6 2 2" xfId="35778"/>
    <cellStyle name="20% - Accent4 3 2 6 3" xfId="29090"/>
    <cellStyle name="20% - Accent4 3 2 7" xfId="14494"/>
    <cellStyle name="20% - Accent4 3 2 7 2" xfId="30716"/>
    <cellStyle name="20% - Accent4 3 2 8" xfId="17800"/>
    <cellStyle name="20% - Accent4 3 2 8 2" xfId="34021"/>
    <cellStyle name="20% - Accent4 3 2 9" xfId="27481"/>
    <cellStyle name="20% - Accent4 3 3" xfId="6164"/>
    <cellStyle name="20% - Accent4 3 3 2" xfId="6163"/>
    <cellStyle name="20% - Accent4 3 3 2 2" xfId="6162"/>
    <cellStyle name="20% - Accent4 3 3 2 2 2" xfId="9950"/>
    <cellStyle name="20% - Accent4 3 3 2 2 2 2" xfId="19571"/>
    <cellStyle name="20% - Accent4 3 3 2 2 2 2 2" xfId="35792"/>
    <cellStyle name="20% - Accent4 3 3 2 2 2 3" xfId="29104"/>
    <cellStyle name="20% - Accent4 3 3 2 2 3" xfId="17003"/>
    <cellStyle name="20% - Accent4 3 3 2 2 3 2" xfId="33224"/>
    <cellStyle name="20% - Accent4 3 3 2 2 4" xfId="17814"/>
    <cellStyle name="20% - Accent4 3 3 2 2 4 2" xfId="34035"/>
    <cellStyle name="20% - Accent4 3 3 2 2 5" xfId="27467"/>
    <cellStyle name="20% - Accent4 3 3 2 3" xfId="9949"/>
    <cellStyle name="20% - Accent4 3 3 2 3 2" xfId="19570"/>
    <cellStyle name="20% - Accent4 3 3 2 3 2 2" xfId="35791"/>
    <cellStyle name="20% - Accent4 3 3 2 3 3" xfId="29103"/>
    <cellStyle name="20% - Accent4 3 3 2 4" xfId="15418"/>
    <cellStyle name="20% - Accent4 3 3 2 4 2" xfId="31640"/>
    <cellStyle name="20% - Accent4 3 3 2 5" xfId="17813"/>
    <cellStyle name="20% - Accent4 3 3 2 5 2" xfId="34034"/>
    <cellStyle name="20% - Accent4 3 3 2 6" xfId="27468"/>
    <cellStyle name="20% - Accent4 3 3 3" xfId="6161"/>
    <cellStyle name="20% - Accent4 3 3 3 2" xfId="9951"/>
    <cellStyle name="20% - Accent4 3 3 3 2 2" xfId="19572"/>
    <cellStyle name="20% - Accent4 3 3 3 2 2 2" xfId="35793"/>
    <cellStyle name="20% - Accent4 3 3 3 2 3" xfId="29105"/>
    <cellStyle name="20% - Accent4 3 3 3 3" xfId="16211"/>
    <cellStyle name="20% - Accent4 3 3 3 3 2" xfId="32432"/>
    <cellStyle name="20% - Accent4 3 3 3 4" xfId="17815"/>
    <cellStyle name="20% - Accent4 3 3 3 4 2" xfId="34036"/>
    <cellStyle name="20% - Accent4 3 3 3 5" xfId="27466"/>
    <cellStyle name="20% - Accent4 3 3 4" xfId="9948"/>
    <cellStyle name="20% - Accent4 3 3 4 2" xfId="19569"/>
    <cellStyle name="20% - Accent4 3 3 4 2 2" xfId="35790"/>
    <cellStyle name="20% - Accent4 3 3 4 3" xfId="29102"/>
    <cellStyle name="20% - Accent4 3 3 5" xfId="14626"/>
    <cellStyle name="20% - Accent4 3 3 5 2" xfId="30848"/>
    <cellStyle name="20% - Accent4 3 3 6" xfId="17812"/>
    <cellStyle name="20% - Accent4 3 3 6 2" xfId="34033"/>
    <cellStyle name="20% - Accent4 3 3 7" xfId="27469"/>
    <cellStyle name="20% - Accent4 3 3 8" xfId="39113"/>
    <cellStyle name="20% - Accent4 3 4" xfId="6160"/>
    <cellStyle name="20% - Accent4 3 4 2" xfId="6159"/>
    <cellStyle name="20% - Accent4 3 4 2 2" xfId="6158"/>
    <cellStyle name="20% - Accent4 3 4 2 2 2" xfId="9954"/>
    <cellStyle name="20% - Accent4 3 4 2 2 2 2" xfId="19575"/>
    <cellStyle name="20% - Accent4 3 4 2 2 2 2 2" xfId="35796"/>
    <cellStyle name="20% - Accent4 3 4 2 2 2 3" xfId="29108"/>
    <cellStyle name="20% - Accent4 3 4 2 2 3" xfId="17267"/>
    <cellStyle name="20% - Accent4 3 4 2 2 3 2" xfId="33488"/>
    <cellStyle name="20% - Accent4 3 4 2 2 4" xfId="17818"/>
    <cellStyle name="20% - Accent4 3 4 2 2 4 2" xfId="34039"/>
    <cellStyle name="20% - Accent4 3 4 2 2 5" xfId="27463"/>
    <cellStyle name="20% - Accent4 3 4 2 3" xfId="9953"/>
    <cellStyle name="20% - Accent4 3 4 2 3 2" xfId="19574"/>
    <cellStyle name="20% - Accent4 3 4 2 3 2 2" xfId="35795"/>
    <cellStyle name="20% - Accent4 3 4 2 3 3" xfId="29107"/>
    <cellStyle name="20% - Accent4 3 4 2 4" xfId="15682"/>
    <cellStyle name="20% - Accent4 3 4 2 4 2" xfId="31904"/>
    <cellStyle name="20% - Accent4 3 4 2 5" xfId="17817"/>
    <cellStyle name="20% - Accent4 3 4 2 5 2" xfId="34038"/>
    <cellStyle name="20% - Accent4 3 4 2 6" xfId="27464"/>
    <cellStyle name="20% - Accent4 3 4 3" xfId="6157"/>
    <cellStyle name="20% - Accent4 3 4 3 2" xfId="9955"/>
    <cellStyle name="20% - Accent4 3 4 3 2 2" xfId="19576"/>
    <cellStyle name="20% - Accent4 3 4 3 2 2 2" xfId="35797"/>
    <cellStyle name="20% - Accent4 3 4 3 2 3" xfId="29109"/>
    <cellStyle name="20% - Accent4 3 4 3 3" xfId="16475"/>
    <cellStyle name="20% - Accent4 3 4 3 3 2" xfId="32696"/>
    <cellStyle name="20% - Accent4 3 4 3 4" xfId="17819"/>
    <cellStyle name="20% - Accent4 3 4 3 4 2" xfId="34040"/>
    <cellStyle name="20% - Accent4 3 4 3 5" xfId="27462"/>
    <cellStyle name="20% - Accent4 3 4 4" xfId="9952"/>
    <cellStyle name="20% - Accent4 3 4 4 2" xfId="19573"/>
    <cellStyle name="20% - Accent4 3 4 4 2 2" xfId="35794"/>
    <cellStyle name="20% - Accent4 3 4 4 3" xfId="29106"/>
    <cellStyle name="20% - Accent4 3 4 5" xfId="14890"/>
    <cellStyle name="20% - Accent4 3 4 5 2" xfId="31112"/>
    <cellStyle name="20% - Accent4 3 4 6" xfId="17816"/>
    <cellStyle name="20% - Accent4 3 4 6 2" xfId="34037"/>
    <cellStyle name="20% - Accent4 3 4 7" xfId="27465"/>
    <cellStyle name="20% - Accent4 3 4 8" xfId="39261"/>
    <cellStyle name="20% - Accent4 3 5" xfId="6156"/>
    <cellStyle name="20% - Accent4 3 5 2" xfId="6155"/>
    <cellStyle name="20% - Accent4 3 5 2 2" xfId="9957"/>
    <cellStyle name="20% - Accent4 3 5 2 2 2" xfId="19578"/>
    <cellStyle name="20% - Accent4 3 5 2 2 2 2" xfId="35799"/>
    <cellStyle name="20% - Accent4 3 5 2 2 3" xfId="29111"/>
    <cellStyle name="20% - Accent4 3 5 2 3" xfId="16739"/>
    <cellStyle name="20% - Accent4 3 5 2 3 2" xfId="32960"/>
    <cellStyle name="20% - Accent4 3 5 2 4" xfId="17821"/>
    <cellStyle name="20% - Accent4 3 5 2 4 2" xfId="34042"/>
    <cellStyle name="20% - Accent4 3 5 2 5" xfId="27460"/>
    <cellStyle name="20% - Accent4 3 5 3" xfId="9956"/>
    <cellStyle name="20% - Accent4 3 5 3 2" xfId="19577"/>
    <cellStyle name="20% - Accent4 3 5 3 2 2" xfId="35798"/>
    <cellStyle name="20% - Accent4 3 5 3 3" xfId="29110"/>
    <cellStyle name="20% - Accent4 3 5 4" xfId="15154"/>
    <cellStyle name="20% - Accent4 3 5 4 2" xfId="31376"/>
    <cellStyle name="20% - Accent4 3 5 5" xfId="17820"/>
    <cellStyle name="20% - Accent4 3 5 5 2" xfId="34041"/>
    <cellStyle name="20% - Accent4 3 5 6" xfId="27461"/>
    <cellStyle name="20% - Accent4 3 5 7" xfId="39410"/>
    <cellStyle name="20% - Accent4 3 6" xfId="6154"/>
    <cellStyle name="20% - Accent4 3 6 2" xfId="9958"/>
    <cellStyle name="20% - Accent4 3 6 2 2" xfId="19579"/>
    <cellStyle name="20% - Accent4 3 6 2 2 2" xfId="35800"/>
    <cellStyle name="20% - Accent4 3 6 2 3" xfId="29112"/>
    <cellStyle name="20% - Accent4 3 6 3" xfId="15947"/>
    <cellStyle name="20% - Accent4 3 6 3 2" xfId="32168"/>
    <cellStyle name="20% - Accent4 3 6 4" xfId="17822"/>
    <cellStyle name="20% - Accent4 3 6 4 2" xfId="34043"/>
    <cellStyle name="20% - Accent4 3 6 5" xfId="27459"/>
    <cellStyle name="20% - Accent4 3 7" xfId="9935"/>
    <cellStyle name="20% - Accent4 3 7 2" xfId="19556"/>
    <cellStyle name="20% - Accent4 3 7 2 2" xfId="35777"/>
    <cellStyle name="20% - Accent4 3 7 3" xfId="29089"/>
    <cellStyle name="20% - Accent4 3 8" xfId="14362"/>
    <cellStyle name="20% - Accent4 3 8 2" xfId="30584"/>
    <cellStyle name="20% - Accent4 3 9" xfId="17799"/>
    <cellStyle name="20% - Accent4 3 9 2" xfId="34020"/>
    <cellStyle name="20% - Accent4 4" xfId="6153"/>
    <cellStyle name="20% - Accent4 4 10" xfId="38992"/>
    <cellStyle name="20% - Accent4 4 2" xfId="6152"/>
    <cellStyle name="20% - Accent4 4 2 2" xfId="6151"/>
    <cellStyle name="20% - Accent4 4 2 2 2" xfId="6150"/>
    <cellStyle name="20% - Accent4 4 2 2 2 2" xfId="9962"/>
    <cellStyle name="20% - Accent4 4 2 2 2 2 2" xfId="19583"/>
    <cellStyle name="20% - Accent4 4 2 2 2 2 2 2" xfId="35804"/>
    <cellStyle name="20% - Accent4 4 2 2 2 2 3" xfId="29116"/>
    <cellStyle name="20% - Accent4 4 2 2 2 3" xfId="17069"/>
    <cellStyle name="20% - Accent4 4 2 2 2 3 2" xfId="33290"/>
    <cellStyle name="20% - Accent4 4 2 2 2 4" xfId="17826"/>
    <cellStyle name="20% - Accent4 4 2 2 2 4 2" xfId="34047"/>
    <cellStyle name="20% - Accent4 4 2 2 2 5" xfId="27455"/>
    <cellStyle name="20% - Accent4 4 2 2 3" xfId="9961"/>
    <cellStyle name="20% - Accent4 4 2 2 3 2" xfId="19582"/>
    <cellStyle name="20% - Accent4 4 2 2 3 2 2" xfId="35803"/>
    <cellStyle name="20% - Accent4 4 2 2 3 3" xfId="29115"/>
    <cellStyle name="20% - Accent4 4 2 2 4" xfId="15484"/>
    <cellStyle name="20% - Accent4 4 2 2 4 2" xfId="31706"/>
    <cellStyle name="20% - Accent4 4 2 2 5" xfId="17825"/>
    <cellStyle name="20% - Accent4 4 2 2 5 2" xfId="34046"/>
    <cellStyle name="20% - Accent4 4 2 2 6" xfId="27456"/>
    <cellStyle name="20% - Accent4 4 2 2 7" xfId="39182"/>
    <cellStyle name="20% - Accent4 4 2 3" xfId="6149"/>
    <cellStyle name="20% - Accent4 4 2 3 2" xfId="9963"/>
    <cellStyle name="20% - Accent4 4 2 3 2 2" xfId="19584"/>
    <cellStyle name="20% - Accent4 4 2 3 2 2 2" xfId="35805"/>
    <cellStyle name="20% - Accent4 4 2 3 2 3" xfId="29117"/>
    <cellStyle name="20% - Accent4 4 2 3 3" xfId="16277"/>
    <cellStyle name="20% - Accent4 4 2 3 3 2" xfId="32498"/>
    <cellStyle name="20% - Accent4 4 2 3 4" xfId="17827"/>
    <cellStyle name="20% - Accent4 4 2 3 4 2" xfId="34048"/>
    <cellStyle name="20% - Accent4 4 2 3 5" xfId="27454"/>
    <cellStyle name="20% - Accent4 4 2 3 6" xfId="39330"/>
    <cellStyle name="20% - Accent4 4 2 4" xfId="9960"/>
    <cellStyle name="20% - Accent4 4 2 4 2" xfId="19581"/>
    <cellStyle name="20% - Accent4 4 2 4 2 2" xfId="35802"/>
    <cellStyle name="20% - Accent4 4 2 4 3" xfId="29114"/>
    <cellStyle name="20% - Accent4 4 2 4 4" xfId="39479"/>
    <cellStyle name="20% - Accent4 4 2 5" xfId="14692"/>
    <cellStyle name="20% - Accent4 4 2 5 2" xfId="30914"/>
    <cellStyle name="20% - Accent4 4 2 6" xfId="17824"/>
    <cellStyle name="20% - Accent4 4 2 6 2" xfId="34045"/>
    <cellStyle name="20% - Accent4 4 2 7" xfId="27457"/>
    <cellStyle name="20% - Accent4 4 2 8" xfId="39034"/>
    <cellStyle name="20% - Accent4 4 3" xfId="6148"/>
    <cellStyle name="20% - Accent4 4 3 2" xfId="6147"/>
    <cellStyle name="20% - Accent4 4 3 2 2" xfId="6146"/>
    <cellStyle name="20% - Accent4 4 3 2 2 2" xfId="9966"/>
    <cellStyle name="20% - Accent4 4 3 2 2 2 2" xfId="19587"/>
    <cellStyle name="20% - Accent4 4 3 2 2 2 2 2" xfId="35808"/>
    <cellStyle name="20% - Accent4 4 3 2 2 2 3" xfId="29120"/>
    <cellStyle name="20% - Accent4 4 3 2 2 3" xfId="17333"/>
    <cellStyle name="20% - Accent4 4 3 2 2 3 2" xfId="33554"/>
    <cellStyle name="20% - Accent4 4 3 2 2 4" xfId="17830"/>
    <cellStyle name="20% - Accent4 4 3 2 2 4 2" xfId="34051"/>
    <cellStyle name="20% - Accent4 4 3 2 2 5" xfId="27451"/>
    <cellStyle name="20% - Accent4 4 3 2 3" xfId="9965"/>
    <cellStyle name="20% - Accent4 4 3 2 3 2" xfId="19586"/>
    <cellStyle name="20% - Accent4 4 3 2 3 2 2" xfId="35807"/>
    <cellStyle name="20% - Accent4 4 3 2 3 3" xfId="29119"/>
    <cellStyle name="20% - Accent4 4 3 2 4" xfId="15748"/>
    <cellStyle name="20% - Accent4 4 3 2 4 2" xfId="31970"/>
    <cellStyle name="20% - Accent4 4 3 2 5" xfId="17829"/>
    <cellStyle name="20% - Accent4 4 3 2 5 2" xfId="34050"/>
    <cellStyle name="20% - Accent4 4 3 2 6" xfId="27452"/>
    <cellStyle name="20% - Accent4 4 3 3" xfId="6145"/>
    <cellStyle name="20% - Accent4 4 3 3 2" xfId="9967"/>
    <cellStyle name="20% - Accent4 4 3 3 2 2" xfId="19588"/>
    <cellStyle name="20% - Accent4 4 3 3 2 2 2" xfId="35809"/>
    <cellStyle name="20% - Accent4 4 3 3 2 3" xfId="29121"/>
    <cellStyle name="20% - Accent4 4 3 3 3" xfId="16541"/>
    <cellStyle name="20% - Accent4 4 3 3 3 2" xfId="32762"/>
    <cellStyle name="20% - Accent4 4 3 3 4" xfId="17831"/>
    <cellStyle name="20% - Accent4 4 3 3 4 2" xfId="34052"/>
    <cellStyle name="20% - Accent4 4 3 3 5" xfId="27450"/>
    <cellStyle name="20% - Accent4 4 3 4" xfId="9964"/>
    <cellStyle name="20% - Accent4 4 3 4 2" xfId="19585"/>
    <cellStyle name="20% - Accent4 4 3 4 2 2" xfId="35806"/>
    <cellStyle name="20% - Accent4 4 3 4 3" xfId="29118"/>
    <cellStyle name="20% - Accent4 4 3 5" xfId="14956"/>
    <cellStyle name="20% - Accent4 4 3 5 2" xfId="31178"/>
    <cellStyle name="20% - Accent4 4 3 6" xfId="17828"/>
    <cellStyle name="20% - Accent4 4 3 6 2" xfId="34049"/>
    <cellStyle name="20% - Accent4 4 3 7" xfId="27453"/>
    <cellStyle name="20% - Accent4 4 3 8" xfId="39126"/>
    <cellStyle name="20% - Accent4 4 4" xfId="6144"/>
    <cellStyle name="20% - Accent4 4 4 2" xfId="6143"/>
    <cellStyle name="20% - Accent4 4 4 2 2" xfId="9969"/>
    <cellStyle name="20% - Accent4 4 4 2 2 2" xfId="19590"/>
    <cellStyle name="20% - Accent4 4 4 2 2 2 2" xfId="35811"/>
    <cellStyle name="20% - Accent4 4 4 2 2 3" xfId="29123"/>
    <cellStyle name="20% - Accent4 4 4 2 3" xfId="16805"/>
    <cellStyle name="20% - Accent4 4 4 2 3 2" xfId="33026"/>
    <cellStyle name="20% - Accent4 4 4 2 4" xfId="17833"/>
    <cellStyle name="20% - Accent4 4 4 2 4 2" xfId="34054"/>
    <cellStyle name="20% - Accent4 4 4 2 5" xfId="27448"/>
    <cellStyle name="20% - Accent4 4 4 3" xfId="9968"/>
    <cellStyle name="20% - Accent4 4 4 3 2" xfId="19589"/>
    <cellStyle name="20% - Accent4 4 4 3 2 2" xfId="35810"/>
    <cellStyle name="20% - Accent4 4 4 3 3" xfId="29122"/>
    <cellStyle name="20% - Accent4 4 4 4" xfId="15220"/>
    <cellStyle name="20% - Accent4 4 4 4 2" xfId="31442"/>
    <cellStyle name="20% - Accent4 4 4 5" xfId="17832"/>
    <cellStyle name="20% - Accent4 4 4 5 2" xfId="34053"/>
    <cellStyle name="20% - Accent4 4 4 6" xfId="27449"/>
    <cellStyle name="20% - Accent4 4 4 7" xfId="39274"/>
    <cellStyle name="20% - Accent4 4 5" xfId="6142"/>
    <cellStyle name="20% - Accent4 4 5 2" xfId="9970"/>
    <cellStyle name="20% - Accent4 4 5 2 2" xfId="19591"/>
    <cellStyle name="20% - Accent4 4 5 2 2 2" xfId="35812"/>
    <cellStyle name="20% - Accent4 4 5 2 3" xfId="29124"/>
    <cellStyle name="20% - Accent4 4 5 3" xfId="16013"/>
    <cellStyle name="20% - Accent4 4 5 3 2" xfId="32234"/>
    <cellStyle name="20% - Accent4 4 5 4" xfId="17834"/>
    <cellStyle name="20% - Accent4 4 5 4 2" xfId="34055"/>
    <cellStyle name="20% - Accent4 4 5 5" xfId="27447"/>
    <cellStyle name="20% - Accent4 4 5 6" xfId="39423"/>
    <cellStyle name="20% - Accent4 4 6" xfId="9959"/>
    <cellStyle name="20% - Accent4 4 6 2" xfId="19580"/>
    <cellStyle name="20% - Accent4 4 6 2 2" xfId="35801"/>
    <cellStyle name="20% - Accent4 4 6 3" xfId="29113"/>
    <cellStyle name="20% - Accent4 4 7" xfId="14428"/>
    <cellStyle name="20% - Accent4 4 7 2" xfId="30650"/>
    <cellStyle name="20% - Accent4 4 8" xfId="17823"/>
    <cellStyle name="20% - Accent4 4 8 2" xfId="34044"/>
    <cellStyle name="20% - Accent4 4 9" xfId="27458"/>
    <cellStyle name="20% - Accent4 5" xfId="6141"/>
    <cellStyle name="20% - Accent4 5 2" xfId="6140"/>
    <cellStyle name="20% - Accent4 5 2 2" xfId="6139"/>
    <cellStyle name="20% - Accent4 5 2 2 2" xfId="9973"/>
    <cellStyle name="20% - Accent4 5 2 2 2 2" xfId="19594"/>
    <cellStyle name="20% - Accent4 5 2 2 2 2 2" xfId="35815"/>
    <cellStyle name="20% - Accent4 5 2 2 2 3" xfId="29127"/>
    <cellStyle name="20% - Accent4 5 2 2 3" xfId="16937"/>
    <cellStyle name="20% - Accent4 5 2 2 3 2" xfId="33158"/>
    <cellStyle name="20% - Accent4 5 2 2 4" xfId="17837"/>
    <cellStyle name="20% - Accent4 5 2 2 4 2" xfId="34058"/>
    <cellStyle name="20% - Accent4 5 2 2 5" xfId="27444"/>
    <cellStyle name="20% - Accent4 5 2 3" xfId="9972"/>
    <cellStyle name="20% - Accent4 5 2 3 2" xfId="19593"/>
    <cellStyle name="20% - Accent4 5 2 3 2 2" xfId="35814"/>
    <cellStyle name="20% - Accent4 5 2 3 3" xfId="29126"/>
    <cellStyle name="20% - Accent4 5 2 4" xfId="15352"/>
    <cellStyle name="20% - Accent4 5 2 4 2" xfId="31574"/>
    <cellStyle name="20% - Accent4 5 2 5" xfId="17836"/>
    <cellStyle name="20% - Accent4 5 2 5 2" xfId="34057"/>
    <cellStyle name="20% - Accent4 5 2 6" xfId="27445"/>
    <cellStyle name="20% - Accent4 5 2 7" xfId="39135"/>
    <cellStyle name="20% - Accent4 5 3" xfId="6138"/>
    <cellStyle name="20% - Accent4 5 3 2" xfId="9974"/>
    <cellStyle name="20% - Accent4 5 3 2 2" xfId="19595"/>
    <cellStyle name="20% - Accent4 5 3 2 2 2" xfId="35816"/>
    <cellStyle name="20% - Accent4 5 3 2 3" xfId="29128"/>
    <cellStyle name="20% - Accent4 5 3 3" xfId="16145"/>
    <cellStyle name="20% - Accent4 5 3 3 2" xfId="32366"/>
    <cellStyle name="20% - Accent4 5 3 4" xfId="17838"/>
    <cellStyle name="20% - Accent4 5 3 4 2" xfId="34059"/>
    <cellStyle name="20% - Accent4 5 3 5" xfId="27443"/>
    <cellStyle name="20% - Accent4 5 3 6" xfId="39283"/>
    <cellStyle name="20% - Accent4 5 4" xfId="9971"/>
    <cellStyle name="20% - Accent4 5 4 2" xfId="19592"/>
    <cellStyle name="20% - Accent4 5 4 2 2" xfId="35813"/>
    <cellStyle name="20% - Accent4 5 4 3" xfId="29125"/>
    <cellStyle name="20% - Accent4 5 4 4" xfId="39432"/>
    <cellStyle name="20% - Accent4 5 5" xfId="14560"/>
    <cellStyle name="20% - Accent4 5 5 2" xfId="30782"/>
    <cellStyle name="20% - Accent4 5 6" xfId="17835"/>
    <cellStyle name="20% - Accent4 5 6 2" xfId="34056"/>
    <cellStyle name="20% - Accent4 5 7" xfId="27446"/>
    <cellStyle name="20% - Accent4 5 8" xfId="39001"/>
    <cellStyle name="20% - Accent4 6" xfId="6137"/>
    <cellStyle name="20% - Accent4 6 2" xfId="6136"/>
    <cellStyle name="20% - Accent4 6 2 2" xfId="6135"/>
    <cellStyle name="20% - Accent4 6 2 2 2" xfId="9977"/>
    <cellStyle name="20% - Accent4 6 2 2 2 2" xfId="19598"/>
    <cellStyle name="20% - Accent4 6 2 2 2 2 2" xfId="35819"/>
    <cellStyle name="20% - Accent4 6 2 2 2 3" xfId="29131"/>
    <cellStyle name="20% - Accent4 6 2 2 3" xfId="17201"/>
    <cellStyle name="20% - Accent4 6 2 2 3 2" xfId="33422"/>
    <cellStyle name="20% - Accent4 6 2 2 4" xfId="17841"/>
    <cellStyle name="20% - Accent4 6 2 2 4 2" xfId="34062"/>
    <cellStyle name="20% - Accent4 6 2 2 5" xfId="27440"/>
    <cellStyle name="20% - Accent4 6 2 3" xfId="9976"/>
    <cellStyle name="20% - Accent4 6 2 3 2" xfId="19597"/>
    <cellStyle name="20% - Accent4 6 2 3 2 2" xfId="35818"/>
    <cellStyle name="20% - Accent4 6 2 3 3" xfId="29130"/>
    <cellStyle name="20% - Accent4 6 2 4" xfId="15616"/>
    <cellStyle name="20% - Accent4 6 2 4 2" xfId="31838"/>
    <cellStyle name="20% - Accent4 6 2 5" xfId="17840"/>
    <cellStyle name="20% - Accent4 6 2 5 2" xfId="34061"/>
    <cellStyle name="20% - Accent4 6 2 6" xfId="27441"/>
    <cellStyle name="20% - Accent4 6 3" xfId="6134"/>
    <cellStyle name="20% - Accent4 6 3 2" xfId="9978"/>
    <cellStyle name="20% - Accent4 6 3 2 2" xfId="19599"/>
    <cellStyle name="20% - Accent4 6 3 2 2 2" xfId="35820"/>
    <cellStyle name="20% - Accent4 6 3 2 3" xfId="29132"/>
    <cellStyle name="20% - Accent4 6 3 3" xfId="16409"/>
    <cellStyle name="20% - Accent4 6 3 3 2" xfId="32630"/>
    <cellStyle name="20% - Accent4 6 3 4" xfId="17842"/>
    <cellStyle name="20% - Accent4 6 3 4 2" xfId="34063"/>
    <cellStyle name="20% - Accent4 6 3 5" xfId="27439"/>
    <cellStyle name="20% - Accent4 6 4" xfId="9975"/>
    <cellStyle name="20% - Accent4 6 4 2" xfId="19596"/>
    <cellStyle name="20% - Accent4 6 4 2 2" xfId="35817"/>
    <cellStyle name="20% - Accent4 6 4 3" xfId="29129"/>
    <cellStyle name="20% - Accent4 6 5" xfId="14824"/>
    <cellStyle name="20% - Accent4 6 5 2" xfId="31046"/>
    <cellStyle name="20% - Accent4 6 6" xfId="17839"/>
    <cellStyle name="20% - Accent4 6 6 2" xfId="34060"/>
    <cellStyle name="20% - Accent4 6 7" xfId="27442"/>
    <cellStyle name="20% - Accent4 6 8" xfId="39082"/>
    <cellStyle name="20% - Accent4 7" xfId="6133"/>
    <cellStyle name="20% - Accent4 7 2" xfId="6132"/>
    <cellStyle name="20% - Accent4 7 2 2" xfId="9980"/>
    <cellStyle name="20% - Accent4 7 2 2 2" xfId="19601"/>
    <cellStyle name="20% - Accent4 7 2 2 2 2" xfId="35822"/>
    <cellStyle name="20% - Accent4 7 2 2 3" xfId="29134"/>
    <cellStyle name="20% - Accent4 7 2 3" xfId="16673"/>
    <cellStyle name="20% - Accent4 7 2 3 2" xfId="32894"/>
    <cellStyle name="20% - Accent4 7 2 4" xfId="17844"/>
    <cellStyle name="20% - Accent4 7 2 4 2" xfId="34065"/>
    <cellStyle name="20% - Accent4 7 2 5" xfId="27437"/>
    <cellStyle name="20% - Accent4 7 3" xfId="9979"/>
    <cellStyle name="20% - Accent4 7 3 2" xfId="19600"/>
    <cellStyle name="20% - Accent4 7 3 2 2" xfId="35821"/>
    <cellStyle name="20% - Accent4 7 3 3" xfId="29133"/>
    <cellStyle name="20% - Accent4 7 4" xfId="15088"/>
    <cellStyle name="20% - Accent4 7 4 2" xfId="31310"/>
    <cellStyle name="20% - Accent4 7 5" xfId="17843"/>
    <cellStyle name="20% - Accent4 7 5 2" xfId="34064"/>
    <cellStyle name="20% - Accent4 7 6" xfId="27438"/>
    <cellStyle name="20% - Accent4 7 7" xfId="39230"/>
    <cellStyle name="20% - Accent4 8" xfId="5735"/>
    <cellStyle name="20% - Accent4 8 2" xfId="9981"/>
    <cellStyle name="20% - Accent4 8 2 2" xfId="19602"/>
    <cellStyle name="20% - Accent4 8 2 2 2" xfId="35823"/>
    <cellStyle name="20% - Accent4 8 2 3" xfId="29135"/>
    <cellStyle name="20% - Accent4 8 3" xfId="15880"/>
    <cellStyle name="20% - Accent4 8 3 2" xfId="32101"/>
    <cellStyle name="20% - Accent4 8 4" xfId="17845"/>
    <cellStyle name="20% - Accent4 8 4 2" xfId="34066"/>
    <cellStyle name="20% - Accent4 8 5" xfId="27041"/>
    <cellStyle name="20% - Accent4 8 6" xfId="39379"/>
    <cellStyle name="20% - Accent4 9" xfId="9886"/>
    <cellStyle name="20% - Accent4 9 2" xfId="19507"/>
    <cellStyle name="20% - Accent4 9 2 2" xfId="35728"/>
    <cellStyle name="20% - Accent4 9 3" xfId="29040"/>
    <cellStyle name="20% - Accent5" xfId="40" builtinId="46" customBuiltin="1"/>
    <cellStyle name="20% - Accent5 10" xfId="14228"/>
    <cellStyle name="20% - Accent5 10 2" xfId="30515"/>
    <cellStyle name="20% - Accent5 11" xfId="17846"/>
    <cellStyle name="20% - Accent5 11 2" xfId="34067"/>
    <cellStyle name="20% - Accent5 12" xfId="26991"/>
    <cellStyle name="20% - Accent5 13" xfId="38910"/>
    <cellStyle name="20% - Accent5 14" xfId="4846"/>
    <cellStyle name="20% - Accent5 2" xfId="4870"/>
    <cellStyle name="20% - Accent5 2 10" xfId="17847"/>
    <cellStyle name="20% - Accent5 2 10 2" xfId="34068"/>
    <cellStyle name="20% - Accent5 2 11" xfId="27006"/>
    <cellStyle name="20% - Accent5 2 12" xfId="38772"/>
    <cellStyle name="20% - Accent5 2 2" xfId="6131"/>
    <cellStyle name="20% - Accent5 2 2 10" xfId="27436"/>
    <cellStyle name="20% - Accent5 2 2 11" xfId="38968"/>
    <cellStyle name="20% - Accent5 2 2 2" xfId="6130"/>
    <cellStyle name="20% - Accent5 2 2 2 10" xfId="39158"/>
    <cellStyle name="20% - Accent5 2 2 2 2" xfId="6129"/>
    <cellStyle name="20% - Accent5 2 2 2 2 2" xfId="6128"/>
    <cellStyle name="20% - Accent5 2 2 2 2 2 2" xfId="6127"/>
    <cellStyle name="20% - Accent5 2 2 2 2 2 2 2" xfId="9988"/>
    <cellStyle name="20% - Accent5 2 2 2 2 2 2 2 2" xfId="19609"/>
    <cellStyle name="20% - Accent5 2 2 2 2 2 2 2 2 2" xfId="35830"/>
    <cellStyle name="20% - Accent5 2 2 2 2 2 2 2 3" xfId="29142"/>
    <cellStyle name="20% - Accent5 2 2 2 2 2 2 3" xfId="17169"/>
    <cellStyle name="20% - Accent5 2 2 2 2 2 2 3 2" xfId="33390"/>
    <cellStyle name="20% - Accent5 2 2 2 2 2 2 4" xfId="17852"/>
    <cellStyle name="20% - Accent5 2 2 2 2 2 2 4 2" xfId="34073"/>
    <cellStyle name="20% - Accent5 2 2 2 2 2 2 5" xfId="27432"/>
    <cellStyle name="20% - Accent5 2 2 2 2 2 3" xfId="9987"/>
    <cellStyle name="20% - Accent5 2 2 2 2 2 3 2" xfId="19608"/>
    <cellStyle name="20% - Accent5 2 2 2 2 2 3 2 2" xfId="35829"/>
    <cellStyle name="20% - Accent5 2 2 2 2 2 3 3" xfId="29141"/>
    <cellStyle name="20% - Accent5 2 2 2 2 2 4" xfId="15584"/>
    <cellStyle name="20% - Accent5 2 2 2 2 2 4 2" xfId="31806"/>
    <cellStyle name="20% - Accent5 2 2 2 2 2 5" xfId="17851"/>
    <cellStyle name="20% - Accent5 2 2 2 2 2 5 2" xfId="34072"/>
    <cellStyle name="20% - Accent5 2 2 2 2 2 6" xfId="27433"/>
    <cellStyle name="20% - Accent5 2 2 2 2 3" xfId="6126"/>
    <cellStyle name="20% - Accent5 2 2 2 2 3 2" xfId="9989"/>
    <cellStyle name="20% - Accent5 2 2 2 2 3 2 2" xfId="19610"/>
    <cellStyle name="20% - Accent5 2 2 2 2 3 2 2 2" xfId="35831"/>
    <cellStyle name="20% - Accent5 2 2 2 2 3 2 3" xfId="29143"/>
    <cellStyle name="20% - Accent5 2 2 2 2 3 3" xfId="16377"/>
    <cellStyle name="20% - Accent5 2 2 2 2 3 3 2" xfId="32598"/>
    <cellStyle name="20% - Accent5 2 2 2 2 3 4" xfId="17853"/>
    <cellStyle name="20% - Accent5 2 2 2 2 3 4 2" xfId="34074"/>
    <cellStyle name="20% - Accent5 2 2 2 2 3 5" xfId="27431"/>
    <cellStyle name="20% - Accent5 2 2 2 2 4" xfId="9986"/>
    <cellStyle name="20% - Accent5 2 2 2 2 4 2" xfId="19607"/>
    <cellStyle name="20% - Accent5 2 2 2 2 4 2 2" xfId="35828"/>
    <cellStyle name="20% - Accent5 2 2 2 2 4 3" xfId="29140"/>
    <cellStyle name="20% - Accent5 2 2 2 2 5" xfId="14792"/>
    <cellStyle name="20% - Accent5 2 2 2 2 5 2" xfId="31014"/>
    <cellStyle name="20% - Accent5 2 2 2 2 6" xfId="17850"/>
    <cellStyle name="20% - Accent5 2 2 2 2 6 2" xfId="34071"/>
    <cellStyle name="20% - Accent5 2 2 2 2 7" xfId="27434"/>
    <cellStyle name="20% - Accent5 2 2 2 3" xfId="6125"/>
    <cellStyle name="20% - Accent5 2 2 2 3 2" xfId="6124"/>
    <cellStyle name="20% - Accent5 2 2 2 3 2 2" xfId="6123"/>
    <cellStyle name="20% - Accent5 2 2 2 3 2 2 2" xfId="9992"/>
    <cellStyle name="20% - Accent5 2 2 2 3 2 2 2 2" xfId="19613"/>
    <cellStyle name="20% - Accent5 2 2 2 3 2 2 2 2 2" xfId="35834"/>
    <cellStyle name="20% - Accent5 2 2 2 3 2 2 2 3" xfId="29146"/>
    <cellStyle name="20% - Accent5 2 2 2 3 2 2 3" xfId="17433"/>
    <cellStyle name="20% - Accent5 2 2 2 3 2 2 3 2" xfId="33654"/>
    <cellStyle name="20% - Accent5 2 2 2 3 2 2 4" xfId="17856"/>
    <cellStyle name="20% - Accent5 2 2 2 3 2 2 4 2" xfId="34077"/>
    <cellStyle name="20% - Accent5 2 2 2 3 2 2 5" xfId="27428"/>
    <cellStyle name="20% - Accent5 2 2 2 3 2 3" xfId="9991"/>
    <cellStyle name="20% - Accent5 2 2 2 3 2 3 2" xfId="19612"/>
    <cellStyle name="20% - Accent5 2 2 2 3 2 3 2 2" xfId="35833"/>
    <cellStyle name="20% - Accent5 2 2 2 3 2 3 3" xfId="29145"/>
    <cellStyle name="20% - Accent5 2 2 2 3 2 4" xfId="15848"/>
    <cellStyle name="20% - Accent5 2 2 2 3 2 4 2" xfId="32070"/>
    <cellStyle name="20% - Accent5 2 2 2 3 2 5" xfId="17855"/>
    <cellStyle name="20% - Accent5 2 2 2 3 2 5 2" xfId="34076"/>
    <cellStyle name="20% - Accent5 2 2 2 3 2 6" xfId="27429"/>
    <cellStyle name="20% - Accent5 2 2 2 3 3" xfId="6122"/>
    <cellStyle name="20% - Accent5 2 2 2 3 3 2" xfId="9993"/>
    <cellStyle name="20% - Accent5 2 2 2 3 3 2 2" xfId="19614"/>
    <cellStyle name="20% - Accent5 2 2 2 3 3 2 2 2" xfId="35835"/>
    <cellStyle name="20% - Accent5 2 2 2 3 3 2 3" xfId="29147"/>
    <cellStyle name="20% - Accent5 2 2 2 3 3 3" xfId="16641"/>
    <cellStyle name="20% - Accent5 2 2 2 3 3 3 2" xfId="32862"/>
    <cellStyle name="20% - Accent5 2 2 2 3 3 4" xfId="17857"/>
    <cellStyle name="20% - Accent5 2 2 2 3 3 4 2" xfId="34078"/>
    <cellStyle name="20% - Accent5 2 2 2 3 3 5" xfId="27427"/>
    <cellStyle name="20% - Accent5 2 2 2 3 4" xfId="9990"/>
    <cellStyle name="20% - Accent5 2 2 2 3 4 2" xfId="19611"/>
    <cellStyle name="20% - Accent5 2 2 2 3 4 2 2" xfId="35832"/>
    <cellStyle name="20% - Accent5 2 2 2 3 4 3" xfId="29144"/>
    <cellStyle name="20% - Accent5 2 2 2 3 5" xfId="15056"/>
    <cellStyle name="20% - Accent5 2 2 2 3 5 2" xfId="31278"/>
    <cellStyle name="20% - Accent5 2 2 2 3 6" xfId="17854"/>
    <cellStyle name="20% - Accent5 2 2 2 3 6 2" xfId="34075"/>
    <cellStyle name="20% - Accent5 2 2 2 3 7" xfId="27430"/>
    <cellStyle name="20% - Accent5 2 2 2 4" xfId="6075"/>
    <cellStyle name="20% - Accent5 2 2 2 4 2" xfId="6121"/>
    <cellStyle name="20% - Accent5 2 2 2 4 2 2" xfId="9995"/>
    <cellStyle name="20% - Accent5 2 2 2 4 2 2 2" xfId="19616"/>
    <cellStyle name="20% - Accent5 2 2 2 4 2 2 2 2" xfId="35837"/>
    <cellStyle name="20% - Accent5 2 2 2 4 2 2 3" xfId="29149"/>
    <cellStyle name="20% - Accent5 2 2 2 4 2 3" xfId="16905"/>
    <cellStyle name="20% - Accent5 2 2 2 4 2 3 2" xfId="33126"/>
    <cellStyle name="20% - Accent5 2 2 2 4 2 4" xfId="17859"/>
    <cellStyle name="20% - Accent5 2 2 2 4 2 4 2" xfId="34080"/>
    <cellStyle name="20% - Accent5 2 2 2 4 2 5" xfId="27426"/>
    <cellStyle name="20% - Accent5 2 2 2 4 3" xfId="9994"/>
    <cellStyle name="20% - Accent5 2 2 2 4 3 2" xfId="19615"/>
    <cellStyle name="20% - Accent5 2 2 2 4 3 2 2" xfId="35836"/>
    <cellStyle name="20% - Accent5 2 2 2 4 3 3" xfId="29148"/>
    <cellStyle name="20% - Accent5 2 2 2 4 4" xfId="15320"/>
    <cellStyle name="20% - Accent5 2 2 2 4 4 2" xfId="31542"/>
    <cellStyle name="20% - Accent5 2 2 2 4 5" xfId="17858"/>
    <cellStyle name="20% - Accent5 2 2 2 4 5 2" xfId="34079"/>
    <cellStyle name="20% - Accent5 2 2 2 4 6" xfId="27380"/>
    <cellStyle name="20% - Accent5 2 2 2 5" xfId="6120"/>
    <cellStyle name="20% - Accent5 2 2 2 5 2" xfId="9996"/>
    <cellStyle name="20% - Accent5 2 2 2 5 2 2" xfId="19617"/>
    <cellStyle name="20% - Accent5 2 2 2 5 2 2 2" xfId="35838"/>
    <cellStyle name="20% - Accent5 2 2 2 5 2 3" xfId="29150"/>
    <cellStyle name="20% - Accent5 2 2 2 5 3" xfId="16113"/>
    <cellStyle name="20% - Accent5 2 2 2 5 3 2" xfId="32334"/>
    <cellStyle name="20% - Accent5 2 2 2 5 4" xfId="17860"/>
    <cellStyle name="20% - Accent5 2 2 2 5 4 2" xfId="34081"/>
    <cellStyle name="20% - Accent5 2 2 2 5 5" xfId="27425"/>
    <cellStyle name="20% - Accent5 2 2 2 6" xfId="9985"/>
    <cellStyle name="20% - Accent5 2 2 2 6 2" xfId="19606"/>
    <cellStyle name="20% - Accent5 2 2 2 6 2 2" xfId="35827"/>
    <cellStyle name="20% - Accent5 2 2 2 6 3" xfId="29139"/>
    <cellStyle name="20% - Accent5 2 2 2 7" xfId="14528"/>
    <cellStyle name="20% - Accent5 2 2 2 7 2" xfId="30750"/>
    <cellStyle name="20% - Accent5 2 2 2 8" xfId="17849"/>
    <cellStyle name="20% - Accent5 2 2 2 8 2" xfId="34070"/>
    <cellStyle name="20% - Accent5 2 2 2 9" xfId="27435"/>
    <cellStyle name="20% - Accent5 2 2 3" xfId="6119"/>
    <cellStyle name="20% - Accent5 2 2 3 2" xfId="6118"/>
    <cellStyle name="20% - Accent5 2 2 3 2 2" xfId="6117"/>
    <cellStyle name="20% - Accent5 2 2 3 2 2 2" xfId="9999"/>
    <cellStyle name="20% - Accent5 2 2 3 2 2 2 2" xfId="19620"/>
    <cellStyle name="20% - Accent5 2 2 3 2 2 2 2 2" xfId="35841"/>
    <cellStyle name="20% - Accent5 2 2 3 2 2 2 3" xfId="29153"/>
    <cellStyle name="20% - Accent5 2 2 3 2 2 3" xfId="17037"/>
    <cellStyle name="20% - Accent5 2 2 3 2 2 3 2" xfId="33258"/>
    <cellStyle name="20% - Accent5 2 2 3 2 2 4" xfId="17863"/>
    <cellStyle name="20% - Accent5 2 2 3 2 2 4 2" xfId="34084"/>
    <cellStyle name="20% - Accent5 2 2 3 2 2 5" xfId="27422"/>
    <cellStyle name="20% - Accent5 2 2 3 2 3" xfId="9998"/>
    <cellStyle name="20% - Accent5 2 2 3 2 3 2" xfId="19619"/>
    <cellStyle name="20% - Accent5 2 2 3 2 3 2 2" xfId="35840"/>
    <cellStyle name="20% - Accent5 2 2 3 2 3 3" xfId="29152"/>
    <cellStyle name="20% - Accent5 2 2 3 2 4" xfId="15452"/>
    <cellStyle name="20% - Accent5 2 2 3 2 4 2" xfId="31674"/>
    <cellStyle name="20% - Accent5 2 2 3 2 5" xfId="17862"/>
    <cellStyle name="20% - Accent5 2 2 3 2 5 2" xfId="34083"/>
    <cellStyle name="20% - Accent5 2 2 3 2 6" xfId="27423"/>
    <cellStyle name="20% - Accent5 2 2 3 3" xfId="6116"/>
    <cellStyle name="20% - Accent5 2 2 3 3 2" xfId="10000"/>
    <cellStyle name="20% - Accent5 2 2 3 3 2 2" xfId="19621"/>
    <cellStyle name="20% - Accent5 2 2 3 3 2 2 2" xfId="35842"/>
    <cellStyle name="20% - Accent5 2 2 3 3 2 3" xfId="29154"/>
    <cellStyle name="20% - Accent5 2 2 3 3 3" xfId="16245"/>
    <cellStyle name="20% - Accent5 2 2 3 3 3 2" xfId="32466"/>
    <cellStyle name="20% - Accent5 2 2 3 3 4" xfId="17864"/>
    <cellStyle name="20% - Accent5 2 2 3 3 4 2" xfId="34085"/>
    <cellStyle name="20% - Accent5 2 2 3 3 5" xfId="27421"/>
    <cellStyle name="20% - Accent5 2 2 3 4" xfId="9997"/>
    <cellStyle name="20% - Accent5 2 2 3 4 2" xfId="19618"/>
    <cellStyle name="20% - Accent5 2 2 3 4 2 2" xfId="35839"/>
    <cellStyle name="20% - Accent5 2 2 3 4 3" xfId="29151"/>
    <cellStyle name="20% - Accent5 2 2 3 5" xfId="14660"/>
    <cellStyle name="20% - Accent5 2 2 3 5 2" xfId="30882"/>
    <cellStyle name="20% - Accent5 2 2 3 6" xfId="17861"/>
    <cellStyle name="20% - Accent5 2 2 3 6 2" xfId="34082"/>
    <cellStyle name="20% - Accent5 2 2 3 7" xfId="27424"/>
    <cellStyle name="20% - Accent5 2 2 3 8" xfId="39306"/>
    <cellStyle name="20% - Accent5 2 2 4" xfId="6115"/>
    <cellStyle name="20% - Accent5 2 2 4 2" xfId="6114"/>
    <cellStyle name="20% - Accent5 2 2 4 2 2" xfId="6113"/>
    <cellStyle name="20% - Accent5 2 2 4 2 2 2" xfId="10003"/>
    <cellStyle name="20% - Accent5 2 2 4 2 2 2 2" xfId="19624"/>
    <cellStyle name="20% - Accent5 2 2 4 2 2 2 2 2" xfId="35845"/>
    <cellStyle name="20% - Accent5 2 2 4 2 2 2 3" xfId="29157"/>
    <cellStyle name="20% - Accent5 2 2 4 2 2 3" xfId="17301"/>
    <cellStyle name="20% - Accent5 2 2 4 2 2 3 2" xfId="33522"/>
    <cellStyle name="20% - Accent5 2 2 4 2 2 4" xfId="17867"/>
    <cellStyle name="20% - Accent5 2 2 4 2 2 4 2" xfId="34088"/>
    <cellStyle name="20% - Accent5 2 2 4 2 2 5" xfId="27418"/>
    <cellStyle name="20% - Accent5 2 2 4 2 3" xfId="10002"/>
    <cellStyle name="20% - Accent5 2 2 4 2 3 2" xfId="19623"/>
    <cellStyle name="20% - Accent5 2 2 4 2 3 2 2" xfId="35844"/>
    <cellStyle name="20% - Accent5 2 2 4 2 3 3" xfId="29156"/>
    <cellStyle name="20% - Accent5 2 2 4 2 4" xfId="15716"/>
    <cellStyle name="20% - Accent5 2 2 4 2 4 2" xfId="31938"/>
    <cellStyle name="20% - Accent5 2 2 4 2 5" xfId="17866"/>
    <cellStyle name="20% - Accent5 2 2 4 2 5 2" xfId="34087"/>
    <cellStyle name="20% - Accent5 2 2 4 2 6" xfId="27419"/>
    <cellStyle name="20% - Accent5 2 2 4 3" xfId="6112"/>
    <cellStyle name="20% - Accent5 2 2 4 3 2" xfId="10004"/>
    <cellStyle name="20% - Accent5 2 2 4 3 2 2" xfId="19625"/>
    <cellStyle name="20% - Accent5 2 2 4 3 2 2 2" xfId="35846"/>
    <cellStyle name="20% - Accent5 2 2 4 3 2 3" xfId="29158"/>
    <cellStyle name="20% - Accent5 2 2 4 3 3" xfId="16509"/>
    <cellStyle name="20% - Accent5 2 2 4 3 3 2" xfId="32730"/>
    <cellStyle name="20% - Accent5 2 2 4 3 4" xfId="17868"/>
    <cellStyle name="20% - Accent5 2 2 4 3 4 2" xfId="34089"/>
    <cellStyle name="20% - Accent5 2 2 4 3 5" xfId="27417"/>
    <cellStyle name="20% - Accent5 2 2 4 4" xfId="10001"/>
    <cellStyle name="20% - Accent5 2 2 4 4 2" xfId="19622"/>
    <cellStyle name="20% - Accent5 2 2 4 4 2 2" xfId="35843"/>
    <cellStyle name="20% - Accent5 2 2 4 4 3" xfId="29155"/>
    <cellStyle name="20% - Accent5 2 2 4 5" xfId="14924"/>
    <cellStyle name="20% - Accent5 2 2 4 5 2" xfId="31146"/>
    <cellStyle name="20% - Accent5 2 2 4 6" xfId="17865"/>
    <cellStyle name="20% - Accent5 2 2 4 6 2" xfId="34086"/>
    <cellStyle name="20% - Accent5 2 2 4 7" xfId="27420"/>
    <cellStyle name="20% - Accent5 2 2 4 8" xfId="39455"/>
    <cellStyle name="20% - Accent5 2 2 5" xfId="6111"/>
    <cellStyle name="20% - Accent5 2 2 5 2" xfId="6110"/>
    <cellStyle name="20% - Accent5 2 2 5 2 2" xfId="10006"/>
    <cellStyle name="20% - Accent5 2 2 5 2 2 2" xfId="19627"/>
    <cellStyle name="20% - Accent5 2 2 5 2 2 2 2" xfId="35848"/>
    <cellStyle name="20% - Accent5 2 2 5 2 2 3" xfId="29160"/>
    <cellStyle name="20% - Accent5 2 2 5 2 3" xfId="16773"/>
    <cellStyle name="20% - Accent5 2 2 5 2 3 2" xfId="32994"/>
    <cellStyle name="20% - Accent5 2 2 5 2 4" xfId="17870"/>
    <cellStyle name="20% - Accent5 2 2 5 2 4 2" xfId="34091"/>
    <cellStyle name="20% - Accent5 2 2 5 2 5" xfId="27415"/>
    <cellStyle name="20% - Accent5 2 2 5 3" xfId="10005"/>
    <cellStyle name="20% - Accent5 2 2 5 3 2" xfId="19626"/>
    <cellStyle name="20% - Accent5 2 2 5 3 2 2" xfId="35847"/>
    <cellStyle name="20% - Accent5 2 2 5 3 3" xfId="29159"/>
    <cellStyle name="20% - Accent5 2 2 5 4" xfId="15188"/>
    <cellStyle name="20% - Accent5 2 2 5 4 2" xfId="31410"/>
    <cellStyle name="20% - Accent5 2 2 5 5" xfId="17869"/>
    <cellStyle name="20% - Accent5 2 2 5 5 2" xfId="34090"/>
    <cellStyle name="20% - Accent5 2 2 5 6" xfId="27416"/>
    <cellStyle name="20% - Accent5 2 2 6" xfId="6109"/>
    <cellStyle name="20% - Accent5 2 2 6 2" xfId="10007"/>
    <cellStyle name="20% - Accent5 2 2 6 2 2" xfId="19628"/>
    <cellStyle name="20% - Accent5 2 2 6 2 2 2" xfId="35849"/>
    <cellStyle name="20% - Accent5 2 2 6 2 3" xfId="29161"/>
    <cellStyle name="20% - Accent5 2 2 6 3" xfId="15981"/>
    <cellStyle name="20% - Accent5 2 2 6 3 2" xfId="32202"/>
    <cellStyle name="20% - Accent5 2 2 6 4" xfId="17871"/>
    <cellStyle name="20% - Accent5 2 2 6 4 2" xfId="34092"/>
    <cellStyle name="20% - Accent5 2 2 6 5" xfId="27414"/>
    <cellStyle name="20% - Accent5 2 2 7" xfId="9984"/>
    <cellStyle name="20% - Accent5 2 2 7 2" xfId="19605"/>
    <cellStyle name="20% - Accent5 2 2 7 2 2" xfId="35826"/>
    <cellStyle name="20% - Accent5 2 2 7 3" xfId="29138"/>
    <cellStyle name="20% - Accent5 2 2 8" xfId="14396"/>
    <cellStyle name="20% - Accent5 2 2 8 2" xfId="30618"/>
    <cellStyle name="20% - Accent5 2 2 9" xfId="17848"/>
    <cellStyle name="20% - Accent5 2 2 9 2" xfId="34069"/>
    <cellStyle name="20% - Accent5 2 3" xfId="6108"/>
    <cellStyle name="20% - Accent5 2 3 10" xfId="39102"/>
    <cellStyle name="20% - Accent5 2 3 2" xfId="6107"/>
    <cellStyle name="20% - Accent5 2 3 2 2" xfId="6106"/>
    <cellStyle name="20% - Accent5 2 3 2 2 2" xfId="6105"/>
    <cellStyle name="20% - Accent5 2 3 2 2 2 2" xfId="10011"/>
    <cellStyle name="20% - Accent5 2 3 2 2 2 2 2" xfId="19632"/>
    <cellStyle name="20% - Accent5 2 3 2 2 2 2 2 2" xfId="35853"/>
    <cellStyle name="20% - Accent5 2 3 2 2 2 2 3" xfId="29165"/>
    <cellStyle name="20% - Accent5 2 3 2 2 2 3" xfId="17103"/>
    <cellStyle name="20% - Accent5 2 3 2 2 2 3 2" xfId="33324"/>
    <cellStyle name="20% - Accent5 2 3 2 2 2 4" xfId="17875"/>
    <cellStyle name="20% - Accent5 2 3 2 2 2 4 2" xfId="34096"/>
    <cellStyle name="20% - Accent5 2 3 2 2 2 5" xfId="27410"/>
    <cellStyle name="20% - Accent5 2 3 2 2 3" xfId="10010"/>
    <cellStyle name="20% - Accent5 2 3 2 2 3 2" xfId="19631"/>
    <cellStyle name="20% - Accent5 2 3 2 2 3 2 2" xfId="35852"/>
    <cellStyle name="20% - Accent5 2 3 2 2 3 3" xfId="29164"/>
    <cellStyle name="20% - Accent5 2 3 2 2 4" xfId="15518"/>
    <cellStyle name="20% - Accent5 2 3 2 2 4 2" xfId="31740"/>
    <cellStyle name="20% - Accent5 2 3 2 2 5" xfId="17874"/>
    <cellStyle name="20% - Accent5 2 3 2 2 5 2" xfId="34095"/>
    <cellStyle name="20% - Accent5 2 3 2 2 6" xfId="27411"/>
    <cellStyle name="20% - Accent5 2 3 2 3" xfId="6104"/>
    <cellStyle name="20% - Accent5 2 3 2 3 2" xfId="10012"/>
    <cellStyle name="20% - Accent5 2 3 2 3 2 2" xfId="19633"/>
    <cellStyle name="20% - Accent5 2 3 2 3 2 2 2" xfId="35854"/>
    <cellStyle name="20% - Accent5 2 3 2 3 2 3" xfId="29166"/>
    <cellStyle name="20% - Accent5 2 3 2 3 3" xfId="16311"/>
    <cellStyle name="20% - Accent5 2 3 2 3 3 2" xfId="32532"/>
    <cellStyle name="20% - Accent5 2 3 2 3 4" xfId="17876"/>
    <cellStyle name="20% - Accent5 2 3 2 3 4 2" xfId="34097"/>
    <cellStyle name="20% - Accent5 2 3 2 3 5" xfId="27409"/>
    <cellStyle name="20% - Accent5 2 3 2 4" xfId="10009"/>
    <cellStyle name="20% - Accent5 2 3 2 4 2" xfId="19630"/>
    <cellStyle name="20% - Accent5 2 3 2 4 2 2" xfId="35851"/>
    <cellStyle name="20% - Accent5 2 3 2 4 3" xfId="29163"/>
    <cellStyle name="20% - Accent5 2 3 2 5" xfId="14726"/>
    <cellStyle name="20% - Accent5 2 3 2 5 2" xfId="30948"/>
    <cellStyle name="20% - Accent5 2 3 2 6" xfId="17873"/>
    <cellStyle name="20% - Accent5 2 3 2 6 2" xfId="34094"/>
    <cellStyle name="20% - Accent5 2 3 2 7" xfId="27412"/>
    <cellStyle name="20% - Accent5 2 3 3" xfId="6103"/>
    <cellStyle name="20% - Accent5 2 3 3 2" xfId="6102"/>
    <cellStyle name="20% - Accent5 2 3 3 2 2" xfId="6101"/>
    <cellStyle name="20% - Accent5 2 3 3 2 2 2" xfId="10015"/>
    <cellStyle name="20% - Accent5 2 3 3 2 2 2 2" xfId="19636"/>
    <cellStyle name="20% - Accent5 2 3 3 2 2 2 2 2" xfId="35857"/>
    <cellStyle name="20% - Accent5 2 3 3 2 2 2 3" xfId="29169"/>
    <cellStyle name="20% - Accent5 2 3 3 2 2 3" xfId="17367"/>
    <cellStyle name="20% - Accent5 2 3 3 2 2 3 2" xfId="33588"/>
    <cellStyle name="20% - Accent5 2 3 3 2 2 4" xfId="17879"/>
    <cellStyle name="20% - Accent5 2 3 3 2 2 4 2" xfId="34100"/>
    <cellStyle name="20% - Accent5 2 3 3 2 2 5" xfId="27406"/>
    <cellStyle name="20% - Accent5 2 3 3 2 3" xfId="10014"/>
    <cellStyle name="20% - Accent5 2 3 3 2 3 2" xfId="19635"/>
    <cellStyle name="20% - Accent5 2 3 3 2 3 2 2" xfId="35856"/>
    <cellStyle name="20% - Accent5 2 3 3 2 3 3" xfId="29168"/>
    <cellStyle name="20% - Accent5 2 3 3 2 4" xfId="15782"/>
    <cellStyle name="20% - Accent5 2 3 3 2 4 2" xfId="32004"/>
    <cellStyle name="20% - Accent5 2 3 3 2 5" xfId="17878"/>
    <cellStyle name="20% - Accent5 2 3 3 2 5 2" xfId="34099"/>
    <cellStyle name="20% - Accent5 2 3 3 2 6" xfId="27407"/>
    <cellStyle name="20% - Accent5 2 3 3 3" xfId="6100"/>
    <cellStyle name="20% - Accent5 2 3 3 3 2" xfId="10016"/>
    <cellStyle name="20% - Accent5 2 3 3 3 2 2" xfId="19637"/>
    <cellStyle name="20% - Accent5 2 3 3 3 2 2 2" xfId="35858"/>
    <cellStyle name="20% - Accent5 2 3 3 3 2 3" xfId="29170"/>
    <cellStyle name="20% - Accent5 2 3 3 3 3" xfId="16575"/>
    <cellStyle name="20% - Accent5 2 3 3 3 3 2" xfId="32796"/>
    <cellStyle name="20% - Accent5 2 3 3 3 4" xfId="17880"/>
    <cellStyle name="20% - Accent5 2 3 3 3 4 2" xfId="34101"/>
    <cellStyle name="20% - Accent5 2 3 3 3 5" xfId="27405"/>
    <cellStyle name="20% - Accent5 2 3 3 4" xfId="10013"/>
    <cellStyle name="20% - Accent5 2 3 3 4 2" xfId="19634"/>
    <cellStyle name="20% - Accent5 2 3 3 4 2 2" xfId="35855"/>
    <cellStyle name="20% - Accent5 2 3 3 4 3" xfId="29167"/>
    <cellStyle name="20% - Accent5 2 3 3 5" xfId="14990"/>
    <cellStyle name="20% - Accent5 2 3 3 5 2" xfId="31212"/>
    <cellStyle name="20% - Accent5 2 3 3 6" xfId="17877"/>
    <cellStyle name="20% - Accent5 2 3 3 6 2" xfId="34098"/>
    <cellStyle name="20% - Accent5 2 3 3 7" xfId="27408"/>
    <cellStyle name="20% - Accent5 2 3 4" xfId="6099"/>
    <cellStyle name="20% - Accent5 2 3 4 2" xfId="6098"/>
    <cellStyle name="20% - Accent5 2 3 4 2 2" xfId="10018"/>
    <cellStyle name="20% - Accent5 2 3 4 2 2 2" xfId="19639"/>
    <cellStyle name="20% - Accent5 2 3 4 2 2 2 2" xfId="35860"/>
    <cellStyle name="20% - Accent5 2 3 4 2 2 3" xfId="29172"/>
    <cellStyle name="20% - Accent5 2 3 4 2 3" xfId="16839"/>
    <cellStyle name="20% - Accent5 2 3 4 2 3 2" xfId="33060"/>
    <cellStyle name="20% - Accent5 2 3 4 2 4" xfId="17882"/>
    <cellStyle name="20% - Accent5 2 3 4 2 4 2" xfId="34103"/>
    <cellStyle name="20% - Accent5 2 3 4 2 5" xfId="27403"/>
    <cellStyle name="20% - Accent5 2 3 4 3" xfId="10017"/>
    <cellStyle name="20% - Accent5 2 3 4 3 2" xfId="19638"/>
    <cellStyle name="20% - Accent5 2 3 4 3 2 2" xfId="35859"/>
    <cellStyle name="20% - Accent5 2 3 4 3 3" xfId="29171"/>
    <cellStyle name="20% - Accent5 2 3 4 4" xfId="15254"/>
    <cellStyle name="20% - Accent5 2 3 4 4 2" xfId="31476"/>
    <cellStyle name="20% - Accent5 2 3 4 5" xfId="17881"/>
    <cellStyle name="20% - Accent5 2 3 4 5 2" xfId="34102"/>
    <cellStyle name="20% - Accent5 2 3 4 6" xfId="27404"/>
    <cellStyle name="20% - Accent5 2 3 5" xfId="6097"/>
    <cellStyle name="20% - Accent5 2 3 5 2" xfId="10019"/>
    <cellStyle name="20% - Accent5 2 3 5 2 2" xfId="19640"/>
    <cellStyle name="20% - Accent5 2 3 5 2 2 2" xfId="35861"/>
    <cellStyle name="20% - Accent5 2 3 5 2 3" xfId="29173"/>
    <cellStyle name="20% - Accent5 2 3 5 3" xfId="16047"/>
    <cellStyle name="20% - Accent5 2 3 5 3 2" xfId="32268"/>
    <cellStyle name="20% - Accent5 2 3 5 4" xfId="17883"/>
    <cellStyle name="20% - Accent5 2 3 5 4 2" xfId="34104"/>
    <cellStyle name="20% - Accent5 2 3 5 5" xfId="27402"/>
    <cellStyle name="20% - Accent5 2 3 6" xfId="10008"/>
    <cellStyle name="20% - Accent5 2 3 6 2" xfId="19629"/>
    <cellStyle name="20% - Accent5 2 3 6 2 2" xfId="35850"/>
    <cellStyle name="20% - Accent5 2 3 6 3" xfId="29162"/>
    <cellStyle name="20% - Accent5 2 3 7" xfId="14462"/>
    <cellStyle name="20% - Accent5 2 3 7 2" xfId="30684"/>
    <cellStyle name="20% - Accent5 2 3 8" xfId="17872"/>
    <cellStyle name="20% - Accent5 2 3 8 2" xfId="34093"/>
    <cellStyle name="20% - Accent5 2 3 9" xfId="27413"/>
    <cellStyle name="20% - Accent5 2 4" xfId="6096"/>
    <cellStyle name="20% - Accent5 2 4 2" xfId="6095"/>
    <cellStyle name="20% - Accent5 2 4 2 2" xfId="6094"/>
    <cellStyle name="20% - Accent5 2 4 2 2 2" xfId="10022"/>
    <cellStyle name="20% - Accent5 2 4 2 2 2 2" xfId="19643"/>
    <cellStyle name="20% - Accent5 2 4 2 2 2 2 2" xfId="35864"/>
    <cellStyle name="20% - Accent5 2 4 2 2 2 3" xfId="29176"/>
    <cellStyle name="20% - Accent5 2 4 2 2 3" xfId="16971"/>
    <cellStyle name="20% - Accent5 2 4 2 2 3 2" xfId="33192"/>
    <cellStyle name="20% - Accent5 2 4 2 2 4" xfId="17886"/>
    <cellStyle name="20% - Accent5 2 4 2 2 4 2" xfId="34107"/>
    <cellStyle name="20% - Accent5 2 4 2 2 5" xfId="27399"/>
    <cellStyle name="20% - Accent5 2 4 2 3" xfId="10021"/>
    <cellStyle name="20% - Accent5 2 4 2 3 2" xfId="19642"/>
    <cellStyle name="20% - Accent5 2 4 2 3 2 2" xfId="35863"/>
    <cellStyle name="20% - Accent5 2 4 2 3 3" xfId="29175"/>
    <cellStyle name="20% - Accent5 2 4 2 4" xfId="15386"/>
    <cellStyle name="20% - Accent5 2 4 2 4 2" xfId="31608"/>
    <cellStyle name="20% - Accent5 2 4 2 5" xfId="17885"/>
    <cellStyle name="20% - Accent5 2 4 2 5 2" xfId="34106"/>
    <cellStyle name="20% - Accent5 2 4 2 6" xfId="27400"/>
    <cellStyle name="20% - Accent5 2 4 3" xfId="6093"/>
    <cellStyle name="20% - Accent5 2 4 3 2" xfId="10023"/>
    <cellStyle name="20% - Accent5 2 4 3 2 2" xfId="19644"/>
    <cellStyle name="20% - Accent5 2 4 3 2 2 2" xfId="35865"/>
    <cellStyle name="20% - Accent5 2 4 3 2 3" xfId="29177"/>
    <cellStyle name="20% - Accent5 2 4 3 3" xfId="16179"/>
    <cellStyle name="20% - Accent5 2 4 3 3 2" xfId="32400"/>
    <cellStyle name="20% - Accent5 2 4 3 4" xfId="17887"/>
    <cellStyle name="20% - Accent5 2 4 3 4 2" xfId="34108"/>
    <cellStyle name="20% - Accent5 2 4 3 5" xfId="27398"/>
    <cellStyle name="20% - Accent5 2 4 4" xfId="10020"/>
    <cellStyle name="20% - Accent5 2 4 4 2" xfId="19641"/>
    <cellStyle name="20% - Accent5 2 4 4 2 2" xfId="35862"/>
    <cellStyle name="20% - Accent5 2 4 4 3" xfId="29174"/>
    <cellStyle name="20% - Accent5 2 4 5" xfId="14594"/>
    <cellStyle name="20% - Accent5 2 4 5 2" xfId="30816"/>
    <cellStyle name="20% - Accent5 2 4 6" xfId="17884"/>
    <cellStyle name="20% - Accent5 2 4 6 2" xfId="34105"/>
    <cellStyle name="20% - Accent5 2 4 7" xfId="27401"/>
    <cellStyle name="20% - Accent5 2 4 8" xfId="39250"/>
    <cellStyle name="20% - Accent5 2 5" xfId="6092"/>
    <cellStyle name="20% - Accent5 2 5 2" xfId="6091"/>
    <cellStyle name="20% - Accent5 2 5 2 2" xfId="6090"/>
    <cellStyle name="20% - Accent5 2 5 2 2 2" xfId="10026"/>
    <cellStyle name="20% - Accent5 2 5 2 2 2 2" xfId="19647"/>
    <cellStyle name="20% - Accent5 2 5 2 2 2 2 2" xfId="35868"/>
    <cellStyle name="20% - Accent5 2 5 2 2 2 3" xfId="29180"/>
    <cellStyle name="20% - Accent5 2 5 2 2 3" xfId="17235"/>
    <cellStyle name="20% - Accent5 2 5 2 2 3 2" xfId="33456"/>
    <cellStyle name="20% - Accent5 2 5 2 2 4" xfId="17890"/>
    <cellStyle name="20% - Accent5 2 5 2 2 4 2" xfId="34111"/>
    <cellStyle name="20% - Accent5 2 5 2 2 5" xfId="27395"/>
    <cellStyle name="20% - Accent5 2 5 2 3" xfId="10025"/>
    <cellStyle name="20% - Accent5 2 5 2 3 2" xfId="19646"/>
    <cellStyle name="20% - Accent5 2 5 2 3 2 2" xfId="35867"/>
    <cellStyle name="20% - Accent5 2 5 2 3 3" xfId="29179"/>
    <cellStyle name="20% - Accent5 2 5 2 4" xfId="15650"/>
    <cellStyle name="20% - Accent5 2 5 2 4 2" xfId="31872"/>
    <cellStyle name="20% - Accent5 2 5 2 5" xfId="17889"/>
    <cellStyle name="20% - Accent5 2 5 2 5 2" xfId="34110"/>
    <cellStyle name="20% - Accent5 2 5 2 6" xfId="27396"/>
    <cellStyle name="20% - Accent5 2 5 3" xfId="6089"/>
    <cellStyle name="20% - Accent5 2 5 3 2" xfId="10027"/>
    <cellStyle name="20% - Accent5 2 5 3 2 2" xfId="19648"/>
    <cellStyle name="20% - Accent5 2 5 3 2 2 2" xfId="35869"/>
    <cellStyle name="20% - Accent5 2 5 3 2 3" xfId="29181"/>
    <cellStyle name="20% - Accent5 2 5 3 3" xfId="16443"/>
    <cellStyle name="20% - Accent5 2 5 3 3 2" xfId="32664"/>
    <cellStyle name="20% - Accent5 2 5 3 4" xfId="17891"/>
    <cellStyle name="20% - Accent5 2 5 3 4 2" xfId="34112"/>
    <cellStyle name="20% - Accent5 2 5 3 5" xfId="27394"/>
    <cellStyle name="20% - Accent5 2 5 4" xfId="10024"/>
    <cellStyle name="20% - Accent5 2 5 4 2" xfId="19645"/>
    <cellStyle name="20% - Accent5 2 5 4 2 2" xfId="35866"/>
    <cellStyle name="20% - Accent5 2 5 4 3" xfId="29178"/>
    <cellStyle name="20% - Accent5 2 5 5" xfId="14858"/>
    <cellStyle name="20% - Accent5 2 5 5 2" xfId="31080"/>
    <cellStyle name="20% - Accent5 2 5 6" xfId="17888"/>
    <cellStyle name="20% - Accent5 2 5 6 2" xfId="34109"/>
    <cellStyle name="20% - Accent5 2 5 7" xfId="27397"/>
    <cellStyle name="20% - Accent5 2 5 8" xfId="39399"/>
    <cellStyle name="20% - Accent5 2 6" xfId="6088"/>
    <cellStyle name="20% - Accent5 2 6 2" xfId="6087"/>
    <cellStyle name="20% - Accent5 2 6 2 2" xfId="10029"/>
    <cellStyle name="20% - Accent5 2 6 2 2 2" xfId="19650"/>
    <cellStyle name="20% - Accent5 2 6 2 2 2 2" xfId="35871"/>
    <cellStyle name="20% - Accent5 2 6 2 2 3" xfId="29183"/>
    <cellStyle name="20% - Accent5 2 6 2 3" xfId="16707"/>
    <cellStyle name="20% - Accent5 2 6 2 3 2" xfId="32928"/>
    <cellStyle name="20% - Accent5 2 6 2 4" xfId="17893"/>
    <cellStyle name="20% - Accent5 2 6 2 4 2" xfId="34114"/>
    <cellStyle name="20% - Accent5 2 6 2 5" xfId="27392"/>
    <cellStyle name="20% - Accent5 2 6 3" xfId="10028"/>
    <cellStyle name="20% - Accent5 2 6 3 2" xfId="19649"/>
    <cellStyle name="20% - Accent5 2 6 3 2 2" xfId="35870"/>
    <cellStyle name="20% - Accent5 2 6 3 3" xfId="29182"/>
    <cellStyle name="20% - Accent5 2 6 4" xfId="15122"/>
    <cellStyle name="20% - Accent5 2 6 4 2" xfId="31344"/>
    <cellStyle name="20% - Accent5 2 6 5" xfId="17892"/>
    <cellStyle name="20% - Accent5 2 6 5 2" xfId="34113"/>
    <cellStyle name="20% - Accent5 2 6 6" xfId="27393"/>
    <cellStyle name="20% - Accent5 2 7" xfId="6086"/>
    <cellStyle name="20% - Accent5 2 7 2" xfId="10030"/>
    <cellStyle name="20% - Accent5 2 7 2 2" xfId="19651"/>
    <cellStyle name="20% - Accent5 2 7 2 2 2" xfId="35872"/>
    <cellStyle name="20% - Accent5 2 7 2 3" xfId="29184"/>
    <cellStyle name="20% - Accent5 2 7 3" xfId="15915"/>
    <cellStyle name="20% - Accent5 2 7 3 2" xfId="32136"/>
    <cellStyle name="20% - Accent5 2 7 4" xfId="17894"/>
    <cellStyle name="20% - Accent5 2 7 4 2" xfId="34115"/>
    <cellStyle name="20% - Accent5 2 7 5" xfId="27391"/>
    <cellStyle name="20% - Accent5 2 8" xfId="9983"/>
    <cellStyle name="20% - Accent5 2 8 2" xfId="19604"/>
    <cellStyle name="20% - Accent5 2 8 2 2" xfId="35825"/>
    <cellStyle name="20% - Accent5 2 8 3" xfId="29137"/>
    <cellStyle name="20% - Accent5 2 9" xfId="14330"/>
    <cellStyle name="20% - Accent5 2 9 2" xfId="30552"/>
    <cellStyle name="20% - Accent5 3" xfId="6085"/>
    <cellStyle name="20% - Accent5 3 10" xfId="27390"/>
    <cellStyle name="20% - Accent5 3 11" xfId="38981"/>
    <cellStyle name="20% - Accent5 3 2" xfId="6084"/>
    <cellStyle name="20% - Accent5 3 2 10" xfId="39023"/>
    <cellStyle name="20% - Accent5 3 2 2" xfId="6083"/>
    <cellStyle name="20% - Accent5 3 2 2 2" xfId="6082"/>
    <cellStyle name="20% - Accent5 3 2 2 2 2" xfId="6081"/>
    <cellStyle name="20% - Accent5 3 2 2 2 2 2" xfId="10035"/>
    <cellStyle name="20% - Accent5 3 2 2 2 2 2 2" xfId="19656"/>
    <cellStyle name="20% - Accent5 3 2 2 2 2 2 2 2" xfId="35877"/>
    <cellStyle name="20% - Accent5 3 2 2 2 2 2 3" xfId="29189"/>
    <cellStyle name="20% - Accent5 3 2 2 2 2 3" xfId="17136"/>
    <cellStyle name="20% - Accent5 3 2 2 2 2 3 2" xfId="33357"/>
    <cellStyle name="20% - Accent5 3 2 2 2 2 4" xfId="17899"/>
    <cellStyle name="20% - Accent5 3 2 2 2 2 4 2" xfId="34120"/>
    <cellStyle name="20% - Accent5 3 2 2 2 2 5" xfId="27386"/>
    <cellStyle name="20% - Accent5 3 2 2 2 3" xfId="10034"/>
    <cellStyle name="20% - Accent5 3 2 2 2 3 2" xfId="19655"/>
    <cellStyle name="20% - Accent5 3 2 2 2 3 2 2" xfId="35876"/>
    <cellStyle name="20% - Accent5 3 2 2 2 3 3" xfId="29188"/>
    <cellStyle name="20% - Accent5 3 2 2 2 4" xfId="15551"/>
    <cellStyle name="20% - Accent5 3 2 2 2 4 2" xfId="31773"/>
    <cellStyle name="20% - Accent5 3 2 2 2 5" xfId="17898"/>
    <cellStyle name="20% - Accent5 3 2 2 2 5 2" xfId="34119"/>
    <cellStyle name="20% - Accent5 3 2 2 2 6" xfId="27387"/>
    <cellStyle name="20% - Accent5 3 2 2 3" xfId="6080"/>
    <cellStyle name="20% - Accent5 3 2 2 3 2" xfId="10036"/>
    <cellStyle name="20% - Accent5 3 2 2 3 2 2" xfId="19657"/>
    <cellStyle name="20% - Accent5 3 2 2 3 2 2 2" xfId="35878"/>
    <cellStyle name="20% - Accent5 3 2 2 3 2 3" xfId="29190"/>
    <cellStyle name="20% - Accent5 3 2 2 3 3" xfId="16344"/>
    <cellStyle name="20% - Accent5 3 2 2 3 3 2" xfId="32565"/>
    <cellStyle name="20% - Accent5 3 2 2 3 4" xfId="17900"/>
    <cellStyle name="20% - Accent5 3 2 2 3 4 2" xfId="34121"/>
    <cellStyle name="20% - Accent5 3 2 2 3 5" xfId="27385"/>
    <cellStyle name="20% - Accent5 3 2 2 4" xfId="10033"/>
    <cellStyle name="20% - Accent5 3 2 2 4 2" xfId="19654"/>
    <cellStyle name="20% - Accent5 3 2 2 4 2 2" xfId="35875"/>
    <cellStyle name="20% - Accent5 3 2 2 4 3" xfId="29187"/>
    <cellStyle name="20% - Accent5 3 2 2 5" xfId="14759"/>
    <cellStyle name="20% - Accent5 3 2 2 5 2" xfId="30981"/>
    <cellStyle name="20% - Accent5 3 2 2 6" xfId="17897"/>
    <cellStyle name="20% - Accent5 3 2 2 6 2" xfId="34118"/>
    <cellStyle name="20% - Accent5 3 2 2 7" xfId="27388"/>
    <cellStyle name="20% - Accent5 3 2 2 8" xfId="39171"/>
    <cellStyle name="20% - Accent5 3 2 3" xfId="6079"/>
    <cellStyle name="20% - Accent5 3 2 3 2" xfId="6078"/>
    <cellStyle name="20% - Accent5 3 2 3 2 2" xfId="6077"/>
    <cellStyle name="20% - Accent5 3 2 3 2 2 2" xfId="10039"/>
    <cellStyle name="20% - Accent5 3 2 3 2 2 2 2" xfId="19660"/>
    <cellStyle name="20% - Accent5 3 2 3 2 2 2 2 2" xfId="35881"/>
    <cellStyle name="20% - Accent5 3 2 3 2 2 2 3" xfId="29193"/>
    <cellStyle name="20% - Accent5 3 2 3 2 2 3" xfId="17400"/>
    <cellStyle name="20% - Accent5 3 2 3 2 2 3 2" xfId="33621"/>
    <cellStyle name="20% - Accent5 3 2 3 2 2 4" xfId="17903"/>
    <cellStyle name="20% - Accent5 3 2 3 2 2 4 2" xfId="34124"/>
    <cellStyle name="20% - Accent5 3 2 3 2 2 5" xfId="27382"/>
    <cellStyle name="20% - Accent5 3 2 3 2 3" xfId="10038"/>
    <cellStyle name="20% - Accent5 3 2 3 2 3 2" xfId="19659"/>
    <cellStyle name="20% - Accent5 3 2 3 2 3 2 2" xfId="35880"/>
    <cellStyle name="20% - Accent5 3 2 3 2 3 3" xfId="29192"/>
    <cellStyle name="20% - Accent5 3 2 3 2 4" xfId="15815"/>
    <cellStyle name="20% - Accent5 3 2 3 2 4 2" xfId="32037"/>
    <cellStyle name="20% - Accent5 3 2 3 2 5" xfId="17902"/>
    <cellStyle name="20% - Accent5 3 2 3 2 5 2" xfId="34123"/>
    <cellStyle name="20% - Accent5 3 2 3 2 6" xfId="27383"/>
    <cellStyle name="20% - Accent5 3 2 3 3" xfId="6076"/>
    <cellStyle name="20% - Accent5 3 2 3 3 2" xfId="10040"/>
    <cellStyle name="20% - Accent5 3 2 3 3 2 2" xfId="19661"/>
    <cellStyle name="20% - Accent5 3 2 3 3 2 2 2" xfId="35882"/>
    <cellStyle name="20% - Accent5 3 2 3 3 2 3" xfId="29194"/>
    <cellStyle name="20% - Accent5 3 2 3 3 3" xfId="16608"/>
    <cellStyle name="20% - Accent5 3 2 3 3 3 2" xfId="32829"/>
    <cellStyle name="20% - Accent5 3 2 3 3 4" xfId="17904"/>
    <cellStyle name="20% - Accent5 3 2 3 3 4 2" xfId="34125"/>
    <cellStyle name="20% - Accent5 3 2 3 3 5" xfId="27381"/>
    <cellStyle name="20% - Accent5 3 2 3 4" xfId="10037"/>
    <cellStyle name="20% - Accent5 3 2 3 4 2" xfId="19658"/>
    <cellStyle name="20% - Accent5 3 2 3 4 2 2" xfId="35879"/>
    <cellStyle name="20% - Accent5 3 2 3 4 3" xfId="29191"/>
    <cellStyle name="20% - Accent5 3 2 3 5" xfId="15023"/>
    <cellStyle name="20% - Accent5 3 2 3 5 2" xfId="31245"/>
    <cellStyle name="20% - Accent5 3 2 3 6" xfId="17901"/>
    <cellStyle name="20% - Accent5 3 2 3 6 2" xfId="34122"/>
    <cellStyle name="20% - Accent5 3 2 3 7" xfId="27384"/>
    <cellStyle name="20% - Accent5 3 2 3 8" xfId="39319"/>
    <cellStyle name="20% - Accent5 3 2 4" xfId="5738"/>
    <cellStyle name="20% - Accent5 3 2 4 2" xfId="5719"/>
    <cellStyle name="20% - Accent5 3 2 4 2 2" xfId="10042"/>
    <cellStyle name="20% - Accent5 3 2 4 2 2 2" xfId="19663"/>
    <cellStyle name="20% - Accent5 3 2 4 2 2 2 2" xfId="35884"/>
    <cellStyle name="20% - Accent5 3 2 4 2 2 3" xfId="29196"/>
    <cellStyle name="20% - Accent5 3 2 4 2 3" xfId="16872"/>
    <cellStyle name="20% - Accent5 3 2 4 2 3 2" xfId="33093"/>
    <cellStyle name="20% - Accent5 3 2 4 2 4" xfId="17906"/>
    <cellStyle name="20% - Accent5 3 2 4 2 4 2" xfId="34127"/>
    <cellStyle name="20% - Accent5 3 2 4 2 5" xfId="27025"/>
    <cellStyle name="20% - Accent5 3 2 4 3" xfId="10041"/>
    <cellStyle name="20% - Accent5 3 2 4 3 2" xfId="19662"/>
    <cellStyle name="20% - Accent5 3 2 4 3 2 2" xfId="35883"/>
    <cellStyle name="20% - Accent5 3 2 4 3 3" xfId="29195"/>
    <cellStyle name="20% - Accent5 3 2 4 4" xfId="15287"/>
    <cellStyle name="20% - Accent5 3 2 4 4 2" xfId="31509"/>
    <cellStyle name="20% - Accent5 3 2 4 5" xfId="17905"/>
    <cellStyle name="20% - Accent5 3 2 4 5 2" xfId="34126"/>
    <cellStyle name="20% - Accent5 3 2 4 6" xfId="27044"/>
    <cellStyle name="20% - Accent5 3 2 4 7" xfId="39468"/>
    <cellStyle name="20% - Accent5 3 2 5" xfId="6074"/>
    <cellStyle name="20% - Accent5 3 2 5 2" xfId="10043"/>
    <cellStyle name="20% - Accent5 3 2 5 2 2" xfId="19664"/>
    <cellStyle name="20% - Accent5 3 2 5 2 2 2" xfId="35885"/>
    <cellStyle name="20% - Accent5 3 2 5 2 3" xfId="29197"/>
    <cellStyle name="20% - Accent5 3 2 5 3" xfId="16080"/>
    <cellStyle name="20% - Accent5 3 2 5 3 2" xfId="32301"/>
    <cellStyle name="20% - Accent5 3 2 5 4" xfId="17907"/>
    <cellStyle name="20% - Accent5 3 2 5 4 2" xfId="34128"/>
    <cellStyle name="20% - Accent5 3 2 5 5" xfId="27379"/>
    <cellStyle name="20% - Accent5 3 2 6" xfId="10032"/>
    <cellStyle name="20% - Accent5 3 2 6 2" xfId="19653"/>
    <cellStyle name="20% - Accent5 3 2 6 2 2" xfId="35874"/>
    <cellStyle name="20% - Accent5 3 2 6 3" xfId="29186"/>
    <cellStyle name="20% - Accent5 3 2 7" xfId="14495"/>
    <cellStyle name="20% - Accent5 3 2 7 2" xfId="30717"/>
    <cellStyle name="20% - Accent5 3 2 8" xfId="17896"/>
    <cellStyle name="20% - Accent5 3 2 8 2" xfId="34117"/>
    <cellStyle name="20% - Accent5 3 2 9" xfId="27389"/>
    <cellStyle name="20% - Accent5 3 3" xfId="6073"/>
    <cellStyle name="20% - Accent5 3 3 2" xfId="6072"/>
    <cellStyle name="20% - Accent5 3 3 2 2" xfId="6071"/>
    <cellStyle name="20% - Accent5 3 3 2 2 2" xfId="10046"/>
    <cellStyle name="20% - Accent5 3 3 2 2 2 2" xfId="19667"/>
    <cellStyle name="20% - Accent5 3 3 2 2 2 2 2" xfId="35888"/>
    <cellStyle name="20% - Accent5 3 3 2 2 2 3" xfId="29200"/>
    <cellStyle name="20% - Accent5 3 3 2 2 3" xfId="17004"/>
    <cellStyle name="20% - Accent5 3 3 2 2 3 2" xfId="33225"/>
    <cellStyle name="20% - Accent5 3 3 2 2 4" xfId="17910"/>
    <cellStyle name="20% - Accent5 3 3 2 2 4 2" xfId="34131"/>
    <cellStyle name="20% - Accent5 3 3 2 2 5" xfId="27376"/>
    <cellStyle name="20% - Accent5 3 3 2 3" xfId="10045"/>
    <cellStyle name="20% - Accent5 3 3 2 3 2" xfId="19666"/>
    <cellStyle name="20% - Accent5 3 3 2 3 2 2" xfId="35887"/>
    <cellStyle name="20% - Accent5 3 3 2 3 3" xfId="29199"/>
    <cellStyle name="20% - Accent5 3 3 2 4" xfId="15419"/>
    <cellStyle name="20% - Accent5 3 3 2 4 2" xfId="31641"/>
    <cellStyle name="20% - Accent5 3 3 2 5" xfId="17909"/>
    <cellStyle name="20% - Accent5 3 3 2 5 2" xfId="34130"/>
    <cellStyle name="20% - Accent5 3 3 2 6" xfId="27377"/>
    <cellStyle name="20% - Accent5 3 3 3" xfId="6070"/>
    <cellStyle name="20% - Accent5 3 3 3 2" xfId="10047"/>
    <cellStyle name="20% - Accent5 3 3 3 2 2" xfId="19668"/>
    <cellStyle name="20% - Accent5 3 3 3 2 2 2" xfId="35889"/>
    <cellStyle name="20% - Accent5 3 3 3 2 3" xfId="29201"/>
    <cellStyle name="20% - Accent5 3 3 3 3" xfId="16212"/>
    <cellStyle name="20% - Accent5 3 3 3 3 2" xfId="32433"/>
    <cellStyle name="20% - Accent5 3 3 3 4" xfId="17911"/>
    <cellStyle name="20% - Accent5 3 3 3 4 2" xfId="34132"/>
    <cellStyle name="20% - Accent5 3 3 3 5" xfId="27375"/>
    <cellStyle name="20% - Accent5 3 3 4" xfId="10044"/>
    <cellStyle name="20% - Accent5 3 3 4 2" xfId="19665"/>
    <cellStyle name="20% - Accent5 3 3 4 2 2" xfId="35886"/>
    <cellStyle name="20% - Accent5 3 3 4 3" xfId="29198"/>
    <cellStyle name="20% - Accent5 3 3 5" xfId="14627"/>
    <cellStyle name="20% - Accent5 3 3 5 2" xfId="30849"/>
    <cellStyle name="20% - Accent5 3 3 6" xfId="17908"/>
    <cellStyle name="20% - Accent5 3 3 6 2" xfId="34129"/>
    <cellStyle name="20% - Accent5 3 3 7" xfId="27378"/>
    <cellStyle name="20% - Accent5 3 3 8" xfId="39115"/>
    <cellStyle name="20% - Accent5 3 4" xfId="6069"/>
    <cellStyle name="20% - Accent5 3 4 2" xfId="6068"/>
    <cellStyle name="20% - Accent5 3 4 2 2" xfId="6067"/>
    <cellStyle name="20% - Accent5 3 4 2 2 2" xfId="10050"/>
    <cellStyle name="20% - Accent5 3 4 2 2 2 2" xfId="19671"/>
    <cellStyle name="20% - Accent5 3 4 2 2 2 2 2" xfId="35892"/>
    <cellStyle name="20% - Accent5 3 4 2 2 2 3" xfId="29204"/>
    <cellStyle name="20% - Accent5 3 4 2 2 3" xfId="17268"/>
    <cellStyle name="20% - Accent5 3 4 2 2 3 2" xfId="33489"/>
    <cellStyle name="20% - Accent5 3 4 2 2 4" xfId="17914"/>
    <cellStyle name="20% - Accent5 3 4 2 2 4 2" xfId="34135"/>
    <cellStyle name="20% - Accent5 3 4 2 2 5" xfId="27372"/>
    <cellStyle name="20% - Accent5 3 4 2 3" xfId="10049"/>
    <cellStyle name="20% - Accent5 3 4 2 3 2" xfId="19670"/>
    <cellStyle name="20% - Accent5 3 4 2 3 2 2" xfId="35891"/>
    <cellStyle name="20% - Accent5 3 4 2 3 3" xfId="29203"/>
    <cellStyle name="20% - Accent5 3 4 2 4" xfId="15683"/>
    <cellStyle name="20% - Accent5 3 4 2 4 2" xfId="31905"/>
    <cellStyle name="20% - Accent5 3 4 2 5" xfId="17913"/>
    <cellStyle name="20% - Accent5 3 4 2 5 2" xfId="34134"/>
    <cellStyle name="20% - Accent5 3 4 2 6" xfId="27373"/>
    <cellStyle name="20% - Accent5 3 4 3" xfId="6066"/>
    <cellStyle name="20% - Accent5 3 4 3 2" xfId="10051"/>
    <cellStyle name="20% - Accent5 3 4 3 2 2" xfId="19672"/>
    <cellStyle name="20% - Accent5 3 4 3 2 2 2" xfId="35893"/>
    <cellStyle name="20% - Accent5 3 4 3 2 3" xfId="29205"/>
    <cellStyle name="20% - Accent5 3 4 3 3" xfId="16476"/>
    <cellStyle name="20% - Accent5 3 4 3 3 2" xfId="32697"/>
    <cellStyle name="20% - Accent5 3 4 3 4" xfId="17915"/>
    <cellStyle name="20% - Accent5 3 4 3 4 2" xfId="34136"/>
    <cellStyle name="20% - Accent5 3 4 3 5" xfId="27371"/>
    <cellStyle name="20% - Accent5 3 4 4" xfId="10048"/>
    <cellStyle name="20% - Accent5 3 4 4 2" xfId="19669"/>
    <cellStyle name="20% - Accent5 3 4 4 2 2" xfId="35890"/>
    <cellStyle name="20% - Accent5 3 4 4 3" xfId="29202"/>
    <cellStyle name="20% - Accent5 3 4 5" xfId="14891"/>
    <cellStyle name="20% - Accent5 3 4 5 2" xfId="31113"/>
    <cellStyle name="20% - Accent5 3 4 6" xfId="17912"/>
    <cellStyle name="20% - Accent5 3 4 6 2" xfId="34133"/>
    <cellStyle name="20% - Accent5 3 4 7" xfId="27374"/>
    <cellStyle name="20% - Accent5 3 4 8" xfId="39263"/>
    <cellStyle name="20% - Accent5 3 5" xfId="6065"/>
    <cellStyle name="20% - Accent5 3 5 2" xfId="6064"/>
    <cellStyle name="20% - Accent5 3 5 2 2" xfId="10053"/>
    <cellStyle name="20% - Accent5 3 5 2 2 2" xfId="19674"/>
    <cellStyle name="20% - Accent5 3 5 2 2 2 2" xfId="35895"/>
    <cellStyle name="20% - Accent5 3 5 2 2 3" xfId="29207"/>
    <cellStyle name="20% - Accent5 3 5 2 3" xfId="16740"/>
    <cellStyle name="20% - Accent5 3 5 2 3 2" xfId="32961"/>
    <cellStyle name="20% - Accent5 3 5 2 4" xfId="17917"/>
    <cellStyle name="20% - Accent5 3 5 2 4 2" xfId="34138"/>
    <cellStyle name="20% - Accent5 3 5 2 5" xfId="27369"/>
    <cellStyle name="20% - Accent5 3 5 3" xfId="10052"/>
    <cellStyle name="20% - Accent5 3 5 3 2" xfId="19673"/>
    <cellStyle name="20% - Accent5 3 5 3 2 2" xfId="35894"/>
    <cellStyle name="20% - Accent5 3 5 3 3" xfId="29206"/>
    <cellStyle name="20% - Accent5 3 5 4" xfId="15155"/>
    <cellStyle name="20% - Accent5 3 5 4 2" xfId="31377"/>
    <cellStyle name="20% - Accent5 3 5 5" xfId="17916"/>
    <cellStyle name="20% - Accent5 3 5 5 2" xfId="34137"/>
    <cellStyle name="20% - Accent5 3 5 6" xfId="27370"/>
    <cellStyle name="20% - Accent5 3 5 7" xfId="39412"/>
    <cellStyle name="20% - Accent5 3 6" xfId="6063"/>
    <cellStyle name="20% - Accent5 3 6 2" xfId="10054"/>
    <cellStyle name="20% - Accent5 3 6 2 2" xfId="19675"/>
    <cellStyle name="20% - Accent5 3 6 2 2 2" xfId="35896"/>
    <cellStyle name="20% - Accent5 3 6 2 3" xfId="29208"/>
    <cellStyle name="20% - Accent5 3 6 3" xfId="15948"/>
    <cellStyle name="20% - Accent5 3 6 3 2" xfId="32169"/>
    <cellStyle name="20% - Accent5 3 6 4" xfId="17918"/>
    <cellStyle name="20% - Accent5 3 6 4 2" xfId="34139"/>
    <cellStyle name="20% - Accent5 3 6 5" xfId="27368"/>
    <cellStyle name="20% - Accent5 3 7" xfId="10031"/>
    <cellStyle name="20% - Accent5 3 7 2" xfId="19652"/>
    <cellStyle name="20% - Accent5 3 7 2 2" xfId="35873"/>
    <cellStyle name="20% - Accent5 3 7 3" xfId="29185"/>
    <cellStyle name="20% - Accent5 3 8" xfId="14363"/>
    <cellStyle name="20% - Accent5 3 8 2" xfId="30585"/>
    <cellStyle name="20% - Accent5 3 9" xfId="17895"/>
    <cellStyle name="20% - Accent5 3 9 2" xfId="34116"/>
    <cellStyle name="20% - Accent5 4" xfId="6062"/>
    <cellStyle name="20% - Accent5 4 10" xfId="38994"/>
    <cellStyle name="20% - Accent5 4 2" xfId="5728"/>
    <cellStyle name="20% - Accent5 4 2 2" xfId="5732"/>
    <cellStyle name="20% - Accent5 4 2 2 2" xfId="5730"/>
    <cellStyle name="20% - Accent5 4 2 2 2 2" xfId="10058"/>
    <cellStyle name="20% - Accent5 4 2 2 2 2 2" xfId="19679"/>
    <cellStyle name="20% - Accent5 4 2 2 2 2 2 2" xfId="35900"/>
    <cellStyle name="20% - Accent5 4 2 2 2 2 3" xfId="29212"/>
    <cellStyle name="20% - Accent5 4 2 2 2 3" xfId="17070"/>
    <cellStyle name="20% - Accent5 4 2 2 2 3 2" xfId="33291"/>
    <cellStyle name="20% - Accent5 4 2 2 2 4" xfId="17922"/>
    <cellStyle name="20% - Accent5 4 2 2 2 4 2" xfId="34143"/>
    <cellStyle name="20% - Accent5 4 2 2 2 5" xfId="27036"/>
    <cellStyle name="20% - Accent5 4 2 2 3" xfId="10057"/>
    <cellStyle name="20% - Accent5 4 2 2 3 2" xfId="19678"/>
    <cellStyle name="20% - Accent5 4 2 2 3 2 2" xfId="35899"/>
    <cellStyle name="20% - Accent5 4 2 2 3 3" xfId="29211"/>
    <cellStyle name="20% - Accent5 4 2 2 4" xfId="15485"/>
    <cellStyle name="20% - Accent5 4 2 2 4 2" xfId="31707"/>
    <cellStyle name="20% - Accent5 4 2 2 5" xfId="17921"/>
    <cellStyle name="20% - Accent5 4 2 2 5 2" xfId="34142"/>
    <cellStyle name="20% - Accent5 4 2 2 6" xfId="27038"/>
    <cellStyle name="20% - Accent5 4 2 2 7" xfId="39184"/>
    <cellStyle name="20% - Accent5 4 2 3" xfId="6061"/>
    <cellStyle name="20% - Accent5 4 2 3 2" xfId="10059"/>
    <cellStyle name="20% - Accent5 4 2 3 2 2" xfId="19680"/>
    <cellStyle name="20% - Accent5 4 2 3 2 2 2" xfId="35901"/>
    <cellStyle name="20% - Accent5 4 2 3 2 3" xfId="29213"/>
    <cellStyle name="20% - Accent5 4 2 3 3" xfId="16278"/>
    <cellStyle name="20% - Accent5 4 2 3 3 2" xfId="32499"/>
    <cellStyle name="20% - Accent5 4 2 3 4" xfId="17923"/>
    <cellStyle name="20% - Accent5 4 2 3 4 2" xfId="34144"/>
    <cellStyle name="20% - Accent5 4 2 3 5" xfId="27366"/>
    <cellStyle name="20% - Accent5 4 2 3 6" xfId="39332"/>
    <cellStyle name="20% - Accent5 4 2 4" xfId="10056"/>
    <cellStyle name="20% - Accent5 4 2 4 2" xfId="19677"/>
    <cellStyle name="20% - Accent5 4 2 4 2 2" xfId="35898"/>
    <cellStyle name="20% - Accent5 4 2 4 3" xfId="29210"/>
    <cellStyle name="20% - Accent5 4 2 4 4" xfId="39481"/>
    <cellStyle name="20% - Accent5 4 2 5" xfId="14693"/>
    <cellStyle name="20% - Accent5 4 2 5 2" xfId="30915"/>
    <cellStyle name="20% - Accent5 4 2 6" xfId="17920"/>
    <cellStyle name="20% - Accent5 4 2 6 2" xfId="34141"/>
    <cellStyle name="20% - Accent5 4 2 7" xfId="27034"/>
    <cellStyle name="20% - Accent5 4 2 8" xfId="39036"/>
    <cellStyle name="20% - Accent5 4 3" xfId="6060"/>
    <cellStyle name="20% - Accent5 4 3 2" xfId="5726"/>
    <cellStyle name="20% - Accent5 4 3 2 2" xfId="6059"/>
    <cellStyle name="20% - Accent5 4 3 2 2 2" xfId="10062"/>
    <cellStyle name="20% - Accent5 4 3 2 2 2 2" xfId="19683"/>
    <cellStyle name="20% - Accent5 4 3 2 2 2 2 2" xfId="35904"/>
    <cellStyle name="20% - Accent5 4 3 2 2 2 3" xfId="29216"/>
    <cellStyle name="20% - Accent5 4 3 2 2 3" xfId="17334"/>
    <cellStyle name="20% - Accent5 4 3 2 2 3 2" xfId="33555"/>
    <cellStyle name="20% - Accent5 4 3 2 2 4" xfId="17926"/>
    <cellStyle name="20% - Accent5 4 3 2 2 4 2" xfId="34147"/>
    <cellStyle name="20% - Accent5 4 3 2 2 5" xfId="27364"/>
    <cellStyle name="20% - Accent5 4 3 2 3" xfId="10061"/>
    <cellStyle name="20% - Accent5 4 3 2 3 2" xfId="19682"/>
    <cellStyle name="20% - Accent5 4 3 2 3 2 2" xfId="35903"/>
    <cellStyle name="20% - Accent5 4 3 2 3 3" xfId="29215"/>
    <cellStyle name="20% - Accent5 4 3 2 4" xfId="15749"/>
    <cellStyle name="20% - Accent5 4 3 2 4 2" xfId="31971"/>
    <cellStyle name="20% - Accent5 4 3 2 5" xfId="17925"/>
    <cellStyle name="20% - Accent5 4 3 2 5 2" xfId="34146"/>
    <cellStyle name="20% - Accent5 4 3 2 6" xfId="27032"/>
    <cellStyle name="20% - Accent5 4 3 3" xfId="6058"/>
    <cellStyle name="20% - Accent5 4 3 3 2" xfId="10063"/>
    <cellStyle name="20% - Accent5 4 3 3 2 2" xfId="19684"/>
    <cellStyle name="20% - Accent5 4 3 3 2 2 2" xfId="35905"/>
    <cellStyle name="20% - Accent5 4 3 3 2 3" xfId="29217"/>
    <cellStyle name="20% - Accent5 4 3 3 3" xfId="16542"/>
    <cellStyle name="20% - Accent5 4 3 3 3 2" xfId="32763"/>
    <cellStyle name="20% - Accent5 4 3 3 4" xfId="17927"/>
    <cellStyle name="20% - Accent5 4 3 3 4 2" xfId="34148"/>
    <cellStyle name="20% - Accent5 4 3 3 5" xfId="27363"/>
    <cellStyle name="20% - Accent5 4 3 4" xfId="10060"/>
    <cellStyle name="20% - Accent5 4 3 4 2" xfId="19681"/>
    <cellStyle name="20% - Accent5 4 3 4 2 2" xfId="35902"/>
    <cellStyle name="20% - Accent5 4 3 4 3" xfId="29214"/>
    <cellStyle name="20% - Accent5 4 3 5" xfId="14957"/>
    <cellStyle name="20% - Accent5 4 3 5 2" xfId="31179"/>
    <cellStyle name="20% - Accent5 4 3 6" xfId="17924"/>
    <cellStyle name="20% - Accent5 4 3 6 2" xfId="34145"/>
    <cellStyle name="20% - Accent5 4 3 7" xfId="27365"/>
    <cellStyle name="20% - Accent5 4 3 8" xfId="39128"/>
    <cellStyle name="20% - Accent5 4 4" xfId="6057"/>
    <cellStyle name="20% - Accent5 4 4 2" xfId="6056"/>
    <cellStyle name="20% - Accent5 4 4 2 2" xfId="10065"/>
    <cellStyle name="20% - Accent5 4 4 2 2 2" xfId="19686"/>
    <cellStyle name="20% - Accent5 4 4 2 2 2 2" xfId="35907"/>
    <cellStyle name="20% - Accent5 4 4 2 2 3" xfId="29219"/>
    <cellStyle name="20% - Accent5 4 4 2 3" xfId="16806"/>
    <cellStyle name="20% - Accent5 4 4 2 3 2" xfId="33027"/>
    <cellStyle name="20% - Accent5 4 4 2 4" xfId="17929"/>
    <cellStyle name="20% - Accent5 4 4 2 4 2" xfId="34150"/>
    <cellStyle name="20% - Accent5 4 4 2 5" xfId="27361"/>
    <cellStyle name="20% - Accent5 4 4 3" xfId="10064"/>
    <cellStyle name="20% - Accent5 4 4 3 2" xfId="19685"/>
    <cellStyle name="20% - Accent5 4 4 3 2 2" xfId="35906"/>
    <cellStyle name="20% - Accent5 4 4 3 3" xfId="29218"/>
    <cellStyle name="20% - Accent5 4 4 4" xfId="15221"/>
    <cellStyle name="20% - Accent5 4 4 4 2" xfId="31443"/>
    <cellStyle name="20% - Accent5 4 4 5" xfId="17928"/>
    <cellStyle name="20% - Accent5 4 4 5 2" xfId="34149"/>
    <cellStyle name="20% - Accent5 4 4 6" xfId="27362"/>
    <cellStyle name="20% - Accent5 4 4 7" xfId="39276"/>
    <cellStyle name="20% - Accent5 4 5" xfId="6055"/>
    <cellStyle name="20% - Accent5 4 5 2" xfId="10066"/>
    <cellStyle name="20% - Accent5 4 5 2 2" xfId="19687"/>
    <cellStyle name="20% - Accent5 4 5 2 2 2" xfId="35908"/>
    <cellStyle name="20% - Accent5 4 5 2 3" xfId="29220"/>
    <cellStyle name="20% - Accent5 4 5 3" xfId="16014"/>
    <cellStyle name="20% - Accent5 4 5 3 2" xfId="32235"/>
    <cellStyle name="20% - Accent5 4 5 4" xfId="17930"/>
    <cellStyle name="20% - Accent5 4 5 4 2" xfId="34151"/>
    <cellStyle name="20% - Accent5 4 5 5" xfId="27360"/>
    <cellStyle name="20% - Accent5 4 5 6" xfId="39425"/>
    <cellStyle name="20% - Accent5 4 6" xfId="10055"/>
    <cellStyle name="20% - Accent5 4 6 2" xfId="19676"/>
    <cellStyle name="20% - Accent5 4 6 2 2" xfId="35897"/>
    <cellStyle name="20% - Accent5 4 6 3" xfId="29209"/>
    <cellStyle name="20% - Accent5 4 7" xfId="14429"/>
    <cellStyle name="20% - Accent5 4 7 2" xfId="30651"/>
    <cellStyle name="20% - Accent5 4 8" xfId="17919"/>
    <cellStyle name="20% - Accent5 4 8 2" xfId="34140"/>
    <cellStyle name="20% - Accent5 4 9" xfId="27367"/>
    <cellStyle name="20% - Accent5 5" xfId="6054"/>
    <cellStyle name="20% - Accent5 5 2" xfId="6053"/>
    <cellStyle name="20% - Accent5 5 2 2" xfId="6052"/>
    <cellStyle name="20% - Accent5 5 2 2 2" xfId="10069"/>
    <cellStyle name="20% - Accent5 5 2 2 2 2" xfId="19690"/>
    <cellStyle name="20% - Accent5 5 2 2 2 2 2" xfId="35911"/>
    <cellStyle name="20% - Accent5 5 2 2 2 3" xfId="29223"/>
    <cellStyle name="20% - Accent5 5 2 2 3" xfId="16938"/>
    <cellStyle name="20% - Accent5 5 2 2 3 2" xfId="33159"/>
    <cellStyle name="20% - Accent5 5 2 2 4" xfId="17933"/>
    <cellStyle name="20% - Accent5 5 2 2 4 2" xfId="34154"/>
    <cellStyle name="20% - Accent5 5 2 2 5" xfId="27357"/>
    <cellStyle name="20% - Accent5 5 2 3" xfId="10068"/>
    <cellStyle name="20% - Accent5 5 2 3 2" xfId="19689"/>
    <cellStyle name="20% - Accent5 5 2 3 2 2" xfId="35910"/>
    <cellStyle name="20% - Accent5 5 2 3 3" xfId="29222"/>
    <cellStyle name="20% - Accent5 5 2 4" xfId="15353"/>
    <cellStyle name="20% - Accent5 5 2 4 2" xfId="31575"/>
    <cellStyle name="20% - Accent5 5 2 5" xfId="17932"/>
    <cellStyle name="20% - Accent5 5 2 5 2" xfId="34153"/>
    <cellStyle name="20% - Accent5 5 2 6" xfId="27358"/>
    <cellStyle name="20% - Accent5 5 2 7" xfId="39136"/>
    <cellStyle name="20% - Accent5 5 3" xfId="6051"/>
    <cellStyle name="20% - Accent5 5 3 2" xfId="10070"/>
    <cellStyle name="20% - Accent5 5 3 2 2" xfId="19691"/>
    <cellStyle name="20% - Accent5 5 3 2 2 2" xfId="35912"/>
    <cellStyle name="20% - Accent5 5 3 2 3" xfId="29224"/>
    <cellStyle name="20% - Accent5 5 3 3" xfId="16146"/>
    <cellStyle name="20% - Accent5 5 3 3 2" xfId="32367"/>
    <cellStyle name="20% - Accent5 5 3 4" xfId="17934"/>
    <cellStyle name="20% - Accent5 5 3 4 2" xfId="34155"/>
    <cellStyle name="20% - Accent5 5 3 5" xfId="27356"/>
    <cellStyle name="20% - Accent5 5 3 6" xfId="39284"/>
    <cellStyle name="20% - Accent5 5 4" xfId="10067"/>
    <cellStyle name="20% - Accent5 5 4 2" xfId="19688"/>
    <cellStyle name="20% - Accent5 5 4 2 2" xfId="35909"/>
    <cellStyle name="20% - Accent5 5 4 3" xfId="29221"/>
    <cellStyle name="20% - Accent5 5 4 4" xfId="39433"/>
    <cellStyle name="20% - Accent5 5 5" xfId="14561"/>
    <cellStyle name="20% - Accent5 5 5 2" xfId="30783"/>
    <cellStyle name="20% - Accent5 5 6" xfId="17931"/>
    <cellStyle name="20% - Accent5 5 6 2" xfId="34152"/>
    <cellStyle name="20% - Accent5 5 7" xfId="27359"/>
    <cellStyle name="20% - Accent5 5 8" xfId="39002"/>
    <cellStyle name="20% - Accent5 6" xfId="6050"/>
    <cellStyle name="20% - Accent5 6 2" xfId="6049"/>
    <cellStyle name="20% - Accent5 6 2 2" xfId="6048"/>
    <cellStyle name="20% - Accent5 6 2 2 2" xfId="10073"/>
    <cellStyle name="20% - Accent5 6 2 2 2 2" xfId="19694"/>
    <cellStyle name="20% - Accent5 6 2 2 2 2 2" xfId="35915"/>
    <cellStyle name="20% - Accent5 6 2 2 2 3" xfId="29227"/>
    <cellStyle name="20% - Accent5 6 2 2 3" xfId="17202"/>
    <cellStyle name="20% - Accent5 6 2 2 3 2" xfId="33423"/>
    <cellStyle name="20% - Accent5 6 2 2 4" xfId="17937"/>
    <cellStyle name="20% - Accent5 6 2 2 4 2" xfId="34158"/>
    <cellStyle name="20% - Accent5 6 2 2 5" xfId="27353"/>
    <cellStyle name="20% - Accent5 6 2 3" xfId="10072"/>
    <cellStyle name="20% - Accent5 6 2 3 2" xfId="19693"/>
    <cellStyle name="20% - Accent5 6 2 3 2 2" xfId="35914"/>
    <cellStyle name="20% - Accent5 6 2 3 3" xfId="29226"/>
    <cellStyle name="20% - Accent5 6 2 4" xfId="15617"/>
    <cellStyle name="20% - Accent5 6 2 4 2" xfId="31839"/>
    <cellStyle name="20% - Accent5 6 2 5" xfId="17936"/>
    <cellStyle name="20% - Accent5 6 2 5 2" xfId="34157"/>
    <cellStyle name="20% - Accent5 6 2 6" xfId="27354"/>
    <cellStyle name="20% - Accent5 6 3" xfId="6047"/>
    <cellStyle name="20% - Accent5 6 3 2" xfId="10074"/>
    <cellStyle name="20% - Accent5 6 3 2 2" xfId="19695"/>
    <cellStyle name="20% - Accent5 6 3 2 2 2" xfId="35916"/>
    <cellStyle name="20% - Accent5 6 3 2 3" xfId="29228"/>
    <cellStyle name="20% - Accent5 6 3 3" xfId="16410"/>
    <cellStyle name="20% - Accent5 6 3 3 2" xfId="32631"/>
    <cellStyle name="20% - Accent5 6 3 4" xfId="17938"/>
    <cellStyle name="20% - Accent5 6 3 4 2" xfId="34159"/>
    <cellStyle name="20% - Accent5 6 3 5" xfId="27352"/>
    <cellStyle name="20% - Accent5 6 4" xfId="10071"/>
    <cellStyle name="20% - Accent5 6 4 2" xfId="19692"/>
    <cellStyle name="20% - Accent5 6 4 2 2" xfId="35913"/>
    <cellStyle name="20% - Accent5 6 4 3" xfId="29225"/>
    <cellStyle name="20% - Accent5 6 5" xfId="14825"/>
    <cellStyle name="20% - Accent5 6 5 2" xfId="31047"/>
    <cellStyle name="20% - Accent5 6 6" xfId="17935"/>
    <cellStyle name="20% - Accent5 6 6 2" xfId="34156"/>
    <cellStyle name="20% - Accent5 6 7" xfId="27355"/>
    <cellStyle name="20% - Accent5 6 8" xfId="39084"/>
    <cellStyle name="20% - Accent5 7" xfId="6046"/>
    <cellStyle name="20% - Accent5 7 2" xfId="6045"/>
    <cellStyle name="20% - Accent5 7 2 2" xfId="10076"/>
    <cellStyle name="20% - Accent5 7 2 2 2" xfId="19697"/>
    <cellStyle name="20% - Accent5 7 2 2 2 2" xfId="35918"/>
    <cellStyle name="20% - Accent5 7 2 2 3" xfId="29230"/>
    <cellStyle name="20% - Accent5 7 2 3" xfId="16674"/>
    <cellStyle name="20% - Accent5 7 2 3 2" xfId="32895"/>
    <cellStyle name="20% - Accent5 7 2 4" xfId="17940"/>
    <cellStyle name="20% - Accent5 7 2 4 2" xfId="34161"/>
    <cellStyle name="20% - Accent5 7 2 5" xfId="27350"/>
    <cellStyle name="20% - Accent5 7 3" xfId="10075"/>
    <cellStyle name="20% - Accent5 7 3 2" xfId="19696"/>
    <cellStyle name="20% - Accent5 7 3 2 2" xfId="35917"/>
    <cellStyle name="20% - Accent5 7 3 3" xfId="29229"/>
    <cellStyle name="20% - Accent5 7 4" xfId="15089"/>
    <cellStyle name="20% - Accent5 7 4 2" xfId="31311"/>
    <cellStyle name="20% - Accent5 7 5" xfId="17939"/>
    <cellStyle name="20% - Accent5 7 5 2" xfId="34160"/>
    <cellStyle name="20% - Accent5 7 6" xfId="27351"/>
    <cellStyle name="20% - Accent5 7 7" xfId="39232"/>
    <cellStyle name="20% - Accent5 8" xfId="6044"/>
    <cellStyle name="20% - Accent5 8 2" xfId="10077"/>
    <cellStyle name="20% - Accent5 8 2 2" xfId="19698"/>
    <cellStyle name="20% - Accent5 8 2 2 2" xfId="35919"/>
    <cellStyle name="20% - Accent5 8 2 3" xfId="29231"/>
    <cellStyle name="20% - Accent5 8 3" xfId="15882"/>
    <cellStyle name="20% - Accent5 8 3 2" xfId="32103"/>
    <cellStyle name="20% - Accent5 8 4" xfId="17941"/>
    <cellStyle name="20% - Accent5 8 4 2" xfId="34162"/>
    <cellStyle name="20% - Accent5 8 5" xfId="27349"/>
    <cellStyle name="20% - Accent5 8 6" xfId="39381"/>
    <cellStyle name="20% - Accent5 9" xfId="9982"/>
    <cellStyle name="20% - Accent5 9 2" xfId="19603"/>
    <cellStyle name="20% - Accent5 9 2 2" xfId="35824"/>
    <cellStyle name="20% - Accent5 9 3" xfId="29136"/>
    <cellStyle name="20% - Accent6" xfId="41" builtinId="50" customBuiltin="1"/>
    <cellStyle name="20% - Accent6 10" xfId="14229"/>
    <cellStyle name="20% - Accent6 10 2" xfId="30516"/>
    <cellStyle name="20% - Accent6 11" xfId="17942"/>
    <cellStyle name="20% - Accent6 11 2" xfId="34163"/>
    <cellStyle name="20% - Accent6 12" xfId="26993"/>
    <cellStyle name="20% - Accent6 13" xfId="38912"/>
    <cellStyle name="20% - Accent6 14" xfId="4850"/>
    <cellStyle name="20% - Accent6 2" xfId="4871"/>
    <cellStyle name="20% - Accent6 2 10" xfId="17943"/>
    <cellStyle name="20% - Accent6 2 10 2" xfId="34164"/>
    <cellStyle name="20% - Accent6 2 11" xfId="27007"/>
    <cellStyle name="20% - Accent6 2 12" xfId="38773"/>
    <cellStyle name="20% - Accent6 2 2" xfId="6043"/>
    <cellStyle name="20% - Accent6 2 2 10" xfId="27348"/>
    <cellStyle name="20% - Accent6 2 2 11" xfId="38970"/>
    <cellStyle name="20% - Accent6 2 2 2" xfId="6042"/>
    <cellStyle name="20% - Accent6 2 2 2 10" xfId="39160"/>
    <cellStyle name="20% - Accent6 2 2 2 2" xfId="6041"/>
    <cellStyle name="20% - Accent6 2 2 2 2 2" xfId="6040"/>
    <cellStyle name="20% - Accent6 2 2 2 2 2 2" xfId="6039"/>
    <cellStyle name="20% - Accent6 2 2 2 2 2 2 2" xfId="10084"/>
    <cellStyle name="20% - Accent6 2 2 2 2 2 2 2 2" xfId="19705"/>
    <cellStyle name="20% - Accent6 2 2 2 2 2 2 2 2 2" xfId="35926"/>
    <cellStyle name="20% - Accent6 2 2 2 2 2 2 2 3" xfId="29238"/>
    <cellStyle name="20% - Accent6 2 2 2 2 2 2 3" xfId="17170"/>
    <cellStyle name="20% - Accent6 2 2 2 2 2 2 3 2" xfId="33391"/>
    <cellStyle name="20% - Accent6 2 2 2 2 2 2 4" xfId="17948"/>
    <cellStyle name="20% - Accent6 2 2 2 2 2 2 4 2" xfId="34169"/>
    <cellStyle name="20% - Accent6 2 2 2 2 2 2 5" xfId="27344"/>
    <cellStyle name="20% - Accent6 2 2 2 2 2 3" xfId="10083"/>
    <cellStyle name="20% - Accent6 2 2 2 2 2 3 2" xfId="19704"/>
    <cellStyle name="20% - Accent6 2 2 2 2 2 3 2 2" xfId="35925"/>
    <cellStyle name="20% - Accent6 2 2 2 2 2 3 3" xfId="29237"/>
    <cellStyle name="20% - Accent6 2 2 2 2 2 4" xfId="15585"/>
    <cellStyle name="20% - Accent6 2 2 2 2 2 4 2" xfId="31807"/>
    <cellStyle name="20% - Accent6 2 2 2 2 2 5" xfId="17947"/>
    <cellStyle name="20% - Accent6 2 2 2 2 2 5 2" xfId="34168"/>
    <cellStyle name="20% - Accent6 2 2 2 2 2 6" xfId="27345"/>
    <cellStyle name="20% - Accent6 2 2 2 2 3" xfId="6038"/>
    <cellStyle name="20% - Accent6 2 2 2 2 3 2" xfId="10085"/>
    <cellStyle name="20% - Accent6 2 2 2 2 3 2 2" xfId="19706"/>
    <cellStyle name="20% - Accent6 2 2 2 2 3 2 2 2" xfId="35927"/>
    <cellStyle name="20% - Accent6 2 2 2 2 3 2 3" xfId="29239"/>
    <cellStyle name="20% - Accent6 2 2 2 2 3 3" xfId="16378"/>
    <cellStyle name="20% - Accent6 2 2 2 2 3 3 2" xfId="32599"/>
    <cellStyle name="20% - Accent6 2 2 2 2 3 4" xfId="17949"/>
    <cellStyle name="20% - Accent6 2 2 2 2 3 4 2" xfId="34170"/>
    <cellStyle name="20% - Accent6 2 2 2 2 3 5" xfId="27343"/>
    <cellStyle name="20% - Accent6 2 2 2 2 4" xfId="10082"/>
    <cellStyle name="20% - Accent6 2 2 2 2 4 2" xfId="19703"/>
    <cellStyle name="20% - Accent6 2 2 2 2 4 2 2" xfId="35924"/>
    <cellStyle name="20% - Accent6 2 2 2 2 4 3" xfId="29236"/>
    <cellStyle name="20% - Accent6 2 2 2 2 5" xfId="14793"/>
    <cellStyle name="20% - Accent6 2 2 2 2 5 2" xfId="31015"/>
    <cellStyle name="20% - Accent6 2 2 2 2 6" xfId="17946"/>
    <cellStyle name="20% - Accent6 2 2 2 2 6 2" xfId="34167"/>
    <cellStyle name="20% - Accent6 2 2 2 2 7" xfId="27346"/>
    <cellStyle name="20% - Accent6 2 2 2 3" xfId="6037"/>
    <cellStyle name="20% - Accent6 2 2 2 3 2" xfId="6036"/>
    <cellStyle name="20% - Accent6 2 2 2 3 2 2" xfId="6035"/>
    <cellStyle name="20% - Accent6 2 2 2 3 2 2 2" xfId="10088"/>
    <cellStyle name="20% - Accent6 2 2 2 3 2 2 2 2" xfId="19709"/>
    <cellStyle name="20% - Accent6 2 2 2 3 2 2 2 2 2" xfId="35930"/>
    <cellStyle name="20% - Accent6 2 2 2 3 2 2 2 3" xfId="29242"/>
    <cellStyle name="20% - Accent6 2 2 2 3 2 2 3" xfId="17434"/>
    <cellStyle name="20% - Accent6 2 2 2 3 2 2 3 2" xfId="33655"/>
    <cellStyle name="20% - Accent6 2 2 2 3 2 2 4" xfId="17952"/>
    <cellStyle name="20% - Accent6 2 2 2 3 2 2 4 2" xfId="34173"/>
    <cellStyle name="20% - Accent6 2 2 2 3 2 2 5" xfId="27340"/>
    <cellStyle name="20% - Accent6 2 2 2 3 2 3" xfId="10087"/>
    <cellStyle name="20% - Accent6 2 2 2 3 2 3 2" xfId="19708"/>
    <cellStyle name="20% - Accent6 2 2 2 3 2 3 2 2" xfId="35929"/>
    <cellStyle name="20% - Accent6 2 2 2 3 2 3 3" xfId="29241"/>
    <cellStyle name="20% - Accent6 2 2 2 3 2 4" xfId="15849"/>
    <cellStyle name="20% - Accent6 2 2 2 3 2 4 2" xfId="32071"/>
    <cellStyle name="20% - Accent6 2 2 2 3 2 5" xfId="17951"/>
    <cellStyle name="20% - Accent6 2 2 2 3 2 5 2" xfId="34172"/>
    <cellStyle name="20% - Accent6 2 2 2 3 2 6" xfId="27341"/>
    <cellStyle name="20% - Accent6 2 2 2 3 3" xfId="6034"/>
    <cellStyle name="20% - Accent6 2 2 2 3 3 2" xfId="10089"/>
    <cellStyle name="20% - Accent6 2 2 2 3 3 2 2" xfId="19710"/>
    <cellStyle name="20% - Accent6 2 2 2 3 3 2 2 2" xfId="35931"/>
    <cellStyle name="20% - Accent6 2 2 2 3 3 2 3" xfId="29243"/>
    <cellStyle name="20% - Accent6 2 2 2 3 3 3" xfId="16642"/>
    <cellStyle name="20% - Accent6 2 2 2 3 3 3 2" xfId="32863"/>
    <cellStyle name="20% - Accent6 2 2 2 3 3 4" xfId="17953"/>
    <cellStyle name="20% - Accent6 2 2 2 3 3 4 2" xfId="34174"/>
    <cellStyle name="20% - Accent6 2 2 2 3 3 5" xfId="27339"/>
    <cellStyle name="20% - Accent6 2 2 2 3 4" xfId="10086"/>
    <cellStyle name="20% - Accent6 2 2 2 3 4 2" xfId="19707"/>
    <cellStyle name="20% - Accent6 2 2 2 3 4 2 2" xfId="35928"/>
    <cellStyle name="20% - Accent6 2 2 2 3 4 3" xfId="29240"/>
    <cellStyle name="20% - Accent6 2 2 2 3 5" xfId="15057"/>
    <cellStyle name="20% - Accent6 2 2 2 3 5 2" xfId="31279"/>
    <cellStyle name="20% - Accent6 2 2 2 3 6" xfId="17950"/>
    <cellStyle name="20% - Accent6 2 2 2 3 6 2" xfId="34171"/>
    <cellStyle name="20% - Accent6 2 2 2 3 7" xfId="27342"/>
    <cellStyle name="20% - Accent6 2 2 2 4" xfId="6033"/>
    <cellStyle name="20% - Accent6 2 2 2 4 2" xfId="6032"/>
    <cellStyle name="20% - Accent6 2 2 2 4 2 2" xfId="10091"/>
    <cellStyle name="20% - Accent6 2 2 2 4 2 2 2" xfId="19712"/>
    <cellStyle name="20% - Accent6 2 2 2 4 2 2 2 2" xfId="35933"/>
    <cellStyle name="20% - Accent6 2 2 2 4 2 2 3" xfId="29245"/>
    <cellStyle name="20% - Accent6 2 2 2 4 2 3" xfId="16906"/>
    <cellStyle name="20% - Accent6 2 2 2 4 2 3 2" xfId="33127"/>
    <cellStyle name="20% - Accent6 2 2 2 4 2 4" xfId="17955"/>
    <cellStyle name="20% - Accent6 2 2 2 4 2 4 2" xfId="34176"/>
    <cellStyle name="20% - Accent6 2 2 2 4 2 5" xfId="27337"/>
    <cellStyle name="20% - Accent6 2 2 2 4 3" xfId="10090"/>
    <cellStyle name="20% - Accent6 2 2 2 4 3 2" xfId="19711"/>
    <cellStyle name="20% - Accent6 2 2 2 4 3 2 2" xfId="35932"/>
    <cellStyle name="20% - Accent6 2 2 2 4 3 3" xfId="29244"/>
    <cellStyle name="20% - Accent6 2 2 2 4 4" xfId="15321"/>
    <cellStyle name="20% - Accent6 2 2 2 4 4 2" xfId="31543"/>
    <cellStyle name="20% - Accent6 2 2 2 4 5" xfId="17954"/>
    <cellStyle name="20% - Accent6 2 2 2 4 5 2" xfId="34175"/>
    <cellStyle name="20% - Accent6 2 2 2 4 6" xfId="27338"/>
    <cellStyle name="20% - Accent6 2 2 2 5" xfId="6031"/>
    <cellStyle name="20% - Accent6 2 2 2 5 2" xfId="10092"/>
    <cellStyle name="20% - Accent6 2 2 2 5 2 2" xfId="19713"/>
    <cellStyle name="20% - Accent6 2 2 2 5 2 2 2" xfId="35934"/>
    <cellStyle name="20% - Accent6 2 2 2 5 2 3" xfId="29246"/>
    <cellStyle name="20% - Accent6 2 2 2 5 3" xfId="16114"/>
    <cellStyle name="20% - Accent6 2 2 2 5 3 2" xfId="32335"/>
    <cellStyle name="20% - Accent6 2 2 2 5 4" xfId="17956"/>
    <cellStyle name="20% - Accent6 2 2 2 5 4 2" xfId="34177"/>
    <cellStyle name="20% - Accent6 2 2 2 5 5" xfId="27336"/>
    <cellStyle name="20% - Accent6 2 2 2 6" xfId="10081"/>
    <cellStyle name="20% - Accent6 2 2 2 6 2" xfId="19702"/>
    <cellStyle name="20% - Accent6 2 2 2 6 2 2" xfId="35923"/>
    <cellStyle name="20% - Accent6 2 2 2 6 3" xfId="29235"/>
    <cellStyle name="20% - Accent6 2 2 2 7" xfId="14529"/>
    <cellStyle name="20% - Accent6 2 2 2 7 2" xfId="30751"/>
    <cellStyle name="20% - Accent6 2 2 2 8" xfId="17945"/>
    <cellStyle name="20% - Accent6 2 2 2 8 2" xfId="34166"/>
    <cellStyle name="20% - Accent6 2 2 2 9" xfId="27347"/>
    <cellStyle name="20% - Accent6 2 2 3" xfId="6030"/>
    <cellStyle name="20% - Accent6 2 2 3 2" xfId="6029"/>
    <cellStyle name="20% - Accent6 2 2 3 2 2" xfId="6028"/>
    <cellStyle name="20% - Accent6 2 2 3 2 2 2" xfId="10095"/>
    <cellStyle name="20% - Accent6 2 2 3 2 2 2 2" xfId="19716"/>
    <cellStyle name="20% - Accent6 2 2 3 2 2 2 2 2" xfId="35937"/>
    <cellStyle name="20% - Accent6 2 2 3 2 2 2 3" xfId="29249"/>
    <cellStyle name="20% - Accent6 2 2 3 2 2 3" xfId="17038"/>
    <cellStyle name="20% - Accent6 2 2 3 2 2 3 2" xfId="33259"/>
    <cellStyle name="20% - Accent6 2 2 3 2 2 4" xfId="17959"/>
    <cellStyle name="20% - Accent6 2 2 3 2 2 4 2" xfId="34180"/>
    <cellStyle name="20% - Accent6 2 2 3 2 2 5" xfId="27333"/>
    <cellStyle name="20% - Accent6 2 2 3 2 3" xfId="10094"/>
    <cellStyle name="20% - Accent6 2 2 3 2 3 2" xfId="19715"/>
    <cellStyle name="20% - Accent6 2 2 3 2 3 2 2" xfId="35936"/>
    <cellStyle name="20% - Accent6 2 2 3 2 3 3" xfId="29248"/>
    <cellStyle name="20% - Accent6 2 2 3 2 4" xfId="15453"/>
    <cellStyle name="20% - Accent6 2 2 3 2 4 2" xfId="31675"/>
    <cellStyle name="20% - Accent6 2 2 3 2 5" xfId="17958"/>
    <cellStyle name="20% - Accent6 2 2 3 2 5 2" xfId="34179"/>
    <cellStyle name="20% - Accent6 2 2 3 2 6" xfId="27334"/>
    <cellStyle name="20% - Accent6 2 2 3 3" xfId="6027"/>
    <cellStyle name="20% - Accent6 2 2 3 3 2" xfId="10096"/>
    <cellStyle name="20% - Accent6 2 2 3 3 2 2" xfId="19717"/>
    <cellStyle name="20% - Accent6 2 2 3 3 2 2 2" xfId="35938"/>
    <cellStyle name="20% - Accent6 2 2 3 3 2 3" xfId="29250"/>
    <cellStyle name="20% - Accent6 2 2 3 3 3" xfId="16246"/>
    <cellStyle name="20% - Accent6 2 2 3 3 3 2" xfId="32467"/>
    <cellStyle name="20% - Accent6 2 2 3 3 4" xfId="17960"/>
    <cellStyle name="20% - Accent6 2 2 3 3 4 2" xfId="34181"/>
    <cellStyle name="20% - Accent6 2 2 3 3 5" xfId="27332"/>
    <cellStyle name="20% - Accent6 2 2 3 4" xfId="10093"/>
    <cellStyle name="20% - Accent6 2 2 3 4 2" xfId="19714"/>
    <cellStyle name="20% - Accent6 2 2 3 4 2 2" xfId="35935"/>
    <cellStyle name="20% - Accent6 2 2 3 4 3" xfId="29247"/>
    <cellStyle name="20% - Accent6 2 2 3 5" xfId="14661"/>
    <cellStyle name="20% - Accent6 2 2 3 5 2" xfId="30883"/>
    <cellStyle name="20% - Accent6 2 2 3 6" xfId="17957"/>
    <cellStyle name="20% - Accent6 2 2 3 6 2" xfId="34178"/>
    <cellStyle name="20% - Accent6 2 2 3 7" xfId="27335"/>
    <cellStyle name="20% - Accent6 2 2 3 8" xfId="39308"/>
    <cellStyle name="20% - Accent6 2 2 4" xfId="6026"/>
    <cellStyle name="20% - Accent6 2 2 4 2" xfId="6025"/>
    <cellStyle name="20% - Accent6 2 2 4 2 2" xfId="6024"/>
    <cellStyle name="20% - Accent6 2 2 4 2 2 2" xfId="10099"/>
    <cellStyle name="20% - Accent6 2 2 4 2 2 2 2" xfId="19720"/>
    <cellStyle name="20% - Accent6 2 2 4 2 2 2 2 2" xfId="35941"/>
    <cellStyle name="20% - Accent6 2 2 4 2 2 2 3" xfId="29253"/>
    <cellStyle name="20% - Accent6 2 2 4 2 2 3" xfId="17302"/>
    <cellStyle name="20% - Accent6 2 2 4 2 2 3 2" xfId="33523"/>
    <cellStyle name="20% - Accent6 2 2 4 2 2 4" xfId="17963"/>
    <cellStyle name="20% - Accent6 2 2 4 2 2 4 2" xfId="34184"/>
    <cellStyle name="20% - Accent6 2 2 4 2 2 5" xfId="27329"/>
    <cellStyle name="20% - Accent6 2 2 4 2 3" xfId="10098"/>
    <cellStyle name="20% - Accent6 2 2 4 2 3 2" xfId="19719"/>
    <cellStyle name="20% - Accent6 2 2 4 2 3 2 2" xfId="35940"/>
    <cellStyle name="20% - Accent6 2 2 4 2 3 3" xfId="29252"/>
    <cellStyle name="20% - Accent6 2 2 4 2 4" xfId="15717"/>
    <cellStyle name="20% - Accent6 2 2 4 2 4 2" xfId="31939"/>
    <cellStyle name="20% - Accent6 2 2 4 2 5" xfId="17962"/>
    <cellStyle name="20% - Accent6 2 2 4 2 5 2" xfId="34183"/>
    <cellStyle name="20% - Accent6 2 2 4 2 6" xfId="27330"/>
    <cellStyle name="20% - Accent6 2 2 4 3" xfId="6023"/>
    <cellStyle name="20% - Accent6 2 2 4 3 2" xfId="10100"/>
    <cellStyle name="20% - Accent6 2 2 4 3 2 2" xfId="19721"/>
    <cellStyle name="20% - Accent6 2 2 4 3 2 2 2" xfId="35942"/>
    <cellStyle name="20% - Accent6 2 2 4 3 2 3" xfId="29254"/>
    <cellStyle name="20% - Accent6 2 2 4 3 3" xfId="16510"/>
    <cellStyle name="20% - Accent6 2 2 4 3 3 2" xfId="32731"/>
    <cellStyle name="20% - Accent6 2 2 4 3 4" xfId="17964"/>
    <cellStyle name="20% - Accent6 2 2 4 3 4 2" xfId="34185"/>
    <cellStyle name="20% - Accent6 2 2 4 3 5" xfId="27328"/>
    <cellStyle name="20% - Accent6 2 2 4 4" xfId="10097"/>
    <cellStyle name="20% - Accent6 2 2 4 4 2" xfId="19718"/>
    <cellStyle name="20% - Accent6 2 2 4 4 2 2" xfId="35939"/>
    <cellStyle name="20% - Accent6 2 2 4 4 3" xfId="29251"/>
    <cellStyle name="20% - Accent6 2 2 4 5" xfId="14925"/>
    <cellStyle name="20% - Accent6 2 2 4 5 2" xfId="31147"/>
    <cellStyle name="20% - Accent6 2 2 4 6" xfId="17961"/>
    <cellStyle name="20% - Accent6 2 2 4 6 2" xfId="34182"/>
    <cellStyle name="20% - Accent6 2 2 4 7" xfId="27331"/>
    <cellStyle name="20% - Accent6 2 2 4 8" xfId="39457"/>
    <cellStyle name="20% - Accent6 2 2 5" xfId="6022"/>
    <cellStyle name="20% - Accent6 2 2 5 2" xfId="6021"/>
    <cellStyle name="20% - Accent6 2 2 5 2 2" xfId="10102"/>
    <cellStyle name="20% - Accent6 2 2 5 2 2 2" xfId="19723"/>
    <cellStyle name="20% - Accent6 2 2 5 2 2 2 2" xfId="35944"/>
    <cellStyle name="20% - Accent6 2 2 5 2 2 3" xfId="29256"/>
    <cellStyle name="20% - Accent6 2 2 5 2 3" xfId="16774"/>
    <cellStyle name="20% - Accent6 2 2 5 2 3 2" xfId="32995"/>
    <cellStyle name="20% - Accent6 2 2 5 2 4" xfId="17966"/>
    <cellStyle name="20% - Accent6 2 2 5 2 4 2" xfId="34187"/>
    <cellStyle name="20% - Accent6 2 2 5 2 5" xfId="27326"/>
    <cellStyle name="20% - Accent6 2 2 5 3" xfId="10101"/>
    <cellStyle name="20% - Accent6 2 2 5 3 2" xfId="19722"/>
    <cellStyle name="20% - Accent6 2 2 5 3 2 2" xfId="35943"/>
    <cellStyle name="20% - Accent6 2 2 5 3 3" xfId="29255"/>
    <cellStyle name="20% - Accent6 2 2 5 4" xfId="15189"/>
    <cellStyle name="20% - Accent6 2 2 5 4 2" xfId="31411"/>
    <cellStyle name="20% - Accent6 2 2 5 5" xfId="17965"/>
    <cellStyle name="20% - Accent6 2 2 5 5 2" xfId="34186"/>
    <cellStyle name="20% - Accent6 2 2 5 6" xfId="27327"/>
    <cellStyle name="20% - Accent6 2 2 6" xfId="6020"/>
    <cellStyle name="20% - Accent6 2 2 6 2" xfId="10103"/>
    <cellStyle name="20% - Accent6 2 2 6 2 2" xfId="19724"/>
    <cellStyle name="20% - Accent6 2 2 6 2 2 2" xfId="35945"/>
    <cellStyle name="20% - Accent6 2 2 6 2 3" xfId="29257"/>
    <cellStyle name="20% - Accent6 2 2 6 3" xfId="15982"/>
    <cellStyle name="20% - Accent6 2 2 6 3 2" xfId="32203"/>
    <cellStyle name="20% - Accent6 2 2 6 4" xfId="17967"/>
    <cellStyle name="20% - Accent6 2 2 6 4 2" xfId="34188"/>
    <cellStyle name="20% - Accent6 2 2 6 5" xfId="27325"/>
    <cellStyle name="20% - Accent6 2 2 7" xfId="10080"/>
    <cellStyle name="20% - Accent6 2 2 7 2" xfId="19701"/>
    <cellStyle name="20% - Accent6 2 2 7 2 2" xfId="35922"/>
    <cellStyle name="20% - Accent6 2 2 7 3" xfId="29234"/>
    <cellStyle name="20% - Accent6 2 2 8" xfId="14397"/>
    <cellStyle name="20% - Accent6 2 2 8 2" xfId="30619"/>
    <cellStyle name="20% - Accent6 2 2 9" xfId="17944"/>
    <cellStyle name="20% - Accent6 2 2 9 2" xfId="34165"/>
    <cellStyle name="20% - Accent6 2 3" xfId="6019"/>
    <cellStyle name="20% - Accent6 2 3 10" xfId="39104"/>
    <cellStyle name="20% - Accent6 2 3 2" xfId="6018"/>
    <cellStyle name="20% - Accent6 2 3 2 2" xfId="6017"/>
    <cellStyle name="20% - Accent6 2 3 2 2 2" xfId="6016"/>
    <cellStyle name="20% - Accent6 2 3 2 2 2 2" xfId="10107"/>
    <cellStyle name="20% - Accent6 2 3 2 2 2 2 2" xfId="19728"/>
    <cellStyle name="20% - Accent6 2 3 2 2 2 2 2 2" xfId="35949"/>
    <cellStyle name="20% - Accent6 2 3 2 2 2 2 3" xfId="29261"/>
    <cellStyle name="20% - Accent6 2 3 2 2 2 3" xfId="17104"/>
    <cellStyle name="20% - Accent6 2 3 2 2 2 3 2" xfId="33325"/>
    <cellStyle name="20% - Accent6 2 3 2 2 2 4" xfId="17971"/>
    <cellStyle name="20% - Accent6 2 3 2 2 2 4 2" xfId="34192"/>
    <cellStyle name="20% - Accent6 2 3 2 2 2 5" xfId="27321"/>
    <cellStyle name="20% - Accent6 2 3 2 2 3" xfId="10106"/>
    <cellStyle name="20% - Accent6 2 3 2 2 3 2" xfId="19727"/>
    <cellStyle name="20% - Accent6 2 3 2 2 3 2 2" xfId="35948"/>
    <cellStyle name="20% - Accent6 2 3 2 2 3 3" xfId="29260"/>
    <cellStyle name="20% - Accent6 2 3 2 2 4" xfId="15519"/>
    <cellStyle name="20% - Accent6 2 3 2 2 4 2" xfId="31741"/>
    <cellStyle name="20% - Accent6 2 3 2 2 5" xfId="17970"/>
    <cellStyle name="20% - Accent6 2 3 2 2 5 2" xfId="34191"/>
    <cellStyle name="20% - Accent6 2 3 2 2 6" xfId="27322"/>
    <cellStyle name="20% - Accent6 2 3 2 3" xfId="6015"/>
    <cellStyle name="20% - Accent6 2 3 2 3 2" xfId="10108"/>
    <cellStyle name="20% - Accent6 2 3 2 3 2 2" xfId="19729"/>
    <cellStyle name="20% - Accent6 2 3 2 3 2 2 2" xfId="35950"/>
    <cellStyle name="20% - Accent6 2 3 2 3 2 3" xfId="29262"/>
    <cellStyle name="20% - Accent6 2 3 2 3 3" xfId="16312"/>
    <cellStyle name="20% - Accent6 2 3 2 3 3 2" xfId="32533"/>
    <cellStyle name="20% - Accent6 2 3 2 3 4" xfId="17972"/>
    <cellStyle name="20% - Accent6 2 3 2 3 4 2" xfId="34193"/>
    <cellStyle name="20% - Accent6 2 3 2 3 5" xfId="27320"/>
    <cellStyle name="20% - Accent6 2 3 2 4" xfId="10105"/>
    <cellStyle name="20% - Accent6 2 3 2 4 2" xfId="19726"/>
    <cellStyle name="20% - Accent6 2 3 2 4 2 2" xfId="35947"/>
    <cellStyle name="20% - Accent6 2 3 2 4 3" xfId="29259"/>
    <cellStyle name="20% - Accent6 2 3 2 5" xfId="14727"/>
    <cellStyle name="20% - Accent6 2 3 2 5 2" xfId="30949"/>
    <cellStyle name="20% - Accent6 2 3 2 6" xfId="17969"/>
    <cellStyle name="20% - Accent6 2 3 2 6 2" xfId="34190"/>
    <cellStyle name="20% - Accent6 2 3 2 7" xfId="27323"/>
    <cellStyle name="20% - Accent6 2 3 3" xfId="6014"/>
    <cellStyle name="20% - Accent6 2 3 3 2" xfId="6013"/>
    <cellStyle name="20% - Accent6 2 3 3 2 2" xfId="6012"/>
    <cellStyle name="20% - Accent6 2 3 3 2 2 2" xfId="10111"/>
    <cellStyle name="20% - Accent6 2 3 3 2 2 2 2" xfId="19732"/>
    <cellStyle name="20% - Accent6 2 3 3 2 2 2 2 2" xfId="35953"/>
    <cellStyle name="20% - Accent6 2 3 3 2 2 2 3" xfId="29265"/>
    <cellStyle name="20% - Accent6 2 3 3 2 2 3" xfId="17368"/>
    <cellStyle name="20% - Accent6 2 3 3 2 2 3 2" xfId="33589"/>
    <cellStyle name="20% - Accent6 2 3 3 2 2 4" xfId="17975"/>
    <cellStyle name="20% - Accent6 2 3 3 2 2 4 2" xfId="34196"/>
    <cellStyle name="20% - Accent6 2 3 3 2 2 5" xfId="27317"/>
    <cellStyle name="20% - Accent6 2 3 3 2 3" xfId="10110"/>
    <cellStyle name="20% - Accent6 2 3 3 2 3 2" xfId="19731"/>
    <cellStyle name="20% - Accent6 2 3 3 2 3 2 2" xfId="35952"/>
    <cellStyle name="20% - Accent6 2 3 3 2 3 3" xfId="29264"/>
    <cellStyle name="20% - Accent6 2 3 3 2 4" xfId="15783"/>
    <cellStyle name="20% - Accent6 2 3 3 2 4 2" xfId="32005"/>
    <cellStyle name="20% - Accent6 2 3 3 2 5" xfId="17974"/>
    <cellStyle name="20% - Accent6 2 3 3 2 5 2" xfId="34195"/>
    <cellStyle name="20% - Accent6 2 3 3 2 6" xfId="27318"/>
    <cellStyle name="20% - Accent6 2 3 3 3" xfId="6011"/>
    <cellStyle name="20% - Accent6 2 3 3 3 2" xfId="10112"/>
    <cellStyle name="20% - Accent6 2 3 3 3 2 2" xfId="19733"/>
    <cellStyle name="20% - Accent6 2 3 3 3 2 2 2" xfId="35954"/>
    <cellStyle name="20% - Accent6 2 3 3 3 2 3" xfId="29266"/>
    <cellStyle name="20% - Accent6 2 3 3 3 3" xfId="16576"/>
    <cellStyle name="20% - Accent6 2 3 3 3 3 2" xfId="32797"/>
    <cellStyle name="20% - Accent6 2 3 3 3 4" xfId="17976"/>
    <cellStyle name="20% - Accent6 2 3 3 3 4 2" xfId="34197"/>
    <cellStyle name="20% - Accent6 2 3 3 3 5" xfId="27316"/>
    <cellStyle name="20% - Accent6 2 3 3 4" xfId="10109"/>
    <cellStyle name="20% - Accent6 2 3 3 4 2" xfId="19730"/>
    <cellStyle name="20% - Accent6 2 3 3 4 2 2" xfId="35951"/>
    <cellStyle name="20% - Accent6 2 3 3 4 3" xfId="29263"/>
    <cellStyle name="20% - Accent6 2 3 3 5" xfId="14991"/>
    <cellStyle name="20% - Accent6 2 3 3 5 2" xfId="31213"/>
    <cellStyle name="20% - Accent6 2 3 3 6" xfId="17973"/>
    <cellStyle name="20% - Accent6 2 3 3 6 2" xfId="34194"/>
    <cellStyle name="20% - Accent6 2 3 3 7" xfId="27319"/>
    <cellStyle name="20% - Accent6 2 3 4" xfId="6010"/>
    <cellStyle name="20% - Accent6 2 3 4 2" xfId="6009"/>
    <cellStyle name="20% - Accent6 2 3 4 2 2" xfId="10114"/>
    <cellStyle name="20% - Accent6 2 3 4 2 2 2" xfId="19735"/>
    <cellStyle name="20% - Accent6 2 3 4 2 2 2 2" xfId="35956"/>
    <cellStyle name="20% - Accent6 2 3 4 2 2 3" xfId="29268"/>
    <cellStyle name="20% - Accent6 2 3 4 2 3" xfId="16840"/>
    <cellStyle name="20% - Accent6 2 3 4 2 3 2" xfId="33061"/>
    <cellStyle name="20% - Accent6 2 3 4 2 4" xfId="17978"/>
    <cellStyle name="20% - Accent6 2 3 4 2 4 2" xfId="34199"/>
    <cellStyle name="20% - Accent6 2 3 4 2 5" xfId="27314"/>
    <cellStyle name="20% - Accent6 2 3 4 3" xfId="10113"/>
    <cellStyle name="20% - Accent6 2 3 4 3 2" xfId="19734"/>
    <cellStyle name="20% - Accent6 2 3 4 3 2 2" xfId="35955"/>
    <cellStyle name="20% - Accent6 2 3 4 3 3" xfId="29267"/>
    <cellStyle name="20% - Accent6 2 3 4 4" xfId="15255"/>
    <cellStyle name="20% - Accent6 2 3 4 4 2" xfId="31477"/>
    <cellStyle name="20% - Accent6 2 3 4 5" xfId="17977"/>
    <cellStyle name="20% - Accent6 2 3 4 5 2" xfId="34198"/>
    <cellStyle name="20% - Accent6 2 3 4 6" xfId="27315"/>
    <cellStyle name="20% - Accent6 2 3 5" xfId="6008"/>
    <cellStyle name="20% - Accent6 2 3 5 2" xfId="10115"/>
    <cellStyle name="20% - Accent6 2 3 5 2 2" xfId="19736"/>
    <cellStyle name="20% - Accent6 2 3 5 2 2 2" xfId="35957"/>
    <cellStyle name="20% - Accent6 2 3 5 2 3" xfId="29269"/>
    <cellStyle name="20% - Accent6 2 3 5 3" xfId="16048"/>
    <cellStyle name="20% - Accent6 2 3 5 3 2" xfId="32269"/>
    <cellStyle name="20% - Accent6 2 3 5 4" xfId="17979"/>
    <cellStyle name="20% - Accent6 2 3 5 4 2" xfId="34200"/>
    <cellStyle name="20% - Accent6 2 3 5 5" xfId="27313"/>
    <cellStyle name="20% - Accent6 2 3 6" xfId="10104"/>
    <cellStyle name="20% - Accent6 2 3 6 2" xfId="19725"/>
    <cellStyle name="20% - Accent6 2 3 6 2 2" xfId="35946"/>
    <cellStyle name="20% - Accent6 2 3 6 3" xfId="29258"/>
    <cellStyle name="20% - Accent6 2 3 7" xfId="14463"/>
    <cellStyle name="20% - Accent6 2 3 7 2" xfId="30685"/>
    <cellStyle name="20% - Accent6 2 3 8" xfId="17968"/>
    <cellStyle name="20% - Accent6 2 3 8 2" xfId="34189"/>
    <cellStyle name="20% - Accent6 2 3 9" xfId="27324"/>
    <cellStyle name="20% - Accent6 2 4" xfId="6007"/>
    <cellStyle name="20% - Accent6 2 4 2" xfId="6006"/>
    <cellStyle name="20% - Accent6 2 4 2 2" xfId="6005"/>
    <cellStyle name="20% - Accent6 2 4 2 2 2" xfId="10118"/>
    <cellStyle name="20% - Accent6 2 4 2 2 2 2" xfId="19739"/>
    <cellStyle name="20% - Accent6 2 4 2 2 2 2 2" xfId="35960"/>
    <cellStyle name="20% - Accent6 2 4 2 2 2 3" xfId="29272"/>
    <cellStyle name="20% - Accent6 2 4 2 2 3" xfId="16972"/>
    <cellStyle name="20% - Accent6 2 4 2 2 3 2" xfId="33193"/>
    <cellStyle name="20% - Accent6 2 4 2 2 4" xfId="17982"/>
    <cellStyle name="20% - Accent6 2 4 2 2 4 2" xfId="34203"/>
    <cellStyle name="20% - Accent6 2 4 2 2 5" xfId="27310"/>
    <cellStyle name="20% - Accent6 2 4 2 3" xfId="10117"/>
    <cellStyle name="20% - Accent6 2 4 2 3 2" xfId="19738"/>
    <cellStyle name="20% - Accent6 2 4 2 3 2 2" xfId="35959"/>
    <cellStyle name="20% - Accent6 2 4 2 3 3" xfId="29271"/>
    <cellStyle name="20% - Accent6 2 4 2 4" xfId="15387"/>
    <cellStyle name="20% - Accent6 2 4 2 4 2" xfId="31609"/>
    <cellStyle name="20% - Accent6 2 4 2 5" xfId="17981"/>
    <cellStyle name="20% - Accent6 2 4 2 5 2" xfId="34202"/>
    <cellStyle name="20% - Accent6 2 4 2 6" xfId="27311"/>
    <cellStyle name="20% - Accent6 2 4 3" xfId="6004"/>
    <cellStyle name="20% - Accent6 2 4 3 2" xfId="10119"/>
    <cellStyle name="20% - Accent6 2 4 3 2 2" xfId="19740"/>
    <cellStyle name="20% - Accent6 2 4 3 2 2 2" xfId="35961"/>
    <cellStyle name="20% - Accent6 2 4 3 2 3" xfId="29273"/>
    <cellStyle name="20% - Accent6 2 4 3 3" xfId="16180"/>
    <cellStyle name="20% - Accent6 2 4 3 3 2" xfId="32401"/>
    <cellStyle name="20% - Accent6 2 4 3 4" xfId="17983"/>
    <cellStyle name="20% - Accent6 2 4 3 4 2" xfId="34204"/>
    <cellStyle name="20% - Accent6 2 4 3 5" xfId="27309"/>
    <cellStyle name="20% - Accent6 2 4 4" xfId="10116"/>
    <cellStyle name="20% - Accent6 2 4 4 2" xfId="19737"/>
    <cellStyle name="20% - Accent6 2 4 4 2 2" xfId="35958"/>
    <cellStyle name="20% - Accent6 2 4 4 3" xfId="29270"/>
    <cellStyle name="20% - Accent6 2 4 5" xfId="14595"/>
    <cellStyle name="20% - Accent6 2 4 5 2" xfId="30817"/>
    <cellStyle name="20% - Accent6 2 4 6" xfId="17980"/>
    <cellStyle name="20% - Accent6 2 4 6 2" xfId="34201"/>
    <cellStyle name="20% - Accent6 2 4 7" xfId="27312"/>
    <cellStyle name="20% - Accent6 2 4 8" xfId="39252"/>
    <cellStyle name="20% - Accent6 2 5" xfId="6003"/>
    <cellStyle name="20% - Accent6 2 5 2" xfId="6002"/>
    <cellStyle name="20% - Accent6 2 5 2 2" xfId="6001"/>
    <cellStyle name="20% - Accent6 2 5 2 2 2" xfId="10122"/>
    <cellStyle name="20% - Accent6 2 5 2 2 2 2" xfId="19743"/>
    <cellStyle name="20% - Accent6 2 5 2 2 2 2 2" xfId="35964"/>
    <cellStyle name="20% - Accent6 2 5 2 2 2 3" xfId="29276"/>
    <cellStyle name="20% - Accent6 2 5 2 2 3" xfId="17236"/>
    <cellStyle name="20% - Accent6 2 5 2 2 3 2" xfId="33457"/>
    <cellStyle name="20% - Accent6 2 5 2 2 4" xfId="17986"/>
    <cellStyle name="20% - Accent6 2 5 2 2 4 2" xfId="34207"/>
    <cellStyle name="20% - Accent6 2 5 2 2 5" xfId="27306"/>
    <cellStyle name="20% - Accent6 2 5 2 3" xfId="10121"/>
    <cellStyle name="20% - Accent6 2 5 2 3 2" xfId="19742"/>
    <cellStyle name="20% - Accent6 2 5 2 3 2 2" xfId="35963"/>
    <cellStyle name="20% - Accent6 2 5 2 3 3" xfId="29275"/>
    <cellStyle name="20% - Accent6 2 5 2 4" xfId="15651"/>
    <cellStyle name="20% - Accent6 2 5 2 4 2" xfId="31873"/>
    <cellStyle name="20% - Accent6 2 5 2 5" xfId="17985"/>
    <cellStyle name="20% - Accent6 2 5 2 5 2" xfId="34206"/>
    <cellStyle name="20% - Accent6 2 5 2 6" xfId="27307"/>
    <cellStyle name="20% - Accent6 2 5 3" xfId="6000"/>
    <cellStyle name="20% - Accent6 2 5 3 2" xfId="10123"/>
    <cellStyle name="20% - Accent6 2 5 3 2 2" xfId="19744"/>
    <cellStyle name="20% - Accent6 2 5 3 2 2 2" xfId="35965"/>
    <cellStyle name="20% - Accent6 2 5 3 2 3" xfId="29277"/>
    <cellStyle name="20% - Accent6 2 5 3 3" xfId="16444"/>
    <cellStyle name="20% - Accent6 2 5 3 3 2" xfId="32665"/>
    <cellStyle name="20% - Accent6 2 5 3 4" xfId="17987"/>
    <cellStyle name="20% - Accent6 2 5 3 4 2" xfId="34208"/>
    <cellStyle name="20% - Accent6 2 5 3 5" xfId="27305"/>
    <cellStyle name="20% - Accent6 2 5 4" xfId="10120"/>
    <cellStyle name="20% - Accent6 2 5 4 2" xfId="19741"/>
    <cellStyle name="20% - Accent6 2 5 4 2 2" xfId="35962"/>
    <cellStyle name="20% - Accent6 2 5 4 3" xfId="29274"/>
    <cellStyle name="20% - Accent6 2 5 5" xfId="14859"/>
    <cellStyle name="20% - Accent6 2 5 5 2" xfId="31081"/>
    <cellStyle name="20% - Accent6 2 5 6" xfId="17984"/>
    <cellStyle name="20% - Accent6 2 5 6 2" xfId="34205"/>
    <cellStyle name="20% - Accent6 2 5 7" xfId="27308"/>
    <cellStyle name="20% - Accent6 2 5 8" xfId="39401"/>
    <cellStyle name="20% - Accent6 2 6" xfId="5999"/>
    <cellStyle name="20% - Accent6 2 6 2" xfId="5998"/>
    <cellStyle name="20% - Accent6 2 6 2 2" xfId="10125"/>
    <cellStyle name="20% - Accent6 2 6 2 2 2" xfId="19746"/>
    <cellStyle name="20% - Accent6 2 6 2 2 2 2" xfId="35967"/>
    <cellStyle name="20% - Accent6 2 6 2 2 3" xfId="29279"/>
    <cellStyle name="20% - Accent6 2 6 2 3" xfId="16708"/>
    <cellStyle name="20% - Accent6 2 6 2 3 2" xfId="32929"/>
    <cellStyle name="20% - Accent6 2 6 2 4" xfId="17989"/>
    <cellStyle name="20% - Accent6 2 6 2 4 2" xfId="34210"/>
    <cellStyle name="20% - Accent6 2 6 2 5" xfId="27303"/>
    <cellStyle name="20% - Accent6 2 6 3" xfId="10124"/>
    <cellStyle name="20% - Accent6 2 6 3 2" xfId="19745"/>
    <cellStyle name="20% - Accent6 2 6 3 2 2" xfId="35966"/>
    <cellStyle name="20% - Accent6 2 6 3 3" xfId="29278"/>
    <cellStyle name="20% - Accent6 2 6 4" xfId="15123"/>
    <cellStyle name="20% - Accent6 2 6 4 2" xfId="31345"/>
    <cellStyle name="20% - Accent6 2 6 5" xfId="17988"/>
    <cellStyle name="20% - Accent6 2 6 5 2" xfId="34209"/>
    <cellStyle name="20% - Accent6 2 6 6" xfId="27304"/>
    <cellStyle name="20% - Accent6 2 7" xfId="5997"/>
    <cellStyle name="20% - Accent6 2 7 2" xfId="10126"/>
    <cellStyle name="20% - Accent6 2 7 2 2" xfId="19747"/>
    <cellStyle name="20% - Accent6 2 7 2 2 2" xfId="35968"/>
    <cellStyle name="20% - Accent6 2 7 2 3" xfId="29280"/>
    <cellStyle name="20% - Accent6 2 7 3" xfId="15916"/>
    <cellStyle name="20% - Accent6 2 7 3 2" xfId="32137"/>
    <cellStyle name="20% - Accent6 2 7 4" xfId="17990"/>
    <cellStyle name="20% - Accent6 2 7 4 2" xfId="34211"/>
    <cellStyle name="20% - Accent6 2 7 5" xfId="27302"/>
    <cellStyle name="20% - Accent6 2 8" xfId="10079"/>
    <cellStyle name="20% - Accent6 2 8 2" xfId="19700"/>
    <cellStyle name="20% - Accent6 2 8 2 2" xfId="35921"/>
    <cellStyle name="20% - Accent6 2 8 3" xfId="29233"/>
    <cellStyle name="20% - Accent6 2 9" xfId="14331"/>
    <cellStyle name="20% - Accent6 2 9 2" xfId="30553"/>
    <cellStyle name="20% - Accent6 3" xfId="5996"/>
    <cellStyle name="20% - Accent6 3 10" xfId="27301"/>
    <cellStyle name="20% - Accent6 3 11" xfId="38983"/>
    <cellStyle name="20% - Accent6 3 2" xfId="5995"/>
    <cellStyle name="20% - Accent6 3 2 10" xfId="39025"/>
    <cellStyle name="20% - Accent6 3 2 2" xfId="5994"/>
    <cellStyle name="20% - Accent6 3 2 2 2" xfId="5993"/>
    <cellStyle name="20% - Accent6 3 2 2 2 2" xfId="5992"/>
    <cellStyle name="20% - Accent6 3 2 2 2 2 2" xfId="10131"/>
    <cellStyle name="20% - Accent6 3 2 2 2 2 2 2" xfId="19752"/>
    <cellStyle name="20% - Accent6 3 2 2 2 2 2 2 2" xfId="35973"/>
    <cellStyle name="20% - Accent6 3 2 2 2 2 2 3" xfId="29285"/>
    <cellStyle name="20% - Accent6 3 2 2 2 2 3" xfId="17137"/>
    <cellStyle name="20% - Accent6 3 2 2 2 2 3 2" xfId="33358"/>
    <cellStyle name="20% - Accent6 3 2 2 2 2 4" xfId="17995"/>
    <cellStyle name="20% - Accent6 3 2 2 2 2 4 2" xfId="34216"/>
    <cellStyle name="20% - Accent6 3 2 2 2 2 5" xfId="27297"/>
    <cellStyle name="20% - Accent6 3 2 2 2 3" xfId="10130"/>
    <cellStyle name="20% - Accent6 3 2 2 2 3 2" xfId="19751"/>
    <cellStyle name="20% - Accent6 3 2 2 2 3 2 2" xfId="35972"/>
    <cellStyle name="20% - Accent6 3 2 2 2 3 3" xfId="29284"/>
    <cellStyle name="20% - Accent6 3 2 2 2 4" xfId="15552"/>
    <cellStyle name="20% - Accent6 3 2 2 2 4 2" xfId="31774"/>
    <cellStyle name="20% - Accent6 3 2 2 2 5" xfId="17994"/>
    <cellStyle name="20% - Accent6 3 2 2 2 5 2" xfId="34215"/>
    <cellStyle name="20% - Accent6 3 2 2 2 6" xfId="27298"/>
    <cellStyle name="20% - Accent6 3 2 2 3" xfId="5991"/>
    <cellStyle name="20% - Accent6 3 2 2 3 2" xfId="10132"/>
    <cellStyle name="20% - Accent6 3 2 2 3 2 2" xfId="19753"/>
    <cellStyle name="20% - Accent6 3 2 2 3 2 2 2" xfId="35974"/>
    <cellStyle name="20% - Accent6 3 2 2 3 2 3" xfId="29286"/>
    <cellStyle name="20% - Accent6 3 2 2 3 3" xfId="16345"/>
    <cellStyle name="20% - Accent6 3 2 2 3 3 2" xfId="32566"/>
    <cellStyle name="20% - Accent6 3 2 2 3 4" xfId="17996"/>
    <cellStyle name="20% - Accent6 3 2 2 3 4 2" xfId="34217"/>
    <cellStyle name="20% - Accent6 3 2 2 3 5" xfId="27296"/>
    <cellStyle name="20% - Accent6 3 2 2 4" xfId="10129"/>
    <cellStyle name="20% - Accent6 3 2 2 4 2" xfId="19750"/>
    <cellStyle name="20% - Accent6 3 2 2 4 2 2" xfId="35971"/>
    <cellStyle name="20% - Accent6 3 2 2 4 3" xfId="29283"/>
    <cellStyle name="20% - Accent6 3 2 2 5" xfId="14760"/>
    <cellStyle name="20% - Accent6 3 2 2 5 2" xfId="30982"/>
    <cellStyle name="20% - Accent6 3 2 2 6" xfId="17993"/>
    <cellStyle name="20% - Accent6 3 2 2 6 2" xfId="34214"/>
    <cellStyle name="20% - Accent6 3 2 2 7" xfId="27299"/>
    <cellStyle name="20% - Accent6 3 2 2 8" xfId="39173"/>
    <cellStyle name="20% - Accent6 3 2 3" xfId="5990"/>
    <cellStyle name="20% - Accent6 3 2 3 2" xfId="5989"/>
    <cellStyle name="20% - Accent6 3 2 3 2 2" xfId="5988"/>
    <cellStyle name="20% - Accent6 3 2 3 2 2 2" xfId="10135"/>
    <cellStyle name="20% - Accent6 3 2 3 2 2 2 2" xfId="19756"/>
    <cellStyle name="20% - Accent6 3 2 3 2 2 2 2 2" xfId="35977"/>
    <cellStyle name="20% - Accent6 3 2 3 2 2 2 3" xfId="29289"/>
    <cellStyle name="20% - Accent6 3 2 3 2 2 3" xfId="17401"/>
    <cellStyle name="20% - Accent6 3 2 3 2 2 3 2" xfId="33622"/>
    <cellStyle name="20% - Accent6 3 2 3 2 2 4" xfId="17999"/>
    <cellStyle name="20% - Accent6 3 2 3 2 2 4 2" xfId="34220"/>
    <cellStyle name="20% - Accent6 3 2 3 2 2 5" xfId="27293"/>
    <cellStyle name="20% - Accent6 3 2 3 2 3" xfId="10134"/>
    <cellStyle name="20% - Accent6 3 2 3 2 3 2" xfId="19755"/>
    <cellStyle name="20% - Accent6 3 2 3 2 3 2 2" xfId="35976"/>
    <cellStyle name="20% - Accent6 3 2 3 2 3 3" xfId="29288"/>
    <cellStyle name="20% - Accent6 3 2 3 2 4" xfId="15816"/>
    <cellStyle name="20% - Accent6 3 2 3 2 4 2" xfId="32038"/>
    <cellStyle name="20% - Accent6 3 2 3 2 5" xfId="17998"/>
    <cellStyle name="20% - Accent6 3 2 3 2 5 2" xfId="34219"/>
    <cellStyle name="20% - Accent6 3 2 3 2 6" xfId="27294"/>
    <cellStyle name="20% - Accent6 3 2 3 3" xfId="5987"/>
    <cellStyle name="20% - Accent6 3 2 3 3 2" xfId="10136"/>
    <cellStyle name="20% - Accent6 3 2 3 3 2 2" xfId="19757"/>
    <cellStyle name="20% - Accent6 3 2 3 3 2 2 2" xfId="35978"/>
    <cellStyle name="20% - Accent6 3 2 3 3 2 3" xfId="29290"/>
    <cellStyle name="20% - Accent6 3 2 3 3 3" xfId="16609"/>
    <cellStyle name="20% - Accent6 3 2 3 3 3 2" xfId="32830"/>
    <cellStyle name="20% - Accent6 3 2 3 3 4" xfId="18000"/>
    <cellStyle name="20% - Accent6 3 2 3 3 4 2" xfId="34221"/>
    <cellStyle name="20% - Accent6 3 2 3 3 5" xfId="27292"/>
    <cellStyle name="20% - Accent6 3 2 3 4" xfId="10133"/>
    <cellStyle name="20% - Accent6 3 2 3 4 2" xfId="19754"/>
    <cellStyle name="20% - Accent6 3 2 3 4 2 2" xfId="35975"/>
    <cellStyle name="20% - Accent6 3 2 3 4 3" xfId="29287"/>
    <cellStyle name="20% - Accent6 3 2 3 5" xfId="15024"/>
    <cellStyle name="20% - Accent6 3 2 3 5 2" xfId="31246"/>
    <cellStyle name="20% - Accent6 3 2 3 6" xfId="17997"/>
    <cellStyle name="20% - Accent6 3 2 3 6 2" xfId="34218"/>
    <cellStyle name="20% - Accent6 3 2 3 7" xfId="27295"/>
    <cellStyle name="20% - Accent6 3 2 3 8" xfId="39321"/>
    <cellStyle name="20% - Accent6 3 2 4" xfId="5986"/>
    <cellStyle name="20% - Accent6 3 2 4 2" xfId="5985"/>
    <cellStyle name="20% - Accent6 3 2 4 2 2" xfId="10138"/>
    <cellStyle name="20% - Accent6 3 2 4 2 2 2" xfId="19759"/>
    <cellStyle name="20% - Accent6 3 2 4 2 2 2 2" xfId="35980"/>
    <cellStyle name="20% - Accent6 3 2 4 2 2 3" xfId="29292"/>
    <cellStyle name="20% - Accent6 3 2 4 2 3" xfId="16873"/>
    <cellStyle name="20% - Accent6 3 2 4 2 3 2" xfId="33094"/>
    <cellStyle name="20% - Accent6 3 2 4 2 4" xfId="18002"/>
    <cellStyle name="20% - Accent6 3 2 4 2 4 2" xfId="34223"/>
    <cellStyle name="20% - Accent6 3 2 4 2 5" xfId="27290"/>
    <cellStyle name="20% - Accent6 3 2 4 3" xfId="10137"/>
    <cellStyle name="20% - Accent6 3 2 4 3 2" xfId="19758"/>
    <cellStyle name="20% - Accent6 3 2 4 3 2 2" xfId="35979"/>
    <cellStyle name="20% - Accent6 3 2 4 3 3" xfId="29291"/>
    <cellStyle name="20% - Accent6 3 2 4 4" xfId="15288"/>
    <cellStyle name="20% - Accent6 3 2 4 4 2" xfId="31510"/>
    <cellStyle name="20% - Accent6 3 2 4 5" xfId="18001"/>
    <cellStyle name="20% - Accent6 3 2 4 5 2" xfId="34222"/>
    <cellStyle name="20% - Accent6 3 2 4 6" xfId="27291"/>
    <cellStyle name="20% - Accent6 3 2 4 7" xfId="39470"/>
    <cellStyle name="20% - Accent6 3 2 5" xfId="5984"/>
    <cellStyle name="20% - Accent6 3 2 5 2" xfId="10139"/>
    <cellStyle name="20% - Accent6 3 2 5 2 2" xfId="19760"/>
    <cellStyle name="20% - Accent6 3 2 5 2 2 2" xfId="35981"/>
    <cellStyle name="20% - Accent6 3 2 5 2 3" xfId="29293"/>
    <cellStyle name="20% - Accent6 3 2 5 3" xfId="16081"/>
    <cellStyle name="20% - Accent6 3 2 5 3 2" xfId="32302"/>
    <cellStyle name="20% - Accent6 3 2 5 4" xfId="18003"/>
    <cellStyle name="20% - Accent6 3 2 5 4 2" xfId="34224"/>
    <cellStyle name="20% - Accent6 3 2 5 5" xfId="27289"/>
    <cellStyle name="20% - Accent6 3 2 6" xfId="10128"/>
    <cellStyle name="20% - Accent6 3 2 6 2" xfId="19749"/>
    <cellStyle name="20% - Accent6 3 2 6 2 2" xfId="35970"/>
    <cellStyle name="20% - Accent6 3 2 6 3" xfId="29282"/>
    <cellStyle name="20% - Accent6 3 2 7" xfId="14496"/>
    <cellStyle name="20% - Accent6 3 2 7 2" xfId="30718"/>
    <cellStyle name="20% - Accent6 3 2 8" xfId="17992"/>
    <cellStyle name="20% - Accent6 3 2 8 2" xfId="34213"/>
    <cellStyle name="20% - Accent6 3 2 9" xfId="27300"/>
    <cellStyle name="20% - Accent6 3 3" xfId="5983"/>
    <cellStyle name="20% - Accent6 3 3 2" xfId="5982"/>
    <cellStyle name="20% - Accent6 3 3 2 2" xfId="5981"/>
    <cellStyle name="20% - Accent6 3 3 2 2 2" xfId="10142"/>
    <cellStyle name="20% - Accent6 3 3 2 2 2 2" xfId="19763"/>
    <cellStyle name="20% - Accent6 3 3 2 2 2 2 2" xfId="35984"/>
    <cellStyle name="20% - Accent6 3 3 2 2 2 3" xfId="29296"/>
    <cellStyle name="20% - Accent6 3 3 2 2 3" xfId="17005"/>
    <cellStyle name="20% - Accent6 3 3 2 2 3 2" xfId="33226"/>
    <cellStyle name="20% - Accent6 3 3 2 2 4" xfId="18006"/>
    <cellStyle name="20% - Accent6 3 3 2 2 4 2" xfId="34227"/>
    <cellStyle name="20% - Accent6 3 3 2 2 5" xfId="27286"/>
    <cellStyle name="20% - Accent6 3 3 2 3" xfId="10141"/>
    <cellStyle name="20% - Accent6 3 3 2 3 2" xfId="19762"/>
    <cellStyle name="20% - Accent6 3 3 2 3 2 2" xfId="35983"/>
    <cellStyle name="20% - Accent6 3 3 2 3 3" xfId="29295"/>
    <cellStyle name="20% - Accent6 3 3 2 4" xfId="15420"/>
    <cellStyle name="20% - Accent6 3 3 2 4 2" xfId="31642"/>
    <cellStyle name="20% - Accent6 3 3 2 5" xfId="18005"/>
    <cellStyle name="20% - Accent6 3 3 2 5 2" xfId="34226"/>
    <cellStyle name="20% - Accent6 3 3 2 6" xfId="27287"/>
    <cellStyle name="20% - Accent6 3 3 3" xfId="5980"/>
    <cellStyle name="20% - Accent6 3 3 3 2" xfId="10143"/>
    <cellStyle name="20% - Accent6 3 3 3 2 2" xfId="19764"/>
    <cellStyle name="20% - Accent6 3 3 3 2 2 2" xfId="35985"/>
    <cellStyle name="20% - Accent6 3 3 3 2 3" xfId="29297"/>
    <cellStyle name="20% - Accent6 3 3 3 3" xfId="16213"/>
    <cellStyle name="20% - Accent6 3 3 3 3 2" xfId="32434"/>
    <cellStyle name="20% - Accent6 3 3 3 4" xfId="18007"/>
    <cellStyle name="20% - Accent6 3 3 3 4 2" xfId="34228"/>
    <cellStyle name="20% - Accent6 3 3 3 5" xfId="27285"/>
    <cellStyle name="20% - Accent6 3 3 4" xfId="10140"/>
    <cellStyle name="20% - Accent6 3 3 4 2" xfId="19761"/>
    <cellStyle name="20% - Accent6 3 3 4 2 2" xfId="35982"/>
    <cellStyle name="20% - Accent6 3 3 4 3" xfId="29294"/>
    <cellStyle name="20% - Accent6 3 3 5" xfId="14628"/>
    <cellStyle name="20% - Accent6 3 3 5 2" xfId="30850"/>
    <cellStyle name="20% - Accent6 3 3 6" xfId="18004"/>
    <cellStyle name="20% - Accent6 3 3 6 2" xfId="34225"/>
    <cellStyle name="20% - Accent6 3 3 7" xfId="27288"/>
    <cellStyle name="20% - Accent6 3 3 8" xfId="39117"/>
    <cellStyle name="20% - Accent6 3 4" xfId="5979"/>
    <cellStyle name="20% - Accent6 3 4 2" xfId="5978"/>
    <cellStyle name="20% - Accent6 3 4 2 2" xfId="5977"/>
    <cellStyle name="20% - Accent6 3 4 2 2 2" xfId="10146"/>
    <cellStyle name="20% - Accent6 3 4 2 2 2 2" xfId="19767"/>
    <cellStyle name="20% - Accent6 3 4 2 2 2 2 2" xfId="35988"/>
    <cellStyle name="20% - Accent6 3 4 2 2 2 3" xfId="29300"/>
    <cellStyle name="20% - Accent6 3 4 2 2 3" xfId="17269"/>
    <cellStyle name="20% - Accent6 3 4 2 2 3 2" xfId="33490"/>
    <cellStyle name="20% - Accent6 3 4 2 2 4" xfId="18010"/>
    <cellStyle name="20% - Accent6 3 4 2 2 4 2" xfId="34231"/>
    <cellStyle name="20% - Accent6 3 4 2 2 5" xfId="27282"/>
    <cellStyle name="20% - Accent6 3 4 2 3" xfId="10145"/>
    <cellStyle name="20% - Accent6 3 4 2 3 2" xfId="19766"/>
    <cellStyle name="20% - Accent6 3 4 2 3 2 2" xfId="35987"/>
    <cellStyle name="20% - Accent6 3 4 2 3 3" xfId="29299"/>
    <cellStyle name="20% - Accent6 3 4 2 4" xfId="15684"/>
    <cellStyle name="20% - Accent6 3 4 2 4 2" xfId="31906"/>
    <cellStyle name="20% - Accent6 3 4 2 5" xfId="18009"/>
    <cellStyle name="20% - Accent6 3 4 2 5 2" xfId="34230"/>
    <cellStyle name="20% - Accent6 3 4 2 6" xfId="27283"/>
    <cellStyle name="20% - Accent6 3 4 3" xfId="5976"/>
    <cellStyle name="20% - Accent6 3 4 3 2" xfId="10147"/>
    <cellStyle name="20% - Accent6 3 4 3 2 2" xfId="19768"/>
    <cellStyle name="20% - Accent6 3 4 3 2 2 2" xfId="35989"/>
    <cellStyle name="20% - Accent6 3 4 3 2 3" xfId="29301"/>
    <cellStyle name="20% - Accent6 3 4 3 3" xfId="16477"/>
    <cellStyle name="20% - Accent6 3 4 3 3 2" xfId="32698"/>
    <cellStyle name="20% - Accent6 3 4 3 4" xfId="18011"/>
    <cellStyle name="20% - Accent6 3 4 3 4 2" xfId="34232"/>
    <cellStyle name="20% - Accent6 3 4 3 5" xfId="27281"/>
    <cellStyle name="20% - Accent6 3 4 4" xfId="10144"/>
    <cellStyle name="20% - Accent6 3 4 4 2" xfId="19765"/>
    <cellStyle name="20% - Accent6 3 4 4 2 2" xfId="35986"/>
    <cellStyle name="20% - Accent6 3 4 4 3" xfId="29298"/>
    <cellStyle name="20% - Accent6 3 4 5" xfId="14892"/>
    <cellStyle name="20% - Accent6 3 4 5 2" xfId="31114"/>
    <cellStyle name="20% - Accent6 3 4 6" xfId="18008"/>
    <cellStyle name="20% - Accent6 3 4 6 2" xfId="34229"/>
    <cellStyle name="20% - Accent6 3 4 7" xfId="27284"/>
    <cellStyle name="20% - Accent6 3 4 8" xfId="39265"/>
    <cellStyle name="20% - Accent6 3 5" xfId="5975"/>
    <cellStyle name="20% - Accent6 3 5 2" xfId="5974"/>
    <cellStyle name="20% - Accent6 3 5 2 2" xfId="10149"/>
    <cellStyle name="20% - Accent6 3 5 2 2 2" xfId="19770"/>
    <cellStyle name="20% - Accent6 3 5 2 2 2 2" xfId="35991"/>
    <cellStyle name="20% - Accent6 3 5 2 2 3" xfId="29303"/>
    <cellStyle name="20% - Accent6 3 5 2 3" xfId="16741"/>
    <cellStyle name="20% - Accent6 3 5 2 3 2" xfId="32962"/>
    <cellStyle name="20% - Accent6 3 5 2 4" xfId="18013"/>
    <cellStyle name="20% - Accent6 3 5 2 4 2" xfId="34234"/>
    <cellStyle name="20% - Accent6 3 5 2 5" xfId="27279"/>
    <cellStyle name="20% - Accent6 3 5 3" xfId="10148"/>
    <cellStyle name="20% - Accent6 3 5 3 2" xfId="19769"/>
    <cellStyle name="20% - Accent6 3 5 3 2 2" xfId="35990"/>
    <cellStyle name="20% - Accent6 3 5 3 3" xfId="29302"/>
    <cellStyle name="20% - Accent6 3 5 4" xfId="15156"/>
    <cellStyle name="20% - Accent6 3 5 4 2" xfId="31378"/>
    <cellStyle name="20% - Accent6 3 5 5" xfId="18012"/>
    <cellStyle name="20% - Accent6 3 5 5 2" xfId="34233"/>
    <cellStyle name="20% - Accent6 3 5 6" xfId="27280"/>
    <cellStyle name="20% - Accent6 3 5 7" xfId="39414"/>
    <cellStyle name="20% - Accent6 3 6" xfId="5973"/>
    <cellStyle name="20% - Accent6 3 6 2" xfId="10150"/>
    <cellStyle name="20% - Accent6 3 6 2 2" xfId="19771"/>
    <cellStyle name="20% - Accent6 3 6 2 2 2" xfId="35992"/>
    <cellStyle name="20% - Accent6 3 6 2 3" xfId="29304"/>
    <cellStyle name="20% - Accent6 3 6 3" xfId="15949"/>
    <cellStyle name="20% - Accent6 3 6 3 2" xfId="32170"/>
    <cellStyle name="20% - Accent6 3 6 4" xfId="18014"/>
    <cellStyle name="20% - Accent6 3 6 4 2" xfId="34235"/>
    <cellStyle name="20% - Accent6 3 6 5" xfId="27278"/>
    <cellStyle name="20% - Accent6 3 7" xfId="10127"/>
    <cellStyle name="20% - Accent6 3 7 2" xfId="19748"/>
    <cellStyle name="20% - Accent6 3 7 2 2" xfId="35969"/>
    <cellStyle name="20% - Accent6 3 7 3" xfId="29281"/>
    <cellStyle name="20% - Accent6 3 8" xfId="14364"/>
    <cellStyle name="20% - Accent6 3 8 2" xfId="30586"/>
    <cellStyle name="20% - Accent6 3 9" xfId="17991"/>
    <cellStyle name="20% - Accent6 3 9 2" xfId="34212"/>
    <cellStyle name="20% - Accent6 4" xfId="5972"/>
    <cellStyle name="20% - Accent6 4 10" xfId="38996"/>
    <cellStyle name="20% - Accent6 4 2" xfId="5971"/>
    <cellStyle name="20% - Accent6 4 2 2" xfId="5970"/>
    <cellStyle name="20% - Accent6 4 2 2 2" xfId="5969"/>
    <cellStyle name="20% - Accent6 4 2 2 2 2" xfId="10154"/>
    <cellStyle name="20% - Accent6 4 2 2 2 2 2" xfId="19775"/>
    <cellStyle name="20% - Accent6 4 2 2 2 2 2 2" xfId="35996"/>
    <cellStyle name="20% - Accent6 4 2 2 2 2 3" xfId="29308"/>
    <cellStyle name="20% - Accent6 4 2 2 2 3" xfId="17071"/>
    <cellStyle name="20% - Accent6 4 2 2 2 3 2" xfId="33292"/>
    <cellStyle name="20% - Accent6 4 2 2 2 4" xfId="18018"/>
    <cellStyle name="20% - Accent6 4 2 2 2 4 2" xfId="34239"/>
    <cellStyle name="20% - Accent6 4 2 2 2 5" xfId="27274"/>
    <cellStyle name="20% - Accent6 4 2 2 3" xfId="10153"/>
    <cellStyle name="20% - Accent6 4 2 2 3 2" xfId="19774"/>
    <cellStyle name="20% - Accent6 4 2 2 3 2 2" xfId="35995"/>
    <cellStyle name="20% - Accent6 4 2 2 3 3" xfId="29307"/>
    <cellStyle name="20% - Accent6 4 2 2 4" xfId="15486"/>
    <cellStyle name="20% - Accent6 4 2 2 4 2" xfId="31708"/>
    <cellStyle name="20% - Accent6 4 2 2 5" xfId="18017"/>
    <cellStyle name="20% - Accent6 4 2 2 5 2" xfId="34238"/>
    <cellStyle name="20% - Accent6 4 2 2 6" xfId="27275"/>
    <cellStyle name="20% - Accent6 4 2 2 7" xfId="39186"/>
    <cellStyle name="20% - Accent6 4 2 3" xfId="5968"/>
    <cellStyle name="20% - Accent6 4 2 3 2" xfId="10155"/>
    <cellStyle name="20% - Accent6 4 2 3 2 2" xfId="19776"/>
    <cellStyle name="20% - Accent6 4 2 3 2 2 2" xfId="35997"/>
    <cellStyle name="20% - Accent6 4 2 3 2 3" xfId="29309"/>
    <cellStyle name="20% - Accent6 4 2 3 3" xfId="16279"/>
    <cellStyle name="20% - Accent6 4 2 3 3 2" xfId="32500"/>
    <cellStyle name="20% - Accent6 4 2 3 4" xfId="18019"/>
    <cellStyle name="20% - Accent6 4 2 3 4 2" xfId="34240"/>
    <cellStyle name="20% - Accent6 4 2 3 5" xfId="27273"/>
    <cellStyle name="20% - Accent6 4 2 3 6" xfId="39334"/>
    <cellStyle name="20% - Accent6 4 2 4" xfId="10152"/>
    <cellStyle name="20% - Accent6 4 2 4 2" xfId="19773"/>
    <cellStyle name="20% - Accent6 4 2 4 2 2" xfId="35994"/>
    <cellStyle name="20% - Accent6 4 2 4 3" xfId="29306"/>
    <cellStyle name="20% - Accent6 4 2 4 4" xfId="39483"/>
    <cellStyle name="20% - Accent6 4 2 5" xfId="14694"/>
    <cellStyle name="20% - Accent6 4 2 5 2" xfId="30916"/>
    <cellStyle name="20% - Accent6 4 2 6" xfId="18016"/>
    <cellStyle name="20% - Accent6 4 2 6 2" xfId="34237"/>
    <cellStyle name="20% - Accent6 4 2 7" xfId="27276"/>
    <cellStyle name="20% - Accent6 4 2 8" xfId="39038"/>
    <cellStyle name="20% - Accent6 4 3" xfId="5967"/>
    <cellStyle name="20% - Accent6 4 3 2" xfId="5966"/>
    <cellStyle name="20% - Accent6 4 3 2 2" xfId="5965"/>
    <cellStyle name="20% - Accent6 4 3 2 2 2" xfId="10158"/>
    <cellStyle name="20% - Accent6 4 3 2 2 2 2" xfId="19779"/>
    <cellStyle name="20% - Accent6 4 3 2 2 2 2 2" xfId="36000"/>
    <cellStyle name="20% - Accent6 4 3 2 2 2 3" xfId="29312"/>
    <cellStyle name="20% - Accent6 4 3 2 2 3" xfId="17335"/>
    <cellStyle name="20% - Accent6 4 3 2 2 3 2" xfId="33556"/>
    <cellStyle name="20% - Accent6 4 3 2 2 4" xfId="18022"/>
    <cellStyle name="20% - Accent6 4 3 2 2 4 2" xfId="34243"/>
    <cellStyle name="20% - Accent6 4 3 2 2 5" xfId="27270"/>
    <cellStyle name="20% - Accent6 4 3 2 3" xfId="10157"/>
    <cellStyle name="20% - Accent6 4 3 2 3 2" xfId="19778"/>
    <cellStyle name="20% - Accent6 4 3 2 3 2 2" xfId="35999"/>
    <cellStyle name="20% - Accent6 4 3 2 3 3" xfId="29311"/>
    <cellStyle name="20% - Accent6 4 3 2 4" xfId="15750"/>
    <cellStyle name="20% - Accent6 4 3 2 4 2" xfId="31972"/>
    <cellStyle name="20% - Accent6 4 3 2 5" xfId="18021"/>
    <cellStyle name="20% - Accent6 4 3 2 5 2" xfId="34242"/>
    <cellStyle name="20% - Accent6 4 3 2 6" xfId="27271"/>
    <cellStyle name="20% - Accent6 4 3 3" xfId="5964"/>
    <cellStyle name="20% - Accent6 4 3 3 2" xfId="10159"/>
    <cellStyle name="20% - Accent6 4 3 3 2 2" xfId="19780"/>
    <cellStyle name="20% - Accent6 4 3 3 2 2 2" xfId="36001"/>
    <cellStyle name="20% - Accent6 4 3 3 2 3" xfId="29313"/>
    <cellStyle name="20% - Accent6 4 3 3 3" xfId="16543"/>
    <cellStyle name="20% - Accent6 4 3 3 3 2" xfId="32764"/>
    <cellStyle name="20% - Accent6 4 3 3 4" xfId="18023"/>
    <cellStyle name="20% - Accent6 4 3 3 4 2" xfId="34244"/>
    <cellStyle name="20% - Accent6 4 3 3 5" xfId="27269"/>
    <cellStyle name="20% - Accent6 4 3 4" xfId="10156"/>
    <cellStyle name="20% - Accent6 4 3 4 2" xfId="19777"/>
    <cellStyle name="20% - Accent6 4 3 4 2 2" xfId="35998"/>
    <cellStyle name="20% - Accent6 4 3 4 3" xfId="29310"/>
    <cellStyle name="20% - Accent6 4 3 5" xfId="14958"/>
    <cellStyle name="20% - Accent6 4 3 5 2" xfId="31180"/>
    <cellStyle name="20% - Accent6 4 3 6" xfId="18020"/>
    <cellStyle name="20% - Accent6 4 3 6 2" xfId="34241"/>
    <cellStyle name="20% - Accent6 4 3 7" xfId="27272"/>
    <cellStyle name="20% - Accent6 4 3 8" xfId="39130"/>
    <cellStyle name="20% - Accent6 4 4" xfId="5963"/>
    <cellStyle name="20% - Accent6 4 4 2" xfId="5962"/>
    <cellStyle name="20% - Accent6 4 4 2 2" xfId="10161"/>
    <cellStyle name="20% - Accent6 4 4 2 2 2" xfId="19782"/>
    <cellStyle name="20% - Accent6 4 4 2 2 2 2" xfId="36003"/>
    <cellStyle name="20% - Accent6 4 4 2 2 3" xfId="29315"/>
    <cellStyle name="20% - Accent6 4 4 2 3" xfId="16807"/>
    <cellStyle name="20% - Accent6 4 4 2 3 2" xfId="33028"/>
    <cellStyle name="20% - Accent6 4 4 2 4" xfId="18025"/>
    <cellStyle name="20% - Accent6 4 4 2 4 2" xfId="34246"/>
    <cellStyle name="20% - Accent6 4 4 2 5" xfId="27267"/>
    <cellStyle name="20% - Accent6 4 4 3" xfId="10160"/>
    <cellStyle name="20% - Accent6 4 4 3 2" xfId="19781"/>
    <cellStyle name="20% - Accent6 4 4 3 2 2" xfId="36002"/>
    <cellStyle name="20% - Accent6 4 4 3 3" xfId="29314"/>
    <cellStyle name="20% - Accent6 4 4 4" xfId="15222"/>
    <cellStyle name="20% - Accent6 4 4 4 2" xfId="31444"/>
    <cellStyle name="20% - Accent6 4 4 5" xfId="18024"/>
    <cellStyle name="20% - Accent6 4 4 5 2" xfId="34245"/>
    <cellStyle name="20% - Accent6 4 4 6" xfId="27268"/>
    <cellStyle name="20% - Accent6 4 4 7" xfId="39278"/>
    <cellStyle name="20% - Accent6 4 5" xfId="5961"/>
    <cellStyle name="20% - Accent6 4 5 2" xfId="10162"/>
    <cellStyle name="20% - Accent6 4 5 2 2" xfId="19783"/>
    <cellStyle name="20% - Accent6 4 5 2 2 2" xfId="36004"/>
    <cellStyle name="20% - Accent6 4 5 2 3" xfId="29316"/>
    <cellStyle name="20% - Accent6 4 5 3" xfId="16015"/>
    <cellStyle name="20% - Accent6 4 5 3 2" xfId="32236"/>
    <cellStyle name="20% - Accent6 4 5 4" xfId="18026"/>
    <cellStyle name="20% - Accent6 4 5 4 2" xfId="34247"/>
    <cellStyle name="20% - Accent6 4 5 5" xfId="27266"/>
    <cellStyle name="20% - Accent6 4 5 6" xfId="39427"/>
    <cellStyle name="20% - Accent6 4 6" xfId="10151"/>
    <cellStyle name="20% - Accent6 4 6 2" xfId="19772"/>
    <cellStyle name="20% - Accent6 4 6 2 2" xfId="35993"/>
    <cellStyle name="20% - Accent6 4 6 3" xfId="29305"/>
    <cellStyle name="20% - Accent6 4 7" xfId="14430"/>
    <cellStyle name="20% - Accent6 4 7 2" xfId="30652"/>
    <cellStyle name="20% - Accent6 4 8" xfId="18015"/>
    <cellStyle name="20% - Accent6 4 8 2" xfId="34236"/>
    <cellStyle name="20% - Accent6 4 9" xfId="27277"/>
    <cellStyle name="20% - Accent6 5" xfId="5960"/>
    <cellStyle name="20% - Accent6 5 2" xfId="5959"/>
    <cellStyle name="20% - Accent6 5 2 2" xfId="5958"/>
    <cellStyle name="20% - Accent6 5 2 2 2" xfId="10165"/>
    <cellStyle name="20% - Accent6 5 2 2 2 2" xfId="19786"/>
    <cellStyle name="20% - Accent6 5 2 2 2 2 2" xfId="36007"/>
    <cellStyle name="20% - Accent6 5 2 2 2 3" xfId="29319"/>
    <cellStyle name="20% - Accent6 5 2 2 3" xfId="16939"/>
    <cellStyle name="20% - Accent6 5 2 2 3 2" xfId="33160"/>
    <cellStyle name="20% - Accent6 5 2 2 4" xfId="18029"/>
    <cellStyle name="20% - Accent6 5 2 2 4 2" xfId="34250"/>
    <cellStyle name="20% - Accent6 5 2 2 5" xfId="27263"/>
    <cellStyle name="20% - Accent6 5 2 3" xfId="10164"/>
    <cellStyle name="20% - Accent6 5 2 3 2" xfId="19785"/>
    <cellStyle name="20% - Accent6 5 2 3 2 2" xfId="36006"/>
    <cellStyle name="20% - Accent6 5 2 3 3" xfId="29318"/>
    <cellStyle name="20% - Accent6 5 2 4" xfId="15354"/>
    <cellStyle name="20% - Accent6 5 2 4 2" xfId="31576"/>
    <cellStyle name="20% - Accent6 5 2 5" xfId="18028"/>
    <cellStyle name="20% - Accent6 5 2 5 2" xfId="34249"/>
    <cellStyle name="20% - Accent6 5 2 6" xfId="27264"/>
    <cellStyle name="20% - Accent6 5 2 7" xfId="39137"/>
    <cellStyle name="20% - Accent6 5 3" xfId="5957"/>
    <cellStyle name="20% - Accent6 5 3 2" xfId="10166"/>
    <cellStyle name="20% - Accent6 5 3 2 2" xfId="19787"/>
    <cellStyle name="20% - Accent6 5 3 2 2 2" xfId="36008"/>
    <cellStyle name="20% - Accent6 5 3 2 3" xfId="29320"/>
    <cellStyle name="20% - Accent6 5 3 3" xfId="16147"/>
    <cellStyle name="20% - Accent6 5 3 3 2" xfId="32368"/>
    <cellStyle name="20% - Accent6 5 3 4" xfId="18030"/>
    <cellStyle name="20% - Accent6 5 3 4 2" xfId="34251"/>
    <cellStyle name="20% - Accent6 5 3 5" xfId="27262"/>
    <cellStyle name="20% - Accent6 5 3 6" xfId="39285"/>
    <cellStyle name="20% - Accent6 5 4" xfId="10163"/>
    <cellStyle name="20% - Accent6 5 4 2" xfId="19784"/>
    <cellStyle name="20% - Accent6 5 4 2 2" xfId="36005"/>
    <cellStyle name="20% - Accent6 5 4 3" xfId="29317"/>
    <cellStyle name="20% - Accent6 5 4 4" xfId="39434"/>
    <cellStyle name="20% - Accent6 5 5" xfId="14562"/>
    <cellStyle name="20% - Accent6 5 5 2" xfId="30784"/>
    <cellStyle name="20% - Accent6 5 6" xfId="18027"/>
    <cellStyle name="20% - Accent6 5 6 2" xfId="34248"/>
    <cellStyle name="20% - Accent6 5 7" xfId="27265"/>
    <cellStyle name="20% - Accent6 5 8" xfId="39003"/>
    <cellStyle name="20% - Accent6 6" xfId="5956"/>
    <cellStyle name="20% - Accent6 6 2" xfId="5955"/>
    <cellStyle name="20% - Accent6 6 2 2" xfId="5954"/>
    <cellStyle name="20% - Accent6 6 2 2 2" xfId="10169"/>
    <cellStyle name="20% - Accent6 6 2 2 2 2" xfId="19790"/>
    <cellStyle name="20% - Accent6 6 2 2 2 2 2" xfId="36011"/>
    <cellStyle name="20% - Accent6 6 2 2 2 3" xfId="29323"/>
    <cellStyle name="20% - Accent6 6 2 2 3" xfId="17203"/>
    <cellStyle name="20% - Accent6 6 2 2 3 2" xfId="33424"/>
    <cellStyle name="20% - Accent6 6 2 2 4" xfId="18033"/>
    <cellStyle name="20% - Accent6 6 2 2 4 2" xfId="34254"/>
    <cellStyle name="20% - Accent6 6 2 2 5" xfId="27259"/>
    <cellStyle name="20% - Accent6 6 2 3" xfId="10168"/>
    <cellStyle name="20% - Accent6 6 2 3 2" xfId="19789"/>
    <cellStyle name="20% - Accent6 6 2 3 2 2" xfId="36010"/>
    <cellStyle name="20% - Accent6 6 2 3 3" xfId="29322"/>
    <cellStyle name="20% - Accent6 6 2 4" xfId="15618"/>
    <cellStyle name="20% - Accent6 6 2 4 2" xfId="31840"/>
    <cellStyle name="20% - Accent6 6 2 5" xfId="18032"/>
    <cellStyle name="20% - Accent6 6 2 5 2" xfId="34253"/>
    <cellStyle name="20% - Accent6 6 2 6" xfId="27260"/>
    <cellStyle name="20% - Accent6 6 3" xfId="5953"/>
    <cellStyle name="20% - Accent6 6 3 2" xfId="10170"/>
    <cellStyle name="20% - Accent6 6 3 2 2" xfId="19791"/>
    <cellStyle name="20% - Accent6 6 3 2 2 2" xfId="36012"/>
    <cellStyle name="20% - Accent6 6 3 2 3" xfId="29324"/>
    <cellStyle name="20% - Accent6 6 3 3" xfId="16411"/>
    <cellStyle name="20% - Accent6 6 3 3 2" xfId="32632"/>
    <cellStyle name="20% - Accent6 6 3 4" xfId="18034"/>
    <cellStyle name="20% - Accent6 6 3 4 2" xfId="34255"/>
    <cellStyle name="20% - Accent6 6 3 5" xfId="27258"/>
    <cellStyle name="20% - Accent6 6 4" xfId="10167"/>
    <cellStyle name="20% - Accent6 6 4 2" xfId="19788"/>
    <cellStyle name="20% - Accent6 6 4 2 2" xfId="36009"/>
    <cellStyle name="20% - Accent6 6 4 3" xfId="29321"/>
    <cellStyle name="20% - Accent6 6 5" xfId="14826"/>
    <cellStyle name="20% - Accent6 6 5 2" xfId="31048"/>
    <cellStyle name="20% - Accent6 6 6" xfId="18031"/>
    <cellStyle name="20% - Accent6 6 6 2" xfId="34252"/>
    <cellStyle name="20% - Accent6 6 7" xfId="27261"/>
    <cellStyle name="20% - Accent6 6 8" xfId="39086"/>
    <cellStyle name="20% - Accent6 7" xfId="5952"/>
    <cellStyle name="20% - Accent6 7 2" xfId="5951"/>
    <cellStyle name="20% - Accent6 7 2 2" xfId="10172"/>
    <cellStyle name="20% - Accent6 7 2 2 2" xfId="19793"/>
    <cellStyle name="20% - Accent6 7 2 2 2 2" xfId="36014"/>
    <cellStyle name="20% - Accent6 7 2 2 3" xfId="29326"/>
    <cellStyle name="20% - Accent6 7 2 3" xfId="16675"/>
    <cellStyle name="20% - Accent6 7 2 3 2" xfId="32896"/>
    <cellStyle name="20% - Accent6 7 2 4" xfId="18036"/>
    <cellStyle name="20% - Accent6 7 2 4 2" xfId="34257"/>
    <cellStyle name="20% - Accent6 7 2 5" xfId="27256"/>
    <cellStyle name="20% - Accent6 7 3" xfId="10171"/>
    <cellStyle name="20% - Accent6 7 3 2" xfId="19792"/>
    <cellStyle name="20% - Accent6 7 3 2 2" xfId="36013"/>
    <cellStyle name="20% - Accent6 7 3 3" xfId="29325"/>
    <cellStyle name="20% - Accent6 7 4" xfId="15090"/>
    <cellStyle name="20% - Accent6 7 4 2" xfId="31312"/>
    <cellStyle name="20% - Accent6 7 5" xfId="18035"/>
    <cellStyle name="20% - Accent6 7 5 2" xfId="34256"/>
    <cellStyle name="20% - Accent6 7 6" xfId="27257"/>
    <cellStyle name="20% - Accent6 7 7" xfId="39234"/>
    <cellStyle name="20% - Accent6 8" xfId="5950"/>
    <cellStyle name="20% - Accent6 8 2" xfId="10173"/>
    <cellStyle name="20% - Accent6 8 2 2" xfId="19794"/>
    <cellStyle name="20% - Accent6 8 2 2 2" xfId="36015"/>
    <cellStyle name="20% - Accent6 8 2 3" xfId="29327"/>
    <cellStyle name="20% - Accent6 8 3" xfId="15883"/>
    <cellStyle name="20% - Accent6 8 3 2" xfId="32104"/>
    <cellStyle name="20% - Accent6 8 4" xfId="18037"/>
    <cellStyle name="20% - Accent6 8 4 2" xfId="34258"/>
    <cellStyle name="20% - Accent6 8 5" xfId="27255"/>
    <cellStyle name="20% - Accent6 8 6" xfId="39383"/>
    <cellStyle name="20% - Accent6 9" xfId="10078"/>
    <cellStyle name="20% - Accent6 9 2" xfId="19699"/>
    <cellStyle name="20% - Accent6 9 2 2" xfId="35920"/>
    <cellStyle name="20% - Accent6 9 3" xfId="29232"/>
    <cellStyle name="3. DATA Date Short" xfId="39616"/>
    <cellStyle name="40% - Accent1" xfId="42" builtinId="31" customBuiltin="1"/>
    <cellStyle name="40% - Accent1 10" xfId="14230"/>
    <cellStyle name="40% - Accent1 10 2" xfId="30517"/>
    <cellStyle name="40% - Accent1 11" xfId="18038"/>
    <cellStyle name="40% - Accent1 11 2" xfId="34259"/>
    <cellStyle name="40% - Accent1 12" xfId="26984"/>
    <cellStyle name="40% - Accent1 13" xfId="38903"/>
    <cellStyle name="40% - Accent1 14" xfId="4831"/>
    <cellStyle name="40% - Accent1 2" xfId="396"/>
    <cellStyle name="40% - Accent1 2 10" xfId="753"/>
    <cellStyle name="40% - Accent1 2 10 2" xfId="2252"/>
    <cellStyle name="40% - Accent1 2 10 2 2" xfId="24420"/>
    <cellStyle name="40% - Accent1 2 10 3" xfId="3751"/>
    <cellStyle name="40% - Accent1 2 10 3 2" xfId="25918"/>
    <cellStyle name="40% - Accent1 2 10 4" xfId="18039"/>
    <cellStyle name="40% - Accent1 2 10 4 2" xfId="34260"/>
    <cellStyle name="40% - Accent1 2 10 5" xfId="21424"/>
    <cellStyle name="40% - Accent1 2 10 5 2" xfId="37636"/>
    <cellStyle name="40% - Accent1 2 10 6" xfId="22922"/>
    <cellStyle name="40% - Accent1 2 11" xfId="1104"/>
    <cellStyle name="40% - Accent1 2 11 2" xfId="2603"/>
    <cellStyle name="40% - Accent1 2 11 2 2" xfId="24771"/>
    <cellStyle name="40% - Accent1 2 11 3" xfId="4102"/>
    <cellStyle name="40% - Accent1 2 11 3 2" xfId="26269"/>
    <cellStyle name="40% - Accent1 2 11 4" xfId="21775"/>
    <cellStyle name="40% - Accent1 2 11 4 2" xfId="37987"/>
    <cellStyle name="40% - Accent1 2 11 5" xfId="23273"/>
    <cellStyle name="40% - Accent1 2 12" xfId="1455"/>
    <cellStyle name="40% - Accent1 2 12 2" xfId="2954"/>
    <cellStyle name="40% - Accent1 2 12 2 2" xfId="25122"/>
    <cellStyle name="40% - Accent1 2 12 3" xfId="4453"/>
    <cellStyle name="40% - Accent1 2 12 3 2" xfId="26620"/>
    <cellStyle name="40% - Accent1 2 12 4" xfId="22126"/>
    <cellStyle name="40% - Accent1 2 12 4 2" xfId="38338"/>
    <cellStyle name="40% - Accent1 2 12 5" xfId="23624"/>
    <cellStyle name="40% - Accent1 2 13" xfId="1901"/>
    <cellStyle name="40% - Accent1 2 13 2" xfId="24069"/>
    <cellStyle name="40% - Accent1 2 14" xfId="3400"/>
    <cellStyle name="40% - Accent1 2 14 2" xfId="25567"/>
    <cellStyle name="40% - Accent1 2 15" xfId="4872"/>
    <cellStyle name="40% - Accent1 2 15 2" xfId="27008"/>
    <cellStyle name="40% - Accent1 2 16" xfId="21073"/>
    <cellStyle name="40% - Accent1 2 16 2" xfId="37285"/>
    <cellStyle name="40% - Accent1 2 17" xfId="22571"/>
    <cellStyle name="40% - Accent1 2 18" xfId="38774"/>
    <cellStyle name="40% - Accent1 2 2" xfId="402"/>
    <cellStyle name="40% - Accent1 2 2 10" xfId="5949"/>
    <cellStyle name="40% - Accent1 2 2 10 2" xfId="27254"/>
    <cellStyle name="40% - Accent1 2 2 11" xfId="21075"/>
    <cellStyle name="40% - Accent1 2 2 11 2" xfId="37287"/>
    <cellStyle name="40% - Accent1 2 2 12" xfId="22573"/>
    <cellStyle name="40% - Accent1 2 2 13" xfId="38961"/>
    <cellStyle name="40% - Accent1 2 2 2" xfId="454"/>
    <cellStyle name="40% - Accent1 2 2 2 10" xfId="21127"/>
    <cellStyle name="40% - Accent1 2 2 2 10 2" xfId="37339"/>
    <cellStyle name="40% - Accent1 2 2 2 11" xfId="22625"/>
    <cellStyle name="40% - Accent1 2 2 2 12" xfId="39151"/>
    <cellStyle name="40% - Accent1 2 2 2 2" xfId="572"/>
    <cellStyle name="40% - Accent1 2 2 2 2 2" xfId="924"/>
    <cellStyle name="40% - Accent1 2 2 2 2 2 2" xfId="2423"/>
    <cellStyle name="40% - Accent1 2 2 2 2 2 2 2" xfId="10180"/>
    <cellStyle name="40% - Accent1 2 2 2 2 2 2 2 2" xfId="19801"/>
    <cellStyle name="40% - Accent1 2 2 2 2 2 2 2 2 2" xfId="36022"/>
    <cellStyle name="40% - Accent1 2 2 2 2 2 2 2 3" xfId="29334"/>
    <cellStyle name="40% - Accent1 2 2 2 2 2 2 3" xfId="17171"/>
    <cellStyle name="40% - Accent1 2 2 2 2 2 2 3 2" xfId="33392"/>
    <cellStyle name="40% - Accent1 2 2 2 2 2 2 4" xfId="18044"/>
    <cellStyle name="40% - Accent1 2 2 2 2 2 2 4 2" xfId="34265"/>
    <cellStyle name="40% - Accent1 2 2 2 2 2 2 5" xfId="5945"/>
    <cellStyle name="40% - Accent1 2 2 2 2 2 2 5 2" xfId="27250"/>
    <cellStyle name="40% - Accent1 2 2 2 2 2 2 6" xfId="24591"/>
    <cellStyle name="40% - Accent1 2 2 2 2 2 3" xfId="3922"/>
    <cellStyle name="40% - Accent1 2 2 2 2 2 3 2" xfId="19800"/>
    <cellStyle name="40% - Accent1 2 2 2 2 2 3 2 2" xfId="36021"/>
    <cellStyle name="40% - Accent1 2 2 2 2 2 3 3" xfId="10179"/>
    <cellStyle name="40% - Accent1 2 2 2 2 2 3 3 2" xfId="29333"/>
    <cellStyle name="40% - Accent1 2 2 2 2 2 3 4" xfId="26089"/>
    <cellStyle name="40% - Accent1 2 2 2 2 2 4" xfId="15586"/>
    <cellStyle name="40% - Accent1 2 2 2 2 2 4 2" xfId="31808"/>
    <cellStyle name="40% - Accent1 2 2 2 2 2 5" xfId="18043"/>
    <cellStyle name="40% - Accent1 2 2 2 2 2 5 2" xfId="34264"/>
    <cellStyle name="40% - Accent1 2 2 2 2 2 6" xfId="5946"/>
    <cellStyle name="40% - Accent1 2 2 2 2 2 6 2" xfId="27251"/>
    <cellStyle name="40% - Accent1 2 2 2 2 2 7" xfId="21595"/>
    <cellStyle name="40% - Accent1 2 2 2 2 2 7 2" xfId="37807"/>
    <cellStyle name="40% - Accent1 2 2 2 2 2 8" xfId="23093"/>
    <cellStyle name="40% - Accent1 2 2 2 2 3" xfId="1275"/>
    <cellStyle name="40% - Accent1 2 2 2 2 3 2" xfId="2774"/>
    <cellStyle name="40% - Accent1 2 2 2 2 3 2 2" xfId="19802"/>
    <cellStyle name="40% - Accent1 2 2 2 2 3 2 2 2" xfId="36023"/>
    <cellStyle name="40% - Accent1 2 2 2 2 3 2 3" xfId="10181"/>
    <cellStyle name="40% - Accent1 2 2 2 2 3 2 3 2" xfId="29335"/>
    <cellStyle name="40% - Accent1 2 2 2 2 3 2 4" xfId="24942"/>
    <cellStyle name="40% - Accent1 2 2 2 2 3 3" xfId="4273"/>
    <cellStyle name="40% - Accent1 2 2 2 2 3 3 2" xfId="16379"/>
    <cellStyle name="40% - Accent1 2 2 2 2 3 3 2 2" xfId="32600"/>
    <cellStyle name="40% - Accent1 2 2 2 2 3 3 3" xfId="26440"/>
    <cellStyle name="40% - Accent1 2 2 2 2 3 4" xfId="18045"/>
    <cellStyle name="40% - Accent1 2 2 2 2 3 4 2" xfId="34266"/>
    <cellStyle name="40% - Accent1 2 2 2 2 3 5" xfId="5944"/>
    <cellStyle name="40% - Accent1 2 2 2 2 3 5 2" xfId="27249"/>
    <cellStyle name="40% - Accent1 2 2 2 2 3 6" xfId="21946"/>
    <cellStyle name="40% - Accent1 2 2 2 2 3 6 2" xfId="38158"/>
    <cellStyle name="40% - Accent1 2 2 2 2 3 7" xfId="23444"/>
    <cellStyle name="40% - Accent1 2 2 2 2 4" xfId="1626"/>
    <cellStyle name="40% - Accent1 2 2 2 2 4 2" xfId="3125"/>
    <cellStyle name="40% - Accent1 2 2 2 2 4 2 2" xfId="19799"/>
    <cellStyle name="40% - Accent1 2 2 2 2 4 2 2 2" xfId="36020"/>
    <cellStyle name="40% - Accent1 2 2 2 2 4 2 3" xfId="25293"/>
    <cellStyle name="40% - Accent1 2 2 2 2 4 3" xfId="4624"/>
    <cellStyle name="40% - Accent1 2 2 2 2 4 3 2" xfId="26791"/>
    <cellStyle name="40% - Accent1 2 2 2 2 4 4" xfId="10178"/>
    <cellStyle name="40% - Accent1 2 2 2 2 4 4 2" xfId="29332"/>
    <cellStyle name="40% - Accent1 2 2 2 2 4 5" xfId="22297"/>
    <cellStyle name="40% - Accent1 2 2 2 2 4 5 2" xfId="38509"/>
    <cellStyle name="40% - Accent1 2 2 2 2 4 6" xfId="23795"/>
    <cellStyle name="40% - Accent1 2 2 2 2 5" xfId="2072"/>
    <cellStyle name="40% - Accent1 2 2 2 2 5 2" xfId="14794"/>
    <cellStyle name="40% - Accent1 2 2 2 2 5 2 2" xfId="31016"/>
    <cellStyle name="40% - Accent1 2 2 2 2 5 3" xfId="24240"/>
    <cellStyle name="40% - Accent1 2 2 2 2 6" xfId="3571"/>
    <cellStyle name="40% - Accent1 2 2 2 2 6 2" xfId="18042"/>
    <cellStyle name="40% - Accent1 2 2 2 2 6 2 2" xfId="34263"/>
    <cellStyle name="40% - Accent1 2 2 2 2 6 3" xfId="25738"/>
    <cellStyle name="40% - Accent1 2 2 2 2 7" xfId="5947"/>
    <cellStyle name="40% - Accent1 2 2 2 2 7 2" xfId="27252"/>
    <cellStyle name="40% - Accent1 2 2 2 2 8" xfId="21244"/>
    <cellStyle name="40% - Accent1 2 2 2 2 8 2" xfId="37456"/>
    <cellStyle name="40% - Accent1 2 2 2 2 9" xfId="22742"/>
    <cellStyle name="40% - Accent1 2 2 2 3" xfId="690"/>
    <cellStyle name="40% - Accent1 2 2 2 3 2" xfId="1041"/>
    <cellStyle name="40% - Accent1 2 2 2 3 2 2" xfId="2540"/>
    <cellStyle name="40% - Accent1 2 2 2 3 2 2 2" xfId="10184"/>
    <cellStyle name="40% - Accent1 2 2 2 3 2 2 2 2" xfId="19805"/>
    <cellStyle name="40% - Accent1 2 2 2 3 2 2 2 2 2" xfId="36026"/>
    <cellStyle name="40% - Accent1 2 2 2 3 2 2 2 3" xfId="29338"/>
    <cellStyle name="40% - Accent1 2 2 2 3 2 2 3" xfId="17435"/>
    <cellStyle name="40% - Accent1 2 2 2 3 2 2 3 2" xfId="33656"/>
    <cellStyle name="40% - Accent1 2 2 2 3 2 2 4" xfId="18048"/>
    <cellStyle name="40% - Accent1 2 2 2 3 2 2 4 2" xfId="34269"/>
    <cellStyle name="40% - Accent1 2 2 2 3 2 2 5" xfId="5941"/>
    <cellStyle name="40% - Accent1 2 2 2 3 2 2 5 2" xfId="27246"/>
    <cellStyle name="40% - Accent1 2 2 2 3 2 2 6" xfId="24708"/>
    <cellStyle name="40% - Accent1 2 2 2 3 2 3" xfId="4039"/>
    <cellStyle name="40% - Accent1 2 2 2 3 2 3 2" xfId="19804"/>
    <cellStyle name="40% - Accent1 2 2 2 3 2 3 2 2" xfId="36025"/>
    <cellStyle name="40% - Accent1 2 2 2 3 2 3 3" xfId="10183"/>
    <cellStyle name="40% - Accent1 2 2 2 3 2 3 3 2" xfId="29337"/>
    <cellStyle name="40% - Accent1 2 2 2 3 2 3 4" xfId="26206"/>
    <cellStyle name="40% - Accent1 2 2 2 3 2 4" xfId="15850"/>
    <cellStyle name="40% - Accent1 2 2 2 3 2 4 2" xfId="32072"/>
    <cellStyle name="40% - Accent1 2 2 2 3 2 5" xfId="18047"/>
    <cellStyle name="40% - Accent1 2 2 2 3 2 5 2" xfId="34268"/>
    <cellStyle name="40% - Accent1 2 2 2 3 2 6" xfId="5942"/>
    <cellStyle name="40% - Accent1 2 2 2 3 2 6 2" xfId="27247"/>
    <cellStyle name="40% - Accent1 2 2 2 3 2 7" xfId="21712"/>
    <cellStyle name="40% - Accent1 2 2 2 3 2 7 2" xfId="37924"/>
    <cellStyle name="40% - Accent1 2 2 2 3 2 8" xfId="23210"/>
    <cellStyle name="40% - Accent1 2 2 2 3 3" xfId="1392"/>
    <cellStyle name="40% - Accent1 2 2 2 3 3 2" xfId="2891"/>
    <cellStyle name="40% - Accent1 2 2 2 3 3 2 2" xfId="19806"/>
    <cellStyle name="40% - Accent1 2 2 2 3 3 2 2 2" xfId="36027"/>
    <cellStyle name="40% - Accent1 2 2 2 3 3 2 3" xfId="10185"/>
    <cellStyle name="40% - Accent1 2 2 2 3 3 2 3 2" xfId="29339"/>
    <cellStyle name="40% - Accent1 2 2 2 3 3 2 4" xfId="25059"/>
    <cellStyle name="40% - Accent1 2 2 2 3 3 3" xfId="4390"/>
    <cellStyle name="40% - Accent1 2 2 2 3 3 3 2" xfId="16643"/>
    <cellStyle name="40% - Accent1 2 2 2 3 3 3 2 2" xfId="32864"/>
    <cellStyle name="40% - Accent1 2 2 2 3 3 3 3" xfId="26557"/>
    <cellStyle name="40% - Accent1 2 2 2 3 3 4" xfId="18049"/>
    <cellStyle name="40% - Accent1 2 2 2 3 3 4 2" xfId="34270"/>
    <cellStyle name="40% - Accent1 2 2 2 3 3 5" xfId="5940"/>
    <cellStyle name="40% - Accent1 2 2 2 3 3 5 2" xfId="27245"/>
    <cellStyle name="40% - Accent1 2 2 2 3 3 6" xfId="22063"/>
    <cellStyle name="40% - Accent1 2 2 2 3 3 6 2" xfId="38275"/>
    <cellStyle name="40% - Accent1 2 2 2 3 3 7" xfId="23561"/>
    <cellStyle name="40% - Accent1 2 2 2 3 4" xfId="1743"/>
    <cellStyle name="40% - Accent1 2 2 2 3 4 2" xfId="3242"/>
    <cellStyle name="40% - Accent1 2 2 2 3 4 2 2" xfId="19803"/>
    <cellStyle name="40% - Accent1 2 2 2 3 4 2 2 2" xfId="36024"/>
    <cellStyle name="40% - Accent1 2 2 2 3 4 2 3" xfId="25410"/>
    <cellStyle name="40% - Accent1 2 2 2 3 4 3" xfId="4741"/>
    <cellStyle name="40% - Accent1 2 2 2 3 4 3 2" xfId="26908"/>
    <cellStyle name="40% - Accent1 2 2 2 3 4 4" xfId="10182"/>
    <cellStyle name="40% - Accent1 2 2 2 3 4 4 2" xfId="29336"/>
    <cellStyle name="40% - Accent1 2 2 2 3 4 5" xfId="22414"/>
    <cellStyle name="40% - Accent1 2 2 2 3 4 5 2" xfId="38626"/>
    <cellStyle name="40% - Accent1 2 2 2 3 4 6" xfId="23912"/>
    <cellStyle name="40% - Accent1 2 2 2 3 5" xfId="2189"/>
    <cellStyle name="40% - Accent1 2 2 2 3 5 2" xfId="15058"/>
    <cellStyle name="40% - Accent1 2 2 2 3 5 2 2" xfId="31280"/>
    <cellStyle name="40% - Accent1 2 2 2 3 5 3" xfId="24357"/>
    <cellStyle name="40% - Accent1 2 2 2 3 6" xfId="3688"/>
    <cellStyle name="40% - Accent1 2 2 2 3 6 2" xfId="18046"/>
    <cellStyle name="40% - Accent1 2 2 2 3 6 2 2" xfId="34267"/>
    <cellStyle name="40% - Accent1 2 2 2 3 6 3" xfId="25855"/>
    <cellStyle name="40% - Accent1 2 2 2 3 7" xfId="5943"/>
    <cellStyle name="40% - Accent1 2 2 2 3 7 2" xfId="27248"/>
    <cellStyle name="40% - Accent1 2 2 2 3 8" xfId="21361"/>
    <cellStyle name="40% - Accent1 2 2 2 3 8 2" xfId="37573"/>
    <cellStyle name="40% - Accent1 2 2 2 3 9" xfId="22859"/>
    <cellStyle name="40% - Accent1 2 2 2 4" xfId="807"/>
    <cellStyle name="40% - Accent1 2 2 2 4 2" xfId="2306"/>
    <cellStyle name="40% - Accent1 2 2 2 4 2 2" xfId="10187"/>
    <cellStyle name="40% - Accent1 2 2 2 4 2 2 2" xfId="19808"/>
    <cellStyle name="40% - Accent1 2 2 2 4 2 2 2 2" xfId="36029"/>
    <cellStyle name="40% - Accent1 2 2 2 4 2 2 3" xfId="29341"/>
    <cellStyle name="40% - Accent1 2 2 2 4 2 3" xfId="16907"/>
    <cellStyle name="40% - Accent1 2 2 2 4 2 3 2" xfId="33128"/>
    <cellStyle name="40% - Accent1 2 2 2 4 2 4" xfId="18051"/>
    <cellStyle name="40% - Accent1 2 2 2 4 2 4 2" xfId="34272"/>
    <cellStyle name="40% - Accent1 2 2 2 4 2 5" xfId="5938"/>
    <cellStyle name="40% - Accent1 2 2 2 4 2 5 2" xfId="27243"/>
    <cellStyle name="40% - Accent1 2 2 2 4 2 6" xfId="24474"/>
    <cellStyle name="40% - Accent1 2 2 2 4 3" xfId="3805"/>
    <cellStyle name="40% - Accent1 2 2 2 4 3 2" xfId="19807"/>
    <cellStyle name="40% - Accent1 2 2 2 4 3 2 2" xfId="36028"/>
    <cellStyle name="40% - Accent1 2 2 2 4 3 3" xfId="10186"/>
    <cellStyle name="40% - Accent1 2 2 2 4 3 3 2" xfId="29340"/>
    <cellStyle name="40% - Accent1 2 2 2 4 3 4" xfId="25972"/>
    <cellStyle name="40% - Accent1 2 2 2 4 4" xfId="15322"/>
    <cellStyle name="40% - Accent1 2 2 2 4 4 2" xfId="31544"/>
    <cellStyle name="40% - Accent1 2 2 2 4 5" xfId="18050"/>
    <cellStyle name="40% - Accent1 2 2 2 4 5 2" xfId="34271"/>
    <cellStyle name="40% - Accent1 2 2 2 4 6" xfId="5939"/>
    <cellStyle name="40% - Accent1 2 2 2 4 6 2" xfId="27244"/>
    <cellStyle name="40% - Accent1 2 2 2 4 7" xfId="21478"/>
    <cellStyle name="40% - Accent1 2 2 2 4 7 2" xfId="37690"/>
    <cellStyle name="40% - Accent1 2 2 2 4 8" xfId="22976"/>
    <cellStyle name="40% - Accent1 2 2 2 5" xfId="1158"/>
    <cellStyle name="40% - Accent1 2 2 2 5 2" xfId="2657"/>
    <cellStyle name="40% - Accent1 2 2 2 5 2 2" xfId="19809"/>
    <cellStyle name="40% - Accent1 2 2 2 5 2 2 2" xfId="36030"/>
    <cellStyle name="40% - Accent1 2 2 2 5 2 3" xfId="10188"/>
    <cellStyle name="40% - Accent1 2 2 2 5 2 3 2" xfId="29342"/>
    <cellStyle name="40% - Accent1 2 2 2 5 2 4" xfId="24825"/>
    <cellStyle name="40% - Accent1 2 2 2 5 3" xfId="4156"/>
    <cellStyle name="40% - Accent1 2 2 2 5 3 2" xfId="16115"/>
    <cellStyle name="40% - Accent1 2 2 2 5 3 2 2" xfId="32336"/>
    <cellStyle name="40% - Accent1 2 2 2 5 3 3" xfId="26323"/>
    <cellStyle name="40% - Accent1 2 2 2 5 4" xfId="18052"/>
    <cellStyle name="40% - Accent1 2 2 2 5 4 2" xfId="34273"/>
    <cellStyle name="40% - Accent1 2 2 2 5 5" xfId="5937"/>
    <cellStyle name="40% - Accent1 2 2 2 5 5 2" xfId="27242"/>
    <cellStyle name="40% - Accent1 2 2 2 5 6" xfId="21829"/>
    <cellStyle name="40% - Accent1 2 2 2 5 6 2" xfId="38041"/>
    <cellStyle name="40% - Accent1 2 2 2 5 7" xfId="23327"/>
    <cellStyle name="40% - Accent1 2 2 2 6" xfId="1509"/>
    <cellStyle name="40% - Accent1 2 2 2 6 2" xfId="3008"/>
    <cellStyle name="40% - Accent1 2 2 2 6 2 2" xfId="19798"/>
    <cellStyle name="40% - Accent1 2 2 2 6 2 2 2" xfId="36019"/>
    <cellStyle name="40% - Accent1 2 2 2 6 2 3" xfId="25176"/>
    <cellStyle name="40% - Accent1 2 2 2 6 3" xfId="4507"/>
    <cellStyle name="40% - Accent1 2 2 2 6 3 2" xfId="26674"/>
    <cellStyle name="40% - Accent1 2 2 2 6 4" xfId="10177"/>
    <cellStyle name="40% - Accent1 2 2 2 6 4 2" xfId="29331"/>
    <cellStyle name="40% - Accent1 2 2 2 6 5" xfId="22180"/>
    <cellStyle name="40% - Accent1 2 2 2 6 5 2" xfId="38392"/>
    <cellStyle name="40% - Accent1 2 2 2 6 6" xfId="23678"/>
    <cellStyle name="40% - Accent1 2 2 2 7" xfId="1955"/>
    <cellStyle name="40% - Accent1 2 2 2 7 2" xfId="14530"/>
    <cellStyle name="40% - Accent1 2 2 2 7 2 2" xfId="30752"/>
    <cellStyle name="40% - Accent1 2 2 2 7 3" xfId="24123"/>
    <cellStyle name="40% - Accent1 2 2 2 8" xfId="3454"/>
    <cellStyle name="40% - Accent1 2 2 2 8 2" xfId="18041"/>
    <cellStyle name="40% - Accent1 2 2 2 8 2 2" xfId="34262"/>
    <cellStyle name="40% - Accent1 2 2 2 8 3" xfId="25621"/>
    <cellStyle name="40% - Accent1 2 2 2 9" xfId="5948"/>
    <cellStyle name="40% - Accent1 2 2 2 9 2" xfId="27253"/>
    <cellStyle name="40% - Accent1 2 2 3" xfId="520"/>
    <cellStyle name="40% - Accent1 2 2 3 10" xfId="39299"/>
    <cellStyle name="40% - Accent1 2 2 3 2" xfId="872"/>
    <cellStyle name="40% - Accent1 2 2 3 2 2" xfId="2371"/>
    <cellStyle name="40% - Accent1 2 2 3 2 2 2" xfId="10191"/>
    <cellStyle name="40% - Accent1 2 2 3 2 2 2 2" xfId="19812"/>
    <cellStyle name="40% - Accent1 2 2 3 2 2 2 2 2" xfId="36033"/>
    <cellStyle name="40% - Accent1 2 2 3 2 2 2 3" xfId="29345"/>
    <cellStyle name="40% - Accent1 2 2 3 2 2 3" xfId="17039"/>
    <cellStyle name="40% - Accent1 2 2 3 2 2 3 2" xfId="33260"/>
    <cellStyle name="40% - Accent1 2 2 3 2 2 4" xfId="18055"/>
    <cellStyle name="40% - Accent1 2 2 3 2 2 4 2" xfId="34276"/>
    <cellStyle name="40% - Accent1 2 2 3 2 2 5" xfId="5934"/>
    <cellStyle name="40% - Accent1 2 2 3 2 2 5 2" xfId="27239"/>
    <cellStyle name="40% - Accent1 2 2 3 2 2 6" xfId="24539"/>
    <cellStyle name="40% - Accent1 2 2 3 2 3" xfId="3870"/>
    <cellStyle name="40% - Accent1 2 2 3 2 3 2" xfId="19811"/>
    <cellStyle name="40% - Accent1 2 2 3 2 3 2 2" xfId="36032"/>
    <cellStyle name="40% - Accent1 2 2 3 2 3 3" xfId="10190"/>
    <cellStyle name="40% - Accent1 2 2 3 2 3 3 2" xfId="29344"/>
    <cellStyle name="40% - Accent1 2 2 3 2 3 4" xfId="26037"/>
    <cellStyle name="40% - Accent1 2 2 3 2 4" xfId="15454"/>
    <cellStyle name="40% - Accent1 2 2 3 2 4 2" xfId="31676"/>
    <cellStyle name="40% - Accent1 2 2 3 2 5" xfId="18054"/>
    <cellStyle name="40% - Accent1 2 2 3 2 5 2" xfId="34275"/>
    <cellStyle name="40% - Accent1 2 2 3 2 6" xfId="5935"/>
    <cellStyle name="40% - Accent1 2 2 3 2 6 2" xfId="27240"/>
    <cellStyle name="40% - Accent1 2 2 3 2 7" xfId="21543"/>
    <cellStyle name="40% - Accent1 2 2 3 2 7 2" xfId="37755"/>
    <cellStyle name="40% - Accent1 2 2 3 2 8" xfId="23041"/>
    <cellStyle name="40% - Accent1 2 2 3 3" xfId="1223"/>
    <cellStyle name="40% - Accent1 2 2 3 3 2" xfId="2722"/>
    <cellStyle name="40% - Accent1 2 2 3 3 2 2" xfId="19813"/>
    <cellStyle name="40% - Accent1 2 2 3 3 2 2 2" xfId="36034"/>
    <cellStyle name="40% - Accent1 2 2 3 3 2 3" xfId="10192"/>
    <cellStyle name="40% - Accent1 2 2 3 3 2 3 2" xfId="29346"/>
    <cellStyle name="40% - Accent1 2 2 3 3 2 4" xfId="24890"/>
    <cellStyle name="40% - Accent1 2 2 3 3 3" xfId="4221"/>
    <cellStyle name="40% - Accent1 2 2 3 3 3 2" xfId="16247"/>
    <cellStyle name="40% - Accent1 2 2 3 3 3 2 2" xfId="32468"/>
    <cellStyle name="40% - Accent1 2 2 3 3 3 3" xfId="26388"/>
    <cellStyle name="40% - Accent1 2 2 3 3 4" xfId="18056"/>
    <cellStyle name="40% - Accent1 2 2 3 3 4 2" xfId="34277"/>
    <cellStyle name="40% - Accent1 2 2 3 3 5" xfId="5933"/>
    <cellStyle name="40% - Accent1 2 2 3 3 5 2" xfId="27238"/>
    <cellStyle name="40% - Accent1 2 2 3 3 6" xfId="21894"/>
    <cellStyle name="40% - Accent1 2 2 3 3 6 2" xfId="38106"/>
    <cellStyle name="40% - Accent1 2 2 3 3 7" xfId="23392"/>
    <cellStyle name="40% - Accent1 2 2 3 4" xfId="1574"/>
    <cellStyle name="40% - Accent1 2 2 3 4 2" xfId="3073"/>
    <cellStyle name="40% - Accent1 2 2 3 4 2 2" xfId="19810"/>
    <cellStyle name="40% - Accent1 2 2 3 4 2 2 2" xfId="36031"/>
    <cellStyle name="40% - Accent1 2 2 3 4 2 3" xfId="25241"/>
    <cellStyle name="40% - Accent1 2 2 3 4 3" xfId="4572"/>
    <cellStyle name="40% - Accent1 2 2 3 4 3 2" xfId="26739"/>
    <cellStyle name="40% - Accent1 2 2 3 4 4" xfId="10189"/>
    <cellStyle name="40% - Accent1 2 2 3 4 4 2" xfId="29343"/>
    <cellStyle name="40% - Accent1 2 2 3 4 5" xfId="22245"/>
    <cellStyle name="40% - Accent1 2 2 3 4 5 2" xfId="38457"/>
    <cellStyle name="40% - Accent1 2 2 3 4 6" xfId="23743"/>
    <cellStyle name="40% - Accent1 2 2 3 5" xfId="2020"/>
    <cellStyle name="40% - Accent1 2 2 3 5 2" xfId="14662"/>
    <cellStyle name="40% - Accent1 2 2 3 5 2 2" xfId="30884"/>
    <cellStyle name="40% - Accent1 2 2 3 5 3" xfId="24188"/>
    <cellStyle name="40% - Accent1 2 2 3 6" xfId="3519"/>
    <cellStyle name="40% - Accent1 2 2 3 6 2" xfId="18053"/>
    <cellStyle name="40% - Accent1 2 2 3 6 2 2" xfId="34274"/>
    <cellStyle name="40% - Accent1 2 2 3 6 3" xfId="25686"/>
    <cellStyle name="40% - Accent1 2 2 3 7" xfId="5936"/>
    <cellStyle name="40% - Accent1 2 2 3 7 2" xfId="27241"/>
    <cellStyle name="40% - Accent1 2 2 3 8" xfId="21192"/>
    <cellStyle name="40% - Accent1 2 2 3 8 2" xfId="37404"/>
    <cellStyle name="40% - Accent1 2 2 3 9" xfId="22690"/>
    <cellStyle name="40% - Accent1 2 2 4" xfId="638"/>
    <cellStyle name="40% - Accent1 2 2 4 10" xfId="39448"/>
    <cellStyle name="40% - Accent1 2 2 4 2" xfId="989"/>
    <cellStyle name="40% - Accent1 2 2 4 2 2" xfId="2488"/>
    <cellStyle name="40% - Accent1 2 2 4 2 2 2" xfId="10195"/>
    <cellStyle name="40% - Accent1 2 2 4 2 2 2 2" xfId="19816"/>
    <cellStyle name="40% - Accent1 2 2 4 2 2 2 2 2" xfId="36037"/>
    <cellStyle name="40% - Accent1 2 2 4 2 2 2 3" xfId="29349"/>
    <cellStyle name="40% - Accent1 2 2 4 2 2 3" xfId="17303"/>
    <cellStyle name="40% - Accent1 2 2 4 2 2 3 2" xfId="33524"/>
    <cellStyle name="40% - Accent1 2 2 4 2 2 4" xfId="18059"/>
    <cellStyle name="40% - Accent1 2 2 4 2 2 4 2" xfId="34280"/>
    <cellStyle name="40% - Accent1 2 2 4 2 2 5" xfId="5930"/>
    <cellStyle name="40% - Accent1 2 2 4 2 2 5 2" xfId="27235"/>
    <cellStyle name="40% - Accent1 2 2 4 2 2 6" xfId="24656"/>
    <cellStyle name="40% - Accent1 2 2 4 2 3" xfId="3987"/>
    <cellStyle name="40% - Accent1 2 2 4 2 3 2" xfId="19815"/>
    <cellStyle name="40% - Accent1 2 2 4 2 3 2 2" xfId="36036"/>
    <cellStyle name="40% - Accent1 2 2 4 2 3 3" xfId="10194"/>
    <cellStyle name="40% - Accent1 2 2 4 2 3 3 2" xfId="29348"/>
    <cellStyle name="40% - Accent1 2 2 4 2 3 4" xfId="26154"/>
    <cellStyle name="40% - Accent1 2 2 4 2 4" xfId="15718"/>
    <cellStyle name="40% - Accent1 2 2 4 2 4 2" xfId="31940"/>
    <cellStyle name="40% - Accent1 2 2 4 2 5" xfId="18058"/>
    <cellStyle name="40% - Accent1 2 2 4 2 5 2" xfId="34279"/>
    <cellStyle name="40% - Accent1 2 2 4 2 6" xfId="5931"/>
    <cellStyle name="40% - Accent1 2 2 4 2 6 2" xfId="27236"/>
    <cellStyle name="40% - Accent1 2 2 4 2 7" xfId="21660"/>
    <cellStyle name="40% - Accent1 2 2 4 2 7 2" xfId="37872"/>
    <cellStyle name="40% - Accent1 2 2 4 2 8" xfId="23158"/>
    <cellStyle name="40% - Accent1 2 2 4 3" xfId="1340"/>
    <cellStyle name="40% - Accent1 2 2 4 3 2" xfId="2839"/>
    <cellStyle name="40% - Accent1 2 2 4 3 2 2" xfId="19817"/>
    <cellStyle name="40% - Accent1 2 2 4 3 2 2 2" xfId="36038"/>
    <cellStyle name="40% - Accent1 2 2 4 3 2 3" xfId="10196"/>
    <cellStyle name="40% - Accent1 2 2 4 3 2 3 2" xfId="29350"/>
    <cellStyle name="40% - Accent1 2 2 4 3 2 4" xfId="25007"/>
    <cellStyle name="40% - Accent1 2 2 4 3 3" xfId="4338"/>
    <cellStyle name="40% - Accent1 2 2 4 3 3 2" xfId="16511"/>
    <cellStyle name="40% - Accent1 2 2 4 3 3 2 2" xfId="32732"/>
    <cellStyle name="40% - Accent1 2 2 4 3 3 3" xfId="26505"/>
    <cellStyle name="40% - Accent1 2 2 4 3 4" xfId="18060"/>
    <cellStyle name="40% - Accent1 2 2 4 3 4 2" xfId="34281"/>
    <cellStyle name="40% - Accent1 2 2 4 3 5" xfId="5929"/>
    <cellStyle name="40% - Accent1 2 2 4 3 5 2" xfId="27234"/>
    <cellStyle name="40% - Accent1 2 2 4 3 6" xfId="22011"/>
    <cellStyle name="40% - Accent1 2 2 4 3 6 2" xfId="38223"/>
    <cellStyle name="40% - Accent1 2 2 4 3 7" xfId="23509"/>
    <cellStyle name="40% - Accent1 2 2 4 4" xfId="1691"/>
    <cellStyle name="40% - Accent1 2 2 4 4 2" xfId="3190"/>
    <cellStyle name="40% - Accent1 2 2 4 4 2 2" xfId="19814"/>
    <cellStyle name="40% - Accent1 2 2 4 4 2 2 2" xfId="36035"/>
    <cellStyle name="40% - Accent1 2 2 4 4 2 3" xfId="25358"/>
    <cellStyle name="40% - Accent1 2 2 4 4 3" xfId="4689"/>
    <cellStyle name="40% - Accent1 2 2 4 4 3 2" xfId="26856"/>
    <cellStyle name="40% - Accent1 2 2 4 4 4" xfId="10193"/>
    <cellStyle name="40% - Accent1 2 2 4 4 4 2" xfId="29347"/>
    <cellStyle name="40% - Accent1 2 2 4 4 5" xfId="22362"/>
    <cellStyle name="40% - Accent1 2 2 4 4 5 2" xfId="38574"/>
    <cellStyle name="40% - Accent1 2 2 4 4 6" xfId="23860"/>
    <cellStyle name="40% - Accent1 2 2 4 5" xfId="2137"/>
    <cellStyle name="40% - Accent1 2 2 4 5 2" xfId="14926"/>
    <cellStyle name="40% - Accent1 2 2 4 5 2 2" xfId="31148"/>
    <cellStyle name="40% - Accent1 2 2 4 5 3" xfId="24305"/>
    <cellStyle name="40% - Accent1 2 2 4 6" xfId="3636"/>
    <cellStyle name="40% - Accent1 2 2 4 6 2" xfId="18057"/>
    <cellStyle name="40% - Accent1 2 2 4 6 2 2" xfId="34278"/>
    <cellStyle name="40% - Accent1 2 2 4 6 3" xfId="25803"/>
    <cellStyle name="40% - Accent1 2 2 4 7" xfId="5932"/>
    <cellStyle name="40% - Accent1 2 2 4 7 2" xfId="27237"/>
    <cellStyle name="40% - Accent1 2 2 4 8" xfId="21309"/>
    <cellStyle name="40% - Accent1 2 2 4 8 2" xfId="37521"/>
    <cellStyle name="40% - Accent1 2 2 4 9" xfId="22807"/>
    <cellStyle name="40% - Accent1 2 2 5" xfId="755"/>
    <cellStyle name="40% - Accent1 2 2 5 2" xfId="2254"/>
    <cellStyle name="40% - Accent1 2 2 5 2 2" xfId="10198"/>
    <cellStyle name="40% - Accent1 2 2 5 2 2 2" xfId="19819"/>
    <cellStyle name="40% - Accent1 2 2 5 2 2 2 2" xfId="36040"/>
    <cellStyle name="40% - Accent1 2 2 5 2 2 3" xfId="29352"/>
    <cellStyle name="40% - Accent1 2 2 5 2 3" xfId="16775"/>
    <cellStyle name="40% - Accent1 2 2 5 2 3 2" xfId="32996"/>
    <cellStyle name="40% - Accent1 2 2 5 2 4" xfId="18062"/>
    <cellStyle name="40% - Accent1 2 2 5 2 4 2" xfId="34283"/>
    <cellStyle name="40% - Accent1 2 2 5 2 5" xfId="5927"/>
    <cellStyle name="40% - Accent1 2 2 5 2 5 2" xfId="27232"/>
    <cellStyle name="40% - Accent1 2 2 5 2 6" xfId="24422"/>
    <cellStyle name="40% - Accent1 2 2 5 3" xfId="3753"/>
    <cellStyle name="40% - Accent1 2 2 5 3 2" xfId="19818"/>
    <cellStyle name="40% - Accent1 2 2 5 3 2 2" xfId="36039"/>
    <cellStyle name="40% - Accent1 2 2 5 3 3" xfId="10197"/>
    <cellStyle name="40% - Accent1 2 2 5 3 3 2" xfId="29351"/>
    <cellStyle name="40% - Accent1 2 2 5 3 4" xfId="25920"/>
    <cellStyle name="40% - Accent1 2 2 5 4" xfId="15190"/>
    <cellStyle name="40% - Accent1 2 2 5 4 2" xfId="31412"/>
    <cellStyle name="40% - Accent1 2 2 5 5" xfId="18061"/>
    <cellStyle name="40% - Accent1 2 2 5 5 2" xfId="34282"/>
    <cellStyle name="40% - Accent1 2 2 5 6" xfId="5928"/>
    <cellStyle name="40% - Accent1 2 2 5 6 2" xfId="27233"/>
    <cellStyle name="40% - Accent1 2 2 5 7" xfId="21426"/>
    <cellStyle name="40% - Accent1 2 2 5 7 2" xfId="37638"/>
    <cellStyle name="40% - Accent1 2 2 5 8" xfId="22924"/>
    <cellStyle name="40% - Accent1 2 2 6" xfId="1106"/>
    <cellStyle name="40% - Accent1 2 2 6 2" xfId="2605"/>
    <cellStyle name="40% - Accent1 2 2 6 2 2" xfId="19820"/>
    <cellStyle name="40% - Accent1 2 2 6 2 2 2" xfId="36041"/>
    <cellStyle name="40% - Accent1 2 2 6 2 3" xfId="10199"/>
    <cellStyle name="40% - Accent1 2 2 6 2 3 2" xfId="29353"/>
    <cellStyle name="40% - Accent1 2 2 6 2 4" xfId="24773"/>
    <cellStyle name="40% - Accent1 2 2 6 3" xfId="4104"/>
    <cellStyle name="40% - Accent1 2 2 6 3 2" xfId="15983"/>
    <cellStyle name="40% - Accent1 2 2 6 3 2 2" xfId="32204"/>
    <cellStyle name="40% - Accent1 2 2 6 3 3" xfId="26271"/>
    <cellStyle name="40% - Accent1 2 2 6 4" xfId="18063"/>
    <cellStyle name="40% - Accent1 2 2 6 4 2" xfId="34284"/>
    <cellStyle name="40% - Accent1 2 2 6 5" xfId="5926"/>
    <cellStyle name="40% - Accent1 2 2 6 5 2" xfId="27231"/>
    <cellStyle name="40% - Accent1 2 2 6 6" xfId="21777"/>
    <cellStyle name="40% - Accent1 2 2 6 6 2" xfId="37989"/>
    <cellStyle name="40% - Accent1 2 2 6 7" xfId="23275"/>
    <cellStyle name="40% - Accent1 2 2 7" xfId="1457"/>
    <cellStyle name="40% - Accent1 2 2 7 2" xfId="2956"/>
    <cellStyle name="40% - Accent1 2 2 7 2 2" xfId="19797"/>
    <cellStyle name="40% - Accent1 2 2 7 2 2 2" xfId="36018"/>
    <cellStyle name="40% - Accent1 2 2 7 2 3" xfId="25124"/>
    <cellStyle name="40% - Accent1 2 2 7 3" xfId="4455"/>
    <cellStyle name="40% - Accent1 2 2 7 3 2" xfId="26622"/>
    <cellStyle name="40% - Accent1 2 2 7 4" xfId="10176"/>
    <cellStyle name="40% - Accent1 2 2 7 4 2" xfId="29330"/>
    <cellStyle name="40% - Accent1 2 2 7 5" xfId="22128"/>
    <cellStyle name="40% - Accent1 2 2 7 5 2" xfId="38340"/>
    <cellStyle name="40% - Accent1 2 2 7 6" xfId="23626"/>
    <cellStyle name="40% - Accent1 2 2 8" xfId="1903"/>
    <cellStyle name="40% - Accent1 2 2 8 2" xfId="14398"/>
    <cellStyle name="40% - Accent1 2 2 8 2 2" xfId="30620"/>
    <cellStyle name="40% - Accent1 2 2 8 3" xfId="24071"/>
    <cellStyle name="40% - Accent1 2 2 9" xfId="3402"/>
    <cellStyle name="40% - Accent1 2 2 9 2" xfId="18040"/>
    <cellStyle name="40% - Accent1 2 2 9 2 2" xfId="34261"/>
    <cellStyle name="40% - Accent1 2 2 9 3" xfId="25569"/>
    <cellStyle name="40% - Accent1 2 3" xfId="414"/>
    <cellStyle name="40% - Accent1 2 3 10" xfId="21087"/>
    <cellStyle name="40% - Accent1 2 3 10 2" xfId="37299"/>
    <cellStyle name="40% - Accent1 2 3 11" xfId="22585"/>
    <cellStyle name="40% - Accent1 2 3 12" xfId="39095"/>
    <cellStyle name="40% - Accent1 2 3 2" xfId="532"/>
    <cellStyle name="40% - Accent1 2 3 2 2" xfId="884"/>
    <cellStyle name="40% - Accent1 2 3 2 2 2" xfId="2383"/>
    <cellStyle name="40% - Accent1 2 3 2 2 2 2" xfId="10203"/>
    <cellStyle name="40% - Accent1 2 3 2 2 2 2 2" xfId="19824"/>
    <cellStyle name="40% - Accent1 2 3 2 2 2 2 2 2" xfId="36045"/>
    <cellStyle name="40% - Accent1 2 3 2 2 2 2 3" xfId="29357"/>
    <cellStyle name="40% - Accent1 2 3 2 2 2 3" xfId="17105"/>
    <cellStyle name="40% - Accent1 2 3 2 2 2 3 2" xfId="33326"/>
    <cellStyle name="40% - Accent1 2 3 2 2 2 4" xfId="18067"/>
    <cellStyle name="40% - Accent1 2 3 2 2 2 4 2" xfId="34288"/>
    <cellStyle name="40% - Accent1 2 3 2 2 2 5" xfId="5922"/>
    <cellStyle name="40% - Accent1 2 3 2 2 2 5 2" xfId="27227"/>
    <cellStyle name="40% - Accent1 2 3 2 2 2 6" xfId="24551"/>
    <cellStyle name="40% - Accent1 2 3 2 2 3" xfId="3882"/>
    <cellStyle name="40% - Accent1 2 3 2 2 3 2" xfId="19823"/>
    <cellStyle name="40% - Accent1 2 3 2 2 3 2 2" xfId="36044"/>
    <cellStyle name="40% - Accent1 2 3 2 2 3 3" xfId="10202"/>
    <cellStyle name="40% - Accent1 2 3 2 2 3 3 2" xfId="29356"/>
    <cellStyle name="40% - Accent1 2 3 2 2 3 4" xfId="26049"/>
    <cellStyle name="40% - Accent1 2 3 2 2 4" xfId="15520"/>
    <cellStyle name="40% - Accent1 2 3 2 2 4 2" xfId="31742"/>
    <cellStyle name="40% - Accent1 2 3 2 2 5" xfId="18066"/>
    <cellStyle name="40% - Accent1 2 3 2 2 5 2" xfId="34287"/>
    <cellStyle name="40% - Accent1 2 3 2 2 6" xfId="5923"/>
    <cellStyle name="40% - Accent1 2 3 2 2 6 2" xfId="27228"/>
    <cellStyle name="40% - Accent1 2 3 2 2 7" xfId="21555"/>
    <cellStyle name="40% - Accent1 2 3 2 2 7 2" xfId="37767"/>
    <cellStyle name="40% - Accent1 2 3 2 2 8" xfId="23053"/>
    <cellStyle name="40% - Accent1 2 3 2 3" xfId="1235"/>
    <cellStyle name="40% - Accent1 2 3 2 3 2" xfId="2734"/>
    <cellStyle name="40% - Accent1 2 3 2 3 2 2" xfId="19825"/>
    <cellStyle name="40% - Accent1 2 3 2 3 2 2 2" xfId="36046"/>
    <cellStyle name="40% - Accent1 2 3 2 3 2 3" xfId="10204"/>
    <cellStyle name="40% - Accent1 2 3 2 3 2 3 2" xfId="29358"/>
    <cellStyle name="40% - Accent1 2 3 2 3 2 4" xfId="24902"/>
    <cellStyle name="40% - Accent1 2 3 2 3 3" xfId="4233"/>
    <cellStyle name="40% - Accent1 2 3 2 3 3 2" xfId="16313"/>
    <cellStyle name="40% - Accent1 2 3 2 3 3 2 2" xfId="32534"/>
    <cellStyle name="40% - Accent1 2 3 2 3 3 3" xfId="26400"/>
    <cellStyle name="40% - Accent1 2 3 2 3 4" xfId="18068"/>
    <cellStyle name="40% - Accent1 2 3 2 3 4 2" xfId="34289"/>
    <cellStyle name="40% - Accent1 2 3 2 3 5" xfId="5921"/>
    <cellStyle name="40% - Accent1 2 3 2 3 5 2" xfId="27226"/>
    <cellStyle name="40% - Accent1 2 3 2 3 6" xfId="21906"/>
    <cellStyle name="40% - Accent1 2 3 2 3 6 2" xfId="38118"/>
    <cellStyle name="40% - Accent1 2 3 2 3 7" xfId="23404"/>
    <cellStyle name="40% - Accent1 2 3 2 4" xfId="1586"/>
    <cellStyle name="40% - Accent1 2 3 2 4 2" xfId="3085"/>
    <cellStyle name="40% - Accent1 2 3 2 4 2 2" xfId="19822"/>
    <cellStyle name="40% - Accent1 2 3 2 4 2 2 2" xfId="36043"/>
    <cellStyle name="40% - Accent1 2 3 2 4 2 3" xfId="25253"/>
    <cellStyle name="40% - Accent1 2 3 2 4 3" xfId="4584"/>
    <cellStyle name="40% - Accent1 2 3 2 4 3 2" xfId="26751"/>
    <cellStyle name="40% - Accent1 2 3 2 4 4" xfId="10201"/>
    <cellStyle name="40% - Accent1 2 3 2 4 4 2" xfId="29355"/>
    <cellStyle name="40% - Accent1 2 3 2 4 5" xfId="22257"/>
    <cellStyle name="40% - Accent1 2 3 2 4 5 2" xfId="38469"/>
    <cellStyle name="40% - Accent1 2 3 2 4 6" xfId="23755"/>
    <cellStyle name="40% - Accent1 2 3 2 5" xfId="2032"/>
    <cellStyle name="40% - Accent1 2 3 2 5 2" xfId="14728"/>
    <cellStyle name="40% - Accent1 2 3 2 5 2 2" xfId="30950"/>
    <cellStyle name="40% - Accent1 2 3 2 5 3" xfId="24200"/>
    <cellStyle name="40% - Accent1 2 3 2 6" xfId="3531"/>
    <cellStyle name="40% - Accent1 2 3 2 6 2" xfId="18065"/>
    <cellStyle name="40% - Accent1 2 3 2 6 2 2" xfId="34286"/>
    <cellStyle name="40% - Accent1 2 3 2 6 3" xfId="25698"/>
    <cellStyle name="40% - Accent1 2 3 2 7" xfId="5924"/>
    <cellStyle name="40% - Accent1 2 3 2 7 2" xfId="27229"/>
    <cellStyle name="40% - Accent1 2 3 2 8" xfId="21204"/>
    <cellStyle name="40% - Accent1 2 3 2 8 2" xfId="37416"/>
    <cellStyle name="40% - Accent1 2 3 2 9" xfId="22702"/>
    <cellStyle name="40% - Accent1 2 3 3" xfId="650"/>
    <cellStyle name="40% - Accent1 2 3 3 2" xfId="1001"/>
    <cellStyle name="40% - Accent1 2 3 3 2 2" xfId="2500"/>
    <cellStyle name="40% - Accent1 2 3 3 2 2 2" xfId="10207"/>
    <cellStyle name="40% - Accent1 2 3 3 2 2 2 2" xfId="19828"/>
    <cellStyle name="40% - Accent1 2 3 3 2 2 2 2 2" xfId="36049"/>
    <cellStyle name="40% - Accent1 2 3 3 2 2 2 3" xfId="29361"/>
    <cellStyle name="40% - Accent1 2 3 3 2 2 3" xfId="17369"/>
    <cellStyle name="40% - Accent1 2 3 3 2 2 3 2" xfId="33590"/>
    <cellStyle name="40% - Accent1 2 3 3 2 2 4" xfId="18071"/>
    <cellStyle name="40% - Accent1 2 3 3 2 2 4 2" xfId="34292"/>
    <cellStyle name="40% - Accent1 2 3 3 2 2 5" xfId="5918"/>
    <cellStyle name="40% - Accent1 2 3 3 2 2 5 2" xfId="27223"/>
    <cellStyle name="40% - Accent1 2 3 3 2 2 6" xfId="24668"/>
    <cellStyle name="40% - Accent1 2 3 3 2 3" xfId="3999"/>
    <cellStyle name="40% - Accent1 2 3 3 2 3 2" xfId="19827"/>
    <cellStyle name="40% - Accent1 2 3 3 2 3 2 2" xfId="36048"/>
    <cellStyle name="40% - Accent1 2 3 3 2 3 3" xfId="10206"/>
    <cellStyle name="40% - Accent1 2 3 3 2 3 3 2" xfId="29360"/>
    <cellStyle name="40% - Accent1 2 3 3 2 3 4" xfId="26166"/>
    <cellStyle name="40% - Accent1 2 3 3 2 4" xfId="15784"/>
    <cellStyle name="40% - Accent1 2 3 3 2 4 2" xfId="32006"/>
    <cellStyle name="40% - Accent1 2 3 3 2 5" xfId="18070"/>
    <cellStyle name="40% - Accent1 2 3 3 2 5 2" xfId="34291"/>
    <cellStyle name="40% - Accent1 2 3 3 2 6" xfId="5919"/>
    <cellStyle name="40% - Accent1 2 3 3 2 6 2" xfId="27224"/>
    <cellStyle name="40% - Accent1 2 3 3 2 7" xfId="21672"/>
    <cellStyle name="40% - Accent1 2 3 3 2 7 2" xfId="37884"/>
    <cellStyle name="40% - Accent1 2 3 3 2 8" xfId="23170"/>
    <cellStyle name="40% - Accent1 2 3 3 3" xfId="1352"/>
    <cellStyle name="40% - Accent1 2 3 3 3 2" xfId="2851"/>
    <cellStyle name="40% - Accent1 2 3 3 3 2 2" xfId="19829"/>
    <cellStyle name="40% - Accent1 2 3 3 3 2 2 2" xfId="36050"/>
    <cellStyle name="40% - Accent1 2 3 3 3 2 3" xfId="10208"/>
    <cellStyle name="40% - Accent1 2 3 3 3 2 3 2" xfId="29362"/>
    <cellStyle name="40% - Accent1 2 3 3 3 2 4" xfId="25019"/>
    <cellStyle name="40% - Accent1 2 3 3 3 3" xfId="4350"/>
    <cellStyle name="40% - Accent1 2 3 3 3 3 2" xfId="16577"/>
    <cellStyle name="40% - Accent1 2 3 3 3 3 2 2" xfId="32798"/>
    <cellStyle name="40% - Accent1 2 3 3 3 3 3" xfId="26517"/>
    <cellStyle name="40% - Accent1 2 3 3 3 4" xfId="18072"/>
    <cellStyle name="40% - Accent1 2 3 3 3 4 2" xfId="34293"/>
    <cellStyle name="40% - Accent1 2 3 3 3 5" xfId="5917"/>
    <cellStyle name="40% - Accent1 2 3 3 3 5 2" xfId="27222"/>
    <cellStyle name="40% - Accent1 2 3 3 3 6" xfId="22023"/>
    <cellStyle name="40% - Accent1 2 3 3 3 6 2" xfId="38235"/>
    <cellStyle name="40% - Accent1 2 3 3 3 7" xfId="23521"/>
    <cellStyle name="40% - Accent1 2 3 3 4" xfId="1703"/>
    <cellStyle name="40% - Accent1 2 3 3 4 2" xfId="3202"/>
    <cellStyle name="40% - Accent1 2 3 3 4 2 2" xfId="19826"/>
    <cellStyle name="40% - Accent1 2 3 3 4 2 2 2" xfId="36047"/>
    <cellStyle name="40% - Accent1 2 3 3 4 2 3" xfId="25370"/>
    <cellStyle name="40% - Accent1 2 3 3 4 3" xfId="4701"/>
    <cellStyle name="40% - Accent1 2 3 3 4 3 2" xfId="26868"/>
    <cellStyle name="40% - Accent1 2 3 3 4 4" xfId="10205"/>
    <cellStyle name="40% - Accent1 2 3 3 4 4 2" xfId="29359"/>
    <cellStyle name="40% - Accent1 2 3 3 4 5" xfId="22374"/>
    <cellStyle name="40% - Accent1 2 3 3 4 5 2" xfId="38586"/>
    <cellStyle name="40% - Accent1 2 3 3 4 6" xfId="23872"/>
    <cellStyle name="40% - Accent1 2 3 3 5" xfId="2149"/>
    <cellStyle name="40% - Accent1 2 3 3 5 2" xfId="14992"/>
    <cellStyle name="40% - Accent1 2 3 3 5 2 2" xfId="31214"/>
    <cellStyle name="40% - Accent1 2 3 3 5 3" xfId="24317"/>
    <cellStyle name="40% - Accent1 2 3 3 6" xfId="3648"/>
    <cellStyle name="40% - Accent1 2 3 3 6 2" xfId="18069"/>
    <cellStyle name="40% - Accent1 2 3 3 6 2 2" xfId="34290"/>
    <cellStyle name="40% - Accent1 2 3 3 6 3" xfId="25815"/>
    <cellStyle name="40% - Accent1 2 3 3 7" xfId="5920"/>
    <cellStyle name="40% - Accent1 2 3 3 7 2" xfId="27225"/>
    <cellStyle name="40% - Accent1 2 3 3 8" xfId="21321"/>
    <cellStyle name="40% - Accent1 2 3 3 8 2" xfId="37533"/>
    <cellStyle name="40% - Accent1 2 3 3 9" xfId="22819"/>
    <cellStyle name="40% - Accent1 2 3 4" xfId="767"/>
    <cellStyle name="40% - Accent1 2 3 4 2" xfId="2266"/>
    <cellStyle name="40% - Accent1 2 3 4 2 2" xfId="10210"/>
    <cellStyle name="40% - Accent1 2 3 4 2 2 2" xfId="19831"/>
    <cellStyle name="40% - Accent1 2 3 4 2 2 2 2" xfId="36052"/>
    <cellStyle name="40% - Accent1 2 3 4 2 2 3" xfId="29364"/>
    <cellStyle name="40% - Accent1 2 3 4 2 3" xfId="16841"/>
    <cellStyle name="40% - Accent1 2 3 4 2 3 2" xfId="33062"/>
    <cellStyle name="40% - Accent1 2 3 4 2 4" xfId="18074"/>
    <cellStyle name="40% - Accent1 2 3 4 2 4 2" xfId="34295"/>
    <cellStyle name="40% - Accent1 2 3 4 2 5" xfId="5915"/>
    <cellStyle name="40% - Accent1 2 3 4 2 5 2" xfId="27220"/>
    <cellStyle name="40% - Accent1 2 3 4 2 6" xfId="24434"/>
    <cellStyle name="40% - Accent1 2 3 4 3" xfId="3765"/>
    <cellStyle name="40% - Accent1 2 3 4 3 2" xfId="19830"/>
    <cellStyle name="40% - Accent1 2 3 4 3 2 2" xfId="36051"/>
    <cellStyle name="40% - Accent1 2 3 4 3 3" xfId="10209"/>
    <cellStyle name="40% - Accent1 2 3 4 3 3 2" xfId="29363"/>
    <cellStyle name="40% - Accent1 2 3 4 3 4" xfId="25932"/>
    <cellStyle name="40% - Accent1 2 3 4 4" xfId="15256"/>
    <cellStyle name="40% - Accent1 2 3 4 4 2" xfId="31478"/>
    <cellStyle name="40% - Accent1 2 3 4 5" xfId="18073"/>
    <cellStyle name="40% - Accent1 2 3 4 5 2" xfId="34294"/>
    <cellStyle name="40% - Accent1 2 3 4 6" xfId="5916"/>
    <cellStyle name="40% - Accent1 2 3 4 6 2" xfId="27221"/>
    <cellStyle name="40% - Accent1 2 3 4 7" xfId="21438"/>
    <cellStyle name="40% - Accent1 2 3 4 7 2" xfId="37650"/>
    <cellStyle name="40% - Accent1 2 3 4 8" xfId="22936"/>
    <cellStyle name="40% - Accent1 2 3 5" xfId="1118"/>
    <cellStyle name="40% - Accent1 2 3 5 2" xfId="2617"/>
    <cellStyle name="40% - Accent1 2 3 5 2 2" xfId="19832"/>
    <cellStyle name="40% - Accent1 2 3 5 2 2 2" xfId="36053"/>
    <cellStyle name="40% - Accent1 2 3 5 2 3" xfId="10211"/>
    <cellStyle name="40% - Accent1 2 3 5 2 3 2" xfId="29365"/>
    <cellStyle name="40% - Accent1 2 3 5 2 4" xfId="24785"/>
    <cellStyle name="40% - Accent1 2 3 5 3" xfId="4116"/>
    <cellStyle name="40% - Accent1 2 3 5 3 2" xfId="16049"/>
    <cellStyle name="40% - Accent1 2 3 5 3 2 2" xfId="32270"/>
    <cellStyle name="40% - Accent1 2 3 5 3 3" xfId="26283"/>
    <cellStyle name="40% - Accent1 2 3 5 4" xfId="18075"/>
    <cellStyle name="40% - Accent1 2 3 5 4 2" xfId="34296"/>
    <cellStyle name="40% - Accent1 2 3 5 5" xfId="5914"/>
    <cellStyle name="40% - Accent1 2 3 5 5 2" xfId="27219"/>
    <cellStyle name="40% - Accent1 2 3 5 6" xfId="21789"/>
    <cellStyle name="40% - Accent1 2 3 5 6 2" xfId="38001"/>
    <cellStyle name="40% - Accent1 2 3 5 7" xfId="23287"/>
    <cellStyle name="40% - Accent1 2 3 6" xfId="1469"/>
    <cellStyle name="40% - Accent1 2 3 6 2" xfId="2968"/>
    <cellStyle name="40% - Accent1 2 3 6 2 2" xfId="19821"/>
    <cellStyle name="40% - Accent1 2 3 6 2 2 2" xfId="36042"/>
    <cellStyle name="40% - Accent1 2 3 6 2 3" xfId="25136"/>
    <cellStyle name="40% - Accent1 2 3 6 3" xfId="4467"/>
    <cellStyle name="40% - Accent1 2 3 6 3 2" xfId="26634"/>
    <cellStyle name="40% - Accent1 2 3 6 4" xfId="10200"/>
    <cellStyle name="40% - Accent1 2 3 6 4 2" xfId="29354"/>
    <cellStyle name="40% - Accent1 2 3 6 5" xfId="22140"/>
    <cellStyle name="40% - Accent1 2 3 6 5 2" xfId="38352"/>
    <cellStyle name="40% - Accent1 2 3 6 6" xfId="23638"/>
    <cellStyle name="40% - Accent1 2 3 7" xfId="1915"/>
    <cellStyle name="40% - Accent1 2 3 7 2" xfId="14464"/>
    <cellStyle name="40% - Accent1 2 3 7 2 2" xfId="30686"/>
    <cellStyle name="40% - Accent1 2 3 7 3" xfId="24083"/>
    <cellStyle name="40% - Accent1 2 3 8" xfId="3414"/>
    <cellStyle name="40% - Accent1 2 3 8 2" xfId="18064"/>
    <cellStyle name="40% - Accent1 2 3 8 2 2" xfId="34285"/>
    <cellStyle name="40% - Accent1 2 3 8 3" xfId="25581"/>
    <cellStyle name="40% - Accent1 2 3 9" xfId="5925"/>
    <cellStyle name="40% - Accent1 2 3 9 2" xfId="27230"/>
    <cellStyle name="40% - Accent1 2 4" xfId="427"/>
    <cellStyle name="40% - Accent1 2 4 10" xfId="21100"/>
    <cellStyle name="40% - Accent1 2 4 10 2" xfId="37312"/>
    <cellStyle name="40% - Accent1 2 4 11" xfId="22598"/>
    <cellStyle name="40% - Accent1 2 4 12" xfId="39243"/>
    <cellStyle name="40% - Accent1 2 4 2" xfId="545"/>
    <cellStyle name="40% - Accent1 2 4 2 2" xfId="897"/>
    <cellStyle name="40% - Accent1 2 4 2 2 2" xfId="2396"/>
    <cellStyle name="40% - Accent1 2 4 2 2 2 2" xfId="19835"/>
    <cellStyle name="40% - Accent1 2 4 2 2 2 2 2" xfId="36056"/>
    <cellStyle name="40% - Accent1 2 4 2 2 2 3" xfId="10214"/>
    <cellStyle name="40% - Accent1 2 4 2 2 2 3 2" xfId="29368"/>
    <cellStyle name="40% - Accent1 2 4 2 2 2 4" xfId="24564"/>
    <cellStyle name="40% - Accent1 2 4 2 2 3" xfId="3895"/>
    <cellStyle name="40% - Accent1 2 4 2 2 3 2" xfId="16973"/>
    <cellStyle name="40% - Accent1 2 4 2 2 3 2 2" xfId="33194"/>
    <cellStyle name="40% - Accent1 2 4 2 2 3 3" xfId="26062"/>
    <cellStyle name="40% - Accent1 2 4 2 2 4" xfId="18078"/>
    <cellStyle name="40% - Accent1 2 4 2 2 4 2" xfId="34299"/>
    <cellStyle name="40% - Accent1 2 4 2 2 5" xfId="5911"/>
    <cellStyle name="40% - Accent1 2 4 2 2 5 2" xfId="27216"/>
    <cellStyle name="40% - Accent1 2 4 2 2 6" xfId="21568"/>
    <cellStyle name="40% - Accent1 2 4 2 2 6 2" xfId="37780"/>
    <cellStyle name="40% - Accent1 2 4 2 2 7" xfId="23066"/>
    <cellStyle name="40% - Accent1 2 4 2 3" xfId="1248"/>
    <cellStyle name="40% - Accent1 2 4 2 3 2" xfId="2747"/>
    <cellStyle name="40% - Accent1 2 4 2 3 2 2" xfId="19834"/>
    <cellStyle name="40% - Accent1 2 4 2 3 2 2 2" xfId="36055"/>
    <cellStyle name="40% - Accent1 2 4 2 3 2 3" xfId="24915"/>
    <cellStyle name="40% - Accent1 2 4 2 3 3" xfId="4246"/>
    <cellStyle name="40% - Accent1 2 4 2 3 3 2" xfId="26413"/>
    <cellStyle name="40% - Accent1 2 4 2 3 4" xfId="10213"/>
    <cellStyle name="40% - Accent1 2 4 2 3 4 2" xfId="29367"/>
    <cellStyle name="40% - Accent1 2 4 2 3 5" xfId="21919"/>
    <cellStyle name="40% - Accent1 2 4 2 3 5 2" xfId="38131"/>
    <cellStyle name="40% - Accent1 2 4 2 3 6" xfId="23417"/>
    <cellStyle name="40% - Accent1 2 4 2 4" xfId="1599"/>
    <cellStyle name="40% - Accent1 2 4 2 4 2" xfId="3098"/>
    <cellStyle name="40% - Accent1 2 4 2 4 2 2" xfId="25266"/>
    <cellStyle name="40% - Accent1 2 4 2 4 3" xfId="4597"/>
    <cellStyle name="40% - Accent1 2 4 2 4 3 2" xfId="26764"/>
    <cellStyle name="40% - Accent1 2 4 2 4 4" xfId="15388"/>
    <cellStyle name="40% - Accent1 2 4 2 4 4 2" xfId="31610"/>
    <cellStyle name="40% - Accent1 2 4 2 4 5" xfId="22270"/>
    <cellStyle name="40% - Accent1 2 4 2 4 5 2" xfId="38482"/>
    <cellStyle name="40% - Accent1 2 4 2 4 6" xfId="23768"/>
    <cellStyle name="40% - Accent1 2 4 2 5" xfId="2045"/>
    <cellStyle name="40% - Accent1 2 4 2 5 2" xfId="18077"/>
    <cellStyle name="40% - Accent1 2 4 2 5 2 2" xfId="34298"/>
    <cellStyle name="40% - Accent1 2 4 2 5 3" xfId="24213"/>
    <cellStyle name="40% - Accent1 2 4 2 6" xfId="3544"/>
    <cellStyle name="40% - Accent1 2 4 2 6 2" xfId="25711"/>
    <cellStyle name="40% - Accent1 2 4 2 7" xfId="5912"/>
    <cellStyle name="40% - Accent1 2 4 2 7 2" xfId="27217"/>
    <cellStyle name="40% - Accent1 2 4 2 8" xfId="21217"/>
    <cellStyle name="40% - Accent1 2 4 2 8 2" xfId="37429"/>
    <cellStyle name="40% - Accent1 2 4 2 9" xfId="22715"/>
    <cellStyle name="40% - Accent1 2 4 3" xfId="663"/>
    <cellStyle name="40% - Accent1 2 4 3 2" xfId="1014"/>
    <cellStyle name="40% - Accent1 2 4 3 2 2" xfId="2513"/>
    <cellStyle name="40% - Accent1 2 4 3 2 2 2" xfId="19836"/>
    <cellStyle name="40% - Accent1 2 4 3 2 2 2 2" xfId="36057"/>
    <cellStyle name="40% - Accent1 2 4 3 2 2 3" xfId="24681"/>
    <cellStyle name="40% - Accent1 2 4 3 2 3" xfId="4012"/>
    <cellStyle name="40% - Accent1 2 4 3 2 3 2" xfId="26179"/>
    <cellStyle name="40% - Accent1 2 4 3 2 4" xfId="10215"/>
    <cellStyle name="40% - Accent1 2 4 3 2 4 2" xfId="29369"/>
    <cellStyle name="40% - Accent1 2 4 3 2 5" xfId="21685"/>
    <cellStyle name="40% - Accent1 2 4 3 2 5 2" xfId="37897"/>
    <cellStyle name="40% - Accent1 2 4 3 2 6" xfId="23183"/>
    <cellStyle name="40% - Accent1 2 4 3 3" xfId="1365"/>
    <cellStyle name="40% - Accent1 2 4 3 3 2" xfId="2864"/>
    <cellStyle name="40% - Accent1 2 4 3 3 2 2" xfId="25032"/>
    <cellStyle name="40% - Accent1 2 4 3 3 3" xfId="4363"/>
    <cellStyle name="40% - Accent1 2 4 3 3 3 2" xfId="26530"/>
    <cellStyle name="40% - Accent1 2 4 3 3 4" xfId="16181"/>
    <cellStyle name="40% - Accent1 2 4 3 3 4 2" xfId="32402"/>
    <cellStyle name="40% - Accent1 2 4 3 3 5" xfId="22036"/>
    <cellStyle name="40% - Accent1 2 4 3 3 5 2" xfId="38248"/>
    <cellStyle name="40% - Accent1 2 4 3 3 6" xfId="23534"/>
    <cellStyle name="40% - Accent1 2 4 3 4" xfId="1716"/>
    <cellStyle name="40% - Accent1 2 4 3 4 2" xfId="3215"/>
    <cellStyle name="40% - Accent1 2 4 3 4 2 2" xfId="25383"/>
    <cellStyle name="40% - Accent1 2 4 3 4 3" xfId="4714"/>
    <cellStyle name="40% - Accent1 2 4 3 4 3 2" xfId="26881"/>
    <cellStyle name="40% - Accent1 2 4 3 4 4" xfId="18079"/>
    <cellStyle name="40% - Accent1 2 4 3 4 4 2" xfId="34300"/>
    <cellStyle name="40% - Accent1 2 4 3 4 5" xfId="22387"/>
    <cellStyle name="40% - Accent1 2 4 3 4 5 2" xfId="38599"/>
    <cellStyle name="40% - Accent1 2 4 3 4 6" xfId="23885"/>
    <cellStyle name="40% - Accent1 2 4 3 5" xfId="2162"/>
    <cellStyle name="40% - Accent1 2 4 3 5 2" xfId="24330"/>
    <cellStyle name="40% - Accent1 2 4 3 6" xfId="3661"/>
    <cellStyle name="40% - Accent1 2 4 3 6 2" xfId="25828"/>
    <cellStyle name="40% - Accent1 2 4 3 7" xfId="5910"/>
    <cellStyle name="40% - Accent1 2 4 3 7 2" xfId="27215"/>
    <cellStyle name="40% - Accent1 2 4 3 8" xfId="21334"/>
    <cellStyle name="40% - Accent1 2 4 3 8 2" xfId="37546"/>
    <cellStyle name="40% - Accent1 2 4 3 9" xfId="22832"/>
    <cellStyle name="40% - Accent1 2 4 4" xfId="780"/>
    <cellStyle name="40% - Accent1 2 4 4 2" xfId="2279"/>
    <cellStyle name="40% - Accent1 2 4 4 2 2" xfId="19833"/>
    <cellStyle name="40% - Accent1 2 4 4 2 2 2" xfId="36054"/>
    <cellStyle name="40% - Accent1 2 4 4 2 3" xfId="24447"/>
    <cellStyle name="40% - Accent1 2 4 4 3" xfId="3778"/>
    <cellStyle name="40% - Accent1 2 4 4 3 2" xfId="25945"/>
    <cellStyle name="40% - Accent1 2 4 4 4" xfId="10212"/>
    <cellStyle name="40% - Accent1 2 4 4 4 2" xfId="29366"/>
    <cellStyle name="40% - Accent1 2 4 4 5" xfId="21451"/>
    <cellStyle name="40% - Accent1 2 4 4 5 2" xfId="37663"/>
    <cellStyle name="40% - Accent1 2 4 4 6" xfId="22949"/>
    <cellStyle name="40% - Accent1 2 4 5" xfId="1131"/>
    <cellStyle name="40% - Accent1 2 4 5 2" xfId="2630"/>
    <cellStyle name="40% - Accent1 2 4 5 2 2" xfId="24798"/>
    <cellStyle name="40% - Accent1 2 4 5 3" xfId="4129"/>
    <cellStyle name="40% - Accent1 2 4 5 3 2" xfId="26296"/>
    <cellStyle name="40% - Accent1 2 4 5 4" xfId="14596"/>
    <cellStyle name="40% - Accent1 2 4 5 4 2" xfId="30818"/>
    <cellStyle name="40% - Accent1 2 4 5 5" xfId="21802"/>
    <cellStyle name="40% - Accent1 2 4 5 5 2" xfId="38014"/>
    <cellStyle name="40% - Accent1 2 4 5 6" xfId="23300"/>
    <cellStyle name="40% - Accent1 2 4 6" xfId="1482"/>
    <cellStyle name="40% - Accent1 2 4 6 2" xfId="2981"/>
    <cellStyle name="40% - Accent1 2 4 6 2 2" xfId="25149"/>
    <cellStyle name="40% - Accent1 2 4 6 3" xfId="4480"/>
    <cellStyle name="40% - Accent1 2 4 6 3 2" xfId="26647"/>
    <cellStyle name="40% - Accent1 2 4 6 4" xfId="18076"/>
    <cellStyle name="40% - Accent1 2 4 6 4 2" xfId="34297"/>
    <cellStyle name="40% - Accent1 2 4 6 5" xfId="22153"/>
    <cellStyle name="40% - Accent1 2 4 6 5 2" xfId="38365"/>
    <cellStyle name="40% - Accent1 2 4 6 6" xfId="23651"/>
    <cellStyle name="40% - Accent1 2 4 7" xfId="1928"/>
    <cellStyle name="40% - Accent1 2 4 7 2" xfId="24096"/>
    <cellStyle name="40% - Accent1 2 4 8" xfId="3427"/>
    <cellStyle name="40% - Accent1 2 4 8 2" xfId="25594"/>
    <cellStyle name="40% - Accent1 2 4 9" xfId="5913"/>
    <cellStyle name="40% - Accent1 2 4 9 2" xfId="27218"/>
    <cellStyle name="40% - Accent1 2 5" xfId="452"/>
    <cellStyle name="40% - Accent1 2 5 10" xfId="21125"/>
    <cellStyle name="40% - Accent1 2 5 10 2" xfId="37337"/>
    <cellStyle name="40% - Accent1 2 5 11" xfId="22623"/>
    <cellStyle name="40% - Accent1 2 5 12" xfId="39392"/>
    <cellStyle name="40% - Accent1 2 5 2" xfId="570"/>
    <cellStyle name="40% - Accent1 2 5 2 2" xfId="922"/>
    <cellStyle name="40% - Accent1 2 5 2 2 2" xfId="2421"/>
    <cellStyle name="40% - Accent1 2 5 2 2 2 2" xfId="19839"/>
    <cellStyle name="40% - Accent1 2 5 2 2 2 2 2" xfId="36060"/>
    <cellStyle name="40% - Accent1 2 5 2 2 2 3" xfId="10218"/>
    <cellStyle name="40% - Accent1 2 5 2 2 2 3 2" xfId="29372"/>
    <cellStyle name="40% - Accent1 2 5 2 2 2 4" xfId="24589"/>
    <cellStyle name="40% - Accent1 2 5 2 2 3" xfId="3920"/>
    <cellStyle name="40% - Accent1 2 5 2 2 3 2" xfId="17237"/>
    <cellStyle name="40% - Accent1 2 5 2 2 3 2 2" xfId="33458"/>
    <cellStyle name="40% - Accent1 2 5 2 2 3 3" xfId="26087"/>
    <cellStyle name="40% - Accent1 2 5 2 2 4" xfId="18082"/>
    <cellStyle name="40% - Accent1 2 5 2 2 4 2" xfId="34303"/>
    <cellStyle name="40% - Accent1 2 5 2 2 5" xfId="5907"/>
    <cellStyle name="40% - Accent1 2 5 2 2 5 2" xfId="27212"/>
    <cellStyle name="40% - Accent1 2 5 2 2 6" xfId="21593"/>
    <cellStyle name="40% - Accent1 2 5 2 2 6 2" xfId="37805"/>
    <cellStyle name="40% - Accent1 2 5 2 2 7" xfId="23091"/>
    <cellStyle name="40% - Accent1 2 5 2 3" xfId="1273"/>
    <cellStyle name="40% - Accent1 2 5 2 3 2" xfId="2772"/>
    <cellStyle name="40% - Accent1 2 5 2 3 2 2" xfId="19838"/>
    <cellStyle name="40% - Accent1 2 5 2 3 2 2 2" xfId="36059"/>
    <cellStyle name="40% - Accent1 2 5 2 3 2 3" xfId="24940"/>
    <cellStyle name="40% - Accent1 2 5 2 3 3" xfId="4271"/>
    <cellStyle name="40% - Accent1 2 5 2 3 3 2" xfId="26438"/>
    <cellStyle name="40% - Accent1 2 5 2 3 4" xfId="10217"/>
    <cellStyle name="40% - Accent1 2 5 2 3 4 2" xfId="29371"/>
    <cellStyle name="40% - Accent1 2 5 2 3 5" xfId="21944"/>
    <cellStyle name="40% - Accent1 2 5 2 3 5 2" xfId="38156"/>
    <cellStyle name="40% - Accent1 2 5 2 3 6" xfId="23442"/>
    <cellStyle name="40% - Accent1 2 5 2 4" xfId="1624"/>
    <cellStyle name="40% - Accent1 2 5 2 4 2" xfId="3123"/>
    <cellStyle name="40% - Accent1 2 5 2 4 2 2" xfId="25291"/>
    <cellStyle name="40% - Accent1 2 5 2 4 3" xfId="4622"/>
    <cellStyle name="40% - Accent1 2 5 2 4 3 2" xfId="26789"/>
    <cellStyle name="40% - Accent1 2 5 2 4 4" xfId="15652"/>
    <cellStyle name="40% - Accent1 2 5 2 4 4 2" xfId="31874"/>
    <cellStyle name="40% - Accent1 2 5 2 4 5" xfId="22295"/>
    <cellStyle name="40% - Accent1 2 5 2 4 5 2" xfId="38507"/>
    <cellStyle name="40% - Accent1 2 5 2 4 6" xfId="23793"/>
    <cellStyle name="40% - Accent1 2 5 2 5" xfId="2070"/>
    <cellStyle name="40% - Accent1 2 5 2 5 2" xfId="18081"/>
    <cellStyle name="40% - Accent1 2 5 2 5 2 2" xfId="34302"/>
    <cellStyle name="40% - Accent1 2 5 2 5 3" xfId="24238"/>
    <cellStyle name="40% - Accent1 2 5 2 6" xfId="3569"/>
    <cellStyle name="40% - Accent1 2 5 2 6 2" xfId="25736"/>
    <cellStyle name="40% - Accent1 2 5 2 7" xfId="5908"/>
    <cellStyle name="40% - Accent1 2 5 2 7 2" xfId="27213"/>
    <cellStyle name="40% - Accent1 2 5 2 8" xfId="21242"/>
    <cellStyle name="40% - Accent1 2 5 2 8 2" xfId="37454"/>
    <cellStyle name="40% - Accent1 2 5 2 9" xfId="22740"/>
    <cellStyle name="40% - Accent1 2 5 3" xfId="688"/>
    <cellStyle name="40% - Accent1 2 5 3 2" xfId="1039"/>
    <cellStyle name="40% - Accent1 2 5 3 2 2" xfId="2538"/>
    <cellStyle name="40% - Accent1 2 5 3 2 2 2" xfId="19840"/>
    <cellStyle name="40% - Accent1 2 5 3 2 2 2 2" xfId="36061"/>
    <cellStyle name="40% - Accent1 2 5 3 2 2 3" xfId="24706"/>
    <cellStyle name="40% - Accent1 2 5 3 2 3" xfId="4037"/>
    <cellStyle name="40% - Accent1 2 5 3 2 3 2" xfId="26204"/>
    <cellStyle name="40% - Accent1 2 5 3 2 4" xfId="10219"/>
    <cellStyle name="40% - Accent1 2 5 3 2 4 2" xfId="29373"/>
    <cellStyle name="40% - Accent1 2 5 3 2 5" xfId="21710"/>
    <cellStyle name="40% - Accent1 2 5 3 2 5 2" xfId="37922"/>
    <cellStyle name="40% - Accent1 2 5 3 2 6" xfId="23208"/>
    <cellStyle name="40% - Accent1 2 5 3 3" xfId="1390"/>
    <cellStyle name="40% - Accent1 2 5 3 3 2" xfId="2889"/>
    <cellStyle name="40% - Accent1 2 5 3 3 2 2" xfId="25057"/>
    <cellStyle name="40% - Accent1 2 5 3 3 3" xfId="4388"/>
    <cellStyle name="40% - Accent1 2 5 3 3 3 2" xfId="26555"/>
    <cellStyle name="40% - Accent1 2 5 3 3 4" xfId="16445"/>
    <cellStyle name="40% - Accent1 2 5 3 3 4 2" xfId="32666"/>
    <cellStyle name="40% - Accent1 2 5 3 3 5" xfId="22061"/>
    <cellStyle name="40% - Accent1 2 5 3 3 5 2" xfId="38273"/>
    <cellStyle name="40% - Accent1 2 5 3 3 6" xfId="23559"/>
    <cellStyle name="40% - Accent1 2 5 3 4" xfId="1741"/>
    <cellStyle name="40% - Accent1 2 5 3 4 2" xfId="3240"/>
    <cellStyle name="40% - Accent1 2 5 3 4 2 2" xfId="25408"/>
    <cellStyle name="40% - Accent1 2 5 3 4 3" xfId="4739"/>
    <cellStyle name="40% - Accent1 2 5 3 4 3 2" xfId="26906"/>
    <cellStyle name="40% - Accent1 2 5 3 4 4" xfId="18083"/>
    <cellStyle name="40% - Accent1 2 5 3 4 4 2" xfId="34304"/>
    <cellStyle name="40% - Accent1 2 5 3 4 5" xfId="22412"/>
    <cellStyle name="40% - Accent1 2 5 3 4 5 2" xfId="38624"/>
    <cellStyle name="40% - Accent1 2 5 3 4 6" xfId="23910"/>
    <cellStyle name="40% - Accent1 2 5 3 5" xfId="2187"/>
    <cellStyle name="40% - Accent1 2 5 3 5 2" xfId="24355"/>
    <cellStyle name="40% - Accent1 2 5 3 6" xfId="3686"/>
    <cellStyle name="40% - Accent1 2 5 3 6 2" xfId="25853"/>
    <cellStyle name="40% - Accent1 2 5 3 7" xfId="5906"/>
    <cellStyle name="40% - Accent1 2 5 3 7 2" xfId="27211"/>
    <cellStyle name="40% - Accent1 2 5 3 8" xfId="21359"/>
    <cellStyle name="40% - Accent1 2 5 3 8 2" xfId="37571"/>
    <cellStyle name="40% - Accent1 2 5 3 9" xfId="22857"/>
    <cellStyle name="40% - Accent1 2 5 4" xfId="805"/>
    <cellStyle name="40% - Accent1 2 5 4 2" xfId="2304"/>
    <cellStyle name="40% - Accent1 2 5 4 2 2" xfId="19837"/>
    <cellStyle name="40% - Accent1 2 5 4 2 2 2" xfId="36058"/>
    <cellStyle name="40% - Accent1 2 5 4 2 3" xfId="24472"/>
    <cellStyle name="40% - Accent1 2 5 4 3" xfId="3803"/>
    <cellStyle name="40% - Accent1 2 5 4 3 2" xfId="25970"/>
    <cellStyle name="40% - Accent1 2 5 4 4" xfId="10216"/>
    <cellStyle name="40% - Accent1 2 5 4 4 2" xfId="29370"/>
    <cellStyle name="40% - Accent1 2 5 4 5" xfId="21476"/>
    <cellStyle name="40% - Accent1 2 5 4 5 2" xfId="37688"/>
    <cellStyle name="40% - Accent1 2 5 4 6" xfId="22974"/>
    <cellStyle name="40% - Accent1 2 5 5" xfId="1156"/>
    <cellStyle name="40% - Accent1 2 5 5 2" xfId="2655"/>
    <cellStyle name="40% - Accent1 2 5 5 2 2" xfId="24823"/>
    <cellStyle name="40% - Accent1 2 5 5 3" xfId="4154"/>
    <cellStyle name="40% - Accent1 2 5 5 3 2" xfId="26321"/>
    <cellStyle name="40% - Accent1 2 5 5 4" xfId="14860"/>
    <cellStyle name="40% - Accent1 2 5 5 4 2" xfId="31082"/>
    <cellStyle name="40% - Accent1 2 5 5 5" xfId="21827"/>
    <cellStyle name="40% - Accent1 2 5 5 5 2" xfId="38039"/>
    <cellStyle name="40% - Accent1 2 5 5 6" xfId="23325"/>
    <cellStyle name="40% - Accent1 2 5 6" xfId="1507"/>
    <cellStyle name="40% - Accent1 2 5 6 2" xfId="3006"/>
    <cellStyle name="40% - Accent1 2 5 6 2 2" xfId="25174"/>
    <cellStyle name="40% - Accent1 2 5 6 3" xfId="4505"/>
    <cellStyle name="40% - Accent1 2 5 6 3 2" xfId="26672"/>
    <cellStyle name="40% - Accent1 2 5 6 4" xfId="18080"/>
    <cellStyle name="40% - Accent1 2 5 6 4 2" xfId="34301"/>
    <cellStyle name="40% - Accent1 2 5 6 5" xfId="22178"/>
    <cellStyle name="40% - Accent1 2 5 6 5 2" xfId="38390"/>
    <cellStyle name="40% - Accent1 2 5 6 6" xfId="23676"/>
    <cellStyle name="40% - Accent1 2 5 7" xfId="1953"/>
    <cellStyle name="40% - Accent1 2 5 7 2" xfId="24121"/>
    <cellStyle name="40% - Accent1 2 5 8" xfId="3452"/>
    <cellStyle name="40% - Accent1 2 5 8 2" xfId="25619"/>
    <cellStyle name="40% - Accent1 2 5 9" xfId="5909"/>
    <cellStyle name="40% - Accent1 2 5 9 2" xfId="27214"/>
    <cellStyle name="40% - Accent1 2 6" xfId="470"/>
    <cellStyle name="40% - Accent1 2 6 10" xfId="21143"/>
    <cellStyle name="40% - Accent1 2 6 10 2" xfId="37355"/>
    <cellStyle name="40% - Accent1 2 6 11" xfId="22641"/>
    <cellStyle name="40% - Accent1 2 6 2" xfId="588"/>
    <cellStyle name="40% - Accent1 2 6 2 2" xfId="940"/>
    <cellStyle name="40% - Accent1 2 6 2 2 2" xfId="2439"/>
    <cellStyle name="40% - Accent1 2 6 2 2 2 2" xfId="19842"/>
    <cellStyle name="40% - Accent1 2 6 2 2 2 2 2" xfId="36063"/>
    <cellStyle name="40% - Accent1 2 6 2 2 2 3" xfId="24607"/>
    <cellStyle name="40% - Accent1 2 6 2 2 3" xfId="3938"/>
    <cellStyle name="40% - Accent1 2 6 2 2 3 2" xfId="26105"/>
    <cellStyle name="40% - Accent1 2 6 2 2 4" xfId="10221"/>
    <cellStyle name="40% - Accent1 2 6 2 2 4 2" xfId="29375"/>
    <cellStyle name="40% - Accent1 2 6 2 2 5" xfId="21611"/>
    <cellStyle name="40% - Accent1 2 6 2 2 5 2" xfId="37823"/>
    <cellStyle name="40% - Accent1 2 6 2 2 6" xfId="23109"/>
    <cellStyle name="40% - Accent1 2 6 2 3" xfId="1291"/>
    <cellStyle name="40% - Accent1 2 6 2 3 2" xfId="2790"/>
    <cellStyle name="40% - Accent1 2 6 2 3 2 2" xfId="24958"/>
    <cellStyle name="40% - Accent1 2 6 2 3 3" xfId="4289"/>
    <cellStyle name="40% - Accent1 2 6 2 3 3 2" xfId="26456"/>
    <cellStyle name="40% - Accent1 2 6 2 3 4" xfId="16709"/>
    <cellStyle name="40% - Accent1 2 6 2 3 4 2" xfId="32930"/>
    <cellStyle name="40% - Accent1 2 6 2 3 5" xfId="21962"/>
    <cellStyle name="40% - Accent1 2 6 2 3 5 2" xfId="38174"/>
    <cellStyle name="40% - Accent1 2 6 2 3 6" xfId="23460"/>
    <cellStyle name="40% - Accent1 2 6 2 4" xfId="1642"/>
    <cellStyle name="40% - Accent1 2 6 2 4 2" xfId="3141"/>
    <cellStyle name="40% - Accent1 2 6 2 4 2 2" xfId="25309"/>
    <cellStyle name="40% - Accent1 2 6 2 4 3" xfId="4640"/>
    <cellStyle name="40% - Accent1 2 6 2 4 3 2" xfId="26807"/>
    <cellStyle name="40% - Accent1 2 6 2 4 4" xfId="18085"/>
    <cellStyle name="40% - Accent1 2 6 2 4 4 2" xfId="34306"/>
    <cellStyle name="40% - Accent1 2 6 2 4 5" xfId="22313"/>
    <cellStyle name="40% - Accent1 2 6 2 4 5 2" xfId="38525"/>
    <cellStyle name="40% - Accent1 2 6 2 4 6" xfId="23811"/>
    <cellStyle name="40% - Accent1 2 6 2 5" xfId="2088"/>
    <cellStyle name="40% - Accent1 2 6 2 5 2" xfId="24256"/>
    <cellStyle name="40% - Accent1 2 6 2 6" xfId="3587"/>
    <cellStyle name="40% - Accent1 2 6 2 6 2" xfId="25754"/>
    <cellStyle name="40% - Accent1 2 6 2 7" xfId="5904"/>
    <cellStyle name="40% - Accent1 2 6 2 7 2" xfId="27209"/>
    <cellStyle name="40% - Accent1 2 6 2 8" xfId="21260"/>
    <cellStyle name="40% - Accent1 2 6 2 8 2" xfId="37472"/>
    <cellStyle name="40% - Accent1 2 6 2 9" xfId="22758"/>
    <cellStyle name="40% - Accent1 2 6 3" xfId="706"/>
    <cellStyle name="40% - Accent1 2 6 3 2" xfId="1057"/>
    <cellStyle name="40% - Accent1 2 6 3 2 2" xfId="2556"/>
    <cellStyle name="40% - Accent1 2 6 3 2 2 2" xfId="24724"/>
    <cellStyle name="40% - Accent1 2 6 3 2 3" xfId="4055"/>
    <cellStyle name="40% - Accent1 2 6 3 2 3 2" xfId="26222"/>
    <cellStyle name="40% - Accent1 2 6 3 2 4" xfId="19841"/>
    <cellStyle name="40% - Accent1 2 6 3 2 4 2" xfId="36062"/>
    <cellStyle name="40% - Accent1 2 6 3 2 5" xfId="21728"/>
    <cellStyle name="40% - Accent1 2 6 3 2 5 2" xfId="37940"/>
    <cellStyle name="40% - Accent1 2 6 3 2 6" xfId="23226"/>
    <cellStyle name="40% - Accent1 2 6 3 3" xfId="1408"/>
    <cellStyle name="40% - Accent1 2 6 3 3 2" xfId="2907"/>
    <cellStyle name="40% - Accent1 2 6 3 3 2 2" xfId="25075"/>
    <cellStyle name="40% - Accent1 2 6 3 3 3" xfId="4406"/>
    <cellStyle name="40% - Accent1 2 6 3 3 3 2" xfId="26573"/>
    <cellStyle name="40% - Accent1 2 6 3 3 4" xfId="22079"/>
    <cellStyle name="40% - Accent1 2 6 3 3 4 2" xfId="38291"/>
    <cellStyle name="40% - Accent1 2 6 3 3 5" xfId="23577"/>
    <cellStyle name="40% - Accent1 2 6 3 4" xfId="1759"/>
    <cellStyle name="40% - Accent1 2 6 3 4 2" xfId="3258"/>
    <cellStyle name="40% - Accent1 2 6 3 4 2 2" xfId="25426"/>
    <cellStyle name="40% - Accent1 2 6 3 4 3" xfId="4757"/>
    <cellStyle name="40% - Accent1 2 6 3 4 3 2" xfId="26924"/>
    <cellStyle name="40% - Accent1 2 6 3 4 4" xfId="22430"/>
    <cellStyle name="40% - Accent1 2 6 3 4 4 2" xfId="38642"/>
    <cellStyle name="40% - Accent1 2 6 3 4 5" xfId="23928"/>
    <cellStyle name="40% - Accent1 2 6 3 5" xfId="2205"/>
    <cellStyle name="40% - Accent1 2 6 3 5 2" xfId="24373"/>
    <cellStyle name="40% - Accent1 2 6 3 6" xfId="3704"/>
    <cellStyle name="40% - Accent1 2 6 3 6 2" xfId="25871"/>
    <cellStyle name="40% - Accent1 2 6 3 7" xfId="10220"/>
    <cellStyle name="40% - Accent1 2 6 3 7 2" xfId="29374"/>
    <cellStyle name="40% - Accent1 2 6 3 8" xfId="21377"/>
    <cellStyle name="40% - Accent1 2 6 3 8 2" xfId="37589"/>
    <cellStyle name="40% - Accent1 2 6 3 9" xfId="22875"/>
    <cellStyle name="40% - Accent1 2 6 4" xfId="823"/>
    <cellStyle name="40% - Accent1 2 6 4 2" xfId="2322"/>
    <cellStyle name="40% - Accent1 2 6 4 2 2" xfId="24490"/>
    <cellStyle name="40% - Accent1 2 6 4 3" xfId="3821"/>
    <cellStyle name="40% - Accent1 2 6 4 3 2" xfId="25988"/>
    <cellStyle name="40% - Accent1 2 6 4 4" xfId="15124"/>
    <cellStyle name="40% - Accent1 2 6 4 4 2" xfId="31346"/>
    <cellStyle name="40% - Accent1 2 6 4 5" xfId="21494"/>
    <cellStyle name="40% - Accent1 2 6 4 5 2" xfId="37706"/>
    <cellStyle name="40% - Accent1 2 6 4 6" xfId="22992"/>
    <cellStyle name="40% - Accent1 2 6 5" xfId="1174"/>
    <cellStyle name="40% - Accent1 2 6 5 2" xfId="2673"/>
    <cellStyle name="40% - Accent1 2 6 5 2 2" xfId="24841"/>
    <cellStyle name="40% - Accent1 2 6 5 3" xfId="4172"/>
    <cellStyle name="40% - Accent1 2 6 5 3 2" xfId="26339"/>
    <cellStyle name="40% - Accent1 2 6 5 4" xfId="18084"/>
    <cellStyle name="40% - Accent1 2 6 5 4 2" xfId="34305"/>
    <cellStyle name="40% - Accent1 2 6 5 5" xfId="21845"/>
    <cellStyle name="40% - Accent1 2 6 5 5 2" xfId="38057"/>
    <cellStyle name="40% - Accent1 2 6 5 6" xfId="23343"/>
    <cellStyle name="40% - Accent1 2 6 6" xfId="1525"/>
    <cellStyle name="40% - Accent1 2 6 6 2" xfId="3024"/>
    <cellStyle name="40% - Accent1 2 6 6 2 2" xfId="25192"/>
    <cellStyle name="40% - Accent1 2 6 6 3" xfId="4523"/>
    <cellStyle name="40% - Accent1 2 6 6 3 2" xfId="26690"/>
    <cellStyle name="40% - Accent1 2 6 6 4" xfId="22196"/>
    <cellStyle name="40% - Accent1 2 6 6 4 2" xfId="38408"/>
    <cellStyle name="40% - Accent1 2 6 6 5" xfId="23694"/>
    <cellStyle name="40% - Accent1 2 6 7" xfId="1971"/>
    <cellStyle name="40% - Accent1 2 6 7 2" xfId="24139"/>
    <cellStyle name="40% - Accent1 2 6 8" xfId="3470"/>
    <cellStyle name="40% - Accent1 2 6 8 2" xfId="25637"/>
    <cellStyle name="40% - Accent1 2 6 9" xfId="5905"/>
    <cellStyle name="40% - Accent1 2 6 9 2" xfId="27210"/>
    <cellStyle name="40% - Accent1 2 7" xfId="483"/>
    <cellStyle name="40% - Accent1 2 7 10" xfId="21156"/>
    <cellStyle name="40% - Accent1 2 7 10 2" xfId="37368"/>
    <cellStyle name="40% - Accent1 2 7 11" xfId="22654"/>
    <cellStyle name="40% - Accent1 2 7 2" xfId="601"/>
    <cellStyle name="40% - Accent1 2 7 2 2" xfId="953"/>
    <cellStyle name="40% - Accent1 2 7 2 2 2" xfId="2452"/>
    <cellStyle name="40% - Accent1 2 7 2 2 2 2" xfId="24620"/>
    <cellStyle name="40% - Accent1 2 7 2 2 3" xfId="3951"/>
    <cellStyle name="40% - Accent1 2 7 2 2 3 2" xfId="26118"/>
    <cellStyle name="40% - Accent1 2 7 2 2 4" xfId="19843"/>
    <cellStyle name="40% - Accent1 2 7 2 2 4 2" xfId="36064"/>
    <cellStyle name="40% - Accent1 2 7 2 2 5" xfId="21624"/>
    <cellStyle name="40% - Accent1 2 7 2 2 5 2" xfId="37836"/>
    <cellStyle name="40% - Accent1 2 7 2 2 6" xfId="23122"/>
    <cellStyle name="40% - Accent1 2 7 2 3" xfId="1304"/>
    <cellStyle name="40% - Accent1 2 7 2 3 2" xfId="2803"/>
    <cellStyle name="40% - Accent1 2 7 2 3 2 2" xfId="24971"/>
    <cellStyle name="40% - Accent1 2 7 2 3 3" xfId="4302"/>
    <cellStyle name="40% - Accent1 2 7 2 3 3 2" xfId="26469"/>
    <cellStyle name="40% - Accent1 2 7 2 3 4" xfId="21975"/>
    <cellStyle name="40% - Accent1 2 7 2 3 4 2" xfId="38187"/>
    <cellStyle name="40% - Accent1 2 7 2 3 5" xfId="23473"/>
    <cellStyle name="40% - Accent1 2 7 2 4" xfId="1655"/>
    <cellStyle name="40% - Accent1 2 7 2 4 2" xfId="3154"/>
    <cellStyle name="40% - Accent1 2 7 2 4 2 2" xfId="25322"/>
    <cellStyle name="40% - Accent1 2 7 2 4 3" xfId="4653"/>
    <cellStyle name="40% - Accent1 2 7 2 4 3 2" xfId="26820"/>
    <cellStyle name="40% - Accent1 2 7 2 4 4" xfId="22326"/>
    <cellStyle name="40% - Accent1 2 7 2 4 4 2" xfId="38538"/>
    <cellStyle name="40% - Accent1 2 7 2 4 5" xfId="23824"/>
    <cellStyle name="40% - Accent1 2 7 2 5" xfId="2101"/>
    <cellStyle name="40% - Accent1 2 7 2 5 2" xfId="24269"/>
    <cellStyle name="40% - Accent1 2 7 2 6" xfId="3600"/>
    <cellStyle name="40% - Accent1 2 7 2 6 2" xfId="25767"/>
    <cellStyle name="40% - Accent1 2 7 2 7" xfId="10222"/>
    <cellStyle name="40% - Accent1 2 7 2 7 2" xfId="29376"/>
    <cellStyle name="40% - Accent1 2 7 2 8" xfId="21273"/>
    <cellStyle name="40% - Accent1 2 7 2 8 2" xfId="37485"/>
    <cellStyle name="40% - Accent1 2 7 2 9" xfId="22771"/>
    <cellStyle name="40% - Accent1 2 7 3" xfId="719"/>
    <cellStyle name="40% - Accent1 2 7 3 2" xfId="1070"/>
    <cellStyle name="40% - Accent1 2 7 3 2 2" xfId="2569"/>
    <cellStyle name="40% - Accent1 2 7 3 2 2 2" xfId="24737"/>
    <cellStyle name="40% - Accent1 2 7 3 2 3" xfId="4068"/>
    <cellStyle name="40% - Accent1 2 7 3 2 3 2" xfId="26235"/>
    <cellStyle name="40% - Accent1 2 7 3 2 4" xfId="21741"/>
    <cellStyle name="40% - Accent1 2 7 3 2 4 2" xfId="37953"/>
    <cellStyle name="40% - Accent1 2 7 3 2 5" xfId="23239"/>
    <cellStyle name="40% - Accent1 2 7 3 3" xfId="1421"/>
    <cellStyle name="40% - Accent1 2 7 3 3 2" xfId="2920"/>
    <cellStyle name="40% - Accent1 2 7 3 3 2 2" xfId="25088"/>
    <cellStyle name="40% - Accent1 2 7 3 3 3" xfId="4419"/>
    <cellStyle name="40% - Accent1 2 7 3 3 3 2" xfId="26586"/>
    <cellStyle name="40% - Accent1 2 7 3 3 4" xfId="22092"/>
    <cellStyle name="40% - Accent1 2 7 3 3 4 2" xfId="38304"/>
    <cellStyle name="40% - Accent1 2 7 3 3 5" xfId="23590"/>
    <cellStyle name="40% - Accent1 2 7 3 4" xfId="1772"/>
    <cellStyle name="40% - Accent1 2 7 3 4 2" xfId="3271"/>
    <cellStyle name="40% - Accent1 2 7 3 4 2 2" xfId="25439"/>
    <cellStyle name="40% - Accent1 2 7 3 4 3" xfId="4770"/>
    <cellStyle name="40% - Accent1 2 7 3 4 3 2" xfId="26937"/>
    <cellStyle name="40% - Accent1 2 7 3 4 4" xfId="22443"/>
    <cellStyle name="40% - Accent1 2 7 3 4 4 2" xfId="38655"/>
    <cellStyle name="40% - Accent1 2 7 3 4 5" xfId="23941"/>
    <cellStyle name="40% - Accent1 2 7 3 5" xfId="2218"/>
    <cellStyle name="40% - Accent1 2 7 3 5 2" xfId="24386"/>
    <cellStyle name="40% - Accent1 2 7 3 6" xfId="3717"/>
    <cellStyle name="40% - Accent1 2 7 3 6 2" xfId="25884"/>
    <cellStyle name="40% - Accent1 2 7 3 7" xfId="15917"/>
    <cellStyle name="40% - Accent1 2 7 3 7 2" xfId="32138"/>
    <cellStyle name="40% - Accent1 2 7 3 8" xfId="21390"/>
    <cellStyle name="40% - Accent1 2 7 3 8 2" xfId="37602"/>
    <cellStyle name="40% - Accent1 2 7 3 9" xfId="22888"/>
    <cellStyle name="40% - Accent1 2 7 4" xfId="836"/>
    <cellStyle name="40% - Accent1 2 7 4 2" xfId="2335"/>
    <cellStyle name="40% - Accent1 2 7 4 2 2" xfId="24503"/>
    <cellStyle name="40% - Accent1 2 7 4 3" xfId="3834"/>
    <cellStyle name="40% - Accent1 2 7 4 3 2" xfId="26001"/>
    <cellStyle name="40% - Accent1 2 7 4 4" xfId="18086"/>
    <cellStyle name="40% - Accent1 2 7 4 4 2" xfId="34307"/>
    <cellStyle name="40% - Accent1 2 7 4 5" xfId="21507"/>
    <cellStyle name="40% - Accent1 2 7 4 5 2" xfId="37719"/>
    <cellStyle name="40% - Accent1 2 7 4 6" xfId="23005"/>
    <cellStyle name="40% - Accent1 2 7 5" xfId="1187"/>
    <cellStyle name="40% - Accent1 2 7 5 2" xfId="2686"/>
    <cellStyle name="40% - Accent1 2 7 5 2 2" xfId="24854"/>
    <cellStyle name="40% - Accent1 2 7 5 3" xfId="4185"/>
    <cellStyle name="40% - Accent1 2 7 5 3 2" xfId="26352"/>
    <cellStyle name="40% - Accent1 2 7 5 4" xfId="21858"/>
    <cellStyle name="40% - Accent1 2 7 5 4 2" xfId="38070"/>
    <cellStyle name="40% - Accent1 2 7 5 5" xfId="23356"/>
    <cellStyle name="40% - Accent1 2 7 6" xfId="1538"/>
    <cellStyle name="40% - Accent1 2 7 6 2" xfId="3037"/>
    <cellStyle name="40% - Accent1 2 7 6 2 2" xfId="25205"/>
    <cellStyle name="40% - Accent1 2 7 6 3" xfId="4536"/>
    <cellStyle name="40% - Accent1 2 7 6 3 2" xfId="26703"/>
    <cellStyle name="40% - Accent1 2 7 6 4" xfId="22209"/>
    <cellStyle name="40% - Accent1 2 7 6 4 2" xfId="38421"/>
    <cellStyle name="40% - Accent1 2 7 6 5" xfId="23707"/>
    <cellStyle name="40% - Accent1 2 7 7" xfId="1984"/>
    <cellStyle name="40% - Accent1 2 7 7 2" xfId="24152"/>
    <cellStyle name="40% - Accent1 2 7 8" xfId="3483"/>
    <cellStyle name="40% - Accent1 2 7 8 2" xfId="25650"/>
    <cellStyle name="40% - Accent1 2 7 9" xfId="5903"/>
    <cellStyle name="40% - Accent1 2 7 9 2" xfId="27208"/>
    <cellStyle name="40% - Accent1 2 8" xfId="518"/>
    <cellStyle name="40% - Accent1 2 8 2" xfId="870"/>
    <cellStyle name="40% - Accent1 2 8 2 2" xfId="2369"/>
    <cellStyle name="40% - Accent1 2 8 2 2 2" xfId="24537"/>
    <cellStyle name="40% - Accent1 2 8 2 3" xfId="3868"/>
    <cellStyle name="40% - Accent1 2 8 2 3 2" xfId="26035"/>
    <cellStyle name="40% - Accent1 2 8 2 4" xfId="19796"/>
    <cellStyle name="40% - Accent1 2 8 2 4 2" xfId="36017"/>
    <cellStyle name="40% - Accent1 2 8 2 5" xfId="21541"/>
    <cellStyle name="40% - Accent1 2 8 2 5 2" xfId="37753"/>
    <cellStyle name="40% - Accent1 2 8 2 6" xfId="23039"/>
    <cellStyle name="40% - Accent1 2 8 3" xfId="1221"/>
    <cellStyle name="40% - Accent1 2 8 3 2" xfId="2720"/>
    <cellStyle name="40% - Accent1 2 8 3 2 2" xfId="24888"/>
    <cellStyle name="40% - Accent1 2 8 3 3" xfId="4219"/>
    <cellStyle name="40% - Accent1 2 8 3 3 2" xfId="26386"/>
    <cellStyle name="40% - Accent1 2 8 3 4" xfId="21892"/>
    <cellStyle name="40% - Accent1 2 8 3 4 2" xfId="38104"/>
    <cellStyle name="40% - Accent1 2 8 3 5" xfId="23390"/>
    <cellStyle name="40% - Accent1 2 8 4" xfId="1572"/>
    <cellStyle name="40% - Accent1 2 8 4 2" xfId="3071"/>
    <cellStyle name="40% - Accent1 2 8 4 2 2" xfId="25239"/>
    <cellStyle name="40% - Accent1 2 8 4 3" xfId="4570"/>
    <cellStyle name="40% - Accent1 2 8 4 3 2" xfId="26737"/>
    <cellStyle name="40% - Accent1 2 8 4 4" xfId="22243"/>
    <cellStyle name="40% - Accent1 2 8 4 4 2" xfId="38455"/>
    <cellStyle name="40% - Accent1 2 8 4 5" xfId="23741"/>
    <cellStyle name="40% - Accent1 2 8 5" xfId="2018"/>
    <cellStyle name="40% - Accent1 2 8 5 2" xfId="24186"/>
    <cellStyle name="40% - Accent1 2 8 6" xfId="3517"/>
    <cellStyle name="40% - Accent1 2 8 6 2" xfId="25684"/>
    <cellStyle name="40% - Accent1 2 8 7" xfId="10175"/>
    <cellStyle name="40% - Accent1 2 8 7 2" xfId="29329"/>
    <cellStyle name="40% - Accent1 2 8 8" xfId="21190"/>
    <cellStyle name="40% - Accent1 2 8 8 2" xfId="37402"/>
    <cellStyle name="40% - Accent1 2 8 9" xfId="22688"/>
    <cellStyle name="40% - Accent1 2 9" xfId="636"/>
    <cellStyle name="40% - Accent1 2 9 2" xfId="987"/>
    <cellStyle name="40% - Accent1 2 9 2 2" xfId="2486"/>
    <cellStyle name="40% - Accent1 2 9 2 2 2" xfId="24654"/>
    <cellStyle name="40% - Accent1 2 9 2 3" xfId="3985"/>
    <cellStyle name="40% - Accent1 2 9 2 3 2" xfId="26152"/>
    <cellStyle name="40% - Accent1 2 9 2 4" xfId="21658"/>
    <cellStyle name="40% - Accent1 2 9 2 4 2" xfId="37870"/>
    <cellStyle name="40% - Accent1 2 9 2 5" xfId="23156"/>
    <cellStyle name="40% - Accent1 2 9 3" xfId="1338"/>
    <cellStyle name="40% - Accent1 2 9 3 2" xfId="2837"/>
    <cellStyle name="40% - Accent1 2 9 3 2 2" xfId="25005"/>
    <cellStyle name="40% - Accent1 2 9 3 3" xfId="4336"/>
    <cellStyle name="40% - Accent1 2 9 3 3 2" xfId="26503"/>
    <cellStyle name="40% - Accent1 2 9 3 4" xfId="22009"/>
    <cellStyle name="40% - Accent1 2 9 3 4 2" xfId="38221"/>
    <cellStyle name="40% - Accent1 2 9 3 5" xfId="23507"/>
    <cellStyle name="40% - Accent1 2 9 4" xfId="1689"/>
    <cellStyle name="40% - Accent1 2 9 4 2" xfId="3188"/>
    <cellStyle name="40% - Accent1 2 9 4 2 2" xfId="25356"/>
    <cellStyle name="40% - Accent1 2 9 4 3" xfId="4687"/>
    <cellStyle name="40% - Accent1 2 9 4 3 2" xfId="26854"/>
    <cellStyle name="40% - Accent1 2 9 4 4" xfId="22360"/>
    <cellStyle name="40% - Accent1 2 9 4 4 2" xfId="38572"/>
    <cellStyle name="40% - Accent1 2 9 4 5" xfId="23858"/>
    <cellStyle name="40% - Accent1 2 9 5" xfId="2135"/>
    <cellStyle name="40% - Accent1 2 9 5 2" xfId="24303"/>
    <cellStyle name="40% - Accent1 2 9 6" xfId="3634"/>
    <cellStyle name="40% - Accent1 2 9 6 2" xfId="25801"/>
    <cellStyle name="40% - Accent1 2 9 7" xfId="14332"/>
    <cellStyle name="40% - Accent1 2 9 7 2" xfId="30554"/>
    <cellStyle name="40% - Accent1 2 9 8" xfId="21307"/>
    <cellStyle name="40% - Accent1 2 9 8 2" xfId="37519"/>
    <cellStyle name="40% - Accent1 2 9 9" xfId="22805"/>
    <cellStyle name="40% - Accent1 3" xfId="401"/>
    <cellStyle name="40% - Accent1 3 10" xfId="5902"/>
    <cellStyle name="40% - Accent1 3 10 2" xfId="27207"/>
    <cellStyle name="40% - Accent1 3 11" xfId="21074"/>
    <cellStyle name="40% - Accent1 3 11 2" xfId="37286"/>
    <cellStyle name="40% - Accent1 3 12" xfId="22572"/>
    <cellStyle name="40% - Accent1 3 13" xfId="38974"/>
    <cellStyle name="40% - Accent1 3 2" xfId="453"/>
    <cellStyle name="40% - Accent1 3 2 10" xfId="21126"/>
    <cellStyle name="40% - Accent1 3 2 10 2" xfId="37338"/>
    <cellStyle name="40% - Accent1 3 2 11" xfId="22624"/>
    <cellStyle name="40% - Accent1 3 2 12" xfId="39016"/>
    <cellStyle name="40% - Accent1 3 2 2" xfId="571"/>
    <cellStyle name="40% - Accent1 3 2 2 10" xfId="39164"/>
    <cellStyle name="40% - Accent1 3 2 2 2" xfId="923"/>
    <cellStyle name="40% - Accent1 3 2 2 2 2" xfId="2422"/>
    <cellStyle name="40% - Accent1 3 2 2 2 2 2" xfId="10227"/>
    <cellStyle name="40% - Accent1 3 2 2 2 2 2 2" xfId="19848"/>
    <cellStyle name="40% - Accent1 3 2 2 2 2 2 2 2" xfId="36069"/>
    <cellStyle name="40% - Accent1 3 2 2 2 2 2 3" xfId="29381"/>
    <cellStyle name="40% - Accent1 3 2 2 2 2 3" xfId="17138"/>
    <cellStyle name="40% - Accent1 3 2 2 2 2 3 2" xfId="33359"/>
    <cellStyle name="40% - Accent1 3 2 2 2 2 4" xfId="18091"/>
    <cellStyle name="40% - Accent1 3 2 2 2 2 4 2" xfId="34312"/>
    <cellStyle name="40% - Accent1 3 2 2 2 2 5" xfId="5898"/>
    <cellStyle name="40% - Accent1 3 2 2 2 2 5 2" xfId="27203"/>
    <cellStyle name="40% - Accent1 3 2 2 2 2 6" xfId="24590"/>
    <cellStyle name="40% - Accent1 3 2 2 2 3" xfId="3921"/>
    <cellStyle name="40% - Accent1 3 2 2 2 3 2" xfId="19847"/>
    <cellStyle name="40% - Accent1 3 2 2 2 3 2 2" xfId="36068"/>
    <cellStyle name="40% - Accent1 3 2 2 2 3 3" xfId="10226"/>
    <cellStyle name="40% - Accent1 3 2 2 2 3 3 2" xfId="29380"/>
    <cellStyle name="40% - Accent1 3 2 2 2 3 4" xfId="26088"/>
    <cellStyle name="40% - Accent1 3 2 2 2 4" xfId="15553"/>
    <cellStyle name="40% - Accent1 3 2 2 2 4 2" xfId="31775"/>
    <cellStyle name="40% - Accent1 3 2 2 2 5" xfId="18090"/>
    <cellStyle name="40% - Accent1 3 2 2 2 5 2" xfId="34311"/>
    <cellStyle name="40% - Accent1 3 2 2 2 6" xfId="5899"/>
    <cellStyle name="40% - Accent1 3 2 2 2 6 2" xfId="27204"/>
    <cellStyle name="40% - Accent1 3 2 2 2 7" xfId="21594"/>
    <cellStyle name="40% - Accent1 3 2 2 2 7 2" xfId="37806"/>
    <cellStyle name="40% - Accent1 3 2 2 2 8" xfId="23092"/>
    <cellStyle name="40% - Accent1 3 2 2 3" xfId="1274"/>
    <cellStyle name="40% - Accent1 3 2 2 3 2" xfId="2773"/>
    <cellStyle name="40% - Accent1 3 2 2 3 2 2" xfId="19849"/>
    <cellStyle name="40% - Accent1 3 2 2 3 2 2 2" xfId="36070"/>
    <cellStyle name="40% - Accent1 3 2 2 3 2 3" xfId="10228"/>
    <cellStyle name="40% - Accent1 3 2 2 3 2 3 2" xfId="29382"/>
    <cellStyle name="40% - Accent1 3 2 2 3 2 4" xfId="24941"/>
    <cellStyle name="40% - Accent1 3 2 2 3 3" xfId="4272"/>
    <cellStyle name="40% - Accent1 3 2 2 3 3 2" xfId="16346"/>
    <cellStyle name="40% - Accent1 3 2 2 3 3 2 2" xfId="32567"/>
    <cellStyle name="40% - Accent1 3 2 2 3 3 3" xfId="26439"/>
    <cellStyle name="40% - Accent1 3 2 2 3 4" xfId="18092"/>
    <cellStyle name="40% - Accent1 3 2 2 3 4 2" xfId="34313"/>
    <cellStyle name="40% - Accent1 3 2 2 3 5" xfId="5897"/>
    <cellStyle name="40% - Accent1 3 2 2 3 5 2" xfId="27202"/>
    <cellStyle name="40% - Accent1 3 2 2 3 6" xfId="21945"/>
    <cellStyle name="40% - Accent1 3 2 2 3 6 2" xfId="38157"/>
    <cellStyle name="40% - Accent1 3 2 2 3 7" xfId="23443"/>
    <cellStyle name="40% - Accent1 3 2 2 4" xfId="1625"/>
    <cellStyle name="40% - Accent1 3 2 2 4 2" xfId="3124"/>
    <cellStyle name="40% - Accent1 3 2 2 4 2 2" xfId="19846"/>
    <cellStyle name="40% - Accent1 3 2 2 4 2 2 2" xfId="36067"/>
    <cellStyle name="40% - Accent1 3 2 2 4 2 3" xfId="25292"/>
    <cellStyle name="40% - Accent1 3 2 2 4 3" xfId="4623"/>
    <cellStyle name="40% - Accent1 3 2 2 4 3 2" xfId="26790"/>
    <cellStyle name="40% - Accent1 3 2 2 4 4" xfId="10225"/>
    <cellStyle name="40% - Accent1 3 2 2 4 4 2" xfId="29379"/>
    <cellStyle name="40% - Accent1 3 2 2 4 5" xfId="22296"/>
    <cellStyle name="40% - Accent1 3 2 2 4 5 2" xfId="38508"/>
    <cellStyle name="40% - Accent1 3 2 2 4 6" xfId="23794"/>
    <cellStyle name="40% - Accent1 3 2 2 5" xfId="2071"/>
    <cellStyle name="40% - Accent1 3 2 2 5 2" xfId="14761"/>
    <cellStyle name="40% - Accent1 3 2 2 5 2 2" xfId="30983"/>
    <cellStyle name="40% - Accent1 3 2 2 5 3" xfId="24239"/>
    <cellStyle name="40% - Accent1 3 2 2 6" xfId="3570"/>
    <cellStyle name="40% - Accent1 3 2 2 6 2" xfId="18089"/>
    <cellStyle name="40% - Accent1 3 2 2 6 2 2" xfId="34310"/>
    <cellStyle name="40% - Accent1 3 2 2 6 3" xfId="25737"/>
    <cellStyle name="40% - Accent1 3 2 2 7" xfId="5900"/>
    <cellStyle name="40% - Accent1 3 2 2 7 2" xfId="27205"/>
    <cellStyle name="40% - Accent1 3 2 2 8" xfId="21243"/>
    <cellStyle name="40% - Accent1 3 2 2 8 2" xfId="37455"/>
    <cellStyle name="40% - Accent1 3 2 2 9" xfId="22741"/>
    <cellStyle name="40% - Accent1 3 2 3" xfId="689"/>
    <cellStyle name="40% - Accent1 3 2 3 10" xfId="39312"/>
    <cellStyle name="40% - Accent1 3 2 3 2" xfId="1040"/>
    <cellStyle name="40% - Accent1 3 2 3 2 2" xfId="2539"/>
    <cellStyle name="40% - Accent1 3 2 3 2 2 2" xfId="10231"/>
    <cellStyle name="40% - Accent1 3 2 3 2 2 2 2" xfId="19852"/>
    <cellStyle name="40% - Accent1 3 2 3 2 2 2 2 2" xfId="36073"/>
    <cellStyle name="40% - Accent1 3 2 3 2 2 2 3" xfId="29385"/>
    <cellStyle name="40% - Accent1 3 2 3 2 2 3" xfId="17402"/>
    <cellStyle name="40% - Accent1 3 2 3 2 2 3 2" xfId="33623"/>
    <cellStyle name="40% - Accent1 3 2 3 2 2 4" xfId="18095"/>
    <cellStyle name="40% - Accent1 3 2 3 2 2 4 2" xfId="34316"/>
    <cellStyle name="40% - Accent1 3 2 3 2 2 5" xfId="5894"/>
    <cellStyle name="40% - Accent1 3 2 3 2 2 5 2" xfId="27199"/>
    <cellStyle name="40% - Accent1 3 2 3 2 2 6" xfId="24707"/>
    <cellStyle name="40% - Accent1 3 2 3 2 3" xfId="4038"/>
    <cellStyle name="40% - Accent1 3 2 3 2 3 2" xfId="19851"/>
    <cellStyle name="40% - Accent1 3 2 3 2 3 2 2" xfId="36072"/>
    <cellStyle name="40% - Accent1 3 2 3 2 3 3" xfId="10230"/>
    <cellStyle name="40% - Accent1 3 2 3 2 3 3 2" xfId="29384"/>
    <cellStyle name="40% - Accent1 3 2 3 2 3 4" xfId="26205"/>
    <cellStyle name="40% - Accent1 3 2 3 2 4" xfId="15817"/>
    <cellStyle name="40% - Accent1 3 2 3 2 4 2" xfId="32039"/>
    <cellStyle name="40% - Accent1 3 2 3 2 5" xfId="18094"/>
    <cellStyle name="40% - Accent1 3 2 3 2 5 2" xfId="34315"/>
    <cellStyle name="40% - Accent1 3 2 3 2 6" xfId="5895"/>
    <cellStyle name="40% - Accent1 3 2 3 2 6 2" xfId="27200"/>
    <cellStyle name="40% - Accent1 3 2 3 2 7" xfId="21711"/>
    <cellStyle name="40% - Accent1 3 2 3 2 7 2" xfId="37923"/>
    <cellStyle name="40% - Accent1 3 2 3 2 8" xfId="23209"/>
    <cellStyle name="40% - Accent1 3 2 3 3" xfId="1391"/>
    <cellStyle name="40% - Accent1 3 2 3 3 2" xfId="2890"/>
    <cellStyle name="40% - Accent1 3 2 3 3 2 2" xfId="19853"/>
    <cellStyle name="40% - Accent1 3 2 3 3 2 2 2" xfId="36074"/>
    <cellStyle name="40% - Accent1 3 2 3 3 2 3" xfId="10232"/>
    <cellStyle name="40% - Accent1 3 2 3 3 2 3 2" xfId="29386"/>
    <cellStyle name="40% - Accent1 3 2 3 3 2 4" xfId="25058"/>
    <cellStyle name="40% - Accent1 3 2 3 3 3" xfId="4389"/>
    <cellStyle name="40% - Accent1 3 2 3 3 3 2" xfId="16610"/>
    <cellStyle name="40% - Accent1 3 2 3 3 3 2 2" xfId="32831"/>
    <cellStyle name="40% - Accent1 3 2 3 3 3 3" xfId="26556"/>
    <cellStyle name="40% - Accent1 3 2 3 3 4" xfId="18096"/>
    <cellStyle name="40% - Accent1 3 2 3 3 4 2" xfId="34317"/>
    <cellStyle name="40% - Accent1 3 2 3 3 5" xfId="5893"/>
    <cellStyle name="40% - Accent1 3 2 3 3 5 2" xfId="27198"/>
    <cellStyle name="40% - Accent1 3 2 3 3 6" xfId="22062"/>
    <cellStyle name="40% - Accent1 3 2 3 3 6 2" xfId="38274"/>
    <cellStyle name="40% - Accent1 3 2 3 3 7" xfId="23560"/>
    <cellStyle name="40% - Accent1 3 2 3 4" xfId="1742"/>
    <cellStyle name="40% - Accent1 3 2 3 4 2" xfId="3241"/>
    <cellStyle name="40% - Accent1 3 2 3 4 2 2" xfId="19850"/>
    <cellStyle name="40% - Accent1 3 2 3 4 2 2 2" xfId="36071"/>
    <cellStyle name="40% - Accent1 3 2 3 4 2 3" xfId="25409"/>
    <cellStyle name="40% - Accent1 3 2 3 4 3" xfId="4740"/>
    <cellStyle name="40% - Accent1 3 2 3 4 3 2" xfId="26907"/>
    <cellStyle name="40% - Accent1 3 2 3 4 4" xfId="10229"/>
    <cellStyle name="40% - Accent1 3 2 3 4 4 2" xfId="29383"/>
    <cellStyle name="40% - Accent1 3 2 3 4 5" xfId="22413"/>
    <cellStyle name="40% - Accent1 3 2 3 4 5 2" xfId="38625"/>
    <cellStyle name="40% - Accent1 3 2 3 4 6" xfId="23911"/>
    <cellStyle name="40% - Accent1 3 2 3 5" xfId="2188"/>
    <cellStyle name="40% - Accent1 3 2 3 5 2" xfId="15025"/>
    <cellStyle name="40% - Accent1 3 2 3 5 2 2" xfId="31247"/>
    <cellStyle name="40% - Accent1 3 2 3 5 3" xfId="24356"/>
    <cellStyle name="40% - Accent1 3 2 3 6" xfId="3687"/>
    <cellStyle name="40% - Accent1 3 2 3 6 2" xfId="18093"/>
    <cellStyle name="40% - Accent1 3 2 3 6 2 2" xfId="34314"/>
    <cellStyle name="40% - Accent1 3 2 3 6 3" xfId="25854"/>
    <cellStyle name="40% - Accent1 3 2 3 7" xfId="5896"/>
    <cellStyle name="40% - Accent1 3 2 3 7 2" xfId="27201"/>
    <cellStyle name="40% - Accent1 3 2 3 8" xfId="21360"/>
    <cellStyle name="40% - Accent1 3 2 3 8 2" xfId="37572"/>
    <cellStyle name="40% - Accent1 3 2 3 9" xfId="22858"/>
    <cellStyle name="40% - Accent1 3 2 4" xfId="806"/>
    <cellStyle name="40% - Accent1 3 2 4 2" xfId="2305"/>
    <cellStyle name="40% - Accent1 3 2 4 2 2" xfId="10234"/>
    <cellStyle name="40% - Accent1 3 2 4 2 2 2" xfId="19855"/>
    <cellStyle name="40% - Accent1 3 2 4 2 2 2 2" xfId="36076"/>
    <cellStyle name="40% - Accent1 3 2 4 2 2 3" xfId="29388"/>
    <cellStyle name="40% - Accent1 3 2 4 2 3" xfId="16874"/>
    <cellStyle name="40% - Accent1 3 2 4 2 3 2" xfId="33095"/>
    <cellStyle name="40% - Accent1 3 2 4 2 4" xfId="18098"/>
    <cellStyle name="40% - Accent1 3 2 4 2 4 2" xfId="34319"/>
    <cellStyle name="40% - Accent1 3 2 4 2 5" xfId="5891"/>
    <cellStyle name="40% - Accent1 3 2 4 2 5 2" xfId="27196"/>
    <cellStyle name="40% - Accent1 3 2 4 2 6" xfId="24473"/>
    <cellStyle name="40% - Accent1 3 2 4 3" xfId="3804"/>
    <cellStyle name="40% - Accent1 3 2 4 3 2" xfId="19854"/>
    <cellStyle name="40% - Accent1 3 2 4 3 2 2" xfId="36075"/>
    <cellStyle name="40% - Accent1 3 2 4 3 3" xfId="10233"/>
    <cellStyle name="40% - Accent1 3 2 4 3 3 2" xfId="29387"/>
    <cellStyle name="40% - Accent1 3 2 4 3 4" xfId="25971"/>
    <cellStyle name="40% - Accent1 3 2 4 4" xfId="15289"/>
    <cellStyle name="40% - Accent1 3 2 4 4 2" xfId="31511"/>
    <cellStyle name="40% - Accent1 3 2 4 5" xfId="18097"/>
    <cellStyle name="40% - Accent1 3 2 4 5 2" xfId="34318"/>
    <cellStyle name="40% - Accent1 3 2 4 6" xfId="5892"/>
    <cellStyle name="40% - Accent1 3 2 4 6 2" xfId="27197"/>
    <cellStyle name="40% - Accent1 3 2 4 7" xfId="21477"/>
    <cellStyle name="40% - Accent1 3 2 4 7 2" xfId="37689"/>
    <cellStyle name="40% - Accent1 3 2 4 8" xfId="22975"/>
    <cellStyle name="40% - Accent1 3 2 4 9" xfId="39461"/>
    <cellStyle name="40% - Accent1 3 2 5" xfId="1157"/>
    <cellStyle name="40% - Accent1 3 2 5 2" xfId="2656"/>
    <cellStyle name="40% - Accent1 3 2 5 2 2" xfId="19856"/>
    <cellStyle name="40% - Accent1 3 2 5 2 2 2" xfId="36077"/>
    <cellStyle name="40% - Accent1 3 2 5 2 3" xfId="10235"/>
    <cellStyle name="40% - Accent1 3 2 5 2 3 2" xfId="29389"/>
    <cellStyle name="40% - Accent1 3 2 5 2 4" xfId="24824"/>
    <cellStyle name="40% - Accent1 3 2 5 3" xfId="4155"/>
    <cellStyle name="40% - Accent1 3 2 5 3 2" xfId="16082"/>
    <cellStyle name="40% - Accent1 3 2 5 3 2 2" xfId="32303"/>
    <cellStyle name="40% - Accent1 3 2 5 3 3" xfId="26322"/>
    <cellStyle name="40% - Accent1 3 2 5 4" xfId="18099"/>
    <cellStyle name="40% - Accent1 3 2 5 4 2" xfId="34320"/>
    <cellStyle name="40% - Accent1 3 2 5 5" xfId="5890"/>
    <cellStyle name="40% - Accent1 3 2 5 5 2" xfId="27195"/>
    <cellStyle name="40% - Accent1 3 2 5 6" xfId="21828"/>
    <cellStyle name="40% - Accent1 3 2 5 6 2" xfId="38040"/>
    <cellStyle name="40% - Accent1 3 2 5 7" xfId="23326"/>
    <cellStyle name="40% - Accent1 3 2 6" xfId="1508"/>
    <cellStyle name="40% - Accent1 3 2 6 2" xfId="3007"/>
    <cellStyle name="40% - Accent1 3 2 6 2 2" xfId="19845"/>
    <cellStyle name="40% - Accent1 3 2 6 2 2 2" xfId="36066"/>
    <cellStyle name="40% - Accent1 3 2 6 2 3" xfId="25175"/>
    <cellStyle name="40% - Accent1 3 2 6 3" xfId="4506"/>
    <cellStyle name="40% - Accent1 3 2 6 3 2" xfId="26673"/>
    <cellStyle name="40% - Accent1 3 2 6 4" xfId="10224"/>
    <cellStyle name="40% - Accent1 3 2 6 4 2" xfId="29378"/>
    <cellStyle name="40% - Accent1 3 2 6 5" xfId="22179"/>
    <cellStyle name="40% - Accent1 3 2 6 5 2" xfId="38391"/>
    <cellStyle name="40% - Accent1 3 2 6 6" xfId="23677"/>
    <cellStyle name="40% - Accent1 3 2 7" xfId="1954"/>
    <cellStyle name="40% - Accent1 3 2 7 2" xfId="14497"/>
    <cellStyle name="40% - Accent1 3 2 7 2 2" xfId="30719"/>
    <cellStyle name="40% - Accent1 3 2 7 3" xfId="24122"/>
    <cellStyle name="40% - Accent1 3 2 8" xfId="3453"/>
    <cellStyle name="40% - Accent1 3 2 8 2" xfId="18088"/>
    <cellStyle name="40% - Accent1 3 2 8 2 2" xfId="34309"/>
    <cellStyle name="40% - Accent1 3 2 8 3" xfId="25620"/>
    <cellStyle name="40% - Accent1 3 2 9" xfId="5901"/>
    <cellStyle name="40% - Accent1 3 2 9 2" xfId="27206"/>
    <cellStyle name="40% - Accent1 3 3" xfId="519"/>
    <cellStyle name="40% - Accent1 3 3 10" xfId="39108"/>
    <cellStyle name="40% - Accent1 3 3 2" xfId="871"/>
    <cellStyle name="40% - Accent1 3 3 2 2" xfId="2370"/>
    <cellStyle name="40% - Accent1 3 3 2 2 2" xfId="10238"/>
    <cellStyle name="40% - Accent1 3 3 2 2 2 2" xfId="19859"/>
    <cellStyle name="40% - Accent1 3 3 2 2 2 2 2" xfId="36080"/>
    <cellStyle name="40% - Accent1 3 3 2 2 2 3" xfId="29392"/>
    <cellStyle name="40% - Accent1 3 3 2 2 3" xfId="17006"/>
    <cellStyle name="40% - Accent1 3 3 2 2 3 2" xfId="33227"/>
    <cellStyle name="40% - Accent1 3 3 2 2 4" xfId="18102"/>
    <cellStyle name="40% - Accent1 3 3 2 2 4 2" xfId="34323"/>
    <cellStyle name="40% - Accent1 3 3 2 2 5" xfId="5887"/>
    <cellStyle name="40% - Accent1 3 3 2 2 5 2" xfId="27192"/>
    <cellStyle name="40% - Accent1 3 3 2 2 6" xfId="24538"/>
    <cellStyle name="40% - Accent1 3 3 2 3" xfId="3869"/>
    <cellStyle name="40% - Accent1 3 3 2 3 2" xfId="19858"/>
    <cellStyle name="40% - Accent1 3 3 2 3 2 2" xfId="36079"/>
    <cellStyle name="40% - Accent1 3 3 2 3 3" xfId="10237"/>
    <cellStyle name="40% - Accent1 3 3 2 3 3 2" xfId="29391"/>
    <cellStyle name="40% - Accent1 3 3 2 3 4" xfId="26036"/>
    <cellStyle name="40% - Accent1 3 3 2 4" xfId="15421"/>
    <cellStyle name="40% - Accent1 3 3 2 4 2" xfId="31643"/>
    <cellStyle name="40% - Accent1 3 3 2 5" xfId="18101"/>
    <cellStyle name="40% - Accent1 3 3 2 5 2" xfId="34322"/>
    <cellStyle name="40% - Accent1 3 3 2 6" xfId="5888"/>
    <cellStyle name="40% - Accent1 3 3 2 6 2" xfId="27193"/>
    <cellStyle name="40% - Accent1 3 3 2 7" xfId="21542"/>
    <cellStyle name="40% - Accent1 3 3 2 7 2" xfId="37754"/>
    <cellStyle name="40% - Accent1 3 3 2 8" xfId="23040"/>
    <cellStyle name="40% - Accent1 3 3 3" xfId="1222"/>
    <cellStyle name="40% - Accent1 3 3 3 2" xfId="2721"/>
    <cellStyle name="40% - Accent1 3 3 3 2 2" xfId="19860"/>
    <cellStyle name="40% - Accent1 3 3 3 2 2 2" xfId="36081"/>
    <cellStyle name="40% - Accent1 3 3 3 2 3" xfId="10239"/>
    <cellStyle name="40% - Accent1 3 3 3 2 3 2" xfId="29393"/>
    <cellStyle name="40% - Accent1 3 3 3 2 4" xfId="24889"/>
    <cellStyle name="40% - Accent1 3 3 3 3" xfId="4220"/>
    <cellStyle name="40% - Accent1 3 3 3 3 2" xfId="16214"/>
    <cellStyle name="40% - Accent1 3 3 3 3 2 2" xfId="32435"/>
    <cellStyle name="40% - Accent1 3 3 3 3 3" xfId="26387"/>
    <cellStyle name="40% - Accent1 3 3 3 4" xfId="18103"/>
    <cellStyle name="40% - Accent1 3 3 3 4 2" xfId="34324"/>
    <cellStyle name="40% - Accent1 3 3 3 5" xfId="5886"/>
    <cellStyle name="40% - Accent1 3 3 3 5 2" xfId="27191"/>
    <cellStyle name="40% - Accent1 3 3 3 6" xfId="21893"/>
    <cellStyle name="40% - Accent1 3 3 3 6 2" xfId="38105"/>
    <cellStyle name="40% - Accent1 3 3 3 7" xfId="23391"/>
    <cellStyle name="40% - Accent1 3 3 4" xfId="1573"/>
    <cellStyle name="40% - Accent1 3 3 4 2" xfId="3072"/>
    <cellStyle name="40% - Accent1 3 3 4 2 2" xfId="19857"/>
    <cellStyle name="40% - Accent1 3 3 4 2 2 2" xfId="36078"/>
    <cellStyle name="40% - Accent1 3 3 4 2 3" xfId="25240"/>
    <cellStyle name="40% - Accent1 3 3 4 3" xfId="4571"/>
    <cellStyle name="40% - Accent1 3 3 4 3 2" xfId="26738"/>
    <cellStyle name="40% - Accent1 3 3 4 4" xfId="10236"/>
    <cellStyle name="40% - Accent1 3 3 4 4 2" xfId="29390"/>
    <cellStyle name="40% - Accent1 3 3 4 5" xfId="22244"/>
    <cellStyle name="40% - Accent1 3 3 4 5 2" xfId="38456"/>
    <cellStyle name="40% - Accent1 3 3 4 6" xfId="23742"/>
    <cellStyle name="40% - Accent1 3 3 5" xfId="2019"/>
    <cellStyle name="40% - Accent1 3 3 5 2" xfId="14629"/>
    <cellStyle name="40% - Accent1 3 3 5 2 2" xfId="30851"/>
    <cellStyle name="40% - Accent1 3 3 5 3" xfId="24187"/>
    <cellStyle name="40% - Accent1 3 3 6" xfId="3518"/>
    <cellStyle name="40% - Accent1 3 3 6 2" xfId="18100"/>
    <cellStyle name="40% - Accent1 3 3 6 2 2" xfId="34321"/>
    <cellStyle name="40% - Accent1 3 3 6 3" xfId="25685"/>
    <cellStyle name="40% - Accent1 3 3 7" xfId="5889"/>
    <cellStyle name="40% - Accent1 3 3 7 2" xfId="27194"/>
    <cellStyle name="40% - Accent1 3 3 8" xfId="21191"/>
    <cellStyle name="40% - Accent1 3 3 8 2" xfId="37403"/>
    <cellStyle name="40% - Accent1 3 3 9" xfId="22689"/>
    <cellStyle name="40% - Accent1 3 4" xfId="637"/>
    <cellStyle name="40% - Accent1 3 4 10" xfId="39256"/>
    <cellStyle name="40% - Accent1 3 4 2" xfId="988"/>
    <cellStyle name="40% - Accent1 3 4 2 2" xfId="2487"/>
    <cellStyle name="40% - Accent1 3 4 2 2 2" xfId="10242"/>
    <cellStyle name="40% - Accent1 3 4 2 2 2 2" xfId="19863"/>
    <cellStyle name="40% - Accent1 3 4 2 2 2 2 2" xfId="36084"/>
    <cellStyle name="40% - Accent1 3 4 2 2 2 3" xfId="29396"/>
    <cellStyle name="40% - Accent1 3 4 2 2 3" xfId="17270"/>
    <cellStyle name="40% - Accent1 3 4 2 2 3 2" xfId="33491"/>
    <cellStyle name="40% - Accent1 3 4 2 2 4" xfId="18106"/>
    <cellStyle name="40% - Accent1 3 4 2 2 4 2" xfId="34327"/>
    <cellStyle name="40% - Accent1 3 4 2 2 5" xfId="5883"/>
    <cellStyle name="40% - Accent1 3 4 2 2 5 2" xfId="27188"/>
    <cellStyle name="40% - Accent1 3 4 2 2 6" xfId="24655"/>
    <cellStyle name="40% - Accent1 3 4 2 3" xfId="3986"/>
    <cellStyle name="40% - Accent1 3 4 2 3 2" xfId="19862"/>
    <cellStyle name="40% - Accent1 3 4 2 3 2 2" xfId="36083"/>
    <cellStyle name="40% - Accent1 3 4 2 3 3" xfId="10241"/>
    <cellStyle name="40% - Accent1 3 4 2 3 3 2" xfId="29395"/>
    <cellStyle name="40% - Accent1 3 4 2 3 4" xfId="26153"/>
    <cellStyle name="40% - Accent1 3 4 2 4" xfId="15685"/>
    <cellStyle name="40% - Accent1 3 4 2 4 2" xfId="31907"/>
    <cellStyle name="40% - Accent1 3 4 2 5" xfId="18105"/>
    <cellStyle name="40% - Accent1 3 4 2 5 2" xfId="34326"/>
    <cellStyle name="40% - Accent1 3 4 2 6" xfId="5884"/>
    <cellStyle name="40% - Accent1 3 4 2 6 2" xfId="27189"/>
    <cellStyle name="40% - Accent1 3 4 2 7" xfId="21659"/>
    <cellStyle name="40% - Accent1 3 4 2 7 2" xfId="37871"/>
    <cellStyle name="40% - Accent1 3 4 2 8" xfId="23157"/>
    <cellStyle name="40% - Accent1 3 4 3" xfId="1339"/>
    <cellStyle name="40% - Accent1 3 4 3 2" xfId="2838"/>
    <cellStyle name="40% - Accent1 3 4 3 2 2" xfId="19864"/>
    <cellStyle name="40% - Accent1 3 4 3 2 2 2" xfId="36085"/>
    <cellStyle name="40% - Accent1 3 4 3 2 3" xfId="10243"/>
    <cellStyle name="40% - Accent1 3 4 3 2 3 2" xfId="29397"/>
    <cellStyle name="40% - Accent1 3 4 3 2 4" xfId="25006"/>
    <cellStyle name="40% - Accent1 3 4 3 3" xfId="4337"/>
    <cellStyle name="40% - Accent1 3 4 3 3 2" xfId="16478"/>
    <cellStyle name="40% - Accent1 3 4 3 3 2 2" xfId="32699"/>
    <cellStyle name="40% - Accent1 3 4 3 3 3" xfId="26504"/>
    <cellStyle name="40% - Accent1 3 4 3 4" xfId="18107"/>
    <cellStyle name="40% - Accent1 3 4 3 4 2" xfId="34328"/>
    <cellStyle name="40% - Accent1 3 4 3 5" xfId="5882"/>
    <cellStyle name="40% - Accent1 3 4 3 5 2" xfId="27187"/>
    <cellStyle name="40% - Accent1 3 4 3 6" xfId="22010"/>
    <cellStyle name="40% - Accent1 3 4 3 6 2" xfId="38222"/>
    <cellStyle name="40% - Accent1 3 4 3 7" xfId="23508"/>
    <cellStyle name="40% - Accent1 3 4 4" xfId="1690"/>
    <cellStyle name="40% - Accent1 3 4 4 2" xfId="3189"/>
    <cellStyle name="40% - Accent1 3 4 4 2 2" xfId="19861"/>
    <cellStyle name="40% - Accent1 3 4 4 2 2 2" xfId="36082"/>
    <cellStyle name="40% - Accent1 3 4 4 2 3" xfId="25357"/>
    <cellStyle name="40% - Accent1 3 4 4 3" xfId="4688"/>
    <cellStyle name="40% - Accent1 3 4 4 3 2" xfId="26855"/>
    <cellStyle name="40% - Accent1 3 4 4 4" xfId="10240"/>
    <cellStyle name="40% - Accent1 3 4 4 4 2" xfId="29394"/>
    <cellStyle name="40% - Accent1 3 4 4 5" xfId="22361"/>
    <cellStyle name="40% - Accent1 3 4 4 5 2" xfId="38573"/>
    <cellStyle name="40% - Accent1 3 4 4 6" xfId="23859"/>
    <cellStyle name="40% - Accent1 3 4 5" xfId="2136"/>
    <cellStyle name="40% - Accent1 3 4 5 2" xfId="14893"/>
    <cellStyle name="40% - Accent1 3 4 5 2 2" xfId="31115"/>
    <cellStyle name="40% - Accent1 3 4 5 3" xfId="24304"/>
    <cellStyle name="40% - Accent1 3 4 6" xfId="3635"/>
    <cellStyle name="40% - Accent1 3 4 6 2" xfId="18104"/>
    <cellStyle name="40% - Accent1 3 4 6 2 2" xfId="34325"/>
    <cellStyle name="40% - Accent1 3 4 6 3" xfId="25802"/>
    <cellStyle name="40% - Accent1 3 4 7" xfId="5885"/>
    <cellStyle name="40% - Accent1 3 4 7 2" xfId="27190"/>
    <cellStyle name="40% - Accent1 3 4 8" xfId="21308"/>
    <cellStyle name="40% - Accent1 3 4 8 2" xfId="37520"/>
    <cellStyle name="40% - Accent1 3 4 9" xfId="22806"/>
    <cellStyle name="40% - Accent1 3 5" xfId="754"/>
    <cellStyle name="40% - Accent1 3 5 2" xfId="2253"/>
    <cellStyle name="40% - Accent1 3 5 2 2" xfId="10245"/>
    <cellStyle name="40% - Accent1 3 5 2 2 2" xfId="19866"/>
    <cellStyle name="40% - Accent1 3 5 2 2 2 2" xfId="36087"/>
    <cellStyle name="40% - Accent1 3 5 2 2 3" xfId="29399"/>
    <cellStyle name="40% - Accent1 3 5 2 3" xfId="16742"/>
    <cellStyle name="40% - Accent1 3 5 2 3 2" xfId="32963"/>
    <cellStyle name="40% - Accent1 3 5 2 4" xfId="18109"/>
    <cellStyle name="40% - Accent1 3 5 2 4 2" xfId="34330"/>
    <cellStyle name="40% - Accent1 3 5 2 5" xfId="5880"/>
    <cellStyle name="40% - Accent1 3 5 2 5 2" xfId="27185"/>
    <cellStyle name="40% - Accent1 3 5 2 6" xfId="24421"/>
    <cellStyle name="40% - Accent1 3 5 3" xfId="3752"/>
    <cellStyle name="40% - Accent1 3 5 3 2" xfId="19865"/>
    <cellStyle name="40% - Accent1 3 5 3 2 2" xfId="36086"/>
    <cellStyle name="40% - Accent1 3 5 3 3" xfId="10244"/>
    <cellStyle name="40% - Accent1 3 5 3 3 2" xfId="29398"/>
    <cellStyle name="40% - Accent1 3 5 3 4" xfId="25919"/>
    <cellStyle name="40% - Accent1 3 5 4" xfId="15157"/>
    <cellStyle name="40% - Accent1 3 5 4 2" xfId="31379"/>
    <cellStyle name="40% - Accent1 3 5 5" xfId="18108"/>
    <cellStyle name="40% - Accent1 3 5 5 2" xfId="34329"/>
    <cellStyle name="40% - Accent1 3 5 6" xfId="5881"/>
    <cellStyle name="40% - Accent1 3 5 6 2" xfId="27186"/>
    <cellStyle name="40% - Accent1 3 5 7" xfId="21425"/>
    <cellStyle name="40% - Accent1 3 5 7 2" xfId="37637"/>
    <cellStyle name="40% - Accent1 3 5 8" xfId="22923"/>
    <cellStyle name="40% - Accent1 3 5 9" xfId="39405"/>
    <cellStyle name="40% - Accent1 3 6" xfId="1105"/>
    <cellStyle name="40% - Accent1 3 6 2" xfId="2604"/>
    <cellStyle name="40% - Accent1 3 6 2 2" xfId="19867"/>
    <cellStyle name="40% - Accent1 3 6 2 2 2" xfId="36088"/>
    <cellStyle name="40% - Accent1 3 6 2 3" xfId="10246"/>
    <cellStyle name="40% - Accent1 3 6 2 3 2" xfId="29400"/>
    <cellStyle name="40% - Accent1 3 6 2 4" xfId="24772"/>
    <cellStyle name="40% - Accent1 3 6 3" xfId="4103"/>
    <cellStyle name="40% - Accent1 3 6 3 2" xfId="15950"/>
    <cellStyle name="40% - Accent1 3 6 3 2 2" xfId="32171"/>
    <cellStyle name="40% - Accent1 3 6 3 3" xfId="26270"/>
    <cellStyle name="40% - Accent1 3 6 4" xfId="18110"/>
    <cellStyle name="40% - Accent1 3 6 4 2" xfId="34331"/>
    <cellStyle name="40% - Accent1 3 6 5" xfId="5879"/>
    <cellStyle name="40% - Accent1 3 6 5 2" xfId="27184"/>
    <cellStyle name="40% - Accent1 3 6 6" xfId="21776"/>
    <cellStyle name="40% - Accent1 3 6 6 2" xfId="37988"/>
    <cellStyle name="40% - Accent1 3 6 7" xfId="23274"/>
    <cellStyle name="40% - Accent1 3 7" xfId="1456"/>
    <cellStyle name="40% - Accent1 3 7 2" xfId="2955"/>
    <cellStyle name="40% - Accent1 3 7 2 2" xfId="19844"/>
    <cellStyle name="40% - Accent1 3 7 2 2 2" xfId="36065"/>
    <cellStyle name="40% - Accent1 3 7 2 3" xfId="25123"/>
    <cellStyle name="40% - Accent1 3 7 3" xfId="4454"/>
    <cellStyle name="40% - Accent1 3 7 3 2" xfId="26621"/>
    <cellStyle name="40% - Accent1 3 7 4" xfId="10223"/>
    <cellStyle name="40% - Accent1 3 7 4 2" xfId="29377"/>
    <cellStyle name="40% - Accent1 3 7 5" xfId="22127"/>
    <cellStyle name="40% - Accent1 3 7 5 2" xfId="38339"/>
    <cellStyle name="40% - Accent1 3 7 6" xfId="23625"/>
    <cellStyle name="40% - Accent1 3 8" xfId="1902"/>
    <cellStyle name="40% - Accent1 3 8 2" xfId="14365"/>
    <cellStyle name="40% - Accent1 3 8 2 2" xfId="30587"/>
    <cellStyle name="40% - Accent1 3 8 3" xfId="24070"/>
    <cellStyle name="40% - Accent1 3 9" xfId="3401"/>
    <cellStyle name="40% - Accent1 3 9 2" xfId="18087"/>
    <cellStyle name="40% - Accent1 3 9 2 2" xfId="34308"/>
    <cellStyle name="40% - Accent1 3 9 3" xfId="25568"/>
    <cellStyle name="40% - Accent1 4" xfId="413"/>
    <cellStyle name="40% - Accent1 4 10" xfId="21086"/>
    <cellStyle name="40% - Accent1 4 10 2" xfId="37298"/>
    <cellStyle name="40% - Accent1 4 11" xfId="22584"/>
    <cellStyle name="40% - Accent1 4 12" xfId="38987"/>
    <cellStyle name="40% - Accent1 4 2" xfId="531"/>
    <cellStyle name="40% - Accent1 4 2 10" xfId="39029"/>
    <cellStyle name="40% - Accent1 4 2 2" xfId="883"/>
    <cellStyle name="40% - Accent1 4 2 2 2" xfId="2382"/>
    <cellStyle name="40% - Accent1 4 2 2 2 2" xfId="10250"/>
    <cellStyle name="40% - Accent1 4 2 2 2 2 2" xfId="19871"/>
    <cellStyle name="40% - Accent1 4 2 2 2 2 2 2" xfId="36092"/>
    <cellStyle name="40% - Accent1 4 2 2 2 2 3" xfId="29404"/>
    <cellStyle name="40% - Accent1 4 2 2 2 3" xfId="17072"/>
    <cellStyle name="40% - Accent1 4 2 2 2 3 2" xfId="33293"/>
    <cellStyle name="40% - Accent1 4 2 2 2 4" xfId="18114"/>
    <cellStyle name="40% - Accent1 4 2 2 2 4 2" xfId="34335"/>
    <cellStyle name="40% - Accent1 4 2 2 2 5" xfId="5875"/>
    <cellStyle name="40% - Accent1 4 2 2 2 5 2" xfId="27180"/>
    <cellStyle name="40% - Accent1 4 2 2 2 6" xfId="24550"/>
    <cellStyle name="40% - Accent1 4 2 2 3" xfId="3881"/>
    <cellStyle name="40% - Accent1 4 2 2 3 2" xfId="19870"/>
    <cellStyle name="40% - Accent1 4 2 2 3 2 2" xfId="36091"/>
    <cellStyle name="40% - Accent1 4 2 2 3 3" xfId="10249"/>
    <cellStyle name="40% - Accent1 4 2 2 3 3 2" xfId="29403"/>
    <cellStyle name="40% - Accent1 4 2 2 3 4" xfId="26048"/>
    <cellStyle name="40% - Accent1 4 2 2 4" xfId="15487"/>
    <cellStyle name="40% - Accent1 4 2 2 4 2" xfId="31709"/>
    <cellStyle name="40% - Accent1 4 2 2 5" xfId="18113"/>
    <cellStyle name="40% - Accent1 4 2 2 5 2" xfId="34334"/>
    <cellStyle name="40% - Accent1 4 2 2 6" xfId="5876"/>
    <cellStyle name="40% - Accent1 4 2 2 6 2" xfId="27181"/>
    <cellStyle name="40% - Accent1 4 2 2 7" xfId="21554"/>
    <cellStyle name="40% - Accent1 4 2 2 7 2" xfId="37766"/>
    <cellStyle name="40% - Accent1 4 2 2 8" xfId="23052"/>
    <cellStyle name="40% - Accent1 4 2 2 9" xfId="39177"/>
    <cellStyle name="40% - Accent1 4 2 3" xfId="1234"/>
    <cellStyle name="40% - Accent1 4 2 3 2" xfId="2733"/>
    <cellStyle name="40% - Accent1 4 2 3 2 2" xfId="19872"/>
    <cellStyle name="40% - Accent1 4 2 3 2 2 2" xfId="36093"/>
    <cellStyle name="40% - Accent1 4 2 3 2 3" xfId="10251"/>
    <cellStyle name="40% - Accent1 4 2 3 2 3 2" xfId="29405"/>
    <cellStyle name="40% - Accent1 4 2 3 2 4" xfId="24901"/>
    <cellStyle name="40% - Accent1 4 2 3 3" xfId="4232"/>
    <cellStyle name="40% - Accent1 4 2 3 3 2" xfId="16280"/>
    <cellStyle name="40% - Accent1 4 2 3 3 2 2" xfId="32501"/>
    <cellStyle name="40% - Accent1 4 2 3 3 3" xfId="26399"/>
    <cellStyle name="40% - Accent1 4 2 3 4" xfId="18115"/>
    <cellStyle name="40% - Accent1 4 2 3 4 2" xfId="34336"/>
    <cellStyle name="40% - Accent1 4 2 3 5" xfId="5874"/>
    <cellStyle name="40% - Accent1 4 2 3 5 2" xfId="27179"/>
    <cellStyle name="40% - Accent1 4 2 3 6" xfId="21905"/>
    <cellStyle name="40% - Accent1 4 2 3 6 2" xfId="38117"/>
    <cellStyle name="40% - Accent1 4 2 3 7" xfId="23403"/>
    <cellStyle name="40% - Accent1 4 2 3 8" xfId="39325"/>
    <cellStyle name="40% - Accent1 4 2 4" xfId="1585"/>
    <cellStyle name="40% - Accent1 4 2 4 2" xfId="3084"/>
    <cellStyle name="40% - Accent1 4 2 4 2 2" xfId="19869"/>
    <cellStyle name="40% - Accent1 4 2 4 2 2 2" xfId="36090"/>
    <cellStyle name="40% - Accent1 4 2 4 2 3" xfId="25252"/>
    <cellStyle name="40% - Accent1 4 2 4 3" xfId="4583"/>
    <cellStyle name="40% - Accent1 4 2 4 3 2" xfId="26750"/>
    <cellStyle name="40% - Accent1 4 2 4 4" xfId="10248"/>
    <cellStyle name="40% - Accent1 4 2 4 4 2" xfId="29402"/>
    <cellStyle name="40% - Accent1 4 2 4 5" xfId="22256"/>
    <cellStyle name="40% - Accent1 4 2 4 5 2" xfId="38468"/>
    <cellStyle name="40% - Accent1 4 2 4 6" xfId="23754"/>
    <cellStyle name="40% - Accent1 4 2 4 7" xfId="39474"/>
    <cellStyle name="40% - Accent1 4 2 5" xfId="2031"/>
    <cellStyle name="40% - Accent1 4 2 5 2" xfId="14695"/>
    <cellStyle name="40% - Accent1 4 2 5 2 2" xfId="30917"/>
    <cellStyle name="40% - Accent1 4 2 5 3" xfId="24199"/>
    <cellStyle name="40% - Accent1 4 2 6" xfId="3530"/>
    <cellStyle name="40% - Accent1 4 2 6 2" xfId="18112"/>
    <cellStyle name="40% - Accent1 4 2 6 2 2" xfId="34333"/>
    <cellStyle name="40% - Accent1 4 2 6 3" xfId="25697"/>
    <cellStyle name="40% - Accent1 4 2 7" xfId="5877"/>
    <cellStyle name="40% - Accent1 4 2 7 2" xfId="27182"/>
    <cellStyle name="40% - Accent1 4 2 8" xfId="21203"/>
    <cellStyle name="40% - Accent1 4 2 8 2" xfId="37415"/>
    <cellStyle name="40% - Accent1 4 2 9" xfId="22701"/>
    <cellStyle name="40% - Accent1 4 3" xfId="649"/>
    <cellStyle name="40% - Accent1 4 3 10" xfId="39121"/>
    <cellStyle name="40% - Accent1 4 3 2" xfId="1000"/>
    <cellStyle name="40% - Accent1 4 3 2 2" xfId="2499"/>
    <cellStyle name="40% - Accent1 4 3 2 2 2" xfId="10254"/>
    <cellStyle name="40% - Accent1 4 3 2 2 2 2" xfId="19875"/>
    <cellStyle name="40% - Accent1 4 3 2 2 2 2 2" xfId="36096"/>
    <cellStyle name="40% - Accent1 4 3 2 2 2 3" xfId="29408"/>
    <cellStyle name="40% - Accent1 4 3 2 2 3" xfId="17336"/>
    <cellStyle name="40% - Accent1 4 3 2 2 3 2" xfId="33557"/>
    <cellStyle name="40% - Accent1 4 3 2 2 4" xfId="18118"/>
    <cellStyle name="40% - Accent1 4 3 2 2 4 2" xfId="34339"/>
    <cellStyle name="40% - Accent1 4 3 2 2 5" xfId="5871"/>
    <cellStyle name="40% - Accent1 4 3 2 2 5 2" xfId="27176"/>
    <cellStyle name="40% - Accent1 4 3 2 2 6" xfId="24667"/>
    <cellStyle name="40% - Accent1 4 3 2 3" xfId="3998"/>
    <cellStyle name="40% - Accent1 4 3 2 3 2" xfId="19874"/>
    <cellStyle name="40% - Accent1 4 3 2 3 2 2" xfId="36095"/>
    <cellStyle name="40% - Accent1 4 3 2 3 3" xfId="10253"/>
    <cellStyle name="40% - Accent1 4 3 2 3 3 2" xfId="29407"/>
    <cellStyle name="40% - Accent1 4 3 2 3 4" xfId="26165"/>
    <cellStyle name="40% - Accent1 4 3 2 4" xfId="15751"/>
    <cellStyle name="40% - Accent1 4 3 2 4 2" xfId="31973"/>
    <cellStyle name="40% - Accent1 4 3 2 5" xfId="18117"/>
    <cellStyle name="40% - Accent1 4 3 2 5 2" xfId="34338"/>
    <cellStyle name="40% - Accent1 4 3 2 6" xfId="5872"/>
    <cellStyle name="40% - Accent1 4 3 2 6 2" xfId="27177"/>
    <cellStyle name="40% - Accent1 4 3 2 7" xfId="21671"/>
    <cellStyle name="40% - Accent1 4 3 2 7 2" xfId="37883"/>
    <cellStyle name="40% - Accent1 4 3 2 8" xfId="23169"/>
    <cellStyle name="40% - Accent1 4 3 3" xfId="1351"/>
    <cellStyle name="40% - Accent1 4 3 3 2" xfId="2850"/>
    <cellStyle name="40% - Accent1 4 3 3 2 2" xfId="19876"/>
    <cellStyle name="40% - Accent1 4 3 3 2 2 2" xfId="36097"/>
    <cellStyle name="40% - Accent1 4 3 3 2 3" xfId="10255"/>
    <cellStyle name="40% - Accent1 4 3 3 2 3 2" xfId="29409"/>
    <cellStyle name="40% - Accent1 4 3 3 2 4" xfId="25018"/>
    <cellStyle name="40% - Accent1 4 3 3 3" xfId="4349"/>
    <cellStyle name="40% - Accent1 4 3 3 3 2" xfId="16544"/>
    <cellStyle name="40% - Accent1 4 3 3 3 2 2" xfId="32765"/>
    <cellStyle name="40% - Accent1 4 3 3 3 3" xfId="26516"/>
    <cellStyle name="40% - Accent1 4 3 3 4" xfId="18119"/>
    <cellStyle name="40% - Accent1 4 3 3 4 2" xfId="34340"/>
    <cellStyle name="40% - Accent1 4 3 3 5" xfId="5870"/>
    <cellStyle name="40% - Accent1 4 3 3 5 2" xfId="27175"/>
    <cellStyle name="40% - Accent1 4 3 3 6" xfId="22022"/>
    <cellStyle name="40% - Accent1 4 3 3 6 2" xfId="38234"/>
    <cellStyle name="40% - Accent1 4 3 3 7" xfId="23520"/>
    <cellStyle name="40% - Accent1 4 3 4" xfId="1702"/>
    <cellStyle name="40% - Accent1 4 3 4 2" xfId="3201"/>
    <cellStyle name="40% - Accent1 4 3 4 2 2" xfId="19873"/>
    <cellStyle name="40% - Accent1 4 3 4 2 2 2" xfId="36094"/>
    <cellStyle name="40% - Accent1 4 3 4 2 3" xfId="25369"/>
    <cellStyle name="40% - Accent1 4 3 4 3" xfId="4700"/>
    <cellStyle name="40% - Accent1 4 3 4 3 2" xfId="26867"/>
    <cellStyle name="40% - Accent1 4 3 4 4" xfId="10252"/>
    <cellStyle name="40% - Accent1 4 3 4 4 2" xfId="29406"/>
    <cellStyle name="40% - Accent1 4 3 4 5" xfId="22373"/>
    <cellStyle name="40% - Accent1 4 3 4 5 2" xfId="38585"/>
    <cellStyle name="40% - Accent1 4 3 4 6" xfId="23871"/>
    <cellStyle name="40% - Accent1 4 3 5" xfId="2148"/>
    <cellStyle name="40% - Accent1 4 3 5 2" xfId="14959"/>
    <cellStyle name="40% - Accent1 4 3 5 2 2" xfId="31181"/>
    <cellStyle name="40% - Accent1 4 3 5 3" xfId="24316"/>
    <cellStyle name="40% - Accent1 4 3 6" xfId="3647"/>
    <cellStyle name="40% - Accent1 4 3 6 2" xfId="18116"/>
    <cellStyle name="40% - Accent1 4 3 6 2 2" xfId="34337"/>
    <cellStyle name="40% - Accent1 4 3 6 3" xfId="25814"/>
    <cellStyle name="40% - Accent1 4 3 7" xfId="5873"/>
    <cellStyle name="40% - Accent1 4 3 7 2" xfId="27178"/>
    <cellStyle name="40% - Accent1 4 3 8" xfId="21320"/>
    <cellStyle name="40% - Accent1 4 3 8 2" xfId="37532"/>
    <cellStyle name="40% - Accent1 4 3 9" xfId="22818"/>
    <cellStyle name="40% - Accent1 4 4" xfId="766"/>
    <cellStyle name="40% - Accent1 4 4 2" xfId="2265"/>
    <cellStyle name="40% - Accent1 4 4 2 2" xfId="10257"/>
    <cellStyle name="40% - Accent1 4 4 2 2 2" xfId="19878"/>
    <cellStyle name="40% - Accent1 4 4 2 2 2 2" xfId="36099"/>
    <cellStyle name="40% - Accent1 4 4 2 2 3" xfId="29411"/>
    <cellStyle name="40% - Accent1 4 4 2 3" xfId="16808"/>
    <cellStyle name="40% - Accent1 4 4 2 3 2" xfId="33029"/>
    <cellStyle name="40% - Accent1 4 4 2 4" xfId="18121"/>
    <cellStyle name="40% - Accent1 4 4 2 4 2" xfId="34342"/>
    <cellStyle name="40% - Accent1 4 4 2 5" xfId="5869"/>
    <cellStyle name="40% - Accent1 4 4 2 5 2" xfId="27174"/>
    <cellStyle name="40% - Accent1 4 4 2 6" xfId="24433"/>
    <cellStyle name="40% - Accent1 4 4 3" xfId="3764"/>
    <cellStyle name="40% - Accent1 4 4 3 2" xfId="19877"/>
    <cellStyle name="40% - Accent1 4 4 3 2 2" xfId="36098"/>
    <cellStyle name="40% - Accent1 4 4 3 3" xfId="10256"/>
    <cellStyle name="40% - Accent1 4 4 3 3 2" xfId="29410"/>
    <cellStyle name="40% - Accent1 4 4 3 4" xfId="25931"/>
    <cellStyle name="40% - Accent1 4 4 4" xfId="15223"/>
    <cellStyle name="40% - Accent1 4 4 4 2" xfId="31445"/>
    <cellStyle name="40% - Accent1 4 4 5" xfId="18120"/>
    <cellStyle name="40% - Accent1 4 4 5 2" xfId="34341"/>
    <cellStyle name="40% - Accent1 4 4 6" xfId="5740"/>
    <cellStyle name="40% - Accent1 4 4 6 2" xfId="27045"/>
    <cellStyle name="40% - Accent1 4 4 7" xfId="21437"/>
    <cellStyle name="40% - Accent1 4 4 7 2" xfId="37649"/>
    <cellStyle name="40% - Accent1 4 4 8" xfId="22935"/>
    <cellStyle name="40% - Accent1 4 4 9" xfId="39269"/>
    <cellStyle name="40% - Accent1 4 5" xfId="1117"/>
    <cellStyle name="40% - Accent1 4 5 2" xfId="2616"/>
    <cellStyle name="40% - Accent1 4 5 2 2" xfId="19879"/>
    <cellStyle name="40% - Accent1 4 5 2 2 2" xfId="36100"/>
    <cellStyle name="40% - Accent1 4 5 2 3" xfId="10258"/>
    <cellStyle name="40% - Accent1 4 5 2 3 2" xfId="29412"/>
    <cellStyle name="40% - Accent1 4 5 2 4" xfId="24784"/>
    <cellStyle name="40% - Accent1 4 5 3" xfId="4115"/>
    <cellStyle name="40% - Accent1 4 5 3 2" xfId="16016"/>
    <cellStyle name="40% - Accent1 4 5 3 2 2" xfId="32237"/>
    <cellStyle name="40% - Accent1 4 5 3 3" xfId="26282"/>
    <cellStyle name="40% - Accent1 4 5 4" xfId="18122"/>
    <cellStyle name="40% - Accent1 4 5 4 2" xfId="34343"/>
    <cellStyle name="40% - Accent1 4 5 5" xfId="5868"/>
    <cellStyle name="40% - Accent1 4 5 5 2" xfId="27173"/>
    <cellStyle name="40% - Accent1 4 5 6" xfId="21788"/>
    <cellStyle name="40% - Accent1 4 5 6 2" xfId="38000"/>
    <cellStyle name="40% - Accent1 4 5 7" xfId="23286"/>
    <cellStyle name="40% - Accent1 4 5 8" xfId="39418"/>
    <cellStyle name="40% - Accent1 4 6" xfId="1468"/>
    <cellStyle name="40% - Accent1 4 6 2" xfId="2967"/>
    <cellStyle name="40% - Accent1 4 6 2 2" xfId="19868"/>
    <cellStyle name="40% - Accent1 4 6 2 2 2" xfId="36089"/>
    <cellStyle name="40% - Accent1 4 6 2 3" xfId="25135"/>
    <cellStyle name="40% - Accent1 4 6 3" xfId="4466"/>
    <cellStyle name="40% - Accent1 4 6 3 2" xfId="26633"/>
    <cellStyle name="40% - Accent1 4 6 4" xfId="10247"/>
    <cellStyle name="40% - Accent1 4 6 4 2" xfId="29401"/>
    <cellStyle name="40% - Accent1 4 6 5" xfId="22139"/>
    <cellStyle name="40% - Accent1 4 6 5 2" xfId="38351"/>
    <cellStyle name="40% - Accent1 4 6 6" xfId="23637"/>
    <cellStyle name="40% - Accent1 4 7" xfId="1914"/>
    <cellStyle name="40% - Accent1 4 7 2" xfId="14431"/>
    <cellStyle name="40% - Accent1 4 7 2 2" xfId="30653"/>
    <cellStyle name="40% - Accent1 4 7 3" xfId="24082"/>
    <cellStyle name="40% - Accent1 4 8" xfId="3413"/>
    <cellStyle name="40% - Accent1 4 8 2" xfId="18111"/>
    <cellStyle name="40% - Accent1 4 8 2 2" xfId="34332"/>
    <cellStyle name="40% - Accent1 4 8 3" xfId="25580"/>
    <cellStyle name="40% - Accent1 4 9" xfId="5878"/>
    <cellStyle name="40% - Accent1 4 9 2" xfId="27183"/>
    <cellStyle name="40% - Accent1 5" xfId="425"/>
    <cellStyle name="40% - Accent1 5 10" xfId="21098"/>
    <cellStyle name="40% - Accent1 5 10 2" xfId="37310"/>
    <cellStyle name="40% - Accent1 5 11" xfId="22596"/>
    <cellStyle name="40% - Accent1 5 12" xfId="39004"/>
    <cellStyle name="40% - Accent1 5 2" xfId="543"/>
    <cellStyle name="40% - Accent1 5 2 10" xfId="39138"/>
    <cellStyle name="40% - Accent1 5 2 2" xfId="895"/>
    <cellStyle name="40% - Accent1 5 2 2 2" xfId="2394"/>
    <cellStyle name="40% - Accent1 5 2 2 2 2" xfId="19882"/>
    <cellStyle name="40% - Accent1 5 2 2 2 2 2" xfId="36103"/>
    <cellStyle name="40% - Accent1 5 2 2 2 3" xfId="10261"/>
    <cellStyle name="40% - Accent1 5 2 2 2 3 2" xfId="29415"/>
    <cellStyle name="40% - Accent1 5 2 2 2 4" xfId="24562"/>
    <cellStyle name="40% - Accent1 5 2 2 3" xfId="3893"/>
    <cellStyle name="40% - Accent1 5 2 2 3 2" xfId="16940"/>
    <cellStyle name="40% - Accent1 5 2 2 3 2 2" xfId="33161"/>
    <cellStyle name="40% - Accent1 5 2 2 3 3" xfId="26060"/>
    <cellStyle name="40% - Accent1 5 2 2 4" xfId="18125"/>
    <cellStyle name="40% - Accent1 5 2 2 4 2" xfId="34346"/>
    <cellStyle name="40% - Accent1 5 2 2 5" xfId="5865"/>
    <cellStyle name="40% - Accent1 5 2 2 5 2" xfId="27170"/>
    <cellStyle name="40% - Accent1 5 2 2 6" xfId="21566"/>
    <cellStyle name="40% - Accent1 5 2 2 6 2" xfId="37778"/>
    <cellStyle name="40% - Accent1 5 2 2 7" xfId="23064"/>
    <cellStyle name="40% - Accent1 5 2 3" xfId="1246"/>
    <cellStyle name="40% - Accent1 5 2 3 2" xfId="2745"/>
    <cellStyle name="40% - Accent1 5 2 3 2 2" xfId="19881"/>
    <cellStyle name="40% - Accent1 5 2 3 2 2 2" xfId="36102"/>
    <cellStyle name="40% - Accent1 5 2 3 2 3" xfId="24913"/>
    <cellStyle name="40% - Accent1 5 2 3 3" xfId="4244"/>
    <cellStyle name="40% - Accent1 5 2 3 3 2" xfId="26411"/>
    <cellStyle name="40% - Accent1 5 2 3 4" xfId="10260"/>
    <cellStyle name="40% - Accent1 5 2 3 4 2" xfId="29414"/>
    <cellStyle name="40% - Accent1 5 2 3 5" xfId="21917"/>
    <cellStyle name="40% - Accent1 5 2 3 5 2" xfId="38129"/>
    <cellStyle name="40% - Accent1 5 2 3 6" xfId="23415"/>
    <cellStyle name="40% - Accent1 5 2 4" xfId="1597"/>
    <cellStyle name="40% - Accent1 5 2 4 2" xfId="3096"/>
    <cellStyle name="40% - Accent1 5 2 4 2 2" xfId="25264"/>
    <cellStyle name="40% - Accent1 5 2 4 3" xfId="4595"/>
    <cellStyle name="40% - Accent1 5 2 4 3 2" xfId="26762"/>
    <cellStyle name="40% - Accent1 5 2 4 4" xfId="15355"/>
    <cellStyle name="40% - Accent1 5 2 4 4 2" xfId="31577"/>
    <cellStyle name="40% - Accent1 5 2 4 5" xfId="22268"/>
    <cellStyle name="40% - Accent1 5 2 4 5 2" xfId="38480"/>
    <cellStyle name="40% - Accent1 5 2 4 6" xfId="23766"/>
    <cellStyle name="40% - Accent1 5 2 5" xfId="2043"/>
    <cellStyle name="40% - Accent1 5 2 5 2" xfId="18124"/>
    <cellStyle name="40% - Accent1 5 2 5 2 2" xfId="34345"/>
    <cellStyle name="40% - Accent1 5 2 5 3" xfId="24211"/>
    <cellStyle name="40% - Accent1 5 2 6" xfId="3542"/>
    <cellStyle name="40% - Accent1 5 2 6 2" xfId="25709"/>
    <cellStyle name="40% - Accent1 5 2 7" xfId="5866"/>
    <cellStyle name="40% - Accent1 5 2 7 2" xfId="27171"/>
    <cellStyle name="40% - Accent1 5 2 8" xfId="21215"/>
    <cellStyle name="40% - Accent1 5 2 8 2" xfId="37427"/>
    <cellStyle name="40% - Accent1 5 2 9" xfId="22713"/>
    <cellStyle name="40% - Accent1 5 3" xfId="661"/>
    <cellStyle name="40% - Accent1 5 3 10" xfId="39286"/>
    <cellStyle name="40% - Accent1 5 3 2" xfId="1012"/>
    <cellStyle name="40% - Accent1 5 3 2 2" xfId="2511"/>
    <cellStyle name="40% - Accent1 5 3 2 2 2" xfId="19883"/>
    <cellStyle name="40% - Accent1 5 3 2 2 2 2" xfId="36104"/>
    <cellStyle name="40% - Accent1 5 3 2 2 3" xfId="24679"/>
    <cellStyle name="40% - Accent1 5 3 2 3" xfId="4010"/>
    <cellStyle name="40% - Accent1 5 3 2 3 2" xfId="26177"/>
    <cellStyle name="40% - Accent1 5 3 2 4" xfId="10262"/>
    <cellStyle name="40% - Accent1 5 3 2 4 2" xfId="29416"/>
    <cellStyle name="40% - Accent1 5 3 2 5" xfId="21683"/>
    <cellStyle name="40% - Accent1 5 3 2 5 2" xfId="37895"/>
    <cellStyle name="40% - Accent1 5 3 2 6" xfId="23181"/>
    <cellStyle name="40% - Accent1 5 3 3" xfId="1363"/>
    <cellStyle name="40% - Accent1 5 3 3 2" xfId="2862"/>
    <cellStyle name="40% - Accent1 5 3 3 2 2" xfId="25030"/>
    <cellStyle name="40% - Accent1 5 3 3 3" xfId="4361"/>
    <cellStyle name="40% - Accent1 5 3 3 3 2" xfId="26528"/>
    <cellStyle name="40% - Accent1 5 3 3 4" xfId="16148"/>
    <cellStyle name="40% - Accent1 5 3 3 4 2" xfId="32369"/>
    <cellStyle name="40% - Accent1 5 3 3 5" xfId="22034"/>
    <cellStyle name="40% - Accent1 5 3 3 5 2" xfId="38246"/>
    <cellStyle name="40% - Accent1 5 3 3 6" xfId="23532"/>
    <cellStyle name="40% - Accent1 5 3 4" xfId="1714"/>
    <cellStyle name="40% - Accent1 5 3 4 2" xfId="3213"/>
    <cellStyle name="40% - Accent1 5 3 4 2 2" xfId="25381"/>
    <cellStyle name="40% - Accent1 5 3 4 3" xfId="4712"/>
    <cellStyle name="40% - Accent1 5 3 4 3 2" xfId="26879"/>
    <cellStyle name="40% - Accent1 5 3 4 4" xfId="18126"/>
    <cellStyle name="40% - Accent1 5 3 4 4 2" xfId="34347"/>
    <cellStyle name="40% - Accent1 5 3 4 5" xfId="22385"/>
    <cellStyle name="40% - Accent1 5 3 4 5 2" xfId="38597"/>
    <cellStyle name="40% - Accent1 5 3 4 6" xfId="23883"/>
    <cellStyle name="40% - Accent1 5 3 5" xfId="2160"/>
    <cellStyle name="40% - Accent1 5 3 5 2" xfId="24328"/>
    <cellStyle name="40% - Accent1 5 3 6" xfId="3659"/>
    <cellStyle name="40% - Accent1 5 3 6 2" xfId="25826"/>
    <cellStyle name="40% - Accent1 5 3 7" xfId="5864"/>
    <cellStyle name="40% - Accent1 5 3 7 2" xfId="27169"/>
    <cellStyle name="40% - Accent1 5 3 8" xfId="21332"/>
    <cellStyle name="40% - Accent1 5 3 8 2" xfId="37544"/>
    <cellStyle name="40% - Accent1 5 3 9" xfId="22830"/>
    <cellStyle name="40% - Accent1 5 4" xfId="778"/>
    <cellStyle name="40% - Accent1 5 4 2" xfId="2277"/>
    <cellStyle name="40% - Accent1 5 4 2 2" xfId="19880"/>
    <cellStyle name="40% - Accent1 5 4 2 2 2" xfId="36101"/>
    <cellStyle name="40% - Accent1 5 4 2 3" xfId="24445"/>
    <cellStyle name="40% - Accent1 5 4 3" xfId="3776"/>
    <cellStyle name="40% - Accent1 5 4 3 2" xfId="25943"/>
    <cellStyle name="40% - Accent1 5 4 4" xfId="10259"/>
    <cellStyle name="40% - Accent1 5 4 4 2" xfId="29413"/>
    <cellStyle name="40% - Accent1 5 4 5" xfId="21449"/>
    <cellStyle name="40% - Accent1 5 4 5 2" xfId="37661"/>
    <cellStyle name="40% - Accent1 5 4 6" xfId="22947"/>
    <cellStyle name="40% - Accent1 5 4 7" xfId="39435"/>
    <cellStyle name="40% - Accent1 5 5" xfId="1129"/>
    <cellStyle name="40% - Accent1 5 5 2" xfId="2628"/>
    <cellStyle name="40% - Accent1 5 5 2 2" xfId="24796"/>
    <cellStyle name="40% - Accent1 5 5 3" xfId="4127"/>
    <cellStyle name="40% - Accent1 5 5 3 2" xfId="26294"/>
    <cellStyle name="40% - Accent1 5 5 4" xfId="14563"/>
    <cellStyle name="40% - Accent1 5 5 4 2" xfId="30785"/>
    <cellStyle name="40% - Accent1 5 5 5" xfId="21800"/>
    <cellStyle name="40% - Accent1 5 5 5 2" xfId="38012"/>
    <cellStyle name="40% - Accent1 5 5 6" xfId="23298"/>
    <cellStyle name="40% - Accent1 5 6" xfId="1480"/>
    <cellStyle name="40% - Accent1 5 6 2" xfId="2979"/>
    <cellStyle name="40% - Accent1 5 6 2 2" xfId="25147"/>
    <cellStyle name="40% - Accent1 5 6 3" xfId="4478"/>
    <cellStyle name="40% - Accent1 5 6 3 2" xfId="26645"/>
    <cellStyle name="40% - Accent1 5 6 4" xfId="18123"/>
    <cellStyle name="40% - Accent1 5 6 4 2" xfId="34344"/>
    <cellStyle name="40% - Accent1 5 6 5" xfId="22151"/>
    <cellStyle name="40% - Accent1 5 6 5 2" xfId="38363"/>
    <cellStyle name="40% - Accent1 5 6 6" xfId="23649"/>
    <cellStyle name="40% - Accent1 5 7" xfId="1926"/>
    <cellStyle name="40% - Accent1 5 7 2" xfId="24094"/>
    <cellStyle name="40% - Accent1 5 8" xfId="3425"/>
    <cellStyle name="40% - Accent1 5 8 2" xfId="25592"/>
    <cellStyle name="40% - Accent1 5 9" xfId="5867"/>
    <cellStyle name="40% - Accent1 5 9 2" xfId="27172"/>
    <cellStyle name="40% - Accent1 6" xfId="5863"/>
    <cellStyle name="40% - Accent1 6 2" xfId="5862"/>
    <cellStyle name="40% - Accent1 6 2 2" xfId="5861"/>
    <cellStyle name="40% - Accent1 6 2 2 2" xfId="10265"/>
    <cellStyle name="40% - Accent1 6 2 2 2 2" xfId="19886"/>
    <cellStyle name="40% - Accent1 6 2 2 2 2 2" xfId="36107"/>
    <cellStyle name="40% - Accent1 6 2 2 2 3" xfId="29419"/>
    <cellStyle name="40% - Accent1 6 2 2 3" xfId="17204"/>
    <cellStyle name="40% - Accent1 6 2 2 3 2" xfId="33425"/>
    <cellStyle name="40% - Accent1 6 2 2 4" xfId="18129"/>
    <cellStyle name="40% - Accent1 6 2 2 4 2" xfId="34350"/>
    <cellStyle name="40% - Accent1 6 2 2 5" xfId="27166"/>
    <cellStyle name="40% - Accent1 6 2 3" xfId="10264"/>
    <cellStyle name="40% - Accent1 6 2 3 2" xfId="19885"/>
    <cellStyle name="40% - Accent1 6 2 3 2 2" xfId="36106"/>
    <cellStyle name="40% - Accent1 6 2 3 3" xfId="29418"/>
    <cellStyle name="40% - Accent1 6 2 4" xfId="15619"/>
    <cellStyle name="40% - Accent1 6 2 4 2" xfId="31841"/>
    <cellStyle name="40% - Accent1 6 2 5" xfId="18128"/>
    <cellStyle name="40% - Accent1 6 2 5 2" xfId="34349"/>
    <cellStyle name="40% - Accent1 6 2 6" xfId="27167"/>
    <cellStyle name="40% - Accent1 6 3" xfId="5860"/>
    <cellStyle name="40% - Accent1 6 3 2" xfId="10266"/>
    <cellStyle name="40% - Accent1 6 3 2 2" xfId="19887"/>
    <cellStyle name="40% - Accent1 6 3 2 2 2" xfId="36108"/>
    <cellStyle name="40% - Accent1 6 3 2 3" xfId="29420"/>
    <cellStyle name="40% - Accent1 6 3 3" xfId="16412"/>
    <cellStyle name="40% - Accent1 6 3 3 2" xfId="32633"/>
    <cellStyle name="40% - Accent1 6 3 4" xfId="18130"/>
    <cellStyle name="40% - Accent1 6 3 4 2" xfId="34351"/>
    <cellStyle name="40% - Accent1 6 3 5" xfId="27165"/>
    <cellStyle name="40% - Accent1 6 4" xfId="10263"/>
    <cellStyle name="40% - Accent1 6 4 2" xfId="19884"/>
    <cellStyle name="40% - Accent1 6 4 2 2" xfId="36105"/>
    <cellStyle name="40% - Accent1 6 4 3" xfId="29417"/>
    <cellStyle name="40% - Accent1 6 5" xfId="14827"/>
    <cellStyle name="40% - Accent1 6 5 2" xfId="31049"/>
    <cellStyle name="40% - Accent1 6 6" xfId="18127"/>
    <cellStyle name="40% - Accent1 6 6 2" xfId="34348"/>
    <cellStyle name="40% - Accent1 6 7" xfId="27168"/>
    <cellStyle name="40% - Accent1 6 8" xfId="39077"/>
    <cellStyle name="40% - Accent1 7" xfId="5859"/>
    <cellStyle name="40% - Accent1 7 2" xfId="5858"/>
    <cellStyle name="40% - Accent1 7 2 2" xfId="10268"/>
    <cellStyle name="40% - Accent1 7 2 2 2" xfId="19889"/>
    <cellStyle name="40% - Accent1 7 2 2 2 2" xfId="36110"/>
    <cellStyle name="40% - Accent1 7 2 2 3" xfId="29422"/>
    <cellStyle name="40% - Accent1 7 2 3" xfId="16676"/>
    <cellStyle name="40% - Accent1 7 2 3 2" xfId="32897"/>
    <cellStyle name="40% - Accent1 7 2 4" xfId="18132"/>
    <cellStyle name="40% - Accent1 7 2 4 2" xfId="34353"/>
    <cellStyle name="40% - Accent1 7 2 5" xfId="27163"/>
    <cellStyle name="40% - Accent1 7 3" xfId="10267"/>
    <cellStyle name="40% - Accent1 7 3 2" xfId="19888"/>
    <cellStyle name="40% - Accent1 7 3 2 2" xfId="36109"/>
    <cellStyle name="40% - Accent1 7 3 3" xfId="29421"/>
    <cellStyle name="40% - Accent1 7 4" xfId="15091"/>
    <cellStyle name="40% - Accent1 7 4 2" xfId="31313"/>
    <cellStyle name="40% - Accent1 7 5" xfId="18131"/>
    <cellStyle name="40% - Accent1 7 5 2" xfId="34352"/>
    <cellStyle name="40% - Accent1 7 6" xfId="27164"/>
    <cellStyle name="40% - Accent1 7 7" xfId="39225"/>
    <cellStyle name="40% - Accent1 8" xfId="5857"/>
    <cellStyle name="40% - Accent1 8 2" xfId="10269"/>
    <cellStyle name="40% - Accent1 8 2 2" xfId="19890"/>
    <cellStyle name="40% - Accent1 8 2 2 2" xfId="36111"/>
    <cellStyle name="40% - Accent1 8 2 3" xfId="29423"/>
    <cellStyle name="40% - Accent1 8 3" xfId="15884"/>
    <cellStyle name="40% - Accent1 8 3 2" xfId="32105"/>
    <cellStyle name="40% - Accent1 8 4" xfId="18133"/>
    <cellStyle name="40% - Accent1 8 4 2" xfId="34354"/>
    <cellStyle name="40% - Accent1 8 5" xfId="27162"/>
    <cellStyle name="40% - Accent1 8 6" xfId="39374"/>
    <cellStyle name="40% - Accent1 9" xfId="10174"/>
    <cellStyle name="40% - Accent1 9 2" xfId="19795"/>
    <cellStyle name="40% - Accent1 9 2 2" xfId="36016"/>
    <cellStyle name="40% - Accent1 9 3" xfId="29328"/>
    <cellStyle name="40% - Accent2" xfId="43" builtinId="35" customBuiltin="1"/>
    <cellStyle name="40% - Accent2 10" xfId="14231"/>
    <cellStyle name="40% - Accent2 10 2" xfId="30518"/>
    <cellStyle name="40% - Accent2 11" xfId="18134"/>
    <cellStyle name="40% - Accent2 11 2" xfId="34355"/>
    <cellStyle name="40% - Accent2 12" xfId="26986"/>
    <cellStyle name="40% - Accent2 13" xfId="38905"/>
    <cellStyle name="40% - Accent2 14" xfId="4835"/>
    <cellStyle name="40% - Accent2 2" xfId="4873"/>
    <cellStyle name="40% - Accent2 2 10" xfId="18135"/>
    <cellStyle name="40% - Accent2 2 10 2" xfId="34356"/>
    <cellStyle name="40% - Accent2 2 11" xfId="27009"/>
    <cellStyle name="40% - Accent2 2 12" xfId="38775"/>
    <cellStyle name="40% - Accent2 2 2" xfId="5856"/>
    <cellStyle name="40% - Accent2 2 2 10" xfId="27161"/>
    <cellStyle name="40% - Accent2 2 2 11" xfId="38963"/>
    <cellStyle name="40% - Accent2 2 2 2" xfId="5855"/>
    <cellStyle name="40% - Accent2 2 2 2 10" xfId="39153"/>
    <cellStyle name="40% - Accent2 2 2 2 2" xfId="5854"/>
    <cellStyle name="40% - Accent2 2 2 2 2 2" xfId="5853"/>
    <cellStyle name="40% - Accent2 2 2 2 2 2 2" xfId="5852"/>
    <cellStyle name="40% - Accent2 2 2 2 2 2 2 2" xfId="10276"/>
    <cellStyle name="40% - Accent2 2 2 2 2 2 2 2 2" xfId="19897"/>
    <cellStyle name="40% - Accent2 2 2 2 2 2 2 2 2 2" xfId="36118"/>
    <cellStyle name="40% - Accent2 2 2 2 2 2 2 2 3" xfId="29430"/>
    <cellStyle name="40% - Accent2 2 2 2 2 2 2 3" xfId="17172"/>
    <cellStyle name="40% - Accent2 2 2 2 2 2 2 3 2" xfId="33393"/>
    <cellStyle name="40% - Accent2 2 2 2 2 2 2 4" xfId="18140"/>
    <cellStyle name="40% - Accent2 2 2 2 2 2 2 4 2" xfId="34361"/>
    <cellStyle name="40% - Accent2 2 2 2 2 2 2 5" xfId="27157"/>
    <cellStyle name="40% - Accent2 2 2 2 2 2 3" xfId="10275"/>
    <cellStyle name="40% - Accent2 2 2 2 2 2 3 2" xfId="19896"/>
    <cellStyle name="40% - Accent2 2 2 2 2 2 3 2 2" xfId="36117"/>
    <cellStyle name="40% - Accent2 2 2 2 2 2 3 3" xfId="29429"/>
    <cellStyle name="40% - Accent2 2 2 2 2 2 4" xfId="15587"/>
    <cellStyle name="40% - Accent2 2 2 2 2 2 4 2" xfId="31809"/>
    <cellStyle name="40% - Accent2 2 2 2 2 2 5" xfId="18139"/>
    <cellStyle name="40% - Accent2 2 2 2 2 2 5 2" xfId="34360"/>
    <cellStyle name="40% - Accent2 2 2 2 2 2 6" xfId="27158"/>
    <cellStyle name="40% - Accent2 2 2 2 2 3" xfId="5851"/>
    <cellStyle name="40% - Accent2 2 2 2 2 3 2" xfId="10277"/>
    <cellStyle name="40% - Accent2 2 2 2 2 3 2 2" xfId="19898"/>
    <cellStyle name="40% - Accent2 2 2 2 2 3 2 2 2" xfId="36119"/>
    <cellStyle name="40% - Accent2 2 2 2 2 3 2 3" xfId="29431"/>
    <cellStyle name="40% - Accent2 2 2 2 2 3 3" xfId="16380"/>
    <cellStyle name="40% - Accent2 2 2 2 2 3 3 2" xfId="32601"/>
    <cellStyle name="40% - Accent2 2 2 2 2 3 4" xfId="18141"/>
    <cellStyle name="40% - Accent2 2 2 2 2 3 4 2" xfId="34362"/>
    <cellStyle name="40% - Accent2 2 2 2 2 3 5" xfId="27156"/>
    <cellStyle name="40% - Accent2 2 2 2 2 4" xfId="10274"/>
    <cellStyle name="40% - Accent2 2 2 2 2 4 2" xfId="19895"/>
    <cellStyle name="40% - Accent2 2 2 2 2 4 2 2" xfId="36116"/>
    <cellStyle name="40% - Accent2 2 2 2 2 4 3" xfId="29428"/>
    <cellStyle name="40% - Accent2 2 2 2 2 5" xfId="14795"/>
    <cellStyle name="40% - Accent2 2 2 2 2 5 2" xfId="31017"/>
    <cellStyle name="40% - Accent2 2 2 2 2 6" xfId="18138"/>
    <cellStyle name="40% - Accent2 2 2 2 2 6 2" xfId="34359"/>
    <cellStyle name="40% - Accent2 2 2 2 2 7" xfId="27159"/>
    <cellStyle name="40% - Accent2 2 2 2 3" xfId="5850"/>
    <cellStyle name="40% - Accent2 2 2 2 3 2" xfId="5849"/>
    <cellStyle name="40% - Accent2 2 2 2 3 2 2" xfId="5848"/>
    <cellStyle name="40% - Accent2 2 2 2 3 2 2 2" xfId="10280"/>
    <cellStyle name="40% - Accent2 2 2 2 3 2 2 2 2" xfId="19901"/>
    <cellStyle name="40% - Accent2 2 2 2 3 2 2 2 2 2" xfId="36122"/>
    <cellStyle name="40% - Accent2 2 2 2 3 2 2 2 3" xfId="29434"/>
    <cellStyle name="40% - Accent2 2 2 2 3 2 2 3" xfId="17436"/>
    <cellStyle name="40% - Accent2 2 2 2 3 2 2 3 2" xfId="33657"/>
    <cellStyle name="40% - Accent2 2 2 2 3 2 2 4" xfId="18144"/>
    <cellStyle name="40% - Accent2 2 2 2 3 2 2 4 2" xfId="34365"/>
    <cellStyle name="40% - Accent2 2 2 2 3 2 2 5" xfId="27153"/>
    <cellStyle name="40% - Accent2 2 2 2 3 2 3" xfId="10279"/>
    <cellStyle name="40% - Accent2 2 2 2 3 2 3 2" xfId="19900"/>
    <cellStyle name="40% - Accent2 2 2 2 3 2 3 2 2" xfId="36121"/>
    <cellStyle name="40% - Accent2 2 2 2 3 2 3 3" xfId="29433"/>
    <cellStyle name="40% - Accent2 2 2 2 3 2 4" xfId="15851"/>
    <cellStyle name="40% - Accent2 2 2 2 3 2 4 2" xfId="32073"/>
    <cellStyle name="40% - Accent2 2 2 2 3 2 5" xfId="18143"/>
    <cellStyle name="40% - Accent2 2 2 2 3 2 5 2" xfId="34364"/>
    <cellStyle name="40% - Accent2 2 2 2 3 2 6" xfId="27154"/>
    <cellStyle name="40% - Accent2 2 2 2 3 3" xfId="5847"/>
    <cellStyle name="40% - Accent2 2 2 2 3 3 2" xfId="10281"/>
    <cellStyle name="40% - Accent2 2 2 2 3 3 2 2" xfId="19902"/>
    <cellStyle name="40% - Accent2 2 2 2 3 3 2 2 2" xfId="36123"/>
    <cellStyle name="40% - Accent2 2 2 2 3 3 2 3" xfId="29435"/>
    <cellStyle name="40% - Accent2 2 2 2 3 3 3" xfId="16644"/>
    <cellStyle name="40% - Accent2 2 2 2 3 3 3 2" xfId="32865"/>
    <cellStyle name="40% - Accent2 2 2 2 3 3 4" xfId="18145"/>
    <cellStyle name="40% - Accent2 2 2 2 3 3 4 2" xfId="34366"/>
    <cellStyle name="40% - Accent2 2 2 2 3 3 5" xfId="27152"/>
    <cellStyle name="40% - Accent2 2 2 2 3 4" xfId="10278"/>
    <cellStyle name="40% - Accent2 2 2 2 3 4 2" xfId="19899"/>
    <cellStyle name="40% - Accent2 2 2 2 3 4 2 2" xfId="36120"/>
    <cellStyle name="40% - Accent2 2 2 2 3 4 3" xfId="29432"/>
    <cellStyle name="40% - Accent2 2 2 2 3 5" xfId="15059"/>
    <cellStyle name="40% - Accent2 2 2 2 3 5 2" xfId="31281"/>
    <cellStyle name="40% - Accent2 2 2 2 3 6" xfId="18142"/>
    <cellStyle name="40% - Accent2 2 2 2 3 6 2" xfId="34363"/>
    <cellStyle name="40% - Accent2 2 2 2 3 7" xfId="27155"/>
    <cellStyle name="40% - Accent2 2 2 2 4" xfId="5846"/>
    <cellStyle name="40% - Accent2 2 2 2 4 2" xfId="5845"/>
    <cellStyle name="40% - Accent2 2 2 2 4 2 2" xfId="10283"/>
    <cellStyle name="40% - Accent2 2 2 2 4 2 2 2" xfId="19904"/>
    <cellStyle name="40% - Accent2 2 2 2 4 2 2 2 2" xfId="36125"/>
    <cellStyle name="40% - Accent2 2 2 2 4 2 2 3" xfId="29437"/>
    <cellStyle name="40% - Accent2 2 2 2 4 2 3" xfId="16908"/>
    <cellStyle name="40% - Accent2 2 2 2 4 2 3 2" xfId="33129"/>
    <cellStyle name="40% - Accent2 2 2 2 4 2 4" xfId="18147"/>
    <cellStyle name="40% - Accent2 2 2 2 4 2 4 2" xfId="34368"/>
    <cellStyle name="40% - Accent2 2 2 2 4 2 5" xfId="27150"/>
    <cellStyle name="40% - Accent2 2 2 2 4 3" xfId="10282"/>
    <cellStyle name="40% - Accent2 2 2 2 4 3 2" xfId="19903"/>
    <cellStyle name="40% - Accent2 2 2 2 4 3 2 2" xfId="36124"/>
    <cellStyle name="40% - Accent2 2 2 2 4 3 3" xfId="29436"/>
    <cellStyle name="40% - Accent2 2 2 2 4 4" xfId="15323"/>
    <cellStyle name="40% - Accent2 2 2 2 4 4 2" xfId="31545"/>
    <cellStyle name="40% - Accent2 2 2 2 4 5" xfId="18146"/>
    <cellStyle name="40% - Accent2 2 2 2 4 5 2" xfId="34367"/>
    <cellStyle name="40% - Accent2 2 2 2 4 6" xfId="27151"/>
    <cellStyle name="40% - Accent2 2 2 2 5" xfId="5844"/>
    <cellStyle name="40% - Accent2 2 2 2 5 2" xfId="10284"/>
    <cellStyle name="40% - Accent2 2 2 2 5 2 2" xfId="19905"/>
    <cellStyle name="40% - Accent2 2 2 2 5 2 2 2" xfId="36126"/>
    <cellStyle name="40% - Accent2 2 2 2 5 2 3" xfId="29438"/>
    <cellStyle name="40% - Accent2 2 2 2 5 3" xfId="16116"/>
    <cellStyle name="40% - Accent2 2 2 2 5 3 2" xfId="32337"/>
    <cellStyle name="40% - Accent2 2 2 2 5 4" xfId="18148"/>
    <cellStyle name="40% - Accent2 2 2 2 5 4 2" xfId="34369"/>
    <cellStyle name="40% - Accent2 2 2 2 5 5" xfId="27149"/>
    <cellStyle name="40% - Accent2 2 2 2 6" xfId="10273"/>
    <cellStyle name="40% - Accent2 2 2 2 6 2" xfId="19894"/>
    <cellStyle name="40% - Accent2 2 2 2 6 2 2" xfId="36115"/>
    <cellStyle name="40% - Accent2 2 2 2 6 3" xfId="29427"/>
    <cellStyle name="40% - Accent2 2 2 2 7" xfId="14531"/>
    <cellStyle name="40% - Accent2 2 2 2 7 2" xfId="30753"/>
    <cellStyle name="40% - Accent2 2 2 2 8" xfId="18137"/>
    <cellStyle name="40% - Accent2 2 2 2 8 2" xfId="34358"/>
    <cellStyle name="40% - Accent2 2 2 2 9" xfId="27160"/>
    <cellStyle name="40% - Accent2 2 2 3" xfId="5843"/>
    <cellStyle name="40% - Accent2 2 2 3 2" xfId="5842"/>
    <cellStyle name="40% - Accent2 2 2 3 2 2" xfId="5841"/>
    <cellStyle name="40% - Accent2 2 2 3 2 2 2" xfId="10287"/>
    <cellStyle name="40% - Accent2 2 2 3 2 2 2 2" xfId="19908"/>
    <cellStyle name="40% - Accent2 2 2 3 2 2 2 2 2" xfId="36129"/>
    <cellStyle name="40% - Accent2 2 2 3 2 2 2 3" xfId="29441"/>
    <cellStyle name="40% - Accent2 2 2 3 2 2 3" xfId="17040"/>
    <cellStyle name="40% - Accent2 2 2 3 2 2 3 2" xfId="33261"/>
    <cellStyle name="40% - Accent2 2 2 3 2 2 4" xfId="18151"/>
    <cellStyle name="40% - Accent2 2 2 3 2 2 4 2" xfId="34372"/>
    <cellStyle name="40% - Accent2 2 2 3 2 2 5" xfId="27146"/>
    <cellStyle name="40% - Accent2 2 2 3 2 3" xfId="10286"/>
    <cellStyle name="40% - Accent2 2 2 3 2 3 2" xfId="19907"/>
    <cellStyle name="40% - Accent2 2 2 3 2 3 2 2" xfId="36128"/>
    <cellStyle name="40% - Accent2 2 2 3 2 3 3" xfId="29440"/>
    <cellStyle name="40% - Accent2 2 2 3 2 4" xfId="15455"/>
    <cellStyle name="40% - Accent2 2 2 3 2 4 2" xfId="31677"/>
    <cellStyle name="40% - Accent2 2 2 3 2 5" xfId="18150"/>
    <cellStyle name="40% - Accent2 2 2 3 2 5 2" xfId="34371"/>
    <cellStyle name="40% - Accent2 2 2 3 2 6" xfId="27147"/>
    <cellStyle name="40% - Accent2 2 2 3 3" xfId="5840"/>
    <cellStyle name="40% - Accent2 2 2 3 3 2" xfId="10288"/>
    <cellStyle name="40% - Accent2 2 2 3 3 2 2" xfId="19909"/>
    <cellStyle name="40% - Accent2 2 2 3 3 2 2 2" xfId="36130"/>
    <cellStyle name="40% - Accent2 2 2 3 3 2 3" xfId="29442"/>
    <cellStyle name="40% - Accent2 2 2 3 3 3" xfId="16248"/>
    <cellStyle name="40% - Accent2 2 2 3 3 3 2" xfId="32469"/>
    <cellStyle name="40% - Accent2 2 2 3 3 4" xfId="18152"/>
    <cellStyle name="40% - Accent2 2 2 3 3 4 2" xfId="34373"/>
    <cellStyle name="40% - Accent2 2 2 3 3 5" xfId="27145"/>
    <cellStyle name="40% - Accent2 2 2 3 4" xfId="10285"/>
    <cellStyle name="40% - Accent2 2 2 3 4 2" xfId="19906"/>
    <cellStyle name="40% - Accent2 2 2 3 4 2 2" xfId="36127"/>
    <cellStyle name="40% - Accent2 2 2 3 4 3" xfId="29439"/>
    <cellStyle name="40% - Accent2 2 2 3 5" xfId="14663"/>
    <cellStyle name="40% - Accent2 2 2 3 5 2" xfId="30885"/>
    <cellStyle name="40% - Accent2 2 2 3 6" xfId="18149"/>
    <cellStyle name="40% - Accent2 2 2 3 6 2" xfId="34370"/>
    <cellStyle name="40% - Accent2 2 2 3 7" xfId="27148"/>
    <cellStyle name="40% - Accent2 2 2 3 8" xfId="39301"/>
    <cellStyle name="40% - Accent2 2 2 4" xfId="5839"/>
    <cellStyle name="40% - Accent2 2 2 4 2" xfId="5838"/>
    <cellStyle name="40% - Accent2 2 2 4 2 2" xfId="5837"/>
    <cellStyle name="40% - Accent2 2 2 4 2 2 2" xfId="10291"/>
    <cellStyle name="40% - Accent2 2 2 4 2 2 2 2" xfId="19912"/>
    <cellStyle name="40% - Accent2 2 2 4 2 2 2 2 2" xfId="36133"/>
    <cellStyle name="40% - Accent2 2 2 4 2 2 2 3" xfId="29445"/>
    <cellStyle name="40% - Accent2 2 2 4 2 2 3" xfId="17304"/>
    <cellStyle name="40% - Accent2 2 2 4 2 2 3 2" xfId="33525"/>
    <cellStyle name="40% - Accent2 2 2 4 2 2 4" xfId="18155"/>
    <cellStyle name="40% - Accent2 2 2 4 2 2 4 2" xfId="34376"/>
    <cellStyle name="40% - Accent2 2 2 4 2 2 5" xfId="27142"/>
    <cellStyle name="40% - Accent2 2 2 4 2 3" xfId="10290"/>
    <cellStyle name="40% - Accent2 2 2 4 2 3 2" xfId="19911"/>
    <cellStyle name="40% - Accent2 2 2 4 2 3 2 2" xfId="36132"/>
    <cellStyle name="40% - Accent2 2 2 4 2 3 3" xfId="29444"/>
    <cellStyle name="40% - Accent2 2 2 4 2 4" xfId="15719"/>
    <cellStyle name="40% - Accent2 2 2 4 2 4 2" xfId="31941"/>
    <cellStyle name="40% - Accent2 2 2 4 2 5" xfId="18154"/>
    <cellStyle name="40% - Accent2 2 2 4 2 5 2" xfId="34375"/>
    <cellStyle name="40% - Accent2 2 2 4 2 6" xfId="27143"/>
    <cellStyle name="40% - Accent2 2 2 4 3" xfId="5836"/>
    <cellStyle name="40% - Accent2 2 2 4 3 2" xfId="10292"/>
    <cellStyle name="40% - Accent2 2 2 4 3 2 2" xfId="19913"/>
    <cellStyle name="40% - Accent2 2 2 4 3 2 2 2" xfId="36134"/>
    <cellStyle name="40% - Accent2 2 2 4 3 2 3" xfId="29446"/>
    <cellStyle name="40% - Accent2 2 2 4 3 3" xfId="16512"/>
    <cellStyle name="40% - Accent2 2 2 4 3 3 2" xfId="32733"/>
    <cellStyle name="40% - Accent2 2 2 4 3 4" xfId="18156"/>
    <cellStyle name="40% - Accent2 2 2 4 3 4 2" xfId="34377"/>
    <cellStyle name="40% - Accent2 2 2 4 3 5" xfId="27141"/>
    <cellStyle name="40% - Accent2 2 2 4 4" xfId="10289"/>
    <cellStyle name="40% - Accent2 2 2 4 4 2" xfId="19910"/>
    <cellStyle name="40% - Accent2 2 2 4 4 2 2" xfId="36131"/>
    <cellStyle name="40% - Accent2 2 2 4 4 3" xfId="29443"/>
    <cellStyle name="40% - Accent2 2 2 4 5" xfId="14927"/>
    <cellStyle name="40% - Accent2 2 2 4 5 2" xfId="31149"/>
    <cellStyle name="40% - Accent2 2 2 4 6" xfId="18153"/>
    <cellStyle name="40% - Accent2 2 2 4 6 2" xfId="34374"/>
    <cellStyle name="40% - Accent2 2 2 4 7" xfId="27144"/>
    <cellStyle name="40% - Accent2 2 2 4 8" xfId="39450"/>
    <cellStyle name="40% - Accent2 2 2 5" xfId="5835"/>
    <cellStyle name="40% - Accent2 2 2 5 2" xfId="5733"/>
    <cellStyle name="40% - Accent2 2 2 5 2 2" xfId="10294"/>
    <cellStyle name="40% - Accent2 2 2 5 2 2 2" xfId="19915"/>
    <cellStyle name="40% - Accent2 2 2 5 2 2 2 2" xfId="36136"/>
    <cellStyle name="40% - Accent2 2 2 5 2 2 3" xfId="29448"/>
    <cellStyle name="40% - Accent2 2 2 5 2 3" xfId="16776"/>
    <cellStyle name="40% - Accent2 2 2 5 2 3 2" xfId="32997"/>
    <cellStyle name="40% - Accent2 2 2 5 2 4" xfId="18158"/>
    <cellStyle name="40% - Accent2 2 2 5 2 4 2" xfId="34379"/>
    <cellStyle name="40% - Accent2 2 2 5 2 5" xfId="27039"/>
    <cellStyle name="40% - Accent2 2 2 5 3" xfId="10293"/>
    <cellStyle name="40% - Accent2 2 2 5 3 2" xfId="19914"/>
    <cellStyle name="40% - Accent2 2 2 5 3 2 2" xfId="36135"/>
    <cellStyle name="40% - Accent2 2 2 5 3 3" xfId="29447"/>
    <cellStyle name="40% - Accent2 2 2 5 4" xfId="15191"/>
    <cellStyle name="40% - Accent2 2 2 5 4 2" xfId="31413"/>
    <cellStyle name="40% - Accent2 2 2 5 5" xfId="18157"/>
    <cellStyle name="40% - Accent2 2 2 5 5 2" xfId="34378"/>
    <cellStyle name="40% - Accent2 2 2 5 6" xfId="27140"/>
    <cellStyle name="40% - Accent2 2 2 6" xfId="5834"/>
    <cellStyle name="40% - Accent2 2 2 6 2" xfId="10295"/>
    <cellStyle name="40% - Accent2 2 2 6 2 2" xfId="19916"/>
    <cellStyle name="40% - Accent2 2 2 6 2 2 2" xfId="36137"/>
    <cellStyle name="40% - Accent2 2 2 6 2 3" xfId="29449"/>
    <cellStyle name="40% - Accent2 2 2 6 3" xfId="15984"/>
    <cellStyle name="40% - Accent2 2 2 6 3 2" xfId="32205"/>
    <cellStyle name="40% - Accent2 2 2 6 4" xfId="18159"/>
    <cellStyle name="40% - Accent2 2 2 6 4 2" xfId="34380"/>
    <cellStyle name="40% - Accent2 2 2 6 5" xfId="27139"/>
    <cellStyle name="40% - Accent2 2 2 7" xfId="10272"/>
    <cellStyle name="40% - Accent2 2 2 7 2" xfId="19893"/>
    <cellStyle name="40% - Accent2 2 2 7 2 2" xfId="36114"/>
    <cellStyle name="40% - Accent2 2 2 7 3" xfId="29426"/>
    <cellStyle name="40% - Accent2 2 2 8" xfId="14399"/>
    <cellStyle name="40% - Accent2 2 2 8 2" xfId="30621"/>
    <cellStyle name="40% - Accent2 2 2 9" xfId="18136"/>
    <cellStyle name="40% - Accent2 2 2 9 2" xfId="34357"/>
    <cellStyle name="40% - Accent2 2 3" xfId="5833"/>
    <cellStyle name="40% - Accent2 2 3 10" xfId="39097"/>
    <cellStyle name="40% - Accent2 2 3 2" xfId="5832"/>
    <cellStyle name="40% - Accent2 2 3 2 2" xfId="5831"/>
    <cellStyle name="40% - Accent2 2 3 2 2 2" xfId="5830"/>
    <cellStyle name="40% - Accent2 2 3 2 2 2 2" xfId="10299"/>
    <cellStyle name="40% - Accent2 2 3 2 2 2 2 2" xfId="19920"/>
    <cellStyle name="40% - Accent2 2 3 2 2 2 2 2 2" xfId="36141"/>
    <cellStyle name="40% - Accent2 2 3 2 2 2 2 3" xfId="29453"/>
    <cellStyle name="40% - Accent2 2 3 2 2 2 3" xfId="17106"/>
    <cellStyle name="40% - Accent2 2 3 2 2 2 3 2" xfId="33327"/>
    <cellStyle name="40% - Accent2 2 3 2 2 2 4" xfId="18163"/>
    <cellStyle name="40% - Accent2 2 3 2 2 2 4 2" xfId="34384"/>
    <cellStyle name="40% - Accent2 2 3 2 2 2 5" xfId="27135"/>
    <cellStyle name="40% - Accent2 2 3 2 2 3" xfId="10298"/>
    <cellStyle name="40% - Accent2 2 3 2 2 3 2" xfId="19919"/>
    <cellStyle name="40% - Accent2 2 3 2 2 3 2 2" xfId="36140"/>
    <cellStyle name="40% - Accent2 2 3 2 2 3 3" xfId="29452"/>
    <cellStyle name="40% - Accent2 2 3 2 2 4" xfId="15521"/>
    <cellStyle name="40% - Accent2 2 3 2 2 4 2" xfId="31743"/>
    <cellStyle name="40% - Accent2 2 3 2 2 5" xfId="18162"/>
    <cellStyle name="40% - Accent2 2 3 2 2 5 2" xfId="34383"/>
    <cellStyle name="40% - Accent2 2 3 2 2 6" xfId="27136"/>
    <cellStyle name="40% - Accent2 2 3 2 3" xfId="5829"/>
    <cellStyle name="40% - Accent2 2 3 2 3 2" xfId="10300"/>
    <cellStyle name="40% - Accent2 2 3 2 3 2 2" xfId="19921"/>
    <cellStyle name="40% - Accent2 2 3 2 3 2 2 2" xfId="36142"/>
    <cellStyle name="40% - Accent2 2 3 2 3 2 3" xfId="29454"/>
    <cellStyle name="40% - Accent2 2 3 2 3 3" xfId="16314"/>
    <cellStyle name="40% - Accent2 2 3 2 3 3 2" xfId="32535"/>
    <cellStyle name="40% - Accent2 2 3 2 3 4" xfId="18164"/>
    <cellStyle name="40% - Accent2 2 3 2 3 4 2" xfId="34385"/>
    <cellStyle name="40% - Accent2 2 3 2 3 5" xfId="27134"/>
    <cellStyle name="40% - Accent2 2 3 2 4" xfId="10297"/>
    <cellStyle name="40% - Accent2 2 3 2 4 2" xfId="19918"/>
    <cellStyle name="40% - Accent2 2 3 2 4 2 2" xfId="36139"/>
    <cellStyle name="40% - Accent2 2 3 2 4 3" xfId="29451"/>
    <cellStyle name="40% - Accent2 2 3 2 5" xfId="14729"/>
    <cellStyle name="40% - Accent2 2 3 2 5 2" xfId="30951"/>
    <cellStyle name="40% - Accent2 2 3 2 6" xfId="18161"/>
    <cellStyle name="40% - Accent2 2 3 2 6 2" xfId="34382"/>
    <cellStyle name="40% - Accent2 2 3 2 7" xfId="27137"/>
    <cellStyle name="40% - Accent2 2 3 3" xfId="5828"/>
    <cellStyle name="40% - Accent2 2 3 3 2" xfId="5827"/>
    <cellStyle name="40% - Accent2 2 3 3 2 2" xfId="5826"/>
    <cellStyle name="40% - Accent2 2 3 3 2 2 2" xfId="10303"/>
    <cellStyle name="40% - Accent2 2 3 3 2 2 2 2" xfId="19924"/>
    <cellStyle name="40% - Accent2 2 3 3 2 2 2 2 2" xfId="36145"/>
    <cellStyle name="40% - Accent2 2 3 3 2 2 2 3" xfId="29457"/>
    <cellStyle name="40% - Accent2 2 3 3 2 2 3" xfId="17370"/>
    <cellStyle name="40% - Accent2 2 3 3 2 2 3 2" xfId="33591"/>
    <cellStyle name="40% - Accent2 2 3 3 2 2 4" xfId="18167"/>
    <cellStyle name="40% - Accent2 2 3 3 2 2 4 2" xfId="34388"/>
    <cellStyle name="40% - Accent2 2 3 3 2 2 5" xfId="27131"/>
    <cellStyle name="40% - Accent2 2 3 3 2 3" xfId="10302"/>
    <cellStyle name="40% - Accent2 2 3 3 2 3 2" xfId="19923"/>
    <cellStyle name="40% - Accent2 2 3 3 2 3 2 2" xfId="36144"/>
    <cellStyle name="40% - Accent2 2 3 3 2 3 3" xfId="29456"/>
    <cellStyle name="40% - Accent2 2 3 3 2 4" xfId="15785"/>
    <cellStyle name="40% - Accent2 2 3 3 2 4 2" xfId="32007"/>
    <cellStyle name="40% - Accent2 2 3 3 2 5" xfId="18166"/>
    <cellStyle name="40% - Accent2 2 3 3 2 5 2" xfId="34387"/>
    <cellStyle name="40% - Accent2 2 3 3 2 6" xfId="27132"/>
    <cellStyle name="40% - Accent2 2 3 3 3" xfId="5825"/>
    <cellStyle name="40% - Accent2 2 3 3 3 2" xfId="10304"/>
    <cellStyle name="40% - Accent2 2 3 3 3 2 2" xfId="19925"/>
    <cellStyle name="40% - Accent2 2 3 3 3 2 2 2" xfId="36146"/>
    <cellStyle name="40% - Accent2 2 3 3 3 2 3" xfId="29458"/>
    <cellStyle name="40% - Accent2 2 3 3 3 3" xfId="16578"/>
    <cellStyle name="40% - Accent2 2 3 3 3 3 2" xfId="32799"/>
    <cellStyle name="40% - Accent2 2 3 3 3 4" xfId="18168"/>
    <cellStyle name="40% - Accent2 2 3 3 3 4 2" xfId="34389"/>
    <cellStyle name="40% - Accent2 2 3 3 3 5" xfId="27130"/>
    <cellStyle name="40% - Accent2 2 3 3 4" xfId="10301"/>
    <cellStyle name="40% - Accent2 2 3 3 4 2" xfId="19922"/>
    <cellStyle name="40% - Accent2 2 3 3 4 2 2" xfId="36143"/>
    <cellStyle name="40% - Accent2 2 3 3 4 3" xfId="29455"/>
    <cellStyle name="40% - Accent2 2 3 3 5" xfId="14993"/>
    <cellStyle name="40% - Accent2 2 3 3 5 2" xfId="31215"/>
    <cellStyle name="40% - Accent2 2 3 3 6" xfId="18165"/>
    <cellStyle name="40% - Accent2 2 3 3 6 2" xfId="34386"/>
    <cellStyle name="40% - Accent2 2 3 3 7" xfId="27133"/>
    <cellStyle name="40% - Accent2 2 3 4" xfId="5824"/>
    <cellStyle name="40% - Accent2 2 3 4 2" xfId="5823"/>
    <cellStyle name="40% - Accent2 2 3 4 2 2" xfId="10306"/>
    <cellStyle name="40% - Accent2 2 3 4 2 2 2" xfId="19927"/>
    <cellStyle name="40% - Accent2 2 3 4 2 2 2 2" xfId="36148"/>
    <cellStyle name="40% - Accent2 2 3 4 2 2 3" xfId="29460"/>
    <cellStyle name="40% - Accent2 2 3 4 2 3" xfId="16842"/>
    <cellStyle name="40% - Accent2 2 3 4 2 3 2" xfId="33063"/>
    <cellStyle name="40% - Accent2 2 3 4 2 4" xfId="18170"/>
    <cellStyle name="40% - Accent2 2 3 4 2 4 2" xfId="34391"/>
    <cellStyle name="40% - Accent2 2 3 4 2 5" xfId="27128"/>
    <cellStyle name="40% - Accent2 2 3 4 3" xfId="10305"/>
    <cellStyle name="40% - Accent2 2 3 4 3 2" xfId="19926"/>
    <cellStyle name="40% - Accent2 2 3 4 3 2 2" xfId="36147"/>
    <cellStyle name="40% - Accent2 2 3 4 3 3" xfId="29459"/>
    <cellStyle name="40% - Accent2 2 3 4 4" xfId="15257"/>
    <cellStyle name="40% - Accent2 2 3 4 4 2" xfId="31479"/>
    <cellStyle name="40% - Accent2 2 3 4 5" xfId="18169"/>
    <cellStyle name="40% - Accent2 2 3 4 5 2" xfId="34390"/>
    <cellStyle name="40% - Accent2 2 3 4 6" xfId="27129"/>
    <cellStyle name="40% - Accent2 2 3 5" xfId="5822"/>
    <cellStyle name="40% - Accent2 2 3 5 2" xfId="10307"/>
    <cellStyle name="40% - Accent2 2 3 5 2 2" xfId="19928"/>
    <cellStyle name="40% - Accent2 2 3 5 2 2 2" xfId="36149"/>
    <cellStyle name="40% - Accent2 2 3 5 2 3" xfId="29461"/>
    <cellStyle name="40% - Accent2 2 3 5 3" xfId="16050"/>
    <cellStyle name="40% - Accent2 2 3 5 3 2" xfId="32271"/>
    <cellStyle name="40% - Accent2 2 3 5 4" xfId="18171"/>
    <cellStyle name="40% - Accent2 2 3 5 4 2" xfId="34392"/>
    <cellStyle name="40% - Accent2 2 3 5 5" xfId="27127"/>
    <cellStyle name="40% - Accent2 2 3 6" xfId="10296"/>
    <cellStyle name="40% - Accent2 2 3 6 2" xfId="19917"/>
    <cellStyle name="40% - Accent2 2 3 6 2 2" xfId="36138"/>
    <cellStyle name="40% - Accent2 2 3 6 3" xfId="29450"/>
    <cellStyle name="40% - Accent2 2 3 7" xfId="14465"/>
    <cellStyle name="40% - Accent2 2 3 7 2" xfId="30687"/>
    <cellStyle name="40% - Accent2 2 3 8" xfId="18160"/>
    <cellStyle name="40% - Accent2 2 3 8 2" xfId="34381"/>
    <cellStyle name="40% - Accent2 2 3 9" xfId="27138"/>
    <cellStyle name="40% - Accent2 2 4" xfId="5821"/>
    <cellStyle name="40% - Accent2 2 4 2" xfId="5820"/>
    <cellStyle name="40% - Accent2 2 4 2 2" xfId="5819"/>
    <cellStyle name="40% - Accent2 2 4 2 2 2" xfId="10310"/>
    <cellStyle name="40% - Accent2 2 4 2 2 2 2" xfId="19931"/>
    <cellStyle name="40% - Accent2 2 4 2 2 2 2 2" xfId="36152"/>
    <cellStyle name="40% - Accent2 2 4 2 2 2 3" xfId="29464"/>
    <cellStyle name="40% - Accent2 2 4 2 2 3" xfId="16974"/>
    <cellStyle name="40% - Accent2 2 4 2 2 3 2" xfId="33195"/>
    <cellStyle name="40% - Accent2 2 4 2 2 4" xfId="18174"/>
    <cellStyle name="40% - Accent2 2 4 2 2 4 2" xfId="34395"/>
    <cellStyle name="40% - Accent2 2 4 2 2 5" xfId="27124"/>
    <cellStyle name="40% - Accent2 2 4 2 3" xfId="10309"/>
    <cellStyle name="40% - Accent2 2 4 2 3 2" xfId="19930"/>
    <cellStyle name="40% - Accent2 2 4 2 3 2 2" xfId="36151"/>
    <cellStyle name="40% - Accent2 2 4 2 3 3" xfId="29463"/>
    <cellStyle name="40% - Accent2 2 4 2 4" xfId="15389"/>
    <cellStyle name="40% - Accent2 2 4 2 4 2" xfId="31611"/>
    <cellStyle name="40% - Accent2 2 4 2 5" xfId="18173"/>
    <cellStyle name="40% - Accent2 2 4 2 5 2" xfId="34394"/>
    <cellStyle name="40% - Accent2 2 4 2 6" xfId="27125"/>
    <cellStyle name="40% - Accent2 2 4 3" xfId="5818"/>
    <cellStyle name="40% - Accent2 2 4 3 2" xfId="10311"/>
    <cellStyle name="40% - Accent2 2 4 3 2 2" xfId="19932"/>
    <cellStyle name="40% - Accent2 2 4 3 2 2 2" xfId="36153"/>
    <cellStyle name="40% - Accent2 2 4 3 2 3" xfId="29465"/>
    <cellStyle name="40% - Accent2 2 4 3 3" xfId="16182"/>
    <cellStyle name="40% - Accent2 2 4 3 3 2" xfId="32403"/>
    <cellStyle name="40% - Accent2 2 4 3 4" xfId="18175"/>
    <cellStyle name="40% - Accent2 2 4 3 4 2" xfId="34396"/>
    <cellStyle name="40% - Accent2 2 4 3 5" xfId="27123"/>
    <cellStyle name="40% - Accent2 2 4 4" xfId="10308"/>
    <cellStyle name="40% - Accent2 2 4 4 2" xfId="19929"/>
    <cellStyle name="40% - Accent2 2 4 4 2 2" xfId="36150"/>
    <cellStyle name="40% - Accent2 2 4 4 3" xfId="29462"/>
    <cellStyle name="40% - Accent2 2 4 5" xfId="14597"/>
    <cellStyle name="40% - Accent2 2 4 5 2" xfId="30819"/>
    <cellStyle name="40% - Accent2 2 4 6" xfId="18172"/>
    <cellStyle name="40% - Accent2 2 4 6 2" xfId="34393"/>
    <cellStyle name="40% - Accent2 2 4 7" xfId="27126"/>
    <cellStyle name="40% - Accent2 2 4 8" xfId="39245"/>
    <cellStyle name="40% - Accent2 2 5" xfId="5817"/>
    <cellStyle name="40% - Accent2 2 5 2" xfId="5816"/>
    <cellStyle name="40% - Accent2 2 5 2 2" xfId="5815"/>
    <cellStyle name="40% - Accent2 2 5 2 2 2" xfId="10314"/>
    <cellStyle name="40% - Accent2 2 5 2 2 2 2" xfId="19935"/>
    <cellStyle name="40% - Accent2 2 5 2 2 2 2 2" xfId="36156"/>
    <cellStyle name="40% - Accent2 2 5 2 2 2 3" xfId="29468"/>
    <cellStyle name="40% - Accent2 2 5 2 2 3" xfId="17238"/>
    <cellStyle name="40% - Accent2 2 5 2 2 3 2" xfId="33459"/>
    <cellStyle name="40% - Accent2 2 5 2 2 4" xfId="18178"/>
    <cellStyle name="40% - Accent2 2 5 2 2 4 2" xfId="34399"/>
    <cellStyle name="40% - Accent2 2 5 2 2 5" xfId="27120"/>
    <cellStyle name="40% - Accent2 2 5 2 3" xfId="10313"/>
    <cellStyle name="40% - Accent2 2 5 2 3 2" xfId="19934"/>
    <cellStyle name="40% - Accent2 2 5 2 3 2 2" xfId="36155"/>
    <cellStyle name="40% - Accent2 2 5 2 3 3" xfId="29467"/>
    <cellStyle name="40% - Accent2 2 5 2 4" xfId="15653"/>
    <cellStyle name="40% - Accent2 2 5 2 4 2" xfId="31875"/>
    <cellStyle name="40% - Accent2 2 5 2 5" xfId="18177"/>
    <cellStyle name="40% - Accent2 2 5 2 5 2" xfId="34398"/>
    <cellStyle name="40% - Accent2 2 5 2 6" xfId="27121"/>
    <cellStyle name="40% - Accent2 2 5 3" xfId="5814"/>
    <cellStyle name="40% - Accent2 2 5 3 2" xfId="10315"/>
    <cellStyle name="40% - Accent2 2 5 3 2 2" xfId="19936"/>
    <cellStyle name="40% - Accent2 2 5 3 2 2 2" xfId="36157"/>
    <cellStyle name="40% - Accent2 2 5 3 2 3" xfId="29469"/>
    <cellStyle name="40% - Accent2 2 5 3 3" xfId="16446"/>
    <cellStyle name="40% - Accent2 2 5 3 3 2" xfId="32667"/>
    <cellStyle name="40% - Accent2 2 5 3 4" xfId="18179"/>
    <cellStyle name="40% - Accent2 2 5 3 4 2" xfId="34400"/>
    <cellStyle name="40% - Accent2 2 5 3 5" xfId="27119"/>
    <cellStyle name="40% - Accent2 2 5 4" xfId="10312"/>
    <cellStyle name="40% - Accent2 2 5 4 2" xfId="19933"/>
    <cellStyle name="40% - Accent2 2 5 4 2 2" xfId="36154"/>
    <cellStyle name="40% - Accent2 2 5 4 3" xfId="29466"/>
    <cellStyle name="40% - Accent2 2 5 5" xfId="14861"/>
    <cellStyle name="40% - Accent2 2 5 5 2" xfId="31083"/>
    <cellStyle name="40% - Accent2 2 5 6" xfId="18176"/>
    <cellStyle name="40% - Accent2 2 5 6 2" xfId="34397"/>
    <cellStyle name="40% - Accent2 2 5 7" xfId="27122"/>
    <cellStyle name="40% - Accent2 2 5 8" xfId="39394"/>
    <cellStyle name="40% - Accent2 2 6" xfId="5813"/>
    <cellStyle name="40% - Accent2 2 6 2" xfId="5812"/>
    <cellStyle name="40% - Accent2 2 6 2 2" xfId="10317"/>
    <cellStyle name="40% - Accent2 2 6 2 2 2" xfId="19938"/>
    <cellStyle name="40% - Accent2 2 6 2 2 2 2" xfId="36159"/>
    <cellStyle name="40% - Accent2 2 6 2 2 3" xfId="29471"/>
    <cellStyle name="40% - Accent2 2 6 2 3" xfId="16710"/>
    <cellStyle name="40% - Accent2 2 6 2 3 2" xfId="32931"/>
    <cellStyle name="40% - Accent2 2 6 2 4" xfId="18181"/>
    <cellStyle name="40% - Accent2 2 6 2 4 2" xfId="34402"/>
    <cellStyle name="40% - Accent2 2 6 2 5" xfId="27117"/>
    <cellStyle name="40% - Accent2 2 6 3" xfId="10316"/>
    <cellStyle name="40% - Accent2 2 6 3 2" xfId="19937"/>
    <cellStyle name="40% - Accent2 2 6 3 2 2" xfId="36158"/>
    <cellStyle name="40% - Accent2 2 6 3 3" xfId="29470"/>
    <cellStyle name="40% - Accent2 2 6 4" xfId="15125"/>
    <cellStyle name="40% - Accent2 2 6 4 2" xfId="31347"/>
    <cellStyle name="40% - Accent2 2 6 5" xfId="18180"/>
    <cellStyle name="40% - Accent2 2 6 5 2" xfId="34401"/>
    <cellStyle name="40% - Accent2 2 6 6" xfId="27118"/>
    <cellStyle name="40% - Accent2 2 7" xfId="5811"/>
    <cellStyle name="40% - Accent2 2 7 2" xfId="10318"/>
    <cellStyle name="40% - Accent2 2 7 2 2" xfId="19939"/>
    <cellStyle name="40% - Accent2 2 7 2 2 2" xfId="36160"/>
    <cellStyle name="40% - Accent2 2 7 2 3" xfId="29472"/>
    <cellStyle name="40% - Accent2 2 7 3" xfId="15918"/>
    <cellStyle name="40% - Accent2 2 7 3 2" xfId="32139"/>
    <cellStyle name="40% - Accent2 2 7 4" xfId="18182"/>
    <cellStyle name="40% - Accent2 2 7 4 2" xfId="34403"/>
    <cellStyle name="40% - Accent2 2 7 5" xfId="27116"/>
    <cellStyle name="40% - Accent2 2 8" xfId="10271"/>
    <cellStyle name="40% - Accent2 2 8 2" xfId="19892"/>
    <cellStyle name="40% - Accent2 2 8 2 2" xfId="36113"/>
    <cellStyle name="40% - Accent2 2 8 3" xfId="29425"/>
    <cellStyle name="40% - Accent2 2 9" xfId="14333"/>
    <cellStyle name="40% - Accent2 2 9 2" xfId="30555"/>
    <cellStyle name="40% - Accent2 3" xfId="5810"/>
    <cellStyle name="40% - Accent2 3 10" xfId="27115"/>
    <cellStyle name="40% - Accent2 3 11" xfId="38976"/>
    <cellStyle name="40% - Accent2 3 2" xfId="5809"/>
    <cellStyle name="40% - Accent2 3 2 10" xfId="39018"/>
    <cellStyle name="40% - Accent2 3 2 2" xfId="5808"/>
    <cellStyle name="40% - Accent2 3 2 2 2" xfId="5807"/>
    <cellStyle name="40% - Accent2 3 2 2 2 2" xfId="5806"/>
    <cellStyle name="40% - Accent2 3 2 2 2 2 2" xfId="10323"/>
    <cellStyle name="40% - Accent2 3 2 2 2 2 2 2" xfId="19944"/>
    <cellStyle name="40% - Accent2 3 2 2 2 2 2 2 2" xfId="36165"/>
    <cellStyle name="40% - Accent2 3 2 2 2 2 2 3" xfId="29477"/>
    <cellStyle name="40% - Accent2 3 2 2 2 2 3" xfId="17139"/>
    <cellStyle name="40% - Accent2 3 2 2 2 2 3 2" xfId="33360"/>
    <cellStyle name="40% - Accent2 3 2 2 2 2 4" xfId="18187"/>
    <cellStyle name="40% - Accent2 3 2 2 2 2 4 2" xfId="34408"/>
    <cellStyle name="40% - Accent2 3 2 2 2 2 5" xfId="27111"/>
    <cellStyle name="40% - Accent2 3 2 2 2 3" xfId="10322"/>
    <cellStyle name="40% - Accent2 3 2 2 2 3 2" xfId="19943"/>
    <cellStyle name="40% - Accent2 3 2 2 2 3 2 2" xfId="36164"/>
    <cellStyle name="40% - Accent2 3 2 2 2 3 3" xfId="29476"/>
    <cellStyle name="40% - Accent2 3 2 2 2 4" xfId="15554"/>
    <cellStyle name="40% - Accent2 3 2 2 2 4 2" xfId="31776"/>
    <cellStyle name="40% - Accent2 3 2 2 2 5" xfId="18186"/>
    <cellStyle name="40% - Accent2 3 2 2 2 5 2" xfId="34407"/>
    <cellStyle name="40% - Accent2 3 2 2 2 6" xfId="27112"/>
    <cellStyle name="40% - Accent2 3 2 2 3" xfId="5805"/>
    <cellStyle name="40% - Accent2 3 2 2 3 2" xfId="10324"/>
    <cellStyle name="40% - Accent2 3 2 2 3 2 2" xfId="19945"/>
    <cellStyle name="40% - Accent2 3 2 2 3 2 2 2" xfId="36166"/>
    <cellStyle name="40% - Accent2 3 2 2 3 2 3" xfId="29478"/>
    <cellStyle name="40% - Accent2 3 2 2 3 3" xfId="16347"/>
    <cellStyle name="40% - Accent2 3 2 2 3 3 2" xfId="32568"/>
    <cellStyle name="40% - Accent2 3 2 2 3 4" xfId="18188"/>
    <cellStyle name="40% - Accent2 3 2 2 3 4 2" xfId="34409"/>
    <cellStyle name="40% - Accent2 3 2 2 3 5" xfId="27110"/>
    <cellStyle name="40% - Accent2 3 2 2 4" xfId="10321"/>
    <cellStyle name="40% - Accent2 3 2 2 4 2" xfId="19942"/>
    <cellStyle name="40% - Accent2 3 2 2 4 2 2" xfId="36163"/>
    <cellStyle name="40% - Accent2 3 2 2 4 3" xfId="29475"/>
    <cellStyle name="40% - Accent2 3 2 2 5" xfId="14762"/>
    <cellStyle name="40% - Accent2 3 2 2 5 2" xfId="30984"/>
    <cellStyle name="40% - Accent2 3 2 2 6" xfId="18185"/>
    <cellStyle name="40% - Accent2 3 2 2 6 2" xfId="34406"/>
    <cellStyle name="40% - Accent2 3 2 2 7" xfId="27113"/>
    <cellStyle name="40% - Accent2 3 2 2 8" xfId="39166"/>
    <cellStyle name="40% - Accent2 3 2 3" xfId="5804"/>
    <cellStyle name="40% - Accent2 3 2 3 2" xfId="5803"/>
    <cellStyle name="40% - Accent2 3 2 3 2 2" xfId="5802"/>
    <cellStyle name="40% - Accent2 3 2 3 2 2 2" xfId="10327"/>
    <cellStyle name="40% - Accent2 3 2 3 2 2 2 2" xfId="19948"/>
    <cellStyle name="40% - Accent2 3 2 3 2 2 2 2 2" xfId="36169"/>
    <cellStyle name="40% - Accent2 3 2 3 2 2 2 3" xfId="29481"/>
    <cellStyle name="40% - Accent2 3 2 3 2 2 3" xfId="17403"/>
    <cellStyle name="40% - Accent2 3 2 3 2 2 3 2" xfId="33624"/>
    <cellStyle name="40% - Accent2 3 2 3 2 2 4" xfId="18191"/>
    <cellStyle name="40% - Accent2 3 2 3 2 2 4 2" xfId="34412"/>
    <cellStyle name="40% - Accent2 3 2 3 2 2 5" xfId="27107"/>
    <cellStyle name="40% - Accent2 3 2 3 2 3" xfId="10326"/>
    <cellStyle name="40% - Accent2 3 2 3 2 3 2" xfId="19947"/>
    <cellStyle name="40% - Accent2 3 2 3 2 3 2 2" xfId="36168"/>
    <cellStyle name="40% - Accent2 3 2 3 2 3 3" xfId="29480"/>
    <cellStyle name="40% - Accent2 3 2 3 2 4" xfId="15818"/>
    <cellStyle name="40% - Accent2 3 2 3 2 4 2" xfId="32040"/>
    <cellStyle name="40% - Accent2 3 2 3 2 5" xfId="18190"/>
    <cellStyle name="40% - Accent2 3 2 3 2 5 2" xfId="34411"/>
    <cellStyle name="40% - Accent2 3 2 3 2 6" xfId="27108"/>
    <cellStyle name="40% - Accent2 3 2 3 3" xfId="5801"/>
    <cellStyle name="40% - Accent2 3 2 3 3 2" xfId="10328"/>
    <cellStyle name="40% - Accent2 3 2 3 3 2 2" xfId="19949"/>
    <cellStyle name="40% - Accent2 3 2 3 3 2 2 2" xfId="36170"/>
    <cellStyle name="40% - Accent2 3 2 3 3 2 3" xfId="29482"/>
    <cellStyle name="40% - Accent2 3 2 3 3 3" xfId="16611"/>
    <cellStyle name="40% - Accent2 3 2 3 3 3 2" xfId="32832"/>
    <cellStyle name="40% - Accent2 3 2 3 3 4" xfId="18192"/>
    <cellStyle name="40% - Accent2 3 2 3 3 4 2" xfId="34413"/>
    <cellStyle name="40% - Accent2 3 2 3 3 5" xfId="27106"/>
    <cellStyle name="40% - Accent2 3 2 3 4" xfId="10325"/>
    <cellStyle name="40% - Accent2 3 2 3 4 2" xfId="19946"/>
    <cellStyle name="40% - Accent2 3 2 3 4 2 2" xfId="36167"/>
    <cellStyle name="40% - Accent2 3 2 3 4 3" xfId="29479"/>
    <cellStyle name="40% - Accent2 3 2 3 5" xfId="15026"/>
    <cellStyle name="40% - Accent2 3 2 3 5 2" xfId="31248"/>
    <cellStyle name="40% - Accent2 3 2 3 6" xfId="18189"/>
    <cellStyle name="40% - Accent2 3 2 3 6 2" xfId="34410"/>
    <cellStyle name="40% - Accent2 3 2 3 7" xfId="27109"/>
    <cellStyle name="40% - Accent2 3 2 3 8" xfId="39314"/>
    <cellStyle name="40% - Accent2 3 2 4" xfId="5800"/>
    <cellStyle name="40% - Accent2 3 2 4 2" xfId="5799"/>
    <cellStyle name="40% - Accent2 3 2 4 2 2" xfId="10330"/>
    <cellStyle name="40% - Accent2 3 2 4 2 2 2" xfId="19951"/>
    <cellStyle name="40% - Accent2 3 2 4 2 2 2 2" xfId="36172"/>
    <cellStyle name="40% - Accent2 3 2 4 2 2 3" xfId="29484"/>
    <cellStyle name="40% - Accent2 3 2 4 2 3" xfId="16875"/>
    <cellStyle name="40% - Accent2 3 2 4 2 3 2" xfId="33096"/>
    <cellStyle name="40% - Accent2 3 2 4 2 4" xfId="18194"/>
    <cellStyle name="40% - Accent2 3 2 4 2 4 2" xfId="34415"/>
    <cellStyle name="40% - Accent2 3 2 4 2 5" xfId="27104"/>
    <cellStyle name="40% - Accent2 3 2 4 3" xfId="10329"/>
    <cellStyle name="40% - Accent2 3 2 4 3 2" xfId="19950"/>
    <cellStyle name="40% - Accent2 3 2 4 3 2 2" xfId="36171"/>
    <cellStyle name="40% - Accent2 3 2 4 3 3" xfId="29483"/>
    <cellStyle name="40% - Accent2 3 2 4 4" xfId="15290"/>
    <cellStyle name="40% - Accent2 3 2 4 4 2" xfId="31512"/>
    <cellStyle name="40% - Accent2 3 2 4 5" xfId="18193"/>
    <cellStyle name="40% - Accent2 3 2 4 5 2" xfId="34414"/>
    <cellStyle name="40% - Accent2 3 2 4 6" xfId="27105"/>
    <cellStyle name="40% - Accent2 3 2 4 7" xfId="39463"/>
    <cellStyle name="40% - Accent2 3 2 5" xfId="5798"/>
    <cellStyle name="40% - Accent2 3 2 5 2" xfId="10331"/>
    <cellStyle name="40% - Accent2 3 2 5 2 2" xfId="19952"/>
    <cellStyle name="40% - Accent2 3 2 5 2 2 2" xfId="36173"/>
    <cellStyle name="40% - Accent2 3 2 5 2 3" xfId="29485"/>
    <cellStyle name="40% - Accent2 3 2 5 3" xfId="16083"/>
    <cellStyle name="40% - Accent2 3 2 5 3 2" xfId="32304"/>
    <cellStyle name="40% - Accent2 3 2 5 4" xfId="18195"/>
    <cellStyle name="40% - Accent2 3 2 5 4 2" xfId="34416"/>
    <cellStyle name="40% - Accent2 3 2 5 5" xfId="27103"/>
    <cellStyle name="40% - Accent2 3 2 6" xfId="10320"/>
    <cellStyle name="40% - Accent2 3 2 6 2" xfId="19941"/>
    <cellStyle name="40% - Accent2 3 2 6 2 2" xfId="36162"/>
    <cellStyle name="40% - Accent2 3 2 6 3" xfId="29474"/>
    <cellStyle name="40% - Accent2 3 2 7" xfId="14498"/>
    <cellStyle name="40% - Accent2 3 2 7 2" xfId="30720"/>
    <cellStyle name="40% - Accent2 3 2 8" xfId="18184"/>
    <cellStyle name="40% - Accent2 3 2 8 2" xfId="34405"/>
    <cellStyle name="40% - Accent2 3 2 9" xfId="27114"/>
    <cellStyle name="40% - Accent2 3 3" xfId="5797"/>
    <cellStyle name="40% - Accent2 3 3 2" xfId="5796"/>
    <cellStyle name="40% - Accent2 3 3 2 2" xfId="5795"/>
    <cellStyle name="40% - Accent2 3 3 2 2 2" xfId="10334"/>
    <cellStyle name="40% - Accent2 3 3 2 2 2 2" xfId="19955"/>
    <cellStyle name="40% - Accent2 3 3 2 2 2 2 2" xfId="36176"/>
    <cellStyle name="40% - Accent2 3 3 2 2 2 3" xfId="29488"/>
    <cellStyle name="40% - Accent2 3 3 2 2 3" xfId="17007"/>
    <cellStyle name="40% - Accent2 3 3 2 2 3 2" xfId="33228"/>
    <cellStyle name="40% - Accent2 3 3 2 2 4" xfId="18198"/>
    <cellStyle name="40% - Accent2 3 3 2 2 4 2" xfId="34419"/>
    <cellStyle name="40% - Accent2 3 3 2 2 5" xfId="27100"/>
    <cellStyle name="40% - Accent2 3 3 2 3" xfId="10333"/>
    <cellStyle name="40% - Accent2 3 3 2 3 2" xfId="19954"/>
    <cellStyle name="40% - Accent2 3 3 2 3 2 2" xfId="36175"/>
    <cellStyle name="40% - Accent2 3 3 2 3 3" xfId="29487"/>
    <cellStyle name="40% - Accent2 3 3 2 4" xfId="15422"/>
    <cellStyle name="40% - Accent2 3 3 2 4 2" xfId="31644"/>
    <cellStyle name="40% - Accent2 3 3 2 5" xfId="18197"/>
    <cellStyle name="40% - Accent2 3 3 2 5 2" xfId="34418"/>
    <cellStyle name="40% - Accent2 3 3 2 6" xfId="27101"/>
    <cellStyle name="40% - Accent2 3 3 3" xfId="5794"/>
    <cellStyle name="40% - Accent2 3 3 3 2" xfId="10335"/>
    <cellStyle name="40% - Accent2 3 3 3 2 2" xfId="19956"/>
    <cellStyle name="40% - Accent2 3 3 3 2 2 2" xfId="36177"/>
    <cellStyle name="40% - Accent2 3 3 3 2 3" xfId="29489"/>
    <cellStyle name="40% - Accent2 3 3 3 3" xfId="16215"/>
    <cellStyle name="40% - Accent2 3 3 3 3 2" xfId="32436"/>
    <cellStyle name="40% - Accent2 3 3 3 4" xfId="18199"/>
    <cellStyle name="40% - Accent2 3 3 3 4 2" xfId="34420"/>
    <cellStyle name="40% - Accent2 3 3 3 5" xfId="27099"/>
    <cellStyle name="40% - Accent2 3 3 4" xfId="10332"/>
    <cellStyle name="40% - Accent2 3 3 4 2" xfId="19953"/>
    <cellStyle name="40% - Accent2 3 3 4 2 2" xfId="36174"/>
    <cellStyle name="40% - Accent2 3 3 4 3" xfId="29486"/>
    <cellStyle name="40% - Accent2 3 3 5" xfId="14630"/>
    <cellStyle name="40% - Accent2 3 3 5 2" xfId="30852"/>
    <cellStyle name="40% - Accent2 3 3 6" xfId="18196"/>
    <cellStyle name="40% - Accent2 3 3 6 2" xfId="34417"/>
    <cellStyle name="40% - Accent2 3 3 7" xfId="27102"/>
    <cellStyle name="40% - Accent2 3 3 8" xfId="39110"/>
    <cellStyle name="40% - Accent2 3 4" xfId="5793"/>
    <cellStyle name="40% - Accent2 3 4 2" xfId="5792"/>
    <cellStyle name="40% - Accent2 3 4 2 2" xfId="5791"/>
    <cellStyle name="40% - Accent2 3 4 2 2 2" xfId="10338"/>
    <cellStyle name="40% - Accent2 3 4 2 2 2 2" xfId="19959"/>
    <cellStyle name="40% - Accent2 3 4 2 2 2 2 2" xfId="36180"/>
    <cellStyle name="40% - Accent2 3 4 2 2 2 3" xfId="29492"/>
    <cellStyle name="40% - Accent2 3 4 2 2 3" xfId="17271"/>
    <cellStyle name="40% - Accent2 3 4 2 2 3 2" xfId="33492"/>
    <cellStyle name="40% - Accent2 3 4 2 2 4" xfId="18202"/>
    <cellStyle name="40% - Accent2 3 4 2 2 4 2" xfId="34423"/>
    <cellStyle name="40% - Accent2 3 4 2 2 5" xfId="27096"/>
    <cellStyle name="40% - Accent2 3 4 2 3" xfId="10337"/>
    <cellStyle name="40% - Accent2 3 4 2 3 2" xfId="19958"/>
    <cellStyle name="40% - Accent2 3 4 2 3 2 2" xfId="36179"/>
    <cellStyle name="40% - Accent2 3 4 2 3 3" xfId="29491"/>
    <cellStyle name="40% - Accent2 3 4 2 4" xfId="15686"/>
    <cellStyle name="40% - Accent2 3 4 2 4 2" xfId="31908"/>
    <cellStyle name="40% - Accent2 3 4 2 5" xfId="18201"/>
    <cellStyle name="40% - Accent2 3 4 2 5 2" xfId="34422"/>
    <cellStyle name="40% - Accent2 3 4 2 6" xfId="27097"/>
    <cellStyle name="40% - Accent2 3 4 3" xfId="5790"/>
    <cellStyle name="40% - Accent2 3 4 3 2" xfId="10339"/>
    <cellStyle name="40% - Accent2 3 4 3 2 2" xfId="19960"/>
    <cellStyle name="40% - Accent2 3 4 3 2 2 2" xfId="36181"/>
    <cellStyle name="40% - Accent2 3 4 3 2 3" xfId="29493"/>
    <cellStyle name="40% - Accent2 3 4 3 3" xfId="16479"/>
    <cellStyle name="40% - Accent2 3 4 3 3 2" xfId="32700"/>
    <cellStyle name="40% - Accent2 3 4 3 4" xfId="18203"/>
    <cellStyle name="40% - Accent2 3 4 3 4 2" xfId="34424"/>
    <cellStyle name="40% - Accent2 3 4 3 5" xfId="27095"/>
    <cellStyle name="40% - Accent2 3 4 4" xfId="10336"/>
    <cellStyle name="40% - Accent2 3 4 4 2" xfId="19957"/>
    <cellStyle name="40% - Accent2 3 4 4 2 2" xfId="36178"/>
    <cellStyle name="40% - Accent2 3 4 4 3" xfId="29490"/>
    <cellStyle name="40% - Accent2 3 4 5" xfId="14894"/>
    <cellStyle name="40% - Accent2 3 4 5 2" xfId="31116"/>
    <cellStyle name="40% - Accent2 3 4 6" xfId="18200"/>
    <cellStyle name="40% - Accent2 3 4 6 2" xfId="34421"/>
    <cellStyle name="40% - Accent2 3 4 7" xfId="27098"/>
    <cellStyle name="40% - Accent2 3 4 8" xfId="39258"/>
    <cellStyle name="40% - Accent2 3 5" xfId="5789"/>
    <cellStyle name="40% - Accent2 3 5 2" xfId="5788"/>
    <cellStyle name="40% - Accent2 3 5 2 2" xfId="10341"/>
    <cellStyle name="40% - Accent2 3 5 2 2 2" xfId="19962"/>
    <cellStyle name="40% - Accent2 3 5 2 2 2 2" xfId="36183"/>
    <cellStyle name="40% - Accent2 3 5 2 2 3" xfId="29495"/>
    <cellStyle name="40% - Accent2 3 5 2 3" xfId="16743"/>
    <cellStyle name="40% - Accent2 3 5 2 3 2" xfId="32964"/>
    <cellStyle name="40% - Accent2 3 5 2 4" xfId="18205"/>
    <cellStyle name="40% - Accent2 3 5 2 4 2" xfId="34426"/>
    <cellStyle name="40% - Accent2 3 5 2 5" xfId="27093"/>
    <cellStyle name="40% - Accent2 3 5 3" xfId="10340"/>
    <cellStyle name="40% - Accent2 3 5 3 2" xfId="19961"/>
    <cellStyle name="40% - Accent2 3 5 3 2 2" xfId="36182"/>
    <cellStyle name="40% - Accent2 3 5 3 3" xfId="29494"/>
    <cellStyle name="40% - Accent2 3 5 4" xfId="15158"/>
    <cellStyle name="40% - Accent2 3 5 4 2" xfId="31380"/>
    <cellStyle name="40% - Accent2 3 5 5" xfId="18204"/>
    <cellStyle name="40% - Accent2 3 5 5 2" xfId="34425"/>
    <cellStyle name="40% - Accent2 3 5 6" xfId="27094"/>
    <cellStyle name="40% - Accent2 3 5 7" xfId="39407"/>
    <cellStyle name="40% - Accent2 3 6" xfId="5787"/>
    <cellStyle name="40% - Accent2 3 6 2" xfId="10342"/>
    <cellStyle name="40% - Accent2 3 6 2 2" xfId="19963"/>
    <cellStyle name="40% - Accent2 3 6 2 2 2" xfId="36184"/>
    <cellStyle name="40% - Accent2 3 6 2 3" xfId="29496"/>
    <cellStyle name="40% - Accent2 3 6 3" xfId="15951"/>
    <cellStyle name="40% - Accent2 3 6 3 2" xfId="32172"/>
    <cellStyle name="40% - Accent2 3 6 4" xfId="18206"/>
    <cellStyle name="40% - Accent2 3 6 4 2" xfId="34427"/>
    <cellStyle name="40% - Accent2 3 6 5" xfId="27092"/>
    <cellStyle name="40% - Accent2 3 7" xfId="10319"/>
    <cellStyle name="40% - Accent2 3 7 2" xfId="19940"/>
    <cellStyle name="40% - Accent2 3 7 2 2" xfId="36161"/>
    <cellStyle name="40% - Accent2 3 7 3" xfId="29473"/>
    <cellStyle name="40% - Accent2 3 8" xfId="14366"/>
    <cellStyle name="40% - Accent2 3 8 2" xfId="30588"/>
    <cellStyle name="40% - Accent2 3 9" xfId="18183"/>
    <cellStyle name="40% - Accent2 3 9 2" xfId="34404"/>
    <cellStyle name="40% - Accent2 4" xfId="5786"/>
    <cellStyle name="40% - Accent2 4 10" xfId="38989"/>
    <cellStyle name="40% - Accent2 4 2" xfId="5785"/>
    <cellStyle name="40% - Accent2 4 2 2" xfId="5784"/>
    <cellStyle name="40% - Accent2 4 2 2 2" xfId="5783"/>
    <cellStyle name="40% - Accent2 4 2 2 2 2" xfId="10346"/>
    <cellStyle name="40% - Accent2 4 2 2 2 2 2" xfId="19967"/>
    <cellStyle name="40% - Accent2 4 2 2 2 2 2 2" xfId="36188"/>
    <cellStyle name="40% - Accent2 4 2 2 2 2 3" xfId="29500"/>
    <cellStyle name="40% - Accent2 4 2 2 2 3" xfId="17073"/>
    <cellStyle name="40% - Accent2 4 2 2 2 3 2" xfId="33294"/>
    <cellStyle name="40% - Accent2 4 2 2 2 4" xfId="18210"/>
    <cellStyle name="40% - Accent2 4 2 2 2 4 2" xfId="34431"/>
    <cellStyle name="40% - Accent2 4 2 2 2 5" xfId="27088"/>
    <cellStyle name="40% - Accent2 4 2 2 3" xfId="10345"/>
    <cellStyle name="40% - Accent2 4 2 2 3 2" xfId="19966"/>
    <cellStyle name="40% - Accent2 4 2 2 3 2 2" xfId="36187"/>
    <cellStyle name="40% - Accent2 4 2 2 3 3" xfId="29499"/>
    <cellStyle name="40% - Accent2 4 2 2 4" xfId="15488"/>
    <cellStyle name="40% - Accent2 4 2 2 4 2" xfId="31710"/>
    <cellStyle name="40% - Accent2 4 2 2 5" xfId="18209"/>
    <cellStyle name="40% - Accent2 4 2 2 5 2" xfId="34430"/>
    <cellStyle name="40% - Accent2 4 2 2 6" xfId="27089"/>
    <cellStyle name="40% - Accent2 4 2 2 7" xfId="39179"/>
    <cellStyle name="40% - Accent2 4 2 3" xfId="5782"/>
    <cellStyle name="40% - Accent2 4 2 3 2" xfId="10347"/>
    <cellStyle name="40% - Accent2 4 2 3 2 2" xfId="19968"/>
    <cellStyle name="40% - Accent2 4 2 3 2 2 2" xfId="36189"/>
    <cellStyle name="40% - Accent2 4 2 3 2 3" xfId="29501"/>
    <cellStyle name="40% - Accent2 4 2 3 3" xfId="16281"/>
    <cellStyle name="40% - Accent2 4 2 3 3 2" xfId="32502"/>
    <cellStyle name="40% - Accent2 4 2 3 4" xfId="18211"/>
    <cellStyle name="40% - Accent2 4 2 3 4 2" xfId="34432"/>
    <cellStyle name="40% - Accent2 4 2 3 5" xfId="27087"/>
    <cellStyle name="40% - Accent2 4 2 3 6" xfId="39327"/>
    <cellStyle name="40% - Accent2 4 2 4" xfId="10344"/>
    <cellStyle name="40% - Accent2 4 2 4 2" xfId="19965"/>
    <cellStyle name="40% - Accent2 4 2 4 2 2" xfId="36186"/>
    <cellStyle name="40% - Accent2 4 2 4 3" xfId="29498"/>
    <cellStyle name="40% - Accent2 4 2 4 4" xfId="39476"/>
    <cellStyle name="40% - Accent2 4 2 5" xfId="14696"/>
    <cellStyle name="40% - Accent2 4 2 5 2" xfId="30918"/>
    <cellStyle name="40% - Accent2 4 2 6" xfId="18208"/>
    <cellStyle name="40% - Accent2 4 2 6 2" xfId="34429"/>
    <cellStyle name="40% - Accent2 4 2 7" xfId="27090"/>
    <cellStyle name="40% - Accent2 4 2 8" xfId="39031"/>
    <cellStyle name="40% - Accent2 4 3" xfId="5781"/>
    <cellStyle name="40% - Accent2 4 3 2" xfId="5780"/>
    <cellStyle name="40% - Accent2 4 3 2 2" xfId="5779"/>
    <cellStyle name="40% - Accent2 4 3 2 2 2" xfId="10350"/>
    <cellStyle name="40% - Accent2 4 3 2 2 2 2" xfId="19971"/>
    <cellStyle name="40% - Accent2 4 3 2 2 2 2 2" xfId="36192"/>
    <cellStyle name="40% - Accent2 4 3 2 2 2 3" xfId="29504"/>
    <cellStyle name="40% - Accent2 4 3 2 2 3" xfId="17337"/>
    <cellStyle name="40% - Accent2 4 3 2 2 3 2" xfId="33558"/>
    <cellStyle name="40% - Accent2 4 3 2 2 4" xfId="18214"/>
    <cellStyle name="40% - Accent2 4 3 2 2 4 2" xfId="34435"/>
    <cellStyle name="40% - Accent2 4 3 2 2 5" xfId="27084"/>
    <cellStyle name="40% - Accent2 4 3 2 3" xfId="10349"/>
    <cellStyle name="40% - Accent2 4 3 2 3 2" xfId="19970"/>
    <cellStyle name="40% - Accent2 4 3 2 3 2 2" xfId="36191"/>
    <cellStyle name="40% - Accent2 4 3 2 3 3" xfId="29503"/>
    <cellStyle name="40% - Accent2 4 3 2 4" xfId="15752"/>
    <cellStyle name="40% - Accent2 4 3 2 4 2" xfId="31974"/>
    <cellStyle name="40% - Accent2 4 3 2 5" xfId="18213"/>
    <cellStyle name="40% - Accent2 4 3 2 5 2" xfId="34434"/>
    <cellStyle name="40% - Accent2 4 3 2 6" xfId="27085"/>
    <cellStyle name="40% - Accent2 4 3 3" xfId="5778"/>
    <cellStyle name="40% - Accent2 4 3 3 2" xfId="10351"/>
    <cellStyle name="40% - Accent2 4 3 3 2 2" xfId="19972"/>
    <cellStyle name="40% - Accent2 4 3 3 2 2 2" xfId="36193"/>
    <cellStyle name="40% - Accent2 4 3 3 2 3" xfId="29505"/>
    <cellStyle name="40% - Accent2 4 3 3 3" xfId="16545"/>
    <cellStyle name="40% - Accent2 4 3 3 3 2" xfId="32766"/>
    <cellStyle name="40% - Accent2 4 3 3 4" xfId="18215"/>
    <cellStyle name="40% - Accent2 4 3 3 4 2" xfId="34436"/>
    <cellStyle name="40% - Accent2 4 3 3 5" xfId="27083"/>
    <cellStyle name="40% - Accent2 4 3 4" xfId="10348"/>
    <cellStyle name="40% - Accent2 4 3 4 2" xfId="19969"/>
    <cellStyle name="40% - Accent2 4 3 4 2 2" xfId="36190"/>
    <cellStyle name="40% - Accent2 4 3 4 3" xfId="29502"/>
    <cellStyle name="40% - Accent2 4 3 5" xfId="14960"/>
    <cellStyle name="40% - Accent2 4 3 5 2" xfId="31182"/>
    <cellStyle name="40% - Accent2 4 3 6" xfId="18212"/>
    <cellStyle name="40% - Accent2 4 3 6 2" xfId="34433"/>
    <cellStyle name="40% - Accent2 4 3 7" xfId="27086"/>
    <cellStyle name="40% - Accent2 4 3 8" xfId="39123"/>
    <cellStyle name="40% - Accent2 4 4" xfId="5777"/>
    <cellStyle name="40% - Accent2 4 4 2" xfId="5776"/>
    <cellStyle name="40% - Accent2 4 4 2 2" xfId="10353"/>
    <cellStyle name="40% - Accent2 4 4 2 2 2" xfId="19974"/>
    <cellStyle name="40% - Accent2 4 4 2 2 2 2" xfId="36195"/>
    <cellStyle name="40% - Accent2 4 4 2 2 3" xfId="29507"/>
    <cellStyle name="40% - Accent2 4 4 2 3" xfId="16809"/>
    <cellStyle name="40% - Accent2 4 4 2 3 2" xfId="33030"/>
    <cellStyle name="40% - Accent2 4 4 2 4" xfId="18217"/>
    <cellStyle name="40% - Accent2 4 4 2 4 2" xfId="34438"/>
    <cellStyle name="40% - Accent2 4 4 2 5" xfId="27081"/>
    <cellStyle name="40% - Accent2 4 4 3" xfId="10352"/>
    <cellStyle name="40% - Accent2 4 4 3 2" xfId="19973"/>
    <cellStyle name="40% - Accent2 4 4 3 2 2" xfId="36194"/>
    <cellStyle name="40% - Accent2 4 4 3 3" xfId="29506"/>
    <cellStyle name="40% - Accent2 4 4 4" xfId="15224"/>
    <cellStyle name="40% - Accent2 4 4 4 2" xfId="31446"/>
    <cellStyle name="40% - Accent2 4 4 5" xfId="18216"/>
    <cellStyle name="40% - Accent2 4 4 5 2" xfId="34437"/>
    <cellStyle name="40% - Accent2 4 4 6" xfId="27082"/>
    <cellStyle name="40% - Accent2 4 4 7" xfId="39271"/>
    <cellStyle name="40% - Accent2 4 5" xfId="5775"/>
    <cellStyle name="40% - Accent2 4 5 2" xfId="10354"/>
    <cellStyle name="40% - Accent2 4 5 2 2" xfId="19975"/>
    <cellStyle name="40% - Accent2 4 5 2 2 2" xfId="36196"/>
    <cellStyle name="40% - Accent2 4 5 2 3" xfId="29508"/>
    <cellStyle name="40% - Accent2 4 5 3" xfId="16017"/>
    <cellStyle name="40% - Accent2 4 5 3 2" xfId="32238"/>
    <cellStyle name="40% - Accent2 4 5 4" xfId="18218"/>
    <cellStyle name="40% - Accent2 4 5 4 2" xfId="34439"/>
    <cellStyle name="40% - Accent2 4 5 5" xfId="27080"/>
    <cellStyle name="40% - Accent2 4 5 6" xfId="39420"/>
    <cellStyle name="40% - Accent2 4 6" xfId="10343"/>
    <cellStyle name="40% - Accent2 4 6 2" xfId="19964"/>
    <cellStyle name="40% - Accent2 4 6 2 2" xfId="36185"/>
    <cellStyle name="40% - Accent2 4 6 3" xfId="29497"/>
    <cellStyle name="40% - Accent2 4 7" xfId="14432"/>
    <cellStyle name="40% - Accent2 4 7 2" xfId="30654"/>
    <cellStyle name="40% - Accent2 4 8" xfId="18207"/>
    <cellStyle name="40% - Accent2 4 8 2" xfId="34428"/>
    <cellStyle name="40% - Accent2 4 9" xfId="27091"/>
    <cellStyle name="40% - Accent2 5" xfId="5774"/>
    <cellStyle name="40% - Accent2 5 2" xfId="5773"/>
    <cellStyle name="40% - Accent2 5 2 2" xfId="5772"/>
    <cellStyle name="40% - Accent2 5 2 2 2" xfId="10357"/>
    <cellStyle name="40% - Accent2 5 2 2 2 2" xfId="19978"/>
    <cellStyle name="40% - Accent2 5 2 2 2 2 2" xfId="36199"/>
    <cellStyle name="40% - Accent2 5 2 2 2 3" xfId="29511"/>
    <cellStyle name="40% - Accent2 5 2 2 3" xfId="16941"/>
    <cellStyle name="40% - Accent2 5 2 2 3 2" xfId="33162"/>
    <cellStyle name="40% - Accent2 5 2 2 4" xfId="18221"/>
    <cellStyle name="40% - Accent2 5 2 2 4 2" xfId="34442"/>
    <cellStyle name="40% - Accent2 5 2 2 5" xfId="27077"/>
    <cellStyle name="40% - Accent2 5 2 3" xfId="10356"/>
    <cellStyle name="40% - Accent2 5 2 3 2" xfId="19977"/>
    <cellStyle name="40% - Accent2 5 2 3 2 2" xfId="36198"/>
    <cellStyle name="40% - Accent2 5 2 3 3" xfId="29510"/>
    <cellStyle name="40% - Accent2 5 2 4" xfId="15356"/>
    <cellStyle name="40% - Accent2 5 2 4 2" xfId="31578"/>
    <cellStyle name="40% - Accent2 5 2 5" xfId="18220"/>
    <cellStyle name="40% - Accent2 5 2 5 2" xfId="34441"/>
    <cellStyle name="40% - Accent2 5 2 6" xfId="27078"/>
    <cellStyle name="40% - Accent2 5 2 7" xfId="39139"/>
    <cellStyle name="40% - Accent2 5 3" xfId="5771"/>
    <cellStyle name="40% - Accent2 5 3 2" xfId="10358"/>
    <cellStyle name="40% - Accent2 5 3 2 2" xfId="19979"/>
    <cellStyle name="40% - Accent2 5 3 2 2 2" xfId="36200"/>
    <cellStyle name="40% - Accent2 5 3 2 3" xfId="29512"/>
    <cellStyle name="40% - Accent2 5 3 3" xfId="16149"/>
    <cellStyle name="40% - Accent2 5 3 3 2" xfId="32370"/>
    <cellStyle name="40% - Accent2 5 3 4" xfId="18222"/>
    <cellStyle name="40% - Accent2 5 3 4 2" xfId="34443"/>
    <cellStyle name="40% - Accent2 5 3 5" xfId="27076"/>
    <cellStyle name="40% - Accent2 5 3 6" xfId="39287"/>
    <cellStyle name="40% - Accent2 5 4" xfId="10355"/>
    <cellStyle name="40% - Accent2 5 4 2" xfId="19976"/>
    <cellStyle name="40% - Accent2 5 4 2 2" xfId="36197"/>
    <cellStyle name="40% - Accent2 5 4 3" xfId="29509"/>
    <cellStyle name="40% - Accent2 5 4 4" xfId="39436"/>
    <cellStyle name="40% - Accent2 5 5" xfId="14564"/>
    <cellStyle name="40% - Accent2 5 5 2" xfId="30786"/>
    <cellStyle name="40% - Accent2 5 6" xfId="18219"/>
    <cellStyle name="40% - Accent2 5 6 2" xfId="34440"/>
    <cellStyle name="40% - Accent2 5 7" xfId="27079"/>
    <cellStyle name="40% - Accent2 5 8" xfId="39005"/>
    <cellStyle name="40% - Accent2 6" xfId="5770"/>
    <cellStyle name="40% - Accent2 6 2" xfId="5769"/>
    <cellStyle name="40% - Accent2 6 2 2" xfId="5768"/>
    <cellStyle name="40% - Accent2 6 2 2 2" xfId="10361"/>
    <cellStyle name="40% - Accent2 6 2 2 2 2" xfId="19982"/>
    <cellStyle name="40% - Accent2 6 2 2 2 2 2" xfId="36203"/>
    <cellStyle name="40% - Accent2 6 2 2 2 3" xfId="29515"/>
    <cellStyle name="40% - Accent2 6 2 2 3" xfId="17205"/>
    <cellStyle name="40% - Accent2 6 2 2 3 2" xfId="33426"/>
    <cellStyle name="40% - Accent2 6 2 2 4" xfId="18225"/>
    <cellStyle name="40% - Accent2 6 2 2 4 2" xfId="34446"/>
    <cellStyle name="40% - Accent2 6 2 2 5" xfId="27073"/>
    <cellStyle name="40% - Accent2 6 2 3" xfId="10360"/>
    <cellStyle name="40% - Accent2 6 2 3 2" xfId="19981"/>
    <cellStyle name="40% - Accent2 6 2 3 2 2" xfId="36202"/>
    <cellStyle name="40% - Accent2 6 2 3 3" xfId="29514"/>
    <cellStyle name="40% - Accent2 6 2 4" xfId="15620"/>
    <cellStyle name="40% - Accent2 6 2 4 2" xfId="31842"/>
    <cellStyle name="40% - Accent2 6 2 5" xfId="18224"/>
    <cellStyle name="40% - Accent2 6 2 5 2" xfId="34445"/>
    <cellStyle name="40% - Accent2 6 2 6" xfId="27074"/>
    <cellStyle name="40% - Accent2 6 3" xfId="5767"/>
    <cellStyle name="40% - Accent2 6 3 2" xfId="10362"/>
    <cellStyle name="40% - Accent2 6 3 2 2" xfId="19983"/>
    <cellStyle name="40% - Accent2 6 3 2 2 2" xfId="36204"/>
    <cellStyle name="40% - Accent2 6 3 2 3" xfId="29516"/>
    <cellStyle name="40% - Accent2 6 3 3" xfId="16413"/>
    <cellStyle name="40% - Accent2 6 3 3 2" xfId="32634"/>
    <cellStyle name="40% - Accent2 6 3 4" xfId="18226"/>
    <cellStyle name="40% - Accent2 6 3 4 2" xfId="34447"/>
    <cellStyle name="40% - Accent2 6 3 5" xfId="27072"/>
    <cellStyle name="40% - Accent2 6 4" xfId="10359"/>
    <cellStyle name="40% - Accent2 6 4 2" xfId="19980"/>
    <cellStyle name="40% - Accent2 6 4 2 2" xfId="36201"/>
    <cellStyle name="40% - Accent2 6 4 3" xfId="29513"/>
    <cellStyle name="40% - Accent2 6 5" xfId="14828"/>
    <cellStyle name="40% - Accent2 6 5 2" xfId="31050"/>
    <cellStyle name="40% - Accent2 6 6" xfId="18223"/>
    <cellStyle name="40% - Accent2 6 6 2" xfId="34444"/>
    <cellStyle name="40% - Accent2 6 7" xfId="27075"/>
    <cellStyle name="40% - Accent2 6 8" xfId="39079"/>
    <cellStyle name="40% - Accent2 7" xfId="5766"/>
    <cellStyle name="40% - Accent2 7 2" xfId="5765"/>
    <cellStyle name="40% - Accent2 7 2 2" xfId="10364"/>
    <cellStyle name="40% - Accent2 7 2 2 2" xfId="19985"/>
    <cellStyle name="40% - Accent2 7 2 2 2 2" xfId="36206"/>
    <cellStyle name="40% - Accent2 7 2 2 3" xfId="29518"/>
    <cellStyle name="40% - Accent2 7 2 3" xfId="16677"/>
    <cellStyle name="40% - Accent2 7 2 3 2" xfId="32898"/>
    <cellStyle name="40% - Accent2 7 2 4" xfId="18228"/>
    <cellStyle name="40% - Accent2 7 2 4 2" xfId="34449"/>
    <cellStyle name="40% - Accent2 7 2 5" xfId="27070"/>
    <cellStyle name="40% - Accent2 7 3" xfId="10363"/>
    <cellStyle name="40% - Accent2 7 3 2" xfId="19984"/>
    <cellStyle name="40% - Accent2 7 3 2 2" xfId="36205"/>
    <cellStyle name="40% - Accent2 7 3 3" xfId="29517"/>
    <cellStyle name="40% - Accent2 7 4" xfId="15092"/>
    <cellStyle name="40% - Accent2 7 4 2" xfId="31314"/>
    <cellStyle name="40% - Accent2 7 5" xfId="18227"/>
    <cellStyle name="40% - Accent2 7 5 2" xfId="34448"/>
    <cellStyle name="40% - Accent2 7 6" xfId="27071"/>
    <cellStyle name="40% - Accent2 7 7" xfId="39227"/>
    <cellStyle name="40% - Accent2 8" xfId="5764"/>
    <cellStyle name="40% - Accent2 8 2" xfId="10365"/>
    <cellStyle name="40% - Accent2 8 2 2" xfId="19986"/>
    <cellStyle name="40% - Accent2 8 2 2 2" xfId="36207"/>
    <cellStyle name="40% - Accent2 8 2 3" xfId="29519"/>
    <cellStyle name="40% - Accent2 8 3" xfId="15885"/>
    <cellStyle name="40% - Accent2 8 3 2" xfId="32106"/>
    <cellStyle name="40% - Accent2 8 4" xfId="18229"/>
    <cellStyle name="40% - Accent2 8 4 2" xfId="34450"/>
    <cellStyle name="40% - Accent2 8 5" xfId="27069"/>
    <cellStyle name="40% - Accent2 8 6" xfId="39376"/>
    <cellStyle name="40% - Accent2 9" xfId="10270"/>
    <cellStyle name="40% - Accent2 9 2" xfId="19891"/>
    <cellStyle name="40% - Accent2 9 2 2" xfId="36112"/>
    <cellStyle name="40% - Accent2 9 3" xfId="29424"/>
    <cellStyle name="40% - Accent3" xfId="44" builtinId="39" customBuiltin="1"/>
    <cellStyle name="40% - Accent3 10" xfId="14232"/>
    <cellStyle name="40% - Accent3 10 2" xfId="30519"/>
    <cellStyle name="40% - Accent3 11" xfId="18230"/>
    <cellStyle name="40% - Accent3 11 2" xfId="34451"/>
    <cellStyle name="40% - Accent3 12" xfId="26988"/>
    <cellStyle name="40% - Accent3 13" xfId="38907"/>
    <cellStyle name="40% - Accent3 14" xfId="4839"/>
    <cellStyle name="40% - Accent3 2" xfId="4874"/>
    <cellStyle name="40% - Accent3 2 10" xfId="18231"/>
    <cellStyle name="40% - Accent3 2 10 2" xfId="34452"/>
    <cellStyle name="40% - Accent3 2 11" xfId="27010"/>
    <cellStyle name="40% - Accent3 2 12" xfId="38776"/>
    <cellStyle name="40% - Accent3 2 2" xfId="5763"/>
    <cellStyle name="40% - Accent3 2 2 10" xfId="27068"/>
    <cellStyle name="40% - Accent3 2 2 11" xfId="38965"/>
    <cellStyle name="40% - Accent3 2 2 2" xfId="5762"/>
    <cellStyle name="40% - Accent3 2 2 2 10" xfId="39155"/>
    <cellStyle name="40% - Accent3 2 2 2 2" xfId="5761"/>
    <cellStyle name="40% - Accent3 2 2 2 2 2" xfId="5760"/>
    <cellStyle name="40% - Accent3 2 2 2 2 2 2" xfId="5759"/>
    <cellStyle name="40% - Accent3 2 2 2 2 2 2 2" xfId="10372"/>
    <cellStyle name="40% - Accent3 2 2 2 2 2 2 2 2" xfId="19993"/>
    <cellStyle name="40% - Accent3 2 2 2 2 2 2 2 2 2" xfId="36214"/>
    <cellStyle name="40% - Accent3 2 2 2 2 2 2 2 3" xfId="29526"/>
    <cellStyle name="40% - Accent3 2 2 2 2 2 2 3" xfId="17173"/>
    <cellStyle name="40% - Accent3 2 2 2 2 2 2 3 2" xfId="33394"/>
    <cellStyle name="40% - Accent3 2 2 2 2 2 2 4" xfId="18236"/>
    <cellStyle name="40% - Accent3 2 2 2 2 2 2 4 2" xfId="34457"/>
    <cellStyle name="40% - Accent3 2 2 2 2 2 2 5" xfId="27064"/>
    <cellStyle name="40% - Accent3 2 2 2 2 2 3" xfId="10371"/>
    <cellStyle name="40% - Accent3 2 2 2 2 2 3 2" xfId="19992"/>
    <cellStyle name="40% - Accent3 2 2 2 2 2 3 2 2" xfId="36213"/>
    <cellStyle name="40% - Accent3 2 2 2 2 2 3 3" xfId="29525"/>
    <cellStyle name="40% - Accent3 2 2 2 2 2 4" xfId="15588"/>
    <cellStyle name="40% - Accent3 2 2 2 2 2 4 2" xfId="31810"/>
    <cellStyle name="40% - Accent3 2 2 2 2 2 5" xfId="18235"/>
    <cellStyle name="40% - Accent3 2 2 2 2 2 5 2" xfId="34456"/>
    <cellStyle name="40% - Accent3 2 2 2 2 2 6" xfId="27065"/>
    <cellStyle name="40% - Accent3 2 2 2 2 3" xfId="5758"/>
    <cellStyle name="40% - Accent3 2 2 2 2 3 2" xfId="10373"/>
    <cellStyle name="40% - Accent3 2 2 2 2 3 2 2" xfId="19994"/>
    <cellStyle name="40% - Accent3 2 2 2 2 3 2 2 2" xfId="36215"/>
    <cellStyle name="40% - Accent3 2 2 2 2 3 2 3" xfId="29527"/>
    <cellStyle name="40% - Accent3 2 2 2 2 3 3" xfId="16381"/>
    <cellStyle name="40% - Accent3 2 2 2 2 3 3 2" xfId="32602"/>
    <cellStyle name="40% - Accent3 2 2 2 2 3 4" xfId="18237"/>
    <cellStyle name="40% - Accent3 2 2 2 2 3 4 2" xfId="34458"/>
    <cellStyle name="40% - Accent3 2 2 2 2 3 5" xfId="27063"/>
    <cellStyle name="40% - Accent3 2 2 2 2 4" xfId="10370"/>
    <cellStyle name="40% - Accent3 2 2 2 2 4 2" xfId="19991"/>
    <cellStyle name="40% - Accent3 2 2 2 2 4 2 2" xfId="36212"/>
    <cellStyle name="40% - Accent3 2 2 2 2 4 3" xfId="29524"/>
    <cellStyle name="40% - Accent3 2 2 2 2 5" xfId="14796"/>
    <cellStyle name="40% - Accent3 2 2 2 2 5 2" xfId="31018"/>
    <cellStyle name="40% - Accent3 2 2 2 2 6" xfId="18234"/>
    <cellStyle name="40% - Accent3 2 2 2 2 6 2" xfId="34455"/>
    <cellStyle name="40% - Accent3 2 2 2 2 7" xfId="27066"/>
    <cellStyle name="40% - Accent3 2 2 2 3" xfId="5757"/>
    <cellStyle name="40% - Accent3 2 2 2 3 2" xfId="5756"/>
    <cellStyle name="40% - Accent3 2 2 2 3 2 2" xfId="5755"/>
    <cellStyle name="40% - Accent3 2 2 2 3 2 2 2" xfId="10376"/>
    <cellStyle name="40% - Accent3 2 2 2 3 2 2 2 2" xfId="19997"/>
    <cellStyle name="40% - Accent3 2 2 2 3 2 2 2 2 2" xfId="36218"/>
    <cellStyle name="40% - Accent3 2 2 2 3 2 2 2 3" xfId="29530"/>
    <cellStyle name="40% - Accent3 2 2 2 3 2 2 3" xfId="17437"/>
    <cellStyle name="40% - Accent3 2 2 2 3 2 2 3 2" xfId="33658"/>
    <cellStyle name="40% - Accent3 2 2 2 3 2 2 4" xfId="18240"/>
    <cellStyle name="40% - Accent3 2 2 2 3 2 2 4 2" xfId="34461"/>
    <cellStyle name="40% - Accent3 2 2 2 3 2 2 5" xfId="27060"/>
    <cellStyle name="40% - Accent3 2 2 2 3 2 3" xfId="10375"/>
    <cellStyle name="40% - Accent3 2 2 2 3 2 3 2" xfId="19996"/>
    <cellStyle name="40% - Accent3 2 2 2 3 2 3 2 2" xfId="36217"/>
    <cellStyle name="40% - Accent3 2 2 2 3 2 3 3" xfId="29529"/>
    <cellStyle name="40% - Accent3 2 2 2 3 2 4" xfId="15852"/>
    <cellStyle name="40% - Accent3 2 2 2 3 2 4 2" xfId="32074"/>
    <cellStyle name="40% - Accent3 2 2 2 3 2 5" xfId="18239"/>
    <cellStyle name="40% - Accent3 2 2 2 3 2 5 2" xfId="34460"/>
    <cellStyle name="40% - Accent3 2 2 2 3 2 6" xfId="27061"/>
    <cellStyle name="40% - Accent3 2 2 2 3 3" xfId="5754"/>
    <cellStyle name="40% - Accent3 2 2 2 3 3 2" xfId="10377"/>
    <cellStyle name="40% - Accent3 2 2 2 3 3 2 2" xfId="19998"/>
    <cellStyle name="40% - Accent3 2 2 2 3 3 2 2 2" xfId="36219"/>
    <cellStyle name="40% - Accent3 2 2 2 3 3 2 3" xfId="29531"/>
    <cellStyle name="40% - Accent3 2 2 2 3 3 3" xfId="16645"/>
    <cellStyle name="40% - Accent3 2 2 2 3 3 3 2" xfId="32866"/>
    <cellStyle name="40% - Accent3 2 2 2 3 3 4" xfId="18241"/>
    <cellStyle name="40% - Accent3 2 2 2 3 3 4 2" xfId="34462"/>
    <cellStyle name="40% - Accent3 2 2 2 3 3 5" xfId="27059"/>
    <cellStyle name="40% - Accent3 2 2 2 3 4" xfId="10374"/>
    <cellStyle name="40% - Accent3 2 2 2 3 4 2" xfId="19995"/>
    <cellStyle name="40% - Accent3 2 2 2 3 4 2 2" xfId="36216"/>
    <cellStyle name="40% - Accent3 2 2 2 3 4 3" xfId="29528"/>
    <cellStyle name="40% - Accent3 2 2 2 3 5" xfId="15060"/>
    <cellStyle name="40% - Accent3 2 2 2 3 5 2" xfId="31282"/>
    <cellStyle name="40% - Accent3 2 2 2 3 6" xfId="18238"/>
    <cellStyle name="40% - Accent3 2 2 2 3 6 2" xfId="34459"/>
    <cellStyle name="40% - Accent3 2 2 2 3 7" xfId="27062"/>
    <cellStyle name="40% - Accent3 2 2 2 4" xfId="5753"/>
    <cellStyle name="40% - Accent3 2 2 2 4 2" xfId="5752"/>
    <cellStyle name="40% - Accent3 2 2 2 4 2 2" xfId="10379"/>
    <cellStyle name="40% - Accent3 2 2 2 4 2 2 2" xfId="20000"/>
    <cellStyle name="40% - Accent3 2 2 2 4 2 2 2 2" xfId="36221"/>
    <cellStyle name="40% - Accent3 2 2 2 4 2 2 3" xfId="29533"/>
    <cellStyle name="40% - Accent3 2 2 2 4 2 3" xfId="16909"/>
    <cellStyle name="40% - Accent3 2 2 2 4 2 3 2" xfId="33130"/>
    <cellStyle name="40% - Accent3 2 2 2 4 2 4" xfId="18243"/>
    <cellStyle name="40% - Accent3 2 2 2 4 2 4 2" xfId="34464"/>
    <cellStyle name="40% - Accent3 2 2 2 4 2 5" xfId="27057"/>
    <cellStyle name="40% - Accent3 2 2 2 4 3" xfId="10378"/>
    <cellStyle name="40% - Accent3 2 2 2 4 3 2" xfId="19999"/>
    <cellStyle name="40% - Accent3 2 2 2 4 3 2 2" xfId="36220"/>
    <cellStyle name="40% - Accent3 2 2 2 4 3 3" xfId="29532"/>
    <cellStyle name="40% - Accent3 2 2 2 4 4" xfId="15324"/>
    <cellStyle name="40% - Accent3 2 2 2 4 4 2" xfId="31546"/>
    <cellStyle name="40% - Accent3 2 2 2 4 5" xfId="18242"/>
    <cellStyle name="40% - Accent3 2 2 2 4 5 2" xfId="34463"/>
    <cellStyle name="40% - Accent3 2 2 2 4 6" xfId="27058"/>
    <cellStyle name="40% - Accent3 2 2 2 5" xfId="5751"/>
    <cellStyle name="40% - Accent3 2 2 2 5 2" xfId="10380"/>
    <cellStyle name="40% - Accent3 2 2 2 5 2 2" xfId="20001"/>
    <cellStyle name="40% - Accent3 2 2 2 5 2 2 2" xfId="36222"/>
    <cellStyle name="40% - Accent3 2 2 2 5 2 3" xfId="29534"/>
    <cellStyle name="40% - Accent3 2 2 2 5 3" xfId="16117"/>
    <cellStyle name="40% - Accent3 2 2 2 5 3 2" xfId="32338"/>
    <cellStyle name="40% - Accent3 2 2 2 5 4" xfId="18244"/>
    <cellStyle name="40% - Accent3 2 2 2 5 4 2" xfId="34465"/>
    <cellStyle name="40% - Accent3 2 2 2 5 5" xfId="27056"/>
    <cellStyle name="40% - Accent3 2 2 2 6" xfId="10369"/>
    <cellStyle name="40% - Accent3 2 2 2 6 2" xfId="19990"/>
    <cellStyle name="40% - Accent3 2 2 2 6 2 2" xfId="36211"/>
    <cellStyle name="40% - Accent3 2 2 2 6 3" xfId="29523"/>
    <cellStyle name="40% - Accent3 2 2 2 7" xfId="14532"/>
    <cellStyle name="40% - Accent3 2 2 2 7 2" xfId="30754"/>
    <cellStyle name="40% - Accent3 2 2 2 8" xfId="18233"/>
    <cellStyle name="40% - Accent3 2 2 2 8 2" xfId="34454"/>
    <cellStyle name="40% - Accent3 2 2 2 9" xfId="27067"/>
    <cellStyle name="40% - Accent3 2 2 3" xfId="5750"/>
    <cellStyle name="40% - Accent3 2 2 3 2" xfId="5749"/>
    <cellStyle name="40% - Accent3 2 2 3 2 2" xfId="5748"/>
    <cellStyle name="40% - Accent3 2 2 3 2 2 2" xfId="10383"/>
    <cellStyle name="40% - Accent3 2 2 3 2 2 2 2" xfId="20004"/>
    <cellStyle name="40% - Accent3 2 2 3 2 2 2 2 2" xfId="36225"/>
    <cellStyle name="40% - Accent3 2 2 3 2 2 2 3" xfId="29537"/>
    <cellStyle name="40% - Accent3 2 2 3 2 2 3" xfId="17041"/>
    <cellStyle name="40% - Accent3 2 2 3 2 2 3 2" xfId="33262"/>
    <cellStyle name="40% - Accent3 2 2 3 2 2 4" xfId="18247"/>
    <cellStyle name="40% - Accent3 2 2 3 2 2 4 2" xfId="34468"/>
    <cellStyle name="40% - Accent3 2 2 3 2 2 5" xfId="27053"/>
    <cellStyle name="40% - Accent3 2 2 3 2 3" xfId="10382"/>
    <cellStyle name="40% - Accent3 2 2 3 2 3 2" xfId="20003"/>
    <cellStyle name="40% - Accent3 2 2 3 2 3 2 2" xfId="36224"/>
    <cellStyle name="40% - Accent3 2 2 3 2 3 3" xfId="29536"/>
    <cellStyle name="40% - Accent3 2 2 3 2 4" xfId="15456"/>
    <cellStyle name="40% - Accent3 2 2 3 2 4 2" xfId="31678"/>
    <cellStyle name="40% - Accent3 2 2 3 2 5" xfId="18246"/>
    <cellStyle name="40% - Accent3 2 2 3 2 5 2" xfId="34467"/>
    <cellStyle name="40% - Accent3 2 2 3 2 6" xfId="27054"/>
    <cellStyle name="40% - Accent3 2 2 3 3" xfId="5747"/>
    <cellStyle name="40% - Accent3 2 2 3 3 2" xfId="10384"/>
    <cellStyle name="40% - Accent3 2 2 3 3 2 2" xfId="20005"/>
    <cellStyle name="40% - Accent3 2 2 3 3 2 2 2" xfId="36226"/>
    <cellStyle name="40% - Accent3 2 2 3 3 2 3" xfId="29538"/>
    <cellStyle name="40% - Accent3 2 2 3 3 3" xfId="16249"/>
    <cellStyle name="40% - Accent3 2 2 3 3 3 2" xfId="32470"/>
    <cellStyle name="40% - Accent3 2 2 3 3 4" xfId="18248"/>
    <cellStyle name="40% - Accent3 2 2 3 3 4 2" xfId="34469"/>
    <cellStyle name="40% - Accent3 2 2 3 3 5" xfId="27052"/>
    <cellStyle name="40% - Accent3 2 2 3 4" xfId="10381"/>
    <cellStyle name="40% - Accent3 2 2 3 4 2" xfId="20002"/>
    <cellStyle name="40% - Accent3 2 2 3 4 2 2" xfId="36223"/>
    <cellStyle name="40% - Accent3 2 2 3 4 3" xfId="29535"/>
    <cellStyle name="40% - Accent3 2 2 3 5" xfId="14664"/>
    <cellStyle name="40% - Accent3 2 2 3 5 2" xfId="30886"/>
    <cellStyle name="40% - Accent3 2 2 3 6" xfId="18245"/>
    <cellStyle name="40% - Accent3 2 2 3 6 2" xfId="34466"/>
    <cellStyle name="40% - Accent3 2 2 3 7" xfId="27055"/>
    <cellStyle name="40% - Accent3 2 2 3 8" xfId="39303"/>
    <cellStyle name="40% - Accent3 2 2 4" xfId="5746"/>
    <cellStyle name="40% - Accent3 2 2 4 2" xfId="5745"/>
    <cellStyle name="40% - Accent3 2 2 4 2 2" xfId="5744"/>
    <cellStyle name="40% - Accent3 2 2 4 2 2 2" xfId="10387"/>
    <cellStyle name="40% - Accent3 2 2 4 2 2 2 2" xfId="20008"/>
    <cellStyle name="40% - Accent3 2 2 4 2 2 2 2 2" xfId="36229"/>
    <cellStyle name="40% - Accent3 2 2 4 2 2 2 3" xfId="29541"/>
    <cellStyle name="40% - Accent3 2 2 4 2 2 3" xfId="17305"/>
    <cellStyle name="40% - Accent3 2 2 4 2 2 3 2" xfId="33526"/>
    <cellStyle name="40% - Accent3 2 2 4 2 2 4" xfId="18251"/>
    <cellStyle name="40% - Accent3 2 2 4 2 2 4 2" xfId="34472"/>
    <cellStyle name="40% - Accent3 2 2 4 2 2 5" xfId="27049"/>
    <cellStyle name="40% - Accent3 2 2 4 2 3" xfId="10386"/>
    <cellStyle name="40% - Accent3 2 2 4 2 3 2" xfId="20007"/>
    <cellStyle name="40% - Accent3 2 2 4 2 3 2 2" xfId="36228"/>
    <cellStyle name="40% - Accent3 2 2 4 2 3 3" xfId="29540"/>
    <cellStyle name="40% - Accent3 2 2 4 2 4" xfId="15720"/>
    <cellStyle name="40% - Accent3 2 2 4 2 4 2" xfId="31942"/>
    <cellStyle name="40% - Accent3 2 2 4 2 5" xfId="18250"/>
    <cellStyle name="40% - Accent3 2 2 4 2 5 2" xfId="34471"/>
    <cellStyle name="40% - Accent3 2 2 4 2 6" xfId="27050"/>
    <cellStyle name="40% - Accent3 2 2 4 3" xfId="5743"/>
    <cellStyle name="40% - Accent3 2 2 4 3 2" xfId="10388"/>
    <cellStyle name="40% - Accent3 2 2 4 3 2 2" xfId="20009"/>
    <cellStyle name="40% - Accent3 2 2 4 3 2 2 2" xfId="36230"/>
    <cellStyle name="40% - Accent3 2 2 4 3 2 3" xfId="29542"/>
    <cellStyle name="40% - Accent3 2 2 4 3 3" xfId="16513"/>
    <cellStyle name="40% - Accent3 2 2 4 3 3 2" xfId="32734"/>
    <cellStyle name="40% - Accent3 2 2 4 3 4" xfId="18252"/>
    <cellStyle name="40% - Accent3 2 2 4 3 4 2" xfId="34473"/>
    <cellStyle name="40% - Accent3 2 2 4 3 5" xfId="27048"/>
    <cellStyle name="40% - Accent3 2 2 4 4" xfId="10385"/>
    <cellStyle name="40% - Accent3 2 2 4 4 2" xfId="20006"/>
    <cellStyle name="40% - Accent3 2 2 4 4 2 2" xfId="36227"/>
    <cellStyle name="40% - Accent3 2 2 4 4 3" xfId="29539"/>
    <cellStyle name="40% - Accent3 2 2 4 5" xfId="14928"/>
    <cellStyle name="40% - Accent3 2 2 4 5 2" xfId="31150"/>
    <cellStyle name="40% - Accent3 2 2 4 6" xfId="18249"/>
    <cellStyle name="40% - Accent3 2 2 4 6 2" xfId="34470"/>
    <cellStyle name="40% - Accent3 2 2 4 7" xfId="27051"/>
    <cellStyle name="40% - Accent3 2 2 4 8" xfId="39452"/>
    <cellStyle name="40% - Accent3 2 2 5" xfId="5742"/>
    <cellStyle name="40% - Accent3 2 2 5 2" xfId="5741"/>
    <cellStyle name="40% - Accent3 2 2 5 2 2" xfId="10390"/>
    <cellStyle name="40% - Accent3 2 2 5 2 2 2" xfId="20011"/>
    <cellStyle name="40% - Accent3 2 2 5 2 2 2 2" xfId="36232"/>
    <cellStyle name="40% - Accent3 2 2 5 2 2 3" xfId="29544"/>
    <cellStyle name="40% - Accent3 2 2 5 2 3" xfId="16777"/>
    <cellStyle name="40% - Accent3 2 2 5 2 3 2" xfId="32998"/>
    <cellStyle name="40% - Accent3 2 2 5 2 4" xfId="18254"/>
    <cellStyle name="40% - Accent3 2 2 5 2 4 2" xfId="34475"/>
    <cellStyle name="40% - Accent3 2 2 5 2 5" xfId="27046"/>
    <cellStyle name="40% - Accent3 2 2 5 3" xfId="10389"/>
    <cellStyle name="40% - Accent3 2 2 5 3 2" xfId="20010"/>
    <cellStyle name="40% - Accent3 2 2 5 3 2 2" xfId="36231"/>
    <cellStyle name="40% - Accent3 2 2 5 3 3" xfId="29543"/>
    <cellStyle name="40% - Accent3 2 2 5 4" xfId="15192"/>
    <cellStyle name="40% - Accent3 2 2 5 4 2" xfId="31414"/>
    <cellStyle name="40% - Accent3 2 2 5 5" xfId="18253"/>
    <cellStyle name="40% - Accent3 2 2 5 5 2" xfId="34474"/>
    <cellStyle name="40% - Accent3 2 2 5 6" xfId="27047"/>
    <cellStyle name="40% - Accent3 2 2 6" xfId="5736"/>
    <cellStyle name="40% - Accent3 2 2 6 2" xfId="10391"/>
    <cellStyle name="40% - Accent3 2 2 6 2 2" xfId="20012"/>
    <cellStyle name="40% - Accent3 2 2 6 2 2 2" xfId="36233"/>
    <cellStyle name="40% - Accent3 2 2 6 2 3" xfId="29545"/>
    <cellStyle name="40% - Accent3 2 2 6 3" xfId="15985"/>
    <cellStyle name="40% - Accent3 2 2 6 3 2" xfId="32206"/>
    <cellStyle name="40% - Accent3 2 2 6 4" xfId="18255"/>
    <cellStyle name="40% - Accent3 2 2 6 4 2" xfId="34476"/>
    <cellStyle name="40% - Accent3 2 2 6 5" xfId="27042"/>
    <cellStyle name="40% - Accent3 2 2 7" xfId="10368"/>
    <cellStyle name="40% - Accent3 2 2 7 2" xfId="19989"/>
    <cellStyle name="40% - Accent3 2 2 7 2 2" xfId="36210"/>
    <cellStyle name="40% - Accent3 2 2 7 3" xfId="29522"/>
    <cellStyle name="40% - Accent3 2 2 8" xfId="14400"/>
    <cellStyle name="40% - Accent3 2 2 8 2" xfId="30622"/>
    <cellStyle name="40% - Accent3 2 2 9" xfId="18232"/>
    <cellStyle name="40% - Accent3 2 2 9 2" xfId="34453"/>
    <cellStyle name="40% - Accent3 2 3" xfId="5718"/>
    <cellStyle name="40% - Accent3 2 3 10" xfId="39099"/>
    <cellStyle name="40% - Accent3 2 3 2" xfId="6497"/>
    <cellStyle name="40% - Accent3 2 3 2 2" xfId="6498"/>
    <cellStyle name="40% - Accent3 2 3 2 2 2" xfId="6499"/>
    <cellStyle name="40% - Accent3 2 3 2 2 2 2" xfId="10395"/>
    <cellStyle name="40% - Accent3 2 3 2 2 2 2 2" xfId="20016"/>
    <cellStyle name="40% - Accent3 2 3 2 2 2 2 2 2" xfId="36237"/>
    <cellStyle name="40% - Accent3 2 3 2 2 2 2 3" xfId="29549"/>
    <cellStyle name="40% - Accent3 2 3 2 2 2 3" xfId="17107"/>
    <cellStyle name="40% - Accent3 2 3 2 2 2 3 2" xfId="33328"/>
    <cellStyle name="40% - Accent3 2 3 2 2 2 4" xfId="18259"/>
    <cellStyle name="40% - Accent3 2 3 2 2 2 4 2" xfId="34480"/>
    <cellStyle name="40% - Accent3 2 3 2 2 2 5" xfId="27802"/>
    <cellStyle name="40% - Accent3 2 3 2 2 3" xfId="10394"/>
    <cellStyle name="40% - Accent3 2 3 2 2 3 2" xfId="20015"/>
    <cellStyle name="40% - Accent3 2 3 2 2 3 2 2" xfId="36236"/>
    <cellStyle name="40% - Accent3 2 3 2 2 3 3" xfId="29548"/>
    <cellStyle name="40% - Accent3 2 3 2 2 4" xfId="15522"/>
    <cellStyle name="40% - Accent3 2 3 2 2 4 2" xfId="31744"/>
    <cellStyle name="40% - Accent3 2 3 2 2 5" xfId="18258"/>
    <cellStyle name="40% - Accent3 2 3 2 2 5 2" xfId="34479"/>
    <cellStyle name="40% - Accent3 2 3 2 2 6" xfId="27801"/>
    <cellStyle name="40% - Accent3 2 3 2 3" xfId="6500"/>
    <cellStyle name="40% - Accent3 2 3 2 3 2" xfId="10396"/>
    <cellStyle name="40% - Accent3 2 3 2 3 2 2" xfId="20017"/>
    <cellStyle name="40% - Accent3 2 3 2 3 2 2 2" xfId="36238"/>
    <cellStyle name="40% - Accent3 2 3 2 3 2 3" xfId="29550"/>
    <cellStyle name="40% - Accent3 2 3 2 3 3" xfId="16315"/>
    <cellStyle name="40% - Accent3 2 3 2 3 3 2" xfId="32536"/>
    <cellStyle name="40% - Accent3 2 3 2 3 4" xfId="18260"/>
    <cellStyle name="40% - Accent3 2 3 2 3 4 2" xfId="34481"/>
    <cellStyle name="40% - Accent3 2 3 2 3 5" xfId="27803"/>
    <cellStyle name="40% - Accent3 2 3 2 4" xfId="10393"/>
    <cellStyle name="40% - Accent3 2 3 2 4 2" xfId="20014"/>
    <cellStyle name="40% - Accent3 2 3 2 4 2 2" xfId="36235"/>
    <cellStyle name="40% - Accent3 2 3 2 4 3" xfId="29547"/>
    <cellStyle name="40% - Accent3 2 3 2 5" xfId="14730"/>
    <cellStyle name="40% - Accent3 2 3 2 5 2" xfId="30952"/>
    <cellStyle name="40% - Accent3 2 3 2 6" xfId="18257"/>
    <cellStyle name="40% - Accent3 2 3 2 6 2" xfId="34478"/>
    <cellStyle name="40% - Accent3 2 3 2 7" xfId="27800"/>
    <cellStyle name="40% - Accent3 2 3 3" xfId="6501"/>
    <cellStyle name="40% - Accent3 2 3 3 2" xfId="6502"/>
    <cellStyle name="40% - Accent3 2 3 3 2 2" xfId="6503"/>
    <cellStyle name="40% - Accent3 2 3 3 2 2 2" xfId="10399"/>
    <cellStyle name="40% - Accent3 2 3 3 2 2 2 2" xfId="20020"/>
    <cellStyle name="40% - Accent3 2 3 3 2 2 2 2 2" xfId="36241"/>
    <cellStyle name="40% - Accent3 2 3 3 2 2 2 3" xfId="29553"/>
    <cellStyle name="40% - Accent3 2 3 3 2 2 3" xfId="17371"/>
    <cellStyle name="40% - Accent3 2 3 3 2 2 3 2" xfId="33592"/>
    <cellStyle name="40% - Accent3 2 3 3 2 2 4" xfId="18263"/>
    <cellStyle name="40% - Accent3 2 3 3 2 2 4 2" xfId="34484"/>
    <cellStyle name="40% - Accent3 2 3 3 2 2 5" xfId="27806"/>
    <cellStyle name="40% - Accent3 2 3 3 2 3" xfId="10398"/>
    <cellStyle name="40% - Accent3 2 3 3 2 3 2" xfId="20019"/>
    <cellStyle name="40% - Accent3 2 3 3 2 3 2 2" xfId="36240"/>
    <cellStyle name="40% - Accent3 2 3 3 2 3 3" xfId="29552"/>
    <cellStyle name="40% - Accent3 2 3 3 2 4" xfId="15786"/>
    <cellStyle name="40% - Accent3 2 3 3 2 4 2" xfId="32008"/>
    <cellStyle name="40% - Accent3 2 3 3 2 5" xfId="18262"/>
    <cellStyle name="40% - Accent3 2 3 3 2 5 2" xfId="34483"/>
    <cellStyle name="40% - Accent3 2 3 3 2 6" xfId="27805"/>
    <cellStyle name="40% - Accent3 2 3 3 3" xfId="6504"/>
    <cellStyle name="40% - Accent3 2 3 3 3 2" xfId="10400"/>
    <cellStyle name="40% - Accent3 2 3 3 3 2 2" xfId="20021"/>
    <cellStyle name="40% - Accent3 2 3 3 3 2 2 2" xfId="36242"/>
    <cellStyle name="40% - Accent3 2 3 3 3 2 3" xfId="29554"/>
    <cellStyle name="40% - Accent3 2 3 3 3 3" xfId="16579"/>
    <cellStyle name="40% - Accent3 2 3 3 3 3 2" xfId="32800"/>
    <cellStyle name="40% - Accent3 2 3 3 3 4" xfId="18264"/>
    <cellStyle name="40% - Accent3 2 3 3 3 4 2" xfId="34485"/>
    <cellStyle name="40% - Accent3 2 3 3 3 5" xfId="27807"/>
    <cellStyle name="40% - Accent3 2 3 3 4" xfId="10397"/>
    <cellStyle name="40% - Accent3 2 3 3 4 2" xfId="20018"/>
    <cellStyle name="40% - Accent3 2 3 3 4 2 2" xfId="36239"/>
    <cellStyle name="40% - Accent3 2 3 3 4 3" xfId="29551"/>
    <cellStyle name="40% - Accent3 2 3 3 5" xfId="14994"/>
    <cellStyle name="40% - Accent3 2 3 3 5 2" xfId="31216"/>
    <cellStyle name="40% - Accent3 2 3 3 6" xfId="18261"/>
    <cellStyle name="40% - Accent3 2 3 3 6 2" xfId="34482"/>
    <cellStyle name="40% - Accent3 2 3 3 7" xfId="27804"/>
    <cellStyle name="40% - Accent3 2 3 4" xfId="6505"/>
    <cellStyle name="40% - Accent3 2 3 4 2" xfId="6506"/>
    <cellStyle name="40% - Accent3 2 3 4 2 2" xfId="10402"/>
    <cellStyle name="40% - Accent3 2 3 4 2 2 2" xfId="20023"/>
    <cellStyle name="40% - Accent3 2 3 4 2 2 2 2" xfId="36244"/>
    <cellStyle name="40% - Accent3 2 3 4 2 2 3" xfId="29556"/>
    <cellStyle name="40% - Accent3 2 3 4 2 3" xfId="16843"/>
    <cellStyle name="40% - Accent3 2 3 4 2 3 2" xfId="33064"/>
    <cellStyle name="40% - Accent3 2 3 4 2 4" xfId="18266"/>
    <cellStyle name="40% - Accent3 2 3 4 2 4 2" xfId="34487"/>
    <cellStyle name="40% - Accent3 2 3 4 2 5" xfId="27809"/>
    <cellStyle name="40% - Accent3 2 3 4 3" xfId="10401"/>
    <cellStyle name="40% - Accent3 2 3 4 3 2" xfId="20022"/>
    <cellStyle name="40% - Accent3 2 3 4 3 2 2" xfId="36243"/>
    <cellStyle name="40% - Accent3 2 3 4 3 3" xfId="29555"/>
    <cellStyle name="40% - Accent3 2 3 4 4" xfId="15258"/>
    <cellStyle name="40% - Accent3 2 3 4 4 2" xfId="31480"/>
    <cellStyle name="40% - Accent3 2 3 4 5" xfId="18265"/>
    <cellStyle name="40% - Accent3 2 3 4 5 2" xfId="34486"/>
    <cellStyle name="40% - Accent3 2 3 4 6" xfId="27808"/>
    <cellStyle name="40% - Accent3 2 3 5" xfId="6507"/>
    <cellStyle name="40% - Accent3 2 3 5 2" xfId="10403"/>
    <cellStyle name="40% - Accent3 2 3 5 2 2" xfId="20024"/>
    <cellStyle name="40% - Accent3 2 3 5 2 2 2" xfId="36245"/>
    <cellStyle name="40% - Accent3 2 3 5 2 3" xfId="29557"/>
    <cellStyle name="40% - Accent3 2 3 5 3" xfId="16051"/>
    <cellStyle name="40% - Accent3 2 3 5 3 2" xfId="32272"/>
    <cellStyle name="40% - Accent3 2 3 5 4" xfId="18267"/>
    <cellStyle name="40% - Accent3 2 3 5 4 2" xfId="34488"/>
    <cellStyle name="40% - Accent3 2 3 5 5" xfId="27810"/>
    <cellStyle name="40% - Accent3 2 3 6" xfId="10392"/>
    <cellStyle name="40% - Accent3 2 3 6 2" xfId="20013"/>
    <cellStyle name="40% - Accent3 2 3 6 2 2" xfId="36234"/>
    <cellStyle name="40% - Accent3 2 3 6 3" xfId="29546"/>
    <cellStyle name="40% - Accent3 2 3 7" xfId="14466"/>
    <cellStyle name="40% - Accent3 2 3 7 2" xfId="30688"/>
    <cellStyle name="40% - Accent3 2 3 8" xfId="18256"/>
    <cellStyle name="40% - Accent3 2 3 8 2" xfId="34477"/>
    <cellStyle name="40% - Accent3 2 3 9" xfId="27024"/>
    <cellStyle name="40% - Accent3 2 4" xfId="6508"/>
    <cellStyle name="40% - Accent3 2 4 2" xfId="6509"/>
    <cellStyle name="40% - Accent3 2 4 2 2" xfId="6510"/>
    <cellStyle name="40% - Accent3 2 4 2 2 2" xfId="10406"/>
    <cellStyle name="40% - Accent3 2 4 2 2 2 2" xfId="20027"/>
    <cellStyle name="40% - Accent3 2 4 2 2 2 2 2" xfId="36248"/>
    <cellStyle name="40% - Accent3 2 4 2 2 2 3" xfId="29560"/>
    <cellStyle name="40% - Accent3 2 4 2 2 3" xfId="16975"/>
    <cellStyle name="40% - Accent3 2 4 2 2 3 2" xfId="33196"/>
    <cellStyle name="40% - Accent3 2 4 2 2 4" xfId="18270"/>
    <cellStyle name="40% - Accent3 2 4 2 2 4 2" xfId="34491"/>
    <cellStyle name="40% - Accent3 2 4 2 2 5" xfId="27813"/>
    <cellStyle name="40% - Accent3 2 4 2 3" xfId="10405"/>
    <cellStyle name="40% - Accent3 2 4 2 3 2" xfId="20026"/>
    <cellStyle name="40% - Accent3 2 4 2 3 2 2" xfId="36247"/>
    <cellStyle name="40% - Accent3 2 4 2 3 3" xfId="29559"/>
    <cellStyle name="40% - Accent3 2 4 2 4" xfId="15390"/>
    <cellStyle name="40% - Accent3 2 4 2 4 2" xfId="31612"/>
    <cellStyle name="40% - Accent3 2 4 2 5" xfId="18269"/>
    <cellStyle name="40% - Accent3 2 4 2 5 2" xfId="34490"/>
    <cellStyle name="40% - Accent3 2 4 2 6" xfId="27812"/>
    <cellStyle name="40% - Accent3 2 4 3" xfId="6511"/>
    <cellStyle name="40% - Accent3 2 4 3 2" xfId="10407"/>
    <cellStyle name="40% - Accent3 2 4 3 2 2" xfId="20028"/>
    <cellStyle name="40% - Accent3 2 4 3 2 2 2" xfId="36249"/>
    <cellStyle name="40% - Accent3 2 4 3 2 3" xfId="29561"/>
    <cellStyle name="40% - Accent3 2 4 3 3" xfId="16183"/>
    <cellStyle name="40% - Accent3 2 4 3 3 2" xfId="32404"/>
    <cellStyle name="40% - Accent3 2 4 3 4" xfId="18271"/>
    <cellStyle name="40% - Accent3 2 4 3 4 2" xfId="34492"/>
    <cellStyle name="40% - Accent3 2 4 3 5" xfId="27814"/>
    <cellStyle name="40% - Accent3 2 4 4" xfId="10404"/>
    <cellStyle name="40% - Accent3 2 4 4 2" xfId="20025"/>
    <cellStyle name="40% - Accent3 2 4 4 2 2" xfId="36246"/>
    <cellStyle name="40% - Accent3 2 4 4 3" xfId="29558"/>
    <cellStyle name="40% - Accent3 2 4 5" xfId="14598"/>
    <cellStyle name="40% - Accent3 2 4 5 2" xfId="30820"/>
    <cellStyle name="40% - Accent3 2 4 6" xfId="18268"/>
    <cellStyle name="40% - Accent3 2 4 6 2" xfId="34489"/>
    <cellStyle name="40% - Accent3 2 4 7" xfId="27811"/>
    <cellStyle name="40% - Accent3 2 4 8" xfId="39247"/>
    <cellStyle name="40% - Accent3 2 5" xfId="6512"/>
    <cellStyle name="40% - Accent3 2 5 2" xfId="6513"/>
    <cellStyle name="40% - Accent3 2 5 2 2" xfId="6514"/>
    <cellStyle name="40% - Accent3 2 5 2 2 2" xfId="10410"/>
    <cellStyle name="40% - Accent3 2 5 2 2 2 2" xfId="20031"/>
    <cellStyle name="40% - Accent3 2 5 2 2 2 2 2" xfId="36252"/>
    <cellStyle name="40% - Accent3 2 5 2 2 2 3" xfId="29564"/>
    <cellStyle name="40% - Accent3 2 5 2 2 3" xfId="17239"/>
    <cellStyle name="40% - Accent3 2 5 2 2 3 2" xfId="33460"/>
    <cellStyle name="40% - Accent3 2 5 2 2 4" xfId="18274"/>
    <cellStyle name="40% - Accent3 2 5 2 2 4 2" xfId="34495"/>
    <cellStyle name="40% - Accent3 2 5 2 2 5" xfId="27817"/>
    <cellStyle name="40% - Accent3 2 5 2 3" xfId="10409"/>
    <cellStyle name="40% - Accent3 2 5 2 3 2" xfId="20030"/>
    <cellStyle name="40% - Accent3 2 5 2 3 2 2" xfId="36251"/>
    <cellStyle name="40% - Accent3 2 5 2 3 3" xfId="29563"/>
    <cellStyle name="40% - Accent3 2 5 2 4" xfId="15654"/>
    <cellStyle name="40% - Accent3 2 5 2 4 2" xfId="31876"/>
    <cellStyle name="40% - Accent3 2 5 2 5" xfId="18273"/>
    <cellStyle name="40% - Accent3 2 5 2 5 2" xfId="34494"/>
    <cellStyle name="40% - Accent3 2 5 2 6" xfId="27816"/>
    <cellStyle name="40% - Accent3 2 5 3" xfId="6515"/>
    <cellStyle name="40% - Accent3 2 5 3 2" xfId="10411"/>
    <cellStyle name="40% - Accent3 2 5 3 2 2" xfId="20032"/>
    <cellStyle name="40% - Accent3 2 5 3 2 2 2" xfId="36253"/>
    <cellStyle name="40% - Accent3 2 5 3 2 3" xfId="29565"/>
    <cellStyle name="40% - Accent3 2 5 3 3" xfId="16447"/>
    <cellStyle name="40% - Accent3 2 5 3 3 2" xfId="32668"/>
    <cellStyle name="40% - Accent3 2 5 3 4" xfId="18275"/>
    <cellStyle name="40% - Accent3 2 5 3 4 2" xfId="34496"/>
    <cellStyle name="40% - Accent3 2 5 3 5" xfId="27818"/>
    <cellStyle name="40% - Accent3 2 5 4" xfId="10408"/>
    <cellStyle name="40% - Accent3 2 5 4 2" xfId="20029"/>
    <cellStyle name="40% - Accent3 2 5 4 2 2" xfId="36250"/>
    <cellStyle name="40% - Accent3 2 5 4 3" xfId="29562"/>
    <cellStyle name="40% - Accent3 2 5 5" xfId="14862"/>
    <cellStyle name="40% - Accent3 2 5 5 2" xfId="31084"/>
    <cellStyle name="40% - Accent3 2 5 6" xfId="18272"/>
    <cellStyle name="40% - Accent3 2 5 6 2" xfId="34493"/>
    <cellStyle name="40% - Accent3 2 5 7" xfId="27815"/>
    <cellStyle name="40% - Accent3 2 5 8" xfId="39396"/>
    <cellStyle name="40% - Accent3 2 6" xfId="6516"/>
    <cellStyle name="40% - Accent3 2 6 2" xfId="6517"/>
    <cellStyle name="40% - Accent3 2 6 2 2" xfId="10413"/>
    <cellStyle name="40% - Accent3 2 6 2 2 2" xfId="20034"/>
    <cellStyle name="40% - Accent3 2 6 2 2 2 2" xfId="36255"/>
    <cellStyle name="40% - Accent3 2 6 2 2 3" xfId="29567"/>
    <cellStyle name="40% - Accent3 2 6 2 3" xfId="16711"/>
    <cellStyle name="40% - Accent3 2 6 2 3 2" xfId="32932"/>
    <cellStyle name="40% - Accent3 2 6 2 4" xfId="18277"/>
    <cellStyle name="40% - Accent3 2 6 2 4 2" xfId="34498"/>
    <cellStyle name="40% - Accent3 2 6 2 5" xfId="27820"/>
    <cellStyle name="40% - Accent3 2 6 3" xfId="10412"/>
    <cellStyle name="40% - Accent3 2 6 3 2" xfId="20033"/>
    <cellStyle name="40% - Accent3 2 6 3 2 2" xfId="36254"/>
    <cellStyle name="40% - Accent3 2 6 3 3" xfId="29566"/>
    <cellStyle name="40% - Accent3 2 6 4" xfId="15126"/>
    <cellStyle name="40% - Accent3 2 6 4 2" xfId="31348"/>
    <cellStyle name="40% - Accent3 2 6 5" xfId="18276"/>
    <cellStyle name="40% - Accent3 2 6 5 2" xfId="34497"/>
    <cellStyle name="40% - Accent3 2 6 6" xfId="27819"/>
    <cellStyle name="40% - Accent3 2 7" xfId="6518"/>
    <cellStyle name="40% - Accent3 2 7 2" xfId="10414"/>
    <cellStyle name="40% - Accent3 2 7 2 2" xfId="20035"/>
    <cellStyle name="40% - Accent3 2 7 2 2 2" xfId="36256"/>
    <cellStyle name="40% - Accent3 2 7 2 3" xfId="29568"/>
    <cellStyle name="40% - Accent3 2 7 3" xfId="15919"/>
    <cellStyle name="40% - Accent3 2 7 3 2" xfId="32140"/>
    <cellStyle name="40% - Accent3 2 7 4" xfId="18278"/>
    <cellStyle name="40% - Accent3 2 7 4 2" xfId="34499"/>
    <cellStyle name="40% - Accent3 2 7 5" xfId="27821"/>
    <cellStyle name="40% - Accent3 2 8" xfId="10367"/>
    <cellStyle name="40% - Accent3 2 8 2" xfId="19988"/>
    <cellStyle name="40% - Accent3 2 8 2 2" xfId="36209"/>
    <cellStyle name="40% - Accent3 2 8 3" xfId="29521"/>
    <cellStyle name="40% - Accent3 2 9" xfId="14334"/>
    <cellStyle name="40% - Accent3 2 9 2" xfId="30556"/>
    <cellStyle name="40% - Accent3 3" xfId="6519"/>
    <cellStyle name="40% - Accent3 3 10" xfId="27822"/>
    <cellStyle name="40% - Accent3 3 11" xfId="38978"/>
    <cellStyle name="40% - Accent3 3 2" xfId="6520"/>
    <cellStyle name="40% - Accent3 3 2 10" xfId="39020"/>
    <cellStyle name="40% - Accent3 3 2 2" xfId="6521"/>
    <cellStyle name="40% - Accent3 3 2 2 2" xfId="6522"/>
    <cellStyle name="40% - Accent3 3 2 2 2 2" xfId="6523"/>
    <cellStyle name="40% - Accent3 3 2 2 2 2 2" xfId="10419"/>
    <cellStyle name="40% - Accent3 3 2 2 2 2 2 2" xfId="20040"/>
    <cellStyle name="40% - Accent3 3 2 2 2 2 2 2 2" xfId="36261"/>
    <cellStyle name="40% - Accent3 3 2 2 2 2 2 3" xfId="29573"/>
    <cellStyle name="40% - Accent3 3 2 2 2 2 3" xfId="17140"/>
    <cellStyle name="40% - Accent3 3 2 2 2 2 3 2" xfId="33361"/>
    <cellStyle name="40% - Accent3 3 2 2 2 2 4" xfId="18283"/>
    <cellStyle name="40% - Accent3 3 2 2 2 2 4 2" xfId="34504"/>
    <cellStyle name="40% - Accent3 3 2 2 2 2 5" xfId="27826"/>
    <cellStyle name="40% - Accent3 3 2 2 2 3" xfId="10418"/>
    <cellStyle name="40% - Accent3 3 2 2 2 3 2" xfId="20039"/>
    <cellStyle name="40% - Accent3 3 2 2 2 3 2 2" xfId="36260"/>
    <cellStyle name="40% - Accent3 3 2 2 2 3 3" xfId="29572"/>
    <cellStyle name="40% - Accent3 3 2 2 2 4" xfId="15555"/>
    <cellStyle name="40% - Accent3 3 2 2 2 4 2" xfId="31777"/>
    <cellStyle name="40% - Accent3 3 2 2 2 5" xfId="18282"/>
    <cellStyle name="40% - Accent3 3 2 2 2 5 2" xfId="34503"/>
    <cellStyle name="40% - Accent3 3 2 2 2 6" xfId="27825"/>
    <cellStyle name="40% - Accent3 3 2 2 3" xfId="6524"/>
    <cellStyle name="40% - Accent3 3 2 2 3 2" xfId="10420"/>
    <cellStyle name="40% - Accent3 3 2 2 3 2 2" xfId="20041"/>
    <cellStyle name="40% - Accent3 3 2 2 3 2 2 2" xfId="36262"/>
    <cellStyle name="40% - Accent3 3 2 2 3 2 3" xfId="29574"/>
    <cellStyle name="40% - Accent3 3 2 2 3 3" xfId="16348"/>
    <cellStyle name="40% - Accent3 3 2 2 3 3 2" xfId="32569"/>
    <cellStyle name="40% - Accent3 3 2 2 3 4" xfId="18284"/>
    <cellStyle name="40% - Accent3 3 2 2 3 4 2" xfId="34505"/>
    <cellStyle name="40% - Accent3 3 2 2 3 5" xfId="27827"/>
    <cellStyle name="40% - Accent3 3 2 2 4" xfId="10417"/>
    <cellStyle name="40% - Accent3 3 2 2 4 2" xfId="20038"/>
    <cellStyle name="40% - Accent3 3 2 2 4 2 2" xfId="36259"/>
    <cellStyle name="40% - Accent3 3 2 2 4 3" xfId="29571"/>
    <cellStyle name="40% - Accent3 3 2 2 5" xfId="14763"/>
    <cellStyle name="40% - Accent3 3 2 2 5 2" xfId="30985"/>
    <cellStyle name="40% - Accent3 3 2 2 6" xfId="18281"/>
    <cellStyle name="40% - Accent3 3 2 2 6 2" xfId="34502"/>
    <cellStyle name="40% - Accent3 3 2 2 7" xfId="27824"/>
    <cellStyle name="40% - Accent3 3 2 2 8" xfId="39168"/>
    <cellStyle name="40% - Accent3 3 2 3" xfId="6525"/>
    <cellStyle name="40% - Accent3 3 2 3 2" xfId="6526"/>
    <cellStyle name="40% - Accent3 3 2 3 2 2" xfId="6527"/>
    <cellStyle name="40% - Accent3 3 2 3 2 2 2" xfId="10423"/>
    <cellStyle name="40% - Accent3 3 2 3 2 2 2 2" xfId="20044"/>
    <cellStyle name="40% - Accent3 3 2 3 2 2 2 2 2" xfId="36265"/>
    <cellStyle name="40% - Accent3 3 2 3 2 2 2 3" xfId="29577"/>
    <cellStyle name="40% - Accent3 3 2 3 2 2 3" xfId="17404"/>
    <cellStyle name="40% - Accent3 3 2 3 2 2 3 2" xfId="33625"/>
    <cellStyle name="40% - Accent3 3 2 3 2 2 4" xfId="18287"/>
    <cellStyle name="40% - Accent3 3 2 3 2 2 4 2" xfId="34508"/>
    <cellStyle name="40% - Accent3 3 2 3 2 2 5" xfId="27830"/>
    <cellStyle name="40% - Accent3 3 2 3 2 3" xfId="10422"/>
    <cellStyle name="40% - Accent3 3 2 3 2 3 2" xfId="20043"/>
    <cellStyle name="40% - Accent3 3 2 3 2 3 2 2" xfId="36264"/>
    <cellStyle name="40% - Accent3 3 2 3 2 3 3" xfId="29576"/>
    <cellStyle name="40% - Accent3 3 2 3 2 4" xfId="15819"/>
    <cellStyle name="40% - Accent3 3 2 3 2 4 2" xfId="32041"/>
    <cellStyle name="40% - Accent3 3 2 3 2 5" xfId="18286"/>
    <cellStyle name="40% - Accent3 3 2 3 2 5 2" xfId="34507"/>
    <cellStyle name="40% - Accent3 3 2 3 2 6" xfId="27829"/>
    <cellStyle name="40% - Accent3 3 2 3 3" xfId="6528"/>
    <cellStyle name="40% - Accent3 3 2 3 3 2" xfId="10424"/>
    <cellStyle name="40% - Accent3 3 2 3 3 2 2" xfId="20045"/>
    <cellStyle name="40% - Accent3 3 2 3 3 2 2 2" xfId="36266"/>
    <cellStyle name="40% - Accent3 3 2 3 3 2 3" xfId="29578"/>
    <cellStyle name="40% - Accent3 3 2 3 3 3" xfId="16612"/>
    <cellStyle name="40% - Accent3 3 2 3 3 3 2" xfId="32833"/>
    <cellStyle name="40% - Accent3 3 2 3 3 4" xfId="18288"/>
    <cellStyle name="40% - Accent3 3 2 3 3 4 2" xfId="34509"/>
    <cellStyle name="40% - Accent3 3 2 3 3 5" xfId="27831"/>
    <cellStyle name="40% - Accent3 3 2 3 4" xfId="10421"/>
    <cellStyle name="40% - Accent3 3 2 3 4 2" xfId="20042"/>
    <cellStyle name="40% - Accent3 3 2 3 4 2 2" xfId="36263"/>
    <cellStyle name="40% - Accent3 3 2 3 4 3" xfId="29575"/>
    <cellStyle name="40% - Accent3 3 2 3 5" xfId="15027"/>
    <cellStyle name="40% - Accent3 3 2 3 5 2" xfId="31249"/>
    <cellStyle name="40% - Accent3 3 2 3 6" xfId="18285"/>
    <cellStyle name="40% - Accent3 3 2 3 6 2" xfId="34506"/>
    <cellStyle name="40% - Accent3 3 2 3 7" xfId="27828"/>
    <cellStyle name="40% - Accent3 3 2 3 8" xfId="39316"/>
    <cellStyle name="40% - Accent3 3 2 4" xfId="6529"/>
    <cellStyle name="40% - Accent3 3 2 4 2" xfId="6530"/>
    <cellStyle name="40% - Accent3 3 2 4 2 2" xfId="10426"/>
    <cellStyle name="40% - Accent3 3 2 4 2 2 2" xfId="20047"/>
    <cellStyle name="40% - Accent3 3 2 4 2 2 2 2" xfId="36268"/>
    <cellStyle name="40% - Accent3 3 2 4 2 2 3" xfId="29580"/>
    <cellStyle name="40% - Accent3 3 2 4 2 3" xfId="16876"/>
    <cellStyle name="40% - Accent3 3 2 4 2 3 2" xfId="33097"/>
    <cellStyle name="40% - Accent3 3 2 4 2 4" xfId="18290"/>
    <cellStyle name="40% - Accent3 3 2 4 2 4 2" xfId="34511"/>
    <cellStyle name="40% - Accent3 3 2 4 2 5" xfId="27833"/>
    <cellStyle name="40% - Accent3 3 2 4 3" xfId="10425"/>
    <cellStyle name="40% - Accent3 3 2 4 3 2" xfId="20046"/>
    <cellStyle name="40% - Accent3 3 2 4 3 2 2" xfId="36267"/>
    <cellStyle name="40% - Accent3 3 2 4 3 3" xfId="29579"/>
    <cellStyle name="40% - Accent3 3 2 4 4" xfId="15291"/>
    <cellStyle name="40% - Accent3 3 2 4 4 2" xfId="31513"/>
    <cellStyle name="40% - Accent3 3 2 4 5" xfId="18289"/>
    <cellStyle name="40% - Accent3 3 2 4 5 2" xfId="34510"/>
    <cellStyle name="40% - Accent3 3 2 4 6" xfId="27832"/>
    <cellStyle name="40% - Accent3 3 2 4 7" xfId="39465"/>
    <cellStyle name="40% - Accent3 3 2 5" xfId="6531"/>
    <cellStyle name="40% - Accent3 3 2 5 2" xfId="10427"/>
    <cellStyle name="40% - Accent3 3 2 5 2 2" xfId="20048"/>
    <cellStyle name="40% - Accent3 3 2 5 2 2 2" xfId="36269"/>
    <cellStyle name="40% - Accent3 3 2 5 2 3" xfId="29581"/>
    <cellStyle name="40% - Accent3 3 2 5 3" xfId="16084"/>
    <cellStyle name="40% - Accent3 3 2 5 3 2" xfId="32305"/>
    <cellStyle name="40% - Accent3 3 2 5 4" xfId="18291"/>
    <cellStyle name="40% - Accent3 3 2 5 4 2" xfId="34512"/>
    <cellStyle name="40% - Accent3 3 2 5 5" xfId="27834"/>
    <cellStyle name="40% - Accent3 3 2 6" xfId="10416"/>
    <cellStyle name="40% - Accent3 3 2 6 2" xfId="20037"/>
    <cellStyle name="40% - Accent3 3 2 6 2 2" xfId="36258"/>
    <cellStyle name="40% - Accent3 3 2 6 3" xfId="29570"/>
    <cellStyle name="40% - Accent3 3 2 7" xfId="14499"/>
    <cellStyle name="40% - Accent3 3 2 7 2" xfId="30721"/>
    <cellStyle name="40% - Accent3 3 2 8" xfId="18280"/>
    <cellStyle name="40% - Accent3 3 2 8 2" xfId="34501"/>
    <cellStyle name="40% - Accent3 3 2 9" xfId="27823"/>
    <cellStyle name="40% - Accent3 3 3" xfId="6532"/>
    <cellStyle name="40% - Accent3 3 3 2" xfId="6533"/>
    <cellStyle name="40% - Accent3 3 3 2 2" xfId="6534"/>
    <cellStyle name="40% - Accent3 3 3 2 2 2" xfId="10430"/>
    <cellStyle name="40% - Accent3 3 3 2 2 2 2" xfId="20051"/>
    <cellStyle name="40% - Accent3 3 3 2 2 2 2 2" xfId="36272"/>
    <cellStyle name="40% - Accent3 3 3 2 2 2 3" xfId="29584"/>
    <cellStyle name="40% - Accent3 3 3 2 2 3" xfId="17008"/>
    <cellStyle name="40% - Accent3 3 3 2 2 3 2" xfId="33229"/>
    <cellStyle name="40% - Accent3 3 3 2 2 4" xfId="18294"/>
    <cellStyle name="40% - Accent3 3 3 2 2 4 2" xfId="34515"/>
    <cellStyle name="40% - Accent3 3 3 2 2 5" xfId="27837"/>
    <cellStyle name="40% - Accent3 3 3 2 3" xfId="10429"/>
    <cellStyle name="40% - Accent3 3 3 2 3 2" xfId="20050"/>
    <cellStyle name="40% - Accent3 3 3 2 3 2 2" xfId="36271"/>
    <cellStyle name="40% - Accent3 3 3 2 3 3" xfId="29583"/>
    <cellStyle name="40% - Accent3 3 3 2 4" xfId="15423"/>
    <cellStyle name="40% - Accent3 3 3 2 4 2" xfId="31645"/>
    <cellStyle name="40% - Accent3 3 3 2 5" xfId="18293"/>
    <cellStyle name="40% - Accent3 3 3 2 5 2" xfId="34514"/>
    <cellStyle name="40% - Accent3 3 3 2 6" xfId="27836"/>
    <cellStyle name="40% - Accent3 3 3 3" xfId="6535"/>
    <cellStyle name="40% - Accent3 3 3 3 2" xfId="10431"/>
    <cellStyle name="40% - Accent3 3 3 3 2 2" xfId="20052"/>
    <cellStyle name="40% - Accent3 3 3 3 2 2 2" xfId="36273"/>
    <cellStyle name="40% - Accent3 3 3 3 2 3" xfId="29585"/>
    <cellStyle name="40% - Accent3 3 3 3 3" xfId="16216"/>
    <cellStyle name="40% - Accent3 3 3 3 3 2" xfId="32437"/>
    <cellStyle name="40% - Accent3 3 3 3 4" xfId="18295"/>
    <cellStyle name="40% - Accent3 3 3 3 4 2" xfId="34516"/>
    <cellStyle name="40% - Accent3 3 3 3 5" xfId="27838"/>
    <cellStyle name="40% - Accent3 3 3 4" xfId="10428"/>
    <cellStyle name="40% - Accent3 3 3 4 2" xfId="20049"/>
    <cellStyle name="40% - Accent3 3 3 4 2 2" xfId="36270"/>
    <cellStyle name="40% - Accent3 3 3 4 3" xfId="29582"/>
    <cellStyle name="40% - Accent3 3 3 5" xfId="14631"/>
    <cellStyle name="40% - Accent3 3 3 5 2" xfId="30853"/>
    <cellStyle name="40% - Accent3 3 3 6" xfId="18292"/>
    <cellStyle name="40% - Accent3 3 3 6 2" xfId="34513"/>
    <cellStyle name="40% - Accent3 3 3 7" xfId="27835"/>
    <cellStyle name="40% - Accent3 3 3 8" xfId="39112"/>
    <cellStyle name="40% - Accent3 3 4" xfId="6536"/>
    <cellStyle name="40% - Accent3 3 4 2" xfId="6537"/>
    <cellStyle name="40% - Accent3 3 4 2 2" xfId="6538"/>
    <cellStyle name="40% - Accent3 3 4 2 2 2" xfId="10434"/>
    <cellStyle name="40% - Accent3 3 4 2 2 2 2" xfId="20055"/>
    <cellStyle name="40% - Accent3 3 4 2 2 2 2 2" xfId="36276"/>
    <cellStyle name="40% - Accent3 3 4 2 2 2 3" xfId="29588"/>
    <cellStyle name="40% - Accent3 3 4 2 2 3" xfId="17272"/>
    <cellStyle name="40% - Accent3 3 4 2 2 3 2" xfId="33493"/>
    <cellStyle name="40% - Accent3 3 4 2 2 4" xfId="18298"/>
    <cellStyle name="40% - Accent3 3 4 2 2 4 2" xfId="34519"/>
    <cellStyle name="40% - Accent3 3 4 2 2 5" xfId="27841"/>
    <cellStyle name="40% - Accent3 3 4 2 3" xfId="10433"/>
    <cellStyle name="40% - Accent3 3 4 2 3 2" xfId="20054"/>
    <cellStyle name="40% - Accent3 3 4 2 3 2 2" xfId="36275"/>
    <cellStyle name="40% - Accent3 3 4 2 3 3" xfId="29587"/>
    <cellStyle name="40% - Accent3 3 4 2 4" xfId="15687"/>
    <cellStyle name="40% - Accent3 3 4 2 4 2" xfId="31909"/>
    <cellStyle name="40% - Accent3 3 4 2 5" xfId="18297"/>
    <cellStyle name="40% - Accent3 3 4 2 5 2" xfId="34518"/>
    <cellStyle name="40% - Accent3 3 4 2 6" xfId="27840"/>
    <cellStyle name="40% - Accent3 3 4 3" xfId="6539"/>
    <cellStyle name="40% - Accent3 3 4 3 2" xfId="10435"/>
    <cellStyle name="40% - Accent3 3 4 3 2 2" xfId="20056"/>
    <cellStyle name="40% - Accent3 3 4 3 2 2 2" xfId="36277"/>
    <cellStyle name="40% - Accent3 3 4 3 2 3" xfId="29589"/>
    <cellStyle name="40% - Accent3 3 4 3 3" xfId="16480"/>
    <cellStyle name="40% - Accent3 3 4 3 3 2" xfId="32701"/>
    <cellStyle name="40% - Accent3 3 4 3 4" xfId="18299"/>
    <cellStyle name="40% - Accent3 3 4 3 4 2" xfId="34520"/>
    <cellStyle name="40% - Accent3 3 4 3 5" xfId="27842"/>
    <cellStyle name="40% - Accent3 3 4 4" xfId="10432"/>
    <cellStyle name="40% - Accent3 3 4 4 2" xfId="20053"/>
    <cellStyle name="40% - Accent3 3 4 4 2 2" xfId="36274"/>
    <cellStyle name="40% - Accent3 3 4 4 3" xfId="29586"/>
    <cellStyle name="40% - Accent3 3 4 5" xfId="14895"/>
    <cellStyle name="40% - Accent3 3 4 5 2" xfId="31117"/>
    <cellStyle name="40% - Accent3 3 4 6" xfId="18296"/>
    <cellStyle name="40% - Accent3 3 4 6 2" xfId="34517"/>
    <cellStyle name="40% - Accent3 3 4 7" xfId="27839"/>
    <cellStyle name="40% - Accent3 3 4 8" xfId="39260"/>
    <cellStyle name="40% - Accent3 3 5" xfId="6540"/>
    <cellStyle name="40% - Accent3 3 5 2" xfId="6541"/>
    <cellStyle name="40% - Accent3 3 5 2 2" xfId="10437"/>
    <cellStyle name="40% - Accent3 3 5 2 2 2" xfId="20058"/>
    <cellStyle name="40% - Accent3 3 5 2 2 2 2" xfId="36279"/>
    <cellStyle name="40% - Accent3 3 5 2 2 3" xfId="29591"/>
    <cellStyle name="40% - Accent3 3 5 2 3" xfId="16744"/>
    <cellStyle name="40% - Accent3 3 5 2 3 2" xfId="32965"/>
    <cellStyle name="40% - Accent3 3 5 2 4" xfId="18301"/>
    <cellStyle name="40% - Accent3 3 5 2 4 2" xfId="34522"/>
    <cellStyle name="40% - Accent3 3 5 2 5" xfId="27844"/>
    <cellStyle name="40% - Accent3 3 5 3" xfId="10436"/>
    <cellStyle name="40% - Accent3 3 5 3 2" xfId="20057"/>
    <cellStyle name="40% - Accent3 3 5 3 2 2" xfId="36278"/>
    <cellStyle name="40% - Accent3 3 5 3 3" xfId="29590"/>
    <cellStyle name="40% - Accent3 3 5 4" xfId="15159"/>
    <cellStyle name="40% - Accent3 3 5 4 2" xfId="31381"/>
    <cellStyle name="40% - Accent3 3 5 5" xfId="18300"/>
    <cellStyle name="40% - Accent3 3 5 5 2" xfId="34521"/>
    <cellStyle name="40% - Accent3 3 5 6" xfId="27843"/>
    <cellStyle name="40% - Accent3 3 5 7" xfId="39409"/>
    <cellStyle name="40% - Accent3 3 6" xfId="6542"/>
    <cellStyle name="40% - Accent3 3 6 2" xfId="10438"/>
    <cellStyle name="40% - Accent3 3 6 2 2" xfId="20059"/>
    <cellStyle name="40% - Accent3 3 6 2 2 2" xfId="36280"/>
    <cellStyle name="40% - Accent3 3 6 2 3" xfId="29592"/>
    <cellStyle name="40% - Accent3 3 6 3" xfId="15952"/>
    <cellStyle name="40% - Accent3 3 6 3 2" xfId="32173"/>
    <cellStyle name="40% - Accent3 3 6 4" xfId="18302"/>
    <cellStyle name="40% - Accent3 3 6 4 2" xfId="34523"/>
    <cellStyle name="40% - Accent3 3 6 5" xfId="27845"/>
    <cellStyle name="40% - Accent3 3 7" xfId="10415"/>
    <cellStyle name="40% - Accent3 3 7 2" xfId="20036"/>
    <cellStyle name="40% - Accent3 3 7 2 2" xfId="36257"/>
    <cellStyle name="40% - Accent3 3 7 3" xfId="29569"/>
    <cellStyle name="40% - Accent3 3 8" xfId="14367"/>
    <cellStyle name="40% - Accent3 3 8 2" xfId="30589"/>
    <cellStyle name="40% - Accent3 3 9" xfId="18279"/>
    <cellStyle name="40% - Accent3 3 9 2" xfId="34500"/>
    <cellStyle name="40% - Accent3 4" xfId="6543"/>
    <cellStyle name="40% - Accent3 4 10" xfId="38991"/>
    <cellStyle name="40% - Accent3 4 2" xfId="6544"/>
    <cellStyle name="40% - Accent3 4 2 2" xfId="6545"/>
    <cellStyle name="40% - Accent3 4 2 2 2" xfId="6546"/>
    <cellStyle name="40% - Accent3 4 2 2 2 2" xfId="10442"/>
    <cellStyle name="40% - Accent3 4 2 2 2 2 2" xfId="20063"/>
    <cellStyle name="40% - Accent3 4 2 2 2 2 2 2" xfId="36284"/>
    <cellStyle name="40% - Accent3 4 2 2 2 2 3" xfId="29596"/>
    <cellStyle name="40% - Accent3 4 2 2 2 3" xfId="17074"/>
    <cellStyle name="40% - Accent3 4 2 2 2 3 2" xfId="33295"/>
    <cellStyle name="40% - Accent3 4 2 2 2 4" xfId="18306"/>
    <cellStyle name="40% - Accent3 4 2 2 2 4 2" xfId="34527"/>
    <cellStyle name="40% - Accent3 4 2 2 2 5" xfId="27849"/>
    <cellStyle name="40% - Accent3 4 2 2 3" xfId="10441"/>
    <cellStyle name="40% - Accent3 4 2 2 3 2" xfId="20062"/>
    <cellStyle name="40% - Accent3 4 2 2 3 2 2" xfId="36283"/>
    <cellStyle name="40% - Accent3 4 2 2 3 3" xfId="29595"/>
    <cellStyle name="40% - Accent3 4 2 2 4" xfId="15489"/>
    <cellStyle name="40% - Accent3 4 2 2 4 2" xfId="31711"/>
    <cellStyle name="40% - Accent3 4 2 2 5" xfId="18305"/>
    <cellStyle name="40% - Accent3 4 2 2 5 2" xfId="34526"/>
    <cellStyle name="40% - Accent3 4 2 2 6" xfId="27848"/>
    <cellStyle name="40% - Accent3 4 2 2 7" xfId="39181"/>
    <cellStyle name="40% - Accent3 4 2 3" xfId="6547"/>
    <cellStyle name="40% - Accent3 4 2 3 2" xfId="10443"/>
    <cellStyle name="40% - Accent3 4 2 3 2 2" xfId="20064"/>
    <cellStyle name="40% - Accent3 4 2 3 2 2 2" xfId="36285"/>
    <cellStyle name="40% - Accent3 4 2 3 2 3" xfId="29597"/>
    <cellStyle name="40% - Accent3 4 2 3 3" xfId="16282"/>
    <cellStyle name="40% - Accent3 4 2 3 3 2" xfId="32503"/>
    <cellStyle name="40% - Accent3 4 2 3 4" xfId="18307"/>
    <cellStyle name="40% - Accent3 4 2 3 4 2" xfId="34528"/>
    <cellStyle name="40% - Accent3 4 2 3 5" xfId="27850"/>
    <cellStyle name="40% - Accent3 4 2 3 6" xfId="39329"/>
    <cellStyle name="40% - Accent3 4 2 4" xfId="10440"/>
    <cellStyle name="40% - Accent3 4 2 4 2" xfId="20061"/>
    <cellStyle name="40% - Accent3 4 2 4 2 2" xfId="36282"/>
    <cellStyle name="40% - Accent3 4 2 4 3" xfId="29594"/>
    <cellStyle name="40% - Accent3 4 2 4 4" xfId="39478"/>
    <cellStyle name="40% - Accent3 4 2 5" xfId="14697"/>
    <cellStyle name="40% - Accent3 4 2 5 2" xfId="30919"/>
    <cellStyle name="40% - Accent3 4 2 6" xfId="18304"/>
    <cellStyle name="40% - Accent3 4 2 6 2" xfId="34525"/>
    <cellStyle name="40% - Accent3 4 2 7" xfId="27847"/>
    <cellStyle name="40% - Accent3 4 2 8" xfId="39033"/>
    <cellStyle name="40% - Accent3 4 3" xfId="6548"/>
    <cellStyle name="40% - Accent3 4 3 2" xfId="6549"/>
    <cellStyle name="40% - Accent3 4 3 2 2" xfId="6550"/>
    <cellStyle name="40% - Accent3 4 3 2 2 2" xfId="10446"/>
    <cellStyle name="40% - Accent3 4 3 2 2 2 2" xfId="20067"/>
    <cellStyle name="40% - Accent3 4 3 2 2 2 2 2" xfId="36288"/>
    <cellStyle name="40% - Accent3 4 3 2 2 2 3" xfId="29600"/>
    <cellStyle name="40% - Accent3 4 3 2 2 3" xfId="17338"/>
    <cellStyle name="40% - Accent3 4 3 2 2 3 2" xfId="33559"/>
    <cellStyle name="40% - Accent3 4 3 2 2 4" xfId="18310"/>
    <cellStyle name="40% - Accent3 4 3 2 2 4 2" xfId="34531"/>
    <cellStyle name="40% - Accent3 4 3 2 2 5" xfId="27853"/>
    <cellStyle name="40% - Accent3 4 3 2 3" xfId="10445"/>
    <cellStyle name="40% - Accent3 4 3 2 3 2" xfId="20066"/>
    <cellStyle name="40% - Accent3 4 3 2 3 2 2" xfId="36287"/>
    <cellStyle name="40% - Accent3 4 3 2 3 3" xfId="29599"/>
    <cellStyle name="40% - Accent3 4 3 2 4" xfId="15753"/>
    <cellStyle name="40% - Accent3 4 3 2 4 2" xfId="31975"/>
    <cellStyle name="40% - Accent3 4 3 2 5" xfId="18309"/>
    <cellStyle name="40% - Accent3 4 3 2 5 2" xfId="34530"/>
    <cellStyle name="40% - Accent3 4 3 2 6" xfId="27852"/>
    <cellStyle name="40% - Accent3 4 3 3" xfId="6551"/>
    <cellStyle name="40% - Accent3 4 3 3 2" xfId="10447"/>
    <cellStyle name="40% - Accent3 4 3 3 2 2" xfId="20068"/>
    <cellStyle name="40% - Accent3 4 3 3 2 2 2" xfId="36289"/>
    <cellStyle name="40% - Accent3 4 3 3 2 3" xfId="29601"/>
    <cellStyle name="40% - Accent3 4 3 3 3" xfId="16546"/>
    <cellStyle name="40% - Accent3 4 3 3 3 2" xfId="32767"/>
    <cellStyle name="40% - Accent3 4 3 3 4" xfId="18311"/>
    <cellStyle name="40% - Accent3 4 3 3 4 2" xfId="34532"/>
    <cellStyle name="40% - Accent3 4 3 3 5" xfId="27854"/>
    <cellStyle name="40% - Accent3 4 3 4" xfId="10444"/>
    <cellStyle name="40% - Accent3 4 3 4 2" xfId="20065"/>
    <cellStyle name="40% - Accent3 4 3 4 2 2" xfId="36286"/>
    <cellStyle name="40% - Accent3 4 3 4 3" xfId="29598"/>
    <cellStyle name="40% - Accent3 4 3 5" xfId="14961"/>
    <cellStyle name="40% - Accent3 4 3 5 2" xfId="31183"/>
    <cellStyle name="40% - Accent3 4 3 6" xfId="18308"/>
    <cellStyle name="40% - Accent3 4 3 6 2" xfId="34529"/>
    <cellStyle name="40% - Accent3 4 3 7" xfId="27851"/>
    <cellStyle name="40% - Accent3 4 3 8" xfId="39125"/>
    <cellStyle name="40% - Accent3 4 4" xfId="6552"/>
    <cellStyle name="40% - Accent3 4 4 2" xfId="6553"/>
    <cellStyle name="40% - Accent3 4 4 2 2" xfId="10449"/>
    <cellStyle name="40% - Accent3 4 4 2 2 2" xfId="20070"/>
    <cellStyle name="40% - Accent3 4 4 2 2 2 2" xfId="36291"/>
    <cellStyle name="40% - Accent3 4 4 2 2 3" xfId="29603"/>
    <cellStyle name="40% - Accent3 4 4 2 3" xfId="16810"/>
    <cellStyle name="40% - Accent3 4 4 2 3 2" xfId="33031"/>
    <cellStyle name="40% - Accent3 4 4 2 4" xfId="18313"/>
    <cellStyle name="40% - Accent3 4 4 2 4 2" xfId="34534"/>
    <cellStyle name="40% - Accent3 4 4 2 5" xfId="27856"/>
    <cellStyle name="40% - Accent3 4 4 3" xfId="10448"/>
    <cellStyle name="40% - Accent3 4 4 3 2" xfId="20069"/>
    <cellStyle name="40% - Accent3 4 4 3 2 2" xfId="36290"/>
    <cellStyle name="40% - Accent3 4 4 3 3" xfId="29602"/>
    <cellStyle name="40% - Accent3 4 4 4" xfId="15225"/>
    <cellStyle name="40% - Accent3 4 4 4 2" xfId="31447"/>
    <cellStyle name="40% - Accent3 4 4 5" xfId="18312"/>
    <cellStyle name="40% - Accent3 4 4 5 2" xfId="34533"/>
    <cellStyle name="40% - Accent3 4 4 6" xfId="27855"/>
    <cellStyle name="40% - Accent3 4 4 7" xfId="39273"/>
    <cellStyle name="40% - Accent3 4 5" xfId="6554"/>
    <cellStyle name="40% - Accent3 4 5 2" xfId="10450"/>
    <cellStyle name="40% - Accent3 4 5 2 2" xfId="20071"/>
    <cellStyle name="40% - Accent3 4 5 2 2 2" xfId="36292"/>
    <cellStyle name="40% - Accent3 4 5 2 3" xfId="29604"/>
    <cellStyle name="40% - Accent3 4 5 3" xfId="16018"/>
    <cellStyle name="40% - Accent3 4 5 3 2" xfId="32239"/>
    <cellStyle name="40% - Accent3 4 5 4" xfId="18314"/>
    <cellStyle name="40% - Accent3 4 5 4 2" xfId="34535"/>
    <cellStyle name="40% - Accent3 4 5 5" xfId="27857"/>
    <cellStyle name="40% - Accent3 4 5 6" xfId="39422"/>
    <cellStyle name="40% - Accent3 4 6" xfId="10439"/>
    <cellStyle name="40% - Accent3 4 6 2" xfId="20060"/>
    <cellStyle name="40% - Accent3 4 6 2 2" xfId="36281"/>
    <cellStyle name="40% - Accent3 4 6 3" xfId="29593"/>
    <cellStyle name="40% - Accent3 4 7" xfId="14433"/>
    <cellStyle name="40% - Accent3 4 7 2" xfId="30655"/>
    <cellStyle name="40% - Accent3 4 8" xfId="18303"/>
    <cellStyle name="40% - Accent3 4 8 2" xfId="34524"/>
    <cellStyle name="40% - Accent3 4 9" xfId="27846"/>
    <cellStyle name="40% - Accent3 5" xfId="6555"/>
    <cellStyle name="40% - Accent3 5 2" xfId="6556"/>
    <cellStyle name="40% - Accent3 5 2 2" xfId="6557"/>
    <cellStyle name="40% - Accent3 5 2 2 2" xfId="10453"/>
    <cellStyle name="40% - Accent3 5 2 2 2 2" xfId="20074"/>
    <cellStyle name="40% - Accent3 5 2 2 2 2 2" xfId="36295"/>
    <cellStyle name="40% - Accent3 5 2 2 2 3" xfId="29607"/>
    <cellStyle name="40% - Accent3 5 2 2 3" xfId="16942"/>
    <cellStyle name="40% - Accent3 5 2 2 3 2" xfId="33163"/>
    <cellStyle name="40% - Accent3 5 2 2 4" xfId="18317"/>
    <cellStyle name="40% - Accent3 5 2 2 4 2" xfId="34538"/>
    <cellStyle name="40% - Accent3 5 2 2 5" xfId="27860"/>
    <cellStyle name="40% - Accent3 5 2 3" xfId="10452"/>
    <cellStyle name="40% - Accent3 5 2 3 2" xfId="20073"/>
    <cellStyle name="40% - Accent3 5 2 3 2 2" xfId="36294"/>
    <cellStyle name="40% - Accent3 5 2 3 3" xfId="29606"/>
    <cellStyle name="40% - Accent3 5 2 4" xfId="15357"/>
    <cellStyle name="40% - Accent3 5 2 4 2" xfId="31579"/>
    <cellStyle name="40% - Accent3 5 2 5" xfId="18316"/>
    <cellStyle name="40% - Accent3 5 2 5 2" xfId="34537"/>
    <cellStyle name="40% - Accent3 5 2 6" xfId="27859"/>
    <cellStyle name="40% - Accent3 5 2 7" xfId="39140"/>
    <cellStyle name="40% - Accent3 5 3" xfId="6558"/>
    <cellStyle name="40% - Accent3 5 3 2" xfId="10454"/>
    <cellStyle name="40% - Accent3 5 3 2 2" xfId="20075"/>
    <cellStyle name="40% - Accent3 5 3 2 2 2" xfId="36296"/>
    <cellStyle name="40% - Accent3 5 3 2 3" xfId="29608"/>
    <cellStyle name="40% - Accent3 5 3 3" xfId="16150"/>
    <cellStyle name="40% - Accent3 5 3 3 2" xfId="32371"/>
    <cellStyle name="40% - Accent3 5 3 4" xfId="18318"/>
    <cellStyle name="40% - Accent3 5 3 4 2" xfId="34539"/>
    <cellStyle name="40% - Accent3 5 3 5" xfId="27861"/>
    <cellStyle name="40% - Accent3 5 3 6" xfId="39288"/>
    <cellStyle name="40% - Accent3 5 4" xfId="10451"/>
    <cellStyle name="40% - Accent3 5 4 2" xfId="20072"/>
    <cellStyle name="40% - Accent3 5 4 2 2" xfId="36293"/>
    <cellStyle name="40% - Accent3 5 4 3" xfId="29605"/>
    <cellStyle name="40% - Accent3 5 4 4" xfId="39437"/>
    <cellStyle name="40% - Accent3 5 5" xfId="14565"/>
    <cellStyle name="40% - Accent3 5 5 2" xfId="30787"/>
    <cellStyle name="40% - Accent3 5 6" xfId="18315"/>
    <cellStyle name="40% - Accent3 5 6 2" xfId="34536"/>
    <cellStyle name="40% - Accent3 5 7" xfId="27858"/>
    <cellStyle name="40% - Accent3 5 8" xfId="39006"/>
    <cellStyle name="40% - Accent3 6" xfId="6559"/>
    <cellStyle name="40% - Accent3 6 2" xfId="6560"/>
    <cellStyle name="40% - Accent3 6 2 2" xfId="6561"/>
    <cellStyle name="40% - Accent3 6 2 2 2" xfId="10457"/>
    <cellStyle name="40% - Accent3 6 2 2 2 2" xfId="20078"/>
    <cellStyle name="40% - Accent3 6 2 2 2 2 2" xfId="36299"/>
    <cellStyle name="40% - Accent3 6 2 2 2 3" xfId="29611"/>
    <cellStyle name="40% - Accent3 6 2 2 3" xfId="17206"/>
    <cellStyle name="40% - Accent3 6 2 2 3 2" xfId="33427"/>
    <cellStyle name="40% - Accent3 6 2 2 4" xfId="18321"/>
    <cellStyle name="40% - Accent3 6 2 2 4 2" xfId="34542"/>
    <cellStyle name="40% - Accent3 6 2 2 5" xfId="27864"/>
    <cellStyle name="40% - Accent3 6 2 3" xfId="10456"/>
    <cellStyle name="40% - Accent3 6 2 3 2" xfId="20077"/>
    <cellStyle name="40% - Accent3 6 2 3 2 2" xfId="36298"/>
    <cellStyle name="40% - Accent3 6 2 3 3" xfId="29610"/>
    <cellStyle name="40% - Accent3 6 2 4" xfId="15621"/>
    <cellStyle name="40% - Accent3 6 2 4 2" xfId="31843"/>
    <cellStyle name="40% - Accent3 6 2 5" xfId="18320"/>
    <cellStyle name="40% - Accent3 6 2 5 2" xfId="34541"/>
    <cellStyle name="40% - Accent3 6 2 6" xfId="27863"/>
    <cellStyle name="40% - Accent3 6 3" xfId="6562"/>
    <cellStyle name="40% - Accent3 6 3 2" xfId="10458"/>
    <cellStyle name="40% - Accent3 6 3 2 2" xfId="20079"/>
    <cellStyle name="40% - Accent3 6 3 2 2 2" xfId="36300"/>
    <cellStyle name="40% - Accent3 6 3 2 3" xfId="29612"/>
    <cellStyle name="40% - Accent3 6 3 3" xfId="16414"/>
    <cellStyle name="40% - Accent3 6 3 3 2" xfId="32635"/>
    <cellStyle name="40% - Accent3 6 3 4" xfId="18322"/>
    <cellStyle name="40% - Accent3 6 3 4 2" xfId="34543"/>
    <cellStyle name="40% - Accent3 6 3 5" xfId="27865"/>
    <cellStyle name="40% - Accent3 6 4" xfId="10455"/>
    <cellStyle name="40% - Accent3 6 4 2" xfId="20076"/>
    <cellStyle name="40% - Accent3 6 4 2 2" xfId="36297"/>
    <cellStyle name="40% - Accent3 6 4 3" xfId="29609"/>
    <cellStyle name="40% - Accent3 6 5" xfId="14829"/>
    <cellStyle name="40% - Accent3 6 5 2" xfId="31051"/>
    <cellStyle name="40% - Accent3 6 6" xfId="18319"/>
    <cellStyle name="40% - Accent3 6 6 2" xfId="34540"/>
    <cellStyle name="40% - Accent3 6 7" xfId="27862"/>
    <cellStyle name="40% - Accent3 6 8" xfId="39081"/>
    <cellStyle name="40% - Accent3 7" xfId="6563"/>
    <cellStyle name="40% - Accent3 7 2" xfId="6564"/>
    <cellStyle name="40% - Accent3 7 2 2" xfId="10460"/>
    <cellStyle name="40% - Accent3 7 2 2 2" xfId="20081"/>
    <cellStyle name="40% - Accent3 7 2 2 2 2" xfId="36302"/>
    <cellStyle name="40% - Accent3 7 2 2 3" xfId="29614"/>
    <cellStyle name="40% - Accent3 7 2 3" xfId="16678"/>
    <cellStyle name="40% - Accent3 7 2 3 2" xfId="32899"/>
    <cellStyle name="40% - Accent3 7 2 4" xfId="18324"/>
    <cellStyle name="40% - Accent3 7 2 4 2" xfId="34545"/>
    <cellStyle name="40% - Accent3 7 2 5" xfId="27867"/>
    <cellStyle name="40% - Accent3 7 3" xfId="10459"/>
    <cellStyle name="40% - Accent3 7 3 2" xfId="20080"/>
    <cellStyle name="40% - Accent3 7 3 2 2" xfId="36301"/>
    <cellStyle name="40% - Accent3 7 3 3" xfId="29613"/>
    <cellStyle name="40% - Accent3 7 4" xfId="15093"/>
    <cellStyle name="40% - Accent3 7 4 2" xfId="31315"/>
    <cellStyle name="40% - Accent3 7 5" xfId="18323"/>
    <cellStyle name="40% - Accent3 7 5 2" xfId="34544"/>
    <cellStyle name="40% - Accent3 7 6" xfId="27866"/>
    <cellStyle name="40% - Accent3 7 7" xfId="39229"/>
    <cellStyle name="40% - Accent3 8" xfId="6565"/>
    <cellStyle name="40% - Accent3 8 2" xfId="10461"/>
    <cellStyle name="40% - Accent3 8 2 2" xfId="20082"/>
    <cellStyle name="40% - Accent3 8 2 2 2" xfId="36303"/>
    <cellStyle name="40% - Accent3 8 2 3" xfId="29615"/>
    <cellStyle name="40% - Accent3 8 3" xfId="15886"/>
    <cellStyle name="40% - Accent3 8 3 2" xfId="32107"/>
    <cellStyle name="40% - Accent3 8 4" xfId="18325"/>
    <cellStyle name="40% - Accent3 8 4 2" xfId="34546"/>
    <cellStyle name="40% - Accent3 8 5" xfId="27868"/>
    <cellStyle name="40% - Accent3 8 6" xfId="39378"/>
    <cellStyle name="40% - Accent3 9" xfId="10366"/>
    <cellStyle name="40% - Accent3 9 2" xfId="19987"/>
    <cellStyle name="40% - Accent3 9 2 2" xfId="36208"/>
    <cellStyle name="40% - Accent3 9 3" xfId="29520"/>
    <cellStyle name="40% - Accent4" xfId="45" builtinId="43" customBuiltin="1"/>
    <cellStyle name="40% - Accent4 10" xfId="14233"/>
    <cellStyle name="40% - Accent4 10 2" xfId="30520"/>
    <cellStyle name="40% - Accent4 11" xfId="18326"/>
    <cellStyle name="40% - Accent4 11 2" xfId="34547"/>
    <cellStyle name="40% - Accent4 12" xfId="26990"/>
    <cellStyle name="40% - Accent4 13" xfId="38909"/>
    <cellStyle name="40% - Accent4 14" xfId="4843"/>
    <cellStyle name="40% - Accent4 2" xfId="4875"/>
    <cellStyle name="40% - Accent4 2 10" xfId="18327"/>
    <cellStyle name="40% - Accent4 2 10 2" xfId="34548"/>
    <cellStyle name="40% - Accent4 2 11" xfId="27011"/>
    <cellStyle name="40% - Accent4 2 12" xfId="38777"/>
    <cellStyle name="40% - Accent4 2 2" xfId="6566"/>
    <cellStyle name="40% - Accent4 2 2 10" xfId="27869"/>
    <cellStyle name="40% - Accent4 2 2 11" xfId="38967"/>
    <cellStyle name="40% - Accent4 2 2 2" xfId="6567"/>
    <cellStyle name="40% - Accent4 2 2 2 10" xfId="39157"/>
    <cellStyle name="40% - Accent4 2 2 2 2" xfId="6568"/>
    <cellStyle name="40% - Accent4 2 2 2 2 2" xfId="6569"/>
    <cellStyle name="40% - Accent4 2 2 2 2 2 2" xfId="6570"/>
    <cellStyle name="40% - Accent4 2 2 2 2 2 2 2" xfId="10468"/>
    <cellStyle name="40% - Accent4 2 2 2 2 2 2 2 2" xfId="20089"/>
    <cellStyle name="40% - Accent4 2 2 2 2 2 2 2 2 2" xfId="36310"/>
    <cellStyle name="40% - Accent4 2 2 2 2 2 2 2 3" xfId="29622"/>
    <cellStyle name="40% - Accent4 2 2 2 2 2 2 3" xfId="17174"/>
    <cellStyle name="40% - Accent4 2 2 2 2 2 2 3 2" xfId="33395"/>
    <cellStyle name="40% - Accent4 2 2 2 2 2 2 4" xfId="18332"/>
    <cellStyle name="40% - Accent4 2 2 2 2 2 2 4 2" xfId="34553"/>
    <cellStyle name="40% - Accent4 2 2 2 2 2 2 5" xfId="27873"/>
    <cellStyle name="40% - Accent4 2 2 2 2 2 3" xfId="10467"/>
    <cellStyle name="40% - Accent4 2 2 2 2 2 3 2" xfId="20088"/>
    <cellStyle name="40% - Accent4 2 2 2 2 2 3 2 2" xfId="36309"/>
    <cellStyle name="40% - Accent4 2 2 2 2 2 3 3" xfId="29621"/>
    <cellStyle name="40% - Accent4 2 2 2 2 2 4" xfId="15589"/>
    <cellStyle name="40% - Accent4 2 2 2 2 2 4 2" xfId="31811"/>
    <cellStyle name="40% - Accent4 2 2 2 2 2 5" xfId="18331"/>
    <cellStyle name="40% - Accent4 2 2 2 2 2 5 2" xfId="34552"/>
    <cellStyle name="40% - Accent4 2 2 2 2 2 6" xfId="27872"/>
    <cellStyle name="40% - Accent4 2 2 2 2 3" xfId="6571"/>
    <cellStyle name="40% - Accent4 2 2 2 2 3 2" xfId="10469"/>
    <cellStyle name="40% - Accent4 2 2 2 2 3 2 2" xfId="20090"/>
    <cellStyle name="40% - Accent4 2 2 2 2 3 2 2 2" xfId="36311"/>
    <cellStyle name="40% - Accent4 2 2 2 2 3 2 3" xfId="29623"/>
    <cellStyle name="40% - Accent4 2 2 2 2 3 3" xfId="16382"/>
    <cellStyle name="40% - Accent4 2 2 2 2 3 3 2" xfId="32603"/>
    <cellStyle name="40% - Accent4 2 2 2 2 3 4" xfId="18333"/>
    <cellStyle name="40% - Accent4 2 2 2 2 3 4 2" xfId="34554"/>
    <cellStyle name="40% - Accent4 2 2 2 2 3 5" xfId="27874"/>
    <cellStyle name="40% - Accent4 2 2 2 2 4" xfId="10466"/>
    <cellStyle name="40% - Accent4 2 2 2 2 4 2" xfId="20087"/>
    <cellStyle name="40% - Accent4 2 2 2 2 4 2 2" xfId="36308"/>
    <cellStyle name="40% - Accent4 2 2 2 2 4 3" xfId="29620"/>
    <cellStyle name="40% - Accent4 2 2 2 2 5" xfId="14797"/>
    <cellStyle name="40% - Accent4 2 2 2 2 5 2" xfId="31019"/>
    <cellStyle name="40% - Accent4 2 2 2 2 6" xfId="18330"/>
    <cellStyle name="40% - Accent4 2 2 2 2 6 2" xfId="34551"/>
    <cellStyle name="40% - Accent4 2 2 2 2 7" xfId="27871"/>
    <cellStyle name="40% - Accent4 2 2 2 3" xfId="6572"/>
    <cellStyle name="40% - Accent4 2 2 2 3 2" xfId="6573"/>
    <cellStyle name="40% - Accent4 2 2 2 3 2 2" xfId="6574"/>
    <cellStyle name="40% - Accent4 2 2 2 3 2 2 2" xfId="10472"/>
    <cellStyle name="40% - Accent4 2 2 2 3 2 2 2 2" xfId="20093"/>
    <cellStyle name="40% - Accent4 2 2 2 3 2 2 2 2 2" xfId="36314"/>
    <cellStyle name="40% - Accent4 2 2 2 3 2 2 2 3" xfId="29626"/>
    <cellStyle name="40% - Accent4 2 2 2 3 2 2 3" xfId="17438"/>
    <cellStyle name="40% - Accent4 2 2 2 3 2 2 3 2" xfId="33659"/>
    <cellStyle name="40% - Accent4 2 2 2 3 2 2 4" xfId="18336"/>
    <cellStyle name="40% - Accent4 2 2 2 3 2 2 4 2" xfId="34557"/>
    <cellStyle name="40% - Accent4 2 2 2 3 2 2 5" xfId="27877"/>
    <cellStyle name="40% - Accent4 2 2 2 3 2 3" xfId="10471"/>
    <cellStyle name="40% - Accent4 2 2 2 3 2 3 2" xfId="20092"/>
    <cellStyle name="40% - Accent4 2 2 2 3 2 3 2 2" xfId="36313"/>
    <cellStyle name="40% - Accent4 2 2 2 3 2 3 3" xfId="29625"/>
    <cellStyle name="40% - Accent4 2 2 2 3 2 4" xfId="15853"/>
    <cellStyle name="40% - Accent4 2 2 2 3 2 4 2" xfId="32075"/>
    <cellStyle name="40% - Accent4 2 2 2 3 2 5" xfId="18335"/>
    <cellStyle name="40% - Accent4 2 2 2 3 2 5 2" xfId="34556"/>
    <cellStyle name="40% - Accent4 2 2 2 3 2 6" xfId="27876"/>
    <cellStyle name="40% - Accent4 2 2 2 3 3" xfId="6575"/>
    <cellStyle name="40% - Accent4 2 2 2 3 3 2" xfId="10473"/>
    <cellStyle name="40% - Accent4 2 2 2 3 3 2 2" xfId="20094"/>
    <cellStyle name="40% - Accent4 2 2 2 3 3 2 2 2" xfId="36315"/>
    <cellStyle name="40% - Accent4 2 2 2 3 3 2 3" xfId="29627"/>
    <cellStyle name="40% - Accent4 2 2 2 3 3 3" xfId="16646"/>
    <cellStyle name="40% - Accent4 2 2 2 3 3 3 2" xfId="32867"/>
    <cellStyle name="40% - Accent4 2 2 2 3 3 4" xfId="18337"/>
    <cellStyle name="40% - Accent4 2 2 2 3 3 4 2" xfId="34558"/>
    <cellStyle name="40% - Accent4 2 2 2 3 3 5" xfId="27878"/>
    <cellStyle name="40% - Accent4 2 2 2 3 4" xfId="10470"/>
    <cellStyle name="40% - Accent4 2 2 2 3 4 2" xfId="20091"/>
    <cellStyle name="40% - Accent4 2 2 2 3 4 2 2" xfId="36312"/>
    <cellStyle name="40% - Accent4 2 2 2 3 4 3" xfId="29624"/>
    <cellStyle name="40% - Accent4 2 2 2 3 5" xfId="15061"/>
    <cellStyle name="40% - Accent4 2 2 2 3 5 2" xfId="31283"/>
    <cellStyle name="40% - Accent4 2 2 2 3 6" xfId="18334"/>
    <cellStyle name="40% - Accent4 2 2 2 3 6 2" xfId="34555"/>
    <cellStyle name="40% - Accent4 2 2 2 3 7" xfId="27875"/>
    <cellStyle name="40% - Accent4 2 2 2 4" xfId="6576"/>
    <cellStyle name="40% - Accent4 2 2 2 4 2" xfId="6577"/>
    <cellStyle name="40% - Accent4 2 2 2 4 2 2" xfId="10475"/>
    <cellStyle name="40% - Accent4 2 2 2 4 2 2 2" xfId="20096"/>
    <cellStyle name="40% - Accent4 2 2 2 4 2 2 2 2" xfId="36317"/>
    <cellStyle name="40% - Accent4 2 2 2 4 2 2 3" xfId="29629"/>
    <cellStyle name="40% - Accent4 2 2 2 4 2 3" xfId="16910"/>
    <cellStyle name="40% - Accent4 2 2 2 4 2 3 2" xfId="33131"/>
    <cellStyle name="40% - Accent4 2 2 2 4 2 4" xfId="18339"/>
    <cellStyle name="40% - Accent4 2 2 2 4 2 4 2" xfId="34560"/>
    <cellStyle name="40% - Accent4 2 2 2 4 2 5" xfId="27880"/>
    <cellStyle name="40% - Accent4 2 2 2 4 3" xfId="10474"/>
    <cellStyle name="40% - Accent4 2 2 2 4 3 2" xfId="20095"/>
    <cellStyle name="40% - Accent4 2 2 2 4 3 2 2" xfId="36316"/>
    <cellStyle name="40% - Accent4 2 2 2 4 3 3" xfId="29628"/>
    <cellStyle name="40% - Accent4 2 2 2 4 4" xfId="15325"/>
    <cellStyle name="40% - Accent4 2 2 2 4 4 2" xfId="31547"/>
    <cellStyle name="40% - Accent4 2 2 2 4 5" xfId="18338"/>
    <cellStyle name="40% - Accent4 2 2 2 4 5 2" xfId="34559"/>
    <cellStyle name="40% - Accent4 2 2 2 4 6" xfId="27879"/>
    <cellStyle name="40% - Accent4 2 2 2 5" xfId="6578"/>
    <cellStyle name="40% - Accent4 2 2 2 5 2" xfId="10476"/>
    <cellStyle name="40% - Accent4 2 2 2 5 2 2" xfId="20097"/>
    <cellStyle name="40% - Accent4 2 2 2 5 2 2 2" xfId="36318"/>
    <cellStyle name="40% - Accent4 2 2 2 5 2 3" xfId="29630"/>
    <cellStyle name="40% - Accent4 2 2 2 5 3" xfId="16118"/>
    <cellStyle name="40% - Accent4 2 2 2 5 3 2" xfId="32339"/>
    <cellStyle name="40% - Accent4 2 2 2 5 4" xfId="18340"/>
    <cellStyle name="40% - Accent4 2 2 2 5 4 2" xfId="34561"/>
    <cellStyle name="40% - Accent4 2 2 2 5 5" xfId="27881"/>
    <cellStyle name="40% - Accent4 2 2 2 6" xfId="10465"/>
    <cellStyle name="40% - Accent4 2 2 2 6 2" xfId="20086"/>
    <cellStyle name="40% - Accent4 2 2 2 6 2 2" xfId="36307"/>
    <cellStyle name="40% - Accent4 2 2 2 6 3" xfId="29619"/>
    <cellStyle name="40% - Accent4 2 2 2 7" xfId="14533"/>
    <cellStyle name="40% - Accent4 2 2 2 7 2" xfId="30755"/>
    <cellStyle name="40% - Accent4 2 2 2 8" xfId="18329"/>
    <cellStyle name="40% - Accent4 2 2 2 8 2" xfId="34550"/>
    <cellStyle name="40% - Accent4 2 2 2 9" xfId="27870"/>
    <cellStyle name="40% - Accent4 2 2 3" xfId="6579"/>
    <cellStyle name="40% - Accent4 2 2 3 2" xfId="6580"/>
    <cellStyle name="40% - Accent4 2 2 3 2 2" xfId="6581"/>
    <cellStyle name="40% - Accent4 2 2 3 2 2 2" xfId="10479"/>
    <cellStyle name="40% - Accent4 2 2 3 2 2 2 2" xfId="20100"/>
    <cellStyle name="40% - Accent4 2 2 3 2 2 2 2 2" xfId="36321"/>
    <cellStyle name="40% - Accent4 2 2 3 2 2 2 3" xfId="29633"/>
    <cellStyle name="40% - Accent4 2 2 3 2 2 3" xfId="17042"/>
    <cellStyle name="40% - Accent4 2 2 3 2 2 3 2" xfId="33263"/>
    <cellStyle name="40% - Accent4 2 2 3 2 2 4" xfId="18343"/>
    <cellStyle name="40% - Accent4 2 2 3 2 2 4 2" xfId="34564"/>
    <cellStyle name="40% - Accent4 2 2 3 2 2 5" xfId="27884"/>
    <cellStyle name="40% - Accent4 2 2 3 2 3" xfId="10478"/>
    <cellStyle name="40% - Accent4 2 2 3 2 3 2" xfId="20099"/>
    <cellStyle name="40% - Accent4 2 2 3 2 3 2 2" xfId="36320"/>
    <cellStyle name="40% - Accent4 2 2 3 2 3 3" xfId="29632"/>
    <cellStyle name="40% - Accent4 2 2 3 2 4" xfId="15457"/>
    <cellStyle name="40% - Accent4 2 2 3 2 4 2" xfId="31679"/>
    <cellStyle name="40% - Accent4 2 2 3 2 5" xfId="18342"/>
    <cellStyle name="40% - Accent4 2 2 3 2 5 2" xfId="34563"/>
    <cellStyle name="40% - Accent4 2 2 3 2 6" xfId="27883"/>
    <cellStyle name="40% - Accent4 2 2 3 3" xfId="6582"/>
    <cellStyle name="40% - Accent4 2 2 3 3 2" xfId="10480"/>
    <cellStyle name="40% - Accent4 2 2 3 3 2 2" xfId="20101"/>
    <cellStyle name="40% - Accent4 2 2 3 3 2 2 2" xfId="36322"/>
    <cellStyle name="40% - Accent4 2 2 3 3 2 3" xfId="29634"/>
    <cellStyle name="40% - Accent4 2 2 3 3 3" xfId="16250"/>
    <cellStyle name="40% - Accent4 2 2 3 3 3 2" xfId="32471"/>
    <cellStyle name="40% - Accent4 2 2 3 3 4" xfId="18344"/>
    <cellStyle name="40% - Accent4 2 2 3 3 4 2" xfId="34565"/>
    <cellStyle name="40% - Accent4 2 2 3 3 5" xfId="27885"/>
    <cellStyle name="40% - Accent4 2 2 3 4" xfId="10477"/>
    <cellStyle name="40% - Accent4 2 2 3 4 2" xfId="20098"/>
    <cellStyle name="40% - Accent4 2 2 3 4 2 2" xfId="36319"/>
    <cellStyle name="40% - Accent4 2 2 3 4 3" xfId="29631"/>
    <cellStyle name="40% - Accent4 2 2 3 5" xfId="14665"/>
    <cellStyle name="40% - Accent4 2 2 3 5 2" xfId="30887"/>
    <cellStyle name="40% - Accent4 2 2 3 6" xfId="18341"/>
    <cellStyle name="40% - Accent4 2 2 3 6 2" xfId="34562"/>
    <cellStyle name="40% - Accent4 2 2 3 7" xfId="27882"/>
    <cellStyle name="40% - Accent4 2 2 3 8" xfId="39305"/>
    <cellStyle name="40% - Accent4 2 2 4" xfId="6583"/>
    <cellStyle name="40% - Accent4 2 2 4 2" xfId="6584"/>
    <cellStyle name="40% - Accent4 2 2 4 2 2" xfId="6585"/>
    <cellStyle name="40% - Accent4 2 2 4 2 2 2" xfId="10483"/>
    <cellStyle name="40% - Accent4 2 2 4 2 2 2 2" xfId="20104"/>
    <cellStyle name="40% - Accent4 2 2 4 2 2 2 2 2" xfId="36325"/>
    <cellStyle name="40% - Accent4 2 2 4 2 2 2 3" xfId="29637"/>
    <cellStyle name="40% - Accent4 2 2 4 2 2 3" xfId="17306"/>
    <cellStyle name="40% - Accent4 2 2 4 2 2 3 2" xfId="33527"/>
    <cellStyle name="40% - Accent4 2 2 4 2 2 4" xfId="18347"/>
    <cellStyle name="40% - Accent4 2 2 4 2 2 4 2" xfId="34568"/>
    <cellStyle name="40% - Accent4 2 2 4 2 2 5" xfId="27888"/>
    <cellStyle name="40% - Accent4 2 2 4 2 3" xfId="10482"/>
    <cellStyle name="40% - Accent4 2 2 4 2 3 2" xfId="20103"/>
    <cellStyle name="40% - Accent4 2 2 4 2 3 2 2" xfId="36324"/>
    <cellStyle name="40% - Accent4 2 2 4 2 3 3" xfId="29636"/>
    <cellStyle name="40% - Accent4 2 2 4 2 4" xfId="15721"/>
    <cellStyle name="40% - Accent4 2 2 4 2 4 2" xfId="31943"/>
    <cellStyle name="40% - Accent4 2 2 4 2 5" xfId="18346"/>
    <cellStyle name="40% - Accent4 2 2 4 2 5 2" xfId="34567"/>
    <cellStyle name="40% - Accent4 2 2 4 2 6" xfId="27887"/>
    <cellStyle name="40% - Accent4 2 2 4 3" xfId="6586"/>
    <cellStyle name="40% - Accent4 2 2 4 3 2" xfId="10484"/>
    <cellStyle name="40% - Accent4 2 2 4 3 2 2" xfId="20105"/>
    <cellStyle name="40% - Accent4 2 2 4 3 2 2 2" xfId="36326"/>
    <cellStyle name="40% - Accent4 2 2 4 3 2 3" xfId="29638"/>
    <cellStyle name="40% - Accent4 2 2 4 3 3" xfId="16514"/>
    <cellStyle name="40% - Accent4 2 2 4 3 3 2" xfId="32735"/>
    <cellStyle name="40% - Accent4 2 2 4 3 4" xfId="18348"/>
    <cellStyle name="40% - Accent4 2 2 4 3 4 2" xfId="34569"/>
    <cellStyle name="40% - Accent4 2 2 4 3 5" xfId="27889"/>
    <cellStyle name="40% - Accent4 2 2 4 4" xfId="10481"/>
    <cellStyle name="40% - Accent4 2 2 4 4 2" xfId="20102"/>
    <cellStyle name="40% - Accent4 2 2 4 4 2 2" xfId="36323"/>
    <cellStyle name="40% - Accent4 2 2 4 4 3" xfId="29635"/>
    <cellStyle name="40% - Accent4 2 2 4 5" xfId="14929"/>
    <cellStyle name="40% - Accent4 2 2 4 5 2" xfId="31151"/>
    <cellStyle name="40% - Accent4 2 2 4 6" xfId="18345"/>
    <cellStyle name="40% - Accent4 2 2 4 6 2" xfId="34566"/>
    <cellStyle name="40% - Accent4 2 2 4 7" xfId="27886"/>
    <cellStyle name="40% - Accent4 2 2 4 8" xfId="39454"/>
    <cellStyle name="40% - Accent4 2 2 5" xfId="6587"/>
    <cellStyle name="40% - Accent4 2 2 5 2" xfId="6588"/>
    <cellStyle name="40% - Accent4 2 2 5 2 2" xfId="10486"/>
    <cellStyle name="40% - Accent4 2 2 5 2 2 2" xfId="20107"/>
    <cellStyle name="40% - Accent4 2 2 5 2 2 2 2" xfId="36328"/>
    <cellStyle name="40% - Accent4 2 2 5 2 2 3" xfId="29640"/>
    <cellStyle name="40% - Accent4 2 2 5 2 3" xfId="16778"/>
    <cellStyle name="40% - Accent4 2 2 5 2 3 2" xfId="32999"/>
    <cellStyle name="40% - Accent4 2 2 5 2 4" xfId="18350"/>
    <cellStyle name="40% - Accent4 2 2 5 2 4 2" xfId="34571"/>
    <cellStyle name="40% - Accent4 2 2 5 2 5" xfId="27891"/>
    <cellStyle name="40% - Accent4 2 2 5 3" xfId="10485"/>
    <cellStyle name="40% - Accent4 2 2 5 3 2" xfId="20106"/>
    <cellStyle name="40% - Accent4 2 2 5 3 2 2" xfId="36327"/>
    <cellStyle name="40% - Accent4 2 2 5 3 3" xfId="29639"/>
    <cellStyle name="40% - Accent4 2 2 5 4" xfId="15193"/>
    <cellStyle name="40% - Accent4 2 2 5 4 2" xfId="31415"/>
    <cellStyle name="40% - Accent4 2 2 5 5" xfId="18349"/>
    <cellStyle name="40% - Accent4 2 2 5 5 2" xfId="34570"/>
    <cellStyle name="40% - Accent4 2 2 5 6" xfId="27890"/>
    <cellStyle name="40% - Accent4 2 2 6" xfId="6589"/>
    <cellStyle name="40% - Accent4 2 2 6 2" xfId="10487"/>
    <cellStyle name="40% - Accent4 2 2 6 2 2" xfId="20108"/>
    <cellStyle name="40% - Accent4 2 2 6 2 2 2" xfId="36329"/>
    <cellStyle name="40% - Accent4 2 2 6 2 3" xfId="29641"/>
    <cellStyle name="40% - Accent4 2 2 6 3" xfId="15986"/>
    <cellStyle name="40% - Accent4 2 2 6 3 2" xfId="32207"/>
    <cellStyle name="40% - Accent4 2 2 6 4" xfId="18351"/>
    <cellStyle name="40% - Accent4 2 2 6 4 2" xfId="34572"/>
    <cellStyle name="40% - Accent4 2 2 6 5" xfId="27892"/>
    <cellStyle name="40% - Accent4 2 2 7" xfId="10464"/>
    <cellStyle name="40% - Accent4 2 2 7 2" xfId="20085"/>
    <cellStyle name="40% - Accent4 2 2 7 2 2" xfId="36306"/>
    <cellStyle name="40% - Accent4 2 2 7 3" xfId="29618"/>
    <cellStyle name="40% - Accent4 2 2 8" xfId="14401"/>
    <cellStyle name="40% - Accent4 2 2 8 2" xfId="30623"/>
    <cellStyle name="40% - Accent4 2 2 9" xfId="18328"/>
    <cellStyle name="40% - Accent4 2 2 9 2" xfId="34549"/>
    <cellStyle name="40% - Accent4 2 3" xfId="6590"/>
    <cellStyle name="40% - Accent4 2 3 10" xfId="39101"/>
    <cellStyle name="40% - Accent4 2 3 2" xfId="6591"/>
    <cellStyle name="40% - Accent4 2 3 2 2" xfId="6592"/>
    <cellStyle name="40% - Accent4 2 3 2 2 2" xfId="6593"/>
    <cellStyle name="40% - Accent4 2 3 2 2 2 2" xfId="10491"/>
    <cellStyle name="40% - Accent4 2 3 2 2 2 2 2" xfId="20112"/>
    <cellStyle name="40% - Accent4 2 3 2 2 2 2 2 2" xfId="36333"/>
    <cellStyle name="40% - Accent4 2 3 2 2 2 2 3" xfId="29645"/>
    <cellStyle name="40% - Accent4 2 3 2 2 2 3" xfId="17108"/>
    <cellStyle name="40% - Accent4 2 3 2 2 2 3 2" xfId="33329"/>
    <cellStyle name="40% - Accent4 2 3 2 2 2 4" xfId="18355"/>
    <cellStyle name="40% - Accent4 2 3 2 2 2 4 2" xfId="34576"/>
    <cellStyle name="40% - Accent4 2 3 2 2 2 5" xfId="27896"/>
    <cellStyle name="40% - Accent4 2 3 2 2 3" xfId="10490"/>
    <cellStyle name="40% - Accent4 2 3 2 2 3 2" xfId="20111"/>
    <cellStyle name="40% - Accent4 2 3 2 2 3 2 2" xfId="36332"/>
    <cellStyle name="40% - Accent4 2 3 2 2 3 3" xfId="29644"/>
    <cellStyle name="40% - Accent4 2 3 2 2 4" xfId="15523"/>
    <cellStyle name="40% - Accent4 2 3 2 2 4 2" xfId="31745"/>
    <cellStyle name="40% - Accent4 2 3 2 2 5" xfId="18354"/>
    <cellStyle name="40% - Accent4 2 3 2 2 5 2" xfId="34575"/>
    <cellStyle name="40% - Accent4 2 3 2 2 6" xfId="27895"/>
    <cellStyle name="40% - Accent4 2 3 2 3" xfId="6594"/>
    <cellStyle name="40% - Accent4 2 3 2 3 2" xfId="10492"/>
    <cellStyle name="40% - Accent4 2 3 2 3 2 2" xfId="20113"/>
    <cellStyle name="40% - Accent4 2 3 2 3 2 2 2" xfId="36334"/>
    <cellStyle name="40% - Accent4 2 3 2 3 2 3" xfId="29646"/>
    <cellStyle name="40% - Accent4 2 3 2 3 3" xfId="16316"/>
    <cellStyle name="40% - Accent4 2 3 2 3 3 2" xfId="32537"/>
    <cellStyle name="40% - Accent4 2 3 2 3 4" xfId="18356"/>
    <cellStyle name="40% - Accent4 2 3 2 3 4 2" xfId="34577"/>
    <cellStyle name="40% - Accent4 2 3 2 3 5" xfId="27897"/>
    <cellStyle name="40% - Accent4 2 3 2 4" xfId="10489"/>
    <cellStyle name="40% - Accent4 2 3 2 4 2" xfId="20110"/>
    <cellStyle name="40% - Accent4 2 3 2 4 2 2" xfId="36331"/>
    <cellStyle name="40% - Accent4 2 3 2 4 3" xfId="29643"/>
    <cellStyle name="40% - Accent4 2 3 2 5" xfId="14731"/>
    <cellStyle name="40% - Accent4 2 3 2 5 2" xfId="30953"/>
    <cellStyle name="40% - Accent4 2 3 2 6" xfId="18353"/>
    <cellStyle name="40% - Accent4 2 3 2 6 2" xfId="34574"/>
    <cellStyle name="40% - Accent4 2 3 2 7" xfId="27894"/>
    <cellStyle name="40% - Accent4 2 3 3" xfId="6595"/>
    <cellStyle name="40% - Accent4 2 3 3 2" xfId="6596"/>
    <cellStyle name="40% - Accent4 2 3 3 2 2" xfId="6597"/>
    <cellStyle name="40% - Accent4 2 3 3 2 2 2" xfId="10495"/>
    <cellStyle name="40% - Accent4 2 3 3 2 2 2 2" xfId="20116"/>
    <cellStyle name="40% - Accent4 2 3 3 2 2 2 2 2" xfId="36337"/>
    <cellStyle name="40% - Accent4 2 3 3 2 2 2 3" xfId="29649"/>
    <cellStyle name="40% - Accent4 2 3 3 2 2 3" xfId="17372"/>
    <cellStyle name="40% - Accent4 2 3 3 2 2 3 2" xfId="33593"/>
    <cellStyle name="40% - Accent4 2 3 3 2 2 4" xfId="18359"/>
    <cellStyle name="40% - Accent4 2 3 3 2 2 4 2" xfId="34580"/>
    <cellStyle name="40% - Accent4 2 3 3 2 2 5" xfId="27900"/>
    <cellStyle name="40% - Accent4 2 3 3 2 3" xfId="10494"/>
    <cellStyle name="40% - Accent4 2 3 3 2 3 2" xfId="20115"/>
    <cellStyle name="40% - Accent4 2 3 3 2 3 2 2" xfId="36336"/>
    <cellStyle name="40% - Accent4 2 3 3 2 3 3" xfId="29648"/>
    <cellStyle name="40% - Accent4 2 3 3 2 4" xfId="15787"/>
    <cellStyle name="40% - Accent4 2 3 3 2 4 2" xfId="32009"/>
    <cellStyle name="40% - Accent4 2 3 3 2 5" xfId="18358"/>
    <cellStyle name="40% - Accent4 2 3 3 2 5 2" xfId="34579"/>
    <cellStyle name="40% - Accent4 2 3 3 2 6" xfId="27899"/>
    <cellStyle name="40% - Accent4 2 3 3 3" xfId="6598"/>
    <cellStyle name="40% - Accent4 2 3 3 3 2" xfId="10496"/>
    <cellStyle name="40% - Accent4 2 3 3 3 2 2" xfId="20117"/>
    <cellStyle name="40% - Accent4 2 3 3 3 2 2 2" xfId="36338"/>
    <cellStyle name="40% - Accent4 2 3 3 3 2 3" xfId="29650"/>
    <cellStyle name="40% - Accent4 2 3 3 3 3" xfId="16580"/>
    <cellStyle name="40% - Accent4 2 3 3 3 3 2" xfId="32801"/>
    <cellStyle name="40% - Accent4 2 3 3 3 4" xfId="18360"/>
    <cellStyle name="40% - Accent4 2 3 3 3 4 2" xfId="34581"/>
    <cellStyle name="40% - Accent4 2 3 3 3 5" xfId="27901"/>
    <cellStyle name="40% - Accent4 2 3 3 4" xfId="10493"/>
    <cellStyle name="40% - Accent4 2 3 3 4 2" xfId="20114"/>
    <cellStyle name="40% - Accent4 2 3 3 4 2 2" xfId="36335"/>
    <cellStyle name="40% - Accent4 2 3 3 4 3" xfId="29647"/>
    <cellStyle name="40% - Accent4 2 3 3 5" xfId="14995"/>
    <cellStyle name="40% - Accent4 2 3 3 5 2" xfId="31217"/>
    <cellStyle name="40% - Accent4 2 3 3 6" xfId="18357"/>
    <cellStyle name="40% - Accent4 2 3 3 6 2" xfId="34578"/>
    <cellStyle name="40% - Accent4 2 3 3 7" xfId="27898"/>
    <cellStyle name="40% - Accent4 2 3 4" xfId="6599"/>
    <cellStyle name="40% - Accent4 2 3 4 2" xfId="6600"/>
    <cellStyle name="40% - Accent4 2 3 4 2 2" xfId="10498"/>
    <cellStyle name="40% - Accent4 2 3 4 2 2 2" xfId="20119"/>
    <cellStyle name="40% - Accent4 2 3 4 2 2 2 2" xfId="36340"/>
    <cellStyle name="40% - Accent4 2 3 4 2 2 3" xfId="29652"/>
    <cellStyle name="40% - Accent4 2 3 4 2 3" xfId="16844"/>
    <cellStyle name="40% - Accent4 2 3 4 2 3 2" xfId="33065"/>
    <cellStyle name="40% - Accent4 2 3 4 2 4" xfId="18362"/>
    <cellStyle name="40% - Accent4 2 3 4 2 4 2" xfId="34583"/>
    <cellStyle name="40% - Accent4 2 3 4 2 5" xfId="27903"/>
    <cellStyle name="40% - Accent4 2 3 4 3" xfId="10497"/>
    <cellStyle name="40% - Accent4 2 3 4 3 2" xfId="20118"/>
    <cellStyle name="40% - Accent4 2 3 4 3 2 2" xfId="36339"/>
    <cellStyle name="40% - Accent4 2 3 4 3 3" xfId="29651"/>
    <cellStyle name="40% - Accent4 2 3 4 4" xfId="15259"/>
    <cellStyle name="40% - Accent4 2 3 4 4 2" xfId="31481"/>
    <cellStyle name="40% - Accent4 2 3 4 5" xfId="18361"/>
    <cellStyle name="40% - Accent4 2 3 4 5 2" xfId="34582"/>
    <cellStyle name="40% - Accent4 2 3 4 6" xfId="27902"/>
    <cellStyle name="40% - Accent4 2 3 5" xfId="6601"/>
    <cellStyle name="40% - Accent4 2 3 5 2" xfId="10499"/>
    <cellStyle name="40% - Accent4 2 3 5 2 2" xfId="20120"/>
    <cellStyle name="40% - Accent4 2 3 5 2 2 2" xfId="36341"/>
    <cellStyle name="40% - Accent4 2 3 5 2 3" xfId="29653"/>
    <cellStyle name="40% - Accent4 2 3 5 3" xfId="16052"/>
    <cellStyle name="40% - Accent4 2 3 5 3 2" xfId="32273"/>
    <cellStyle name="40% - Accent4 2 3 5 4" xfId="18363"/>
    <cellStyle name="40% - Accent4 2 3 5 4 2" xfId="34584"/>
    <cellStyle name="40% - Accent4 2 3 5 5" xfId="27904"/>
    <cellStyle name="40% - Accent4 2 3 6" xfId="10488"/>
    <cellStyle name="40% - Accent4 2 3 6 2" xfId="20109"/>
    <cellStyle name="40% - Accent4 2 3 6 2 2" xfId="36330"/>
    <cellStyle name="40% - Accent4 2 3 6 3" xfId="29642"/>
    <cellStyle name="40% - Accent4 2 3 7" xfId="14467"/>
    <cellStyle name="40% - Accent4 2 3 7 2" xfId="30689"/>
    <cellStyle name="40% - Accent4 2 3 8" xfId="18352"/>
    <cellStyle name="40% - Accent4 2 3 8 2" xfId="34573"/>
    <cellStyle name="40% - Accent4 2 3 9" xfId="27893"/>
    <cellStyle name="40% - Accent4 2 4" xfId="6602"/>
    <cellStyle name="40% - Accent4 2 4 2" xfId="6603"/>
    <cellStyle name="40% - Accent4 2 4 2 2" xfId="6604"/>
    <cellStyle name="40% - Accent4 2 4 2 2 2" xfId="10502"/>
    <cellStyle name="40% - Accent4 2 4 2 2 2 2" xfId="20123"/>
    <cellStyle name="40% - Accent4 2 4 2 2 2 2 2" xfId="36344"/>
    <cellStyle name="40% - Accent4 2 4 2 2 2 3" xfId="29656"/>
    <cellStyle name="40% - Accent4 2 4 2 2 3" xfId="16976"/>
    <cellStyle name="40% - Accent4 2 4 2 2 3 2" xfId="33197"/>
    <cellStyle name="40% - Accent4 2 4 2 2 4" xfId="18366"/>
    <cellStyle name="40% - Accent4 2 4 2 2 4 2" xfId="34587"/>
    <cellStyle name="40% - Accent4 2 4 2 2 5" xfId="27907"/>
    <cellStyle name="40% - Accent4 2 4 2 3" xfId="10501"/>
    <cellStyle name="40% - Accent4 2 4 2 3 2" xfId="20122"/>
    <cellStyle name="40% - Accent4 2 4 2 3 2 2" xfId="36343"/>
    <cellStyle name="40% - Accent4 2 4 2 3 3" xfId="29655"/>
    <cellStyle name="40% - Accent4 2 4 2 4" xfId="15391"/>
    <cellStyle name="40% - Accent4 2 4 2 4 2" xfId="31613"/>
    <cellStyle name="40% - Accent4 2 4 2 5" xfId="18365"/>
    <cellStyle name="40% - Accent4 2 4 2 5 2" xfId="34586"/>
    <cellStyle name="40% - Accent4 2 4 2 6" xfId="27906"/>
    <cellStyle name="40% - Accent4 2 4 3" xfId="6605"/>
    <cellStyle name="40% - Accent4 2 4 3 2" xfId="10503"/>
    <cellStyle name="40% - Accent4 2 4 3 2 2" xfId="20124"/>
    <cellStyle name="40% - Accent4 2 4 3 2 2 2" xfId="36345"/>
    <cellStyle name="40% - Accent4 2 4 3 2 3" xfId="29657"/>
    <cellStyle name="40% - Accent4 2 4 3 3" xfId="16184"/>
    <cellStyle name="40% - Accent4 2 4 3 3 2" xfId="32405"/>
    <cellStyle name="40% - Accent4 2 4 3 4" xfId="18367"/>
    <cellStyle name="40% - Accent4 2 4 3 4 2" xfId="34588"/>
    <cellStyle name="40% - Accent4 2 4 3 5" xfId="27908"/>
    <cellStyle name="40% - Accent4 2 4 4" xfId="10500"/>
    <cellStyle name="40% - Accent4 2 4 4 2" xfId="20121"/>
    <cellStyle name="40% - Accent4 2 4 4 2 2" xfId="36342"/>
    <cellStyle name="40% - Accent4 2 4 4 3" xfId="29654"/>
    <cellStyle name="40% - Accent4 2 4 5" xfId="14599"/>
    <cellStyle name="40% - Accent4 2 4 5 2" xfId="30821"/>
    <cellStyle name="40% - Accent4 2 4 6" xfId="18364"/>
    <cellStyle name="40% - Accent4 2 4 6 2" xfId="34585"/>
    <cellStyle name="40% - Accent4 2 4 7" xfId="27905"/>
    <cellStyle name="40% - Accent4 2 4 8" xfId="39249"/>
    <cellStyle name="40% - Accent4 2 5" xfId="6606"/>
    <cellStyle name="40% - Accent4 2 5 2" xfId="6607"/>
    <cellStyle name="40% - Accent4 2 5 2 2" xfId="6608"/>
    <cellStyle name="40% - Accent4 2 5 2 2 2" xfId="10506"/>
    <cellStyle name="40% - Accent4 2 5 2 2 2 2" xfId="20127"/>
    <cellStyle name="40% - Accent4 2 5 2 2 2 2 2" xfId="36348"/>
    <cellStyle name="40% - Accent4 2 5 2 2 2 3" xfId="29660"/>
    <cellStyle name="40% - Accent4 2 5 2 2 3" xfId="17240"/>
    <cellStyle name="40% - Accent4 2 5 2 2 3 2" xfId="33461"/>
    <cellStyle name="40% - Accent4 2 5 2 2 4" xfId="18370"/>
    <cellStyle name="40% - Accent4 2 5 2 2 4 2" xfId="34591"/>
    <cellStyle name="40% - Accent4 2 5 2 2 5" xfId="27911"/>
    <cellStyle name="40% - Accent4 2 5 2 3" xfId="10505"/>
    <cellStyle name="40% - Accent4 2 5 2 3 2" xfId="20126"/>
    <cellStyle name="40% - Accent4 2 5 2 3 2 2" xfId="36347"/>
    <cellStyle name="40% - Accent4 2 5 2 3 3" xfId="29659"/>
    <cellStyle name="40% - Accent4 2 5 2 4" xfId="15655"/>
    <cellStyle name="40% - Accent4 2 5 2 4 2" xfId="31877"/>
    <cellStyle name="40% - Accent4 2 5 2 5" xfId="18369"/>
    <cellStyle name="40% - Accent4 2 5 2 5 2" xfId="34590"/>
    <cellStyle name="40% - Accent4 2 5 2 6" xfId="27910"/>
    <cellStyle name="40% - Accent4 2 5 3" xfId="6609"/>
    <cellStyle name="40% - Accent4 2 5 3 2" xfId="10507"/>
    <cellStyle name="40% - Accent4 2 5 3 2 2" xfId="20128"/>
    <cellStyle name="40% - Accent4 2 5 3 2 2 2" xfId="36349"/>
    <cellStyle name="40% - Accent4 2 5 3 2 3" xfId="29661"/>
    <cellStyle name="40% - Accent4 2 5 3 3" xfId="16448"/>
    <cellStyle name="40% - Accent4 2 5 3 3 2" xfId="32669"/>
    <cellStyle name="40% - Accent4 2 5 3 4" xfId="18371"/>
    <cellStyle name="40% - Accent4 2 5 3 4 2" xfId="34592"/>
    <cellStyle name="40% - Accent4 2 5 3 5" xfId="27912"/>
    <cellStyle name="40% - Accent4 2 5 4" xfId="10504"/>
    <cellStyle name="40% - Accent4 2 5 4 2" xfId="20125"/>
    <cellStyle name="40% - Accent4 2 5 4 2 2" xfId="36346"/>
    <cellStyle name="40% - Accent4 2 5 4 3" xfId="29658"/>
    <cellStyle name="40% - Accent4 2 5 5" xfId="14863"/>
    <cellStyle name="40% - Accent4 2 5 5 2" xfId="31085"/>
    <cellStyle name="40% - Accent4 2 5 6" xfId="18368"/>
    <cellStyle name="40% - Accent4 2 5 6 2" xfId="34589"/>
    <cellStyle name="40% - Accent4 2 5 7" xfId="27909"/>
    <cellStyle name="40% - Accent4 2 5 8" xfId="39398"/>
    <cellStyle name="40% - Accent4 2 6" xfId="6610"/>
    <cellStyle name="40% - Accent4 2 6 2" xfId="6611"/>
    <cellStyle name="40% - Accent4 2 6 2 2" xfId="10509"/>
    <cellStyle name="40% - Accent4 2 6 2 2 2" xfId="20130"/>
    <cellStyle name="40% - Accent4 2 6 2 2 2 2" xfId="36351"/>
    <cellStyle name="40% - Accent4 2 6 2 2 3" xfId="29663"/>
    <cellStyle name="40% - Accent4 2 6 2 3" xfId="16712"/>
    <cellStyle name="40% - Accent4 2 6 2 3 2" xfId="32933"/>
    <cellStyle name="40% - Accent4 2 6 2 4" xfId="18373"/>
    <cellStyle name="40% - Accent4 2 6 2 4 2" xfId="34594"/>
    <cellStyle name="40% - Accent4 2 6 2 5" xfId="27914"/>
    <cellStyle name="40% - Accent4 2 6 3" xfId="10508"/>
    <cellStyle name="40% - Accent4 2 6 3 2" xfId="20129"/>
    <cellStyle name="40% - Accent4 2 6 3 2 2" xfId="36350"/>
    <cellStyle name="40% - Accent4 2 6 3 3" xfId="29662"/>
    <cellStyle name="40% - Accent4 2 6 4" xfId="15127"/>
    <cellStyle name="40% - Accent4 2 6 4 2" xfId="31349"/>
    <cellStyle name="40% - Accent4 2 6 5" xfId="18372"/>
    <cellStyle name="40% - Accent4 2 6 5 2" xfId="34593"/>
    <cellStyle name="40% - Accent4 2 6 6" xfId="27913"/>
    <cellStyle name="40% - Accent4 2 7" xfId="6612"/>
    <cellStyle name="40% - Accent4 2 7 2" xfId="10510"/>
    <cellStyle name="40% - Accent4 2 7 2 2" xfId="20131"/>
    <cellStyle name="40% - Accent4 2 7 2 2 2" xfId="36352"/>
    <cellStyle name="40% - Accent4 2 7 2 3" xfId="29664"/>
    <cellStyle name="40% - Accent4 2 7 3" xfId="15920"/>
    <cellStyle name="40% - Accent4 2 7 3 2" xfId="32141"/>
    <cellStyle name="40% - Accent4 2 7 4" xfId="18374"/>
    <cellStyle name="40% - Accent4 2 7 4 2" xfId="34595"/>
    <cellStyle name="40% - Accent4 2 7 5" xfId="27915"/>
    <cellStyle name="40% - Accent4 2 8" xfId="10463"/>
    <cellStyle name="40% - Accent4 2 8 2" xfId="20084"/>
    <cellStyle name="40% - Accent4 2 8 2 2" xfId="36305"/>
    <cellStyle name="40% - Accent4 2 8 3" xfId="29617"/>
    <cellStyle name="40% - Accent4 2 9" xfId="14335"/>
    <cellStyle name="40% - Accent4 2 9 2" xfId="30557"/>
    <cellStyle name="40% - Accent4 3" xfId="6613"/>
    <cellStyle name="40% - Accent4 3 10" xfId="27916"/>
    <cellStyle name="40% - Accent4 3 11" xfId="38980"/>
    <cellStyle name="40% - Accent4 3 2" xfId="6614"/>
    <cellStyle name="40% - Accent4 3 2 10" xfId="39022"/>
    <cellStyle name="40% - Accent4 3 2 2" xfId="6615"/>
    <cellStyle name="40% - Accent4 3 2 2 2" xfId="6616"/>
    <cellStyle name="40% - Accent4 3 2 2 2 2" xfId="6617"/>
    <cellStyle name="40% - Accent4 3 2 2 2 2 2" xfId="10515"/>
    <cellStyle name="40% - Accent4 3 2 2 2 2 2 2" xfId="20136"/>
    <cellStyle name="40% - Accent4 3 2 2 2 2 2 2 2" xfId="36357"/>
    <cellStyle name="40% - Accent4 3 2 2 2 2 2 3" xfId="29669"/>
    <cellStyle name="40% - Accent4 3 2 2 2 2 3" xfId="17141"/>
    <cellStyle name="40% - Accent4 3 2 2 2 2 3 2" xfId="33362"/>
    <cellStyle name="40% - Accent4 3 2 2 2 2 4" xfId="18379"/>
    <cellStyle name="40% - Accent4 3 2 2 2 2 4 2" xfId="34600"/>
    <cellStyle name="40% - Accent4 3 2 2 2 2 5" xfId="27920"/>
    <cellStyle name="40% - Accent4 3 2 2 2 3" xfId="10514"/>
    <cellStyle name="40% - Accent4 3 2 2 2 3 2" xfId="20135"/>
    <cellStyle name="40% - Accent4 3 2 2 2 3 2 2" xfId="36356"/>
    <cellStyle name="40% - Accent4 3 2 2 2 3 3" xfId="29668"/>
    <cellStyle name="40% - Accent4 3 2 2 2 4" xfId="15556"/>
    <cellStyle name="40% - Accent4 3 2 2 2 4 2" xfId="31778"/>
    <cellStyle name="40% - Accent4 3 2 2 2 5" xfId="18378"/>
    <cellStyle name="40% - Accent4 3 2 2 2 5 2" xfId="34599"/>
    <cellStyle name="40% - Accent4 3 2 2 2 6" xfId="27919"/>
    <cellStyle name="40% - Accent4 3 2 2 3" xfId="6618"/>
    <cellStyle name="40% - Accent4 3 2 2 3 2" xfId="10516"/>
    <cellStyle name="40% - Accent4 3 2 2 3 2 2" xfId="20137"/>
    <cellStyle name="40% - Accent4 3 2 2 3 2 2 2" xfId="36358"/>
    <cellStyle name="40% - Accent4 3 2 2 3 2 3" xfId="29670"/>
    <cellStyle name="40% - Accent4 3 2 2 3 3" xfId="16349"/>
    <cellStyle name="40% - Accent4 3 2 2 3 3 2" xfId="32570"/>
    <cellStyle name="40% - Accent4 3 2 2 3 4" xfId="18380"/>
    <cellStyle name="40% - Accent4 3 2 2 3 4 2" xfId="34601"/>
    <cellStyle name="40% - Accent4 3 2 2 3 5" xfId="27921"/>
    <cellStyle name="40% - Accent4 3 2 2 4" xfId="10513"/>
    <cellStyle name="40% - Accent4 3 2 2 4 2" xfId="20134"/>
    <cellStyle name="40% - Accent4 3 2 2 4 2 2" xfId="36355"/>
    <cellStyle name="40% - Accent4 3 2 2 4 3" xfId="29667"/>
    <cellStyle name="40% - Accent4 3 2 2 5" xfId="14764"/>
    <cellStyle name="40% - Accent4 3 2 2 5 2" xfId="30986"/>
    <cellStyle name="40% - Accent4 3 2 2 6" xfId="18377"/>
    <cellStyle name="40% - Accent4 3 2 2 6 2" xfId="34598"/>
    <cellStyle name="40% - Accent4 3 2 2 7" xfId="27918"/>
    <cellStyle name="40% - Accent4 3 2 2 8" xfId="39170"/>
    <cellStyle name="40% - Accent4 3 2 3" xfId="6619"/>
    <cellStyle name="40% - Accent4 3 2 3 2" xfId="6620"/>
    <cellStyle name="40% - Accent4 3 2 3 2 2" xfId="6621"/>
    <cellStyle name="40% - Accent4 3 2 3 2 2 2" xfId="10519"/>
    <cellStyle name="40% - Accent4 3 2 3 2 2 2 2" xfId="20140"/>
    <cellStyle name="40% - Accent4 3 2 3 2 2 2 2 2" xfId="36361"/>
    <cellStyle name="40% - Accent4 3 2 3 2 2 2 3" xfId="29673"/>
    <cellStyle name="40% - Accent4 3 2 3 2 2 3" xfId="17405"/>
    <cellStyle name="40% - Accent4 3 2 3 2 2 3 2" xfId="33626"/>
    <cellStyle name="40% - Accent4 3 2 3 2 2 4" xfId="18383"/>
    <cellStyle name="40% - Accent4 3 2 3 2 2 4 2" xfId="34604"/>
    <cellStyle name="40% - Accent4 3 2 3 2 2 5" xfId="27924"/>
    <cellStyle name="40% - Accent4 3 2 3 2 3" xfId="10518"/>
    <cellStyle name="40% - Accent4 3 2 3 2 3 2" xfId="20139"/>
    <cellStyle name="40% - Accent4 3 2 3 2 3 2 2" xfId="36360"/>
    <cellStyle name="40% - Accent4 3 2 3 2 3 3" xfId="29672"/>
    <cellStyle name="40% - Accent4 3 2 3 2 4" xfId="15820"/>
    <cellStyle name="40% - Accent4 3 2 3 2 4 2" xfId="32042"/>
    <cellStyle name="40% - Accent4 3 2 3 2 5" xfId="18382"/>
    <cellStyle name="40% - Accent4 3 2 3 2 5 2" xfId="34603"/>
    <cellStyle name="40% - Accent4 3 2 3 2 6" xfId="27923"/>
    <cellStyle name="40% - Accent4 3 2 3 3" xfId="6622"/>
    <cellStyle name="40% - Accent4 3 2 3 3 2" xfId="10520"/>
    <cellStyle name="40% - Accent4 3 2 3 3 2 2" xfId="20141"/>
    <cellStyle name="40% - Accent4 3 2 3 3 2 2 2" xfId="36362"/>
    <cellStyle name="40% - Accent4 3 2 3 3 2 3" xfId="29674"/>
    <cellStyle name="40% - Accent4 3 2 3 3 3" xfId="16613"/>
    <cellStyle name="40% - Accent4 3 2 3 3 3 2" xfId="32834"/>
    <cellStyle name="40% - Accent4 3 2 3 3 4" xfId="18384"/>
    <cellStyle name="40% - Accent4 3 2 3 3 4 2" xfId="34605"/>
    <cellStyle name="40% - Accent4 3 2 3 3 5" xfId="27925"/>
    <cellStyle name="40% - Accent4 3 2 3 4" xfId="10517"/>
    <cellStyle name="40% - Accent4 3 2 3 4 2" xfId="20138"/>
    <cellStyle name="40% - Accent4 3 2 3 4 2 2" xfId="36359"/>
    <cellStyle name="40% - Accent4 3 2 3 4 3" xfId="29671"/>
    <cellStyle name="40% - Accent4 3 2 3 5" xfId="15028"/>
    <cellStyle name="40% - Accent4 3 2 3 5 2" xfId="31250"/>
    <cellStyle name="40% - Accent4 3 2 3 6" xfId="18381"/>
    <cellStyle name="40% - Accent4 3 2 3 6 2" xfId="34602"/>
    <cellStyle name="40% - Accent4 3 2 3 7" xfId="27922"/>
    <cellStyle name="40% - Accent4 3 2 3 8" xfId="39318"/>
    <cellStyle name="40% - Accent4 3 2 4" xfId="6623"/>
    <cellStyle name="40% - Accent4 3 2 4 2" xfId="6624"/>
    <cellStyle name="40% - Accent4 3 2 4 2 2" xfId="10522"/>
    <cellStyle name="40% - Accent4 3 2 4 2 2 2" xfId="20143"/>
    <cellStyle name="40% - Accent4 3 2 4 2 2 2 2" xfId="36364"/>
    <cellStyle name="40% - Accent4 3 2 4 2 2 3" xfId="29676"/>
    <cellStyle name="40% - Accent4 3 2 4 2 3" xfId="16877"/>
    <cellStyle name="40% - Accent4 3 2 4 2 3 2" xfId="33098"/>
    <cellStyle name="40% - Accent4 3 2 4 2 4" xfId="18386"/>
    <cellStyle name="40% - Accent4 3 2 4 2 4 2" xfId="34607"/>
    <cellStyle name="40% - Accent4 3 2 4 2 5" xfId="27927"/>
    <cellStyle name="40% - Accent4 3 2 4 3" xfId="10521"/>
    <cellStyle name="40% - Accent4 3 2 4 3 2" xfId="20142"/>
    <cellStyle name="40% - Accent4 3 2 4 3 2 2" xfId="36363"/>
    <cellStyle name="40% - Accent4 3 2 4 3 3" xfId="29675"/>
    <cellStyle name="40% - Accent4 3 2 4 4" xfId="15292"/>
    <cellStyle name="40% - Accent4 3 2 4 4 2" xfId="31514"/>
    <cellStyle name="40% - Accent4 3 2 4 5" xfId="18385"/>
    <cellStyle name="40% - Accent4 3 2 4 5 2" xfId="34606"/>
    <cellStyle name="40% - Accent4 3 2 4 6" xfId="27926"/>
    <cellStyle name="40% - Accent4 3 2 4 7" xfId="39467"/>
    <cellStyle name="40% - Accent4 3 2 5" xfId="6625"/>
    <cellStyle name="40% - Accent4 3 2 5 2" xfId="10523"/>
    <cellStyle name="40% - Accent4 3 2 5 2 2" xfId="20144"/>
    <cellStyle name="40% - Accent4 3 2 5 2 2 2" xfId="36365"/>
    <cellStyle name="40% - Accent4 3 2 5 2 3" xfId="29677"/>
    <cellStyle name="40% - Accent4 3 2 5 3" xfId="16085"/>
    <cellStyle name="40% - Accent4 3 2 5 3 2" xfId="32306"/>
    <cellStyle name="40% - Accent4 3 2 5 4" xfId="18387"/>
    <cellStyle name="40% - Accent4 3 2 5 4 2" xfId="34608"/>
    <cellStyle name="40% - Accent4 3 2 5 5" xfId="27928"/>
    <cellStyle name="40% - Accent4 3 2 6" xfId="10512"/>
    <cellStyle name="40% - Accent4 3 2 6 2" xfId="20133"/>
    <cellStyle name="40% - Accent4 3 2 6 2 2" xfId="36354"/>
    <cellStyle name="40% - Accent4 3 2 6 3" xfId="29666"/>
    <cellStyle name="40% - Accent4 3 2 7" xfId="14500"/>
    <cellStyle name="40% - Accent4 3 2 7 2" xfId="30722"/>
    <cellStyle name="40% - Accent4 3 2 8" xfId="18376"/>
    <cellStyle name="40% - Accent4 3 2 8 2" xfId="34597"/>
    <cellStyle name="40% - Accent4 3 2 9" xfId="27917"/>
    <cellStyle name="40% - Accent4 3 3" xfId="6626"/>
    <cellStyle name="40% - Accent4 3 3 2" xfId="6627"/>
    <cellStyle name="40% - Accent4 3 3 2 2" xfId="6628"/>
    <cellStyle name="40% - Accent4 3 3 2 2 2" xfId="10526"/>
    <cellStyle name="40% - Accent4 3 3 2 2 2 2" xfId="20147"/>
    <cellStyle name="40% - Accent4 3 3 2 2 2 2 2" xfId="36368"/>
    <cellStyle name="40% - Accent4 3 3 2 2 2 3" xfId="29680"/>
    <cellStyle name="40% - Accent4 3 3 2 2 3" xfId="17009"/>
    <cellStyle name="40% - Accent4 3 3 2 2 3 2" xfId="33230"/>
    <cellStyle name="40% - Accent4 3 3 2 2 4" xfId="18390"/>
    <cellStyle name="40% - Accent4 3 3 2 2 4 2" xfId="34611"/>
    <cellStyle name="40% - Accent4 3 3 2 2 5" xfId="27931"/>
    <cellStyle name="40% - Accent4 3 3 2 3" xfId="10525"/>
    <cellStyle name="40% - Accent4 3 3 2 3 2" xfId="20146"/>
    <cellStyle name="40% - Accent4 3 3 2 3 2 2" xfId="36367"/>
    <cellStyle name="40% - Accent4 3 3 2 3 3" xfId="29679"/>
    <cellStyle name="40% - Accent4 3 3 2 4" xfId="15424"/>
    <cellStyle name="40% - Accent4 3 3 2 4 2" xfId="31646"/>
    <cellStyle name="40% - Accent4 3 3 2 5" xfId="18389"/>
    <cellStyle name="40% - Accent4 3 3 2 5 2" xfId="34610"/>
    <cellStyle name="40% - Accent4 3 3 2 6" xfId="27930"/>
    <cellStyle name="40% - Accent4 3 3 3" xfId="6629"/>
    <cellStyle name="40% - Accent4 3 3 3 2" xfId="10527"/>
    <cellStyle name="40% - Accent4 3 3 3 2 2" xfId="20148"/>
    <cellStyle name="40% - Accent4 3 3 3 2 2 2" xfId="36369"/>
    <cellStyle name="40% - Accent4 3 3 3 2 3" xfId="29681"/>
    <cellStyle name="40% - Accent4 3 3 3 3" xfId="16217"/>
    <cellStyle name="40% - Accent4 3 3 3 3 2" xfId="32438"/>
    <cellStyle name="40% - Accent4 3 3 3 4" xfId="18391"/>
    <cellStyle name="40% - Accent4 3 3 3 4 2" xfId="34612"/>
    <cellStyle name="40% - Accent4 3 3 3 5" xfId="27932"/>
    <cellStyle name="40% - Accent4 3 3 4" xfId="10524"/>
    <cellStyle name="40% - Accent4 3 3 4 2" xfId="20145"/>
    <cellStyle name="40% - Accent4 3 3 4 2 2" xfId="36366"/>
    <cellStyle name="40% - Accent4 3 3 4 3" xfId="29678"/>
    <cellStyle name="40% - Accent4 3 3 5" xfId="14632"/>
    <cellStyle name="40% - Accent4 3 3 5 2" xfId="30854"/>
    <cellStyle name="40% - Accent4 3 3 6" xfId="18388"/>
    <cellStyle name="40% - Accent4 3 3 6 2" xfId="34609"/>
    <cellStyle name="40% - Accent4 3 3 7" xfId="27929"/>
    <cellStyle name="40% - Accent4 3 3 8" xfId="39114"/>
    <cellStyle name="40% - Accent4 3 4" xfId="6630"/>
    <cellStyle name="40% - Accent4 3 4 2" xfId="6631"/>
    <cellStyle name="40% - Accent4 3 4 2 2" xfId="6632"/>
    <cellStyle name="40% - Accent4 3 4 2 2 2" xfId="10530"/>
    <cellStyle name="40% - Accent4 3 4 2 2 2 2" xfId="20151"/>
    <cellStyle name="40% - Accent4 3 4 2 2 2 2 2" xfId="36372"/>
    <cellStyle name="40% - Accent4 3 4 2 2 2 3" xfId="29684"/>
    <cellStyle name="40% - Accent4 3 4 2 2 3" xfId="17273"/>
    <cellStyle name="40% - Accent4 3 4 2 2 3 2" xfId="33494"/>
    <cellStyle name="40% - Accent4 3 4 2 2 4" xfId="18394"/>
    <cellStyle name="40% - Accent4 3 4 2 2 4 2" xfId="34615"/>
    <cellStyle name="40% - Accent4 3 4 2 2 5" xfId="27935"/>
    <cellStyle name="40% - Accent4 3 4 2 3" xfId="10529"/>
    <cellStyle name="40% - Accent4 3 4 2 3 2" xfId="20150"/>
    <cellStyle name="40% - Accent4 3 4 2 3 2 2" xfId="36371"/>
    <cellStyle name="40% - Accent4 3 4 2 3 3" xfId="29683"/>
    <cellStyle name="40% - Accent4 3 4 2 4" xfId="15688"/>
    <cellStyle name="40% - Accent4 3 4 2 4 2" xfId="31910"/>
    <cellStyle name="40% - Accent4 3 4 2 5" xfId="18393"/>
    <cellStyle name="40% - Accent4 3 4 2 5 2" xfId="34614"/>
    <cellStyle name="40% - Accent4 3 4 2 6" xfId="27934"/>
    <cellStyle name="40% - Accent4 3 4 3" xfId="6633"/>
    <cellStyle name="40% - Accent4 3 4 3 2" xfId="10531"/>
    <cellStyle name="40% - Accent4 3 4 3 2 2" xfId="20152"/>
    <cellStyle name="40% - Accent4 3 4 3 2 2 2" xfId="36373"/>
    <cellStyle name="40% - Accent4 3 4 3 2 3" xfId="29685"/>
    <cellStyle name="40% - Accent4 3 4 3 3" xfId="16481"/>
    <cellStyle name="40% - Accent4 3 4 3 3 2" xfId="32702"/>
    <cellStyle name="40% - Accent4 3 4 3 4" xfId="18395"/>
    <cellStyle name="40% - Accent4 3 4 3 4 2" xfId="34616"/>
    <cellStyle name="40% - Accent4 3 4 3 5" xfId="27936"/>
    <cellStyle name="40% - Accent4 3 4 4" xfId="10528"/>
    <cellStyle name="40% - Accent4 3 4 4 2" xfId="20149"/>
    <cellStyle name="40% - Accent4 3 4 4 2 2" xfId="36370"/>
    <cellStyle name="40% - Accent4 3 4 4 3" xfId="29682"/>
    <cellStyle name="40% - Accent4 3 4 5" xfId="14896"/>
    <cellStyle name="40% - Accent4 3 4 5 2" xfId="31118"/>
    <cellStyle name="40% - Accent4 3 4 6" xfId="18392"/>
    <cellStyle name="40% - Accent4 3 4 6 2" xfId="34613"/>
    <cellStyle name="40% - Accent4 3 4 7" xfId="27933"/>
    <cellStyle name="40% - Accent4 3 4 8" xfId="39262"/>
    <cellStyle name="40% - Accent4 3 5" xfId="6634"/>
    <cellStyle name="40% - Accent4 3 5 2" xfId="6635"/>
    <cellStyle name="40% - Accent4 3 5 2 2" xfId="10533"/>
    <cellStyle name="40% - Accent4 3 5 2 2 2" xfId="20154"/>
    <cellStyle name="40% - Accent4 3 5 2 2 2 2" xfId="36375"/>
    <cellStyle name="40% - Accent4 3 5 2 2 3" xfId="29687"/>
    <cellStyle name="40% - Accent4 3 5 2 3" xfId="16745"/>
    <cellStyle name="40% - Accent4 3 5 2 3 2" xfId="32966"/>
    <cellStyle name="40% - Accent4 3 5 2 4" xfId="18397"/>
    <cellStyle name="40% - Accent4 3 5 2 4 2" xfId="34618"/>
    <cellStyle name="40% - Accent4 3 5 2 5" xfId="27938"/>
    <cellStyle name="40% - Accent4 3 5 3" xfId="10532"/>
    <cellStyle name="40% - Accent4 3 5 3 2" xfId="20153"/>
    <cellStyle name="40% - Accent4 3 5 3 2 2" xfId="36374"/>
    <cellStyle name="40% - Accent4 3 5 3 3" xfId="29686"/>
    <cellStyle name="40% - Accent4 3 5 4" xfId="15160"/>
    <cellStyle name="40% - Accent4 3 5 4 2" xfId="31382"/>
    <cellStyle name="40% - Accent4 3 5 5" xfId="18396"/>
    <cellStyle name="40% - Accent4 3 5 5 2" xfId="34617"/>
    <cellStyle name="40% - Accent4 3 5 6" xfId="27937"/>
    <cellStyle name="40% - Accent4 3 5 7" xfId="39411"/>
    <cellStyle name="40% - Accent4 3 6" xfId="6636"/>
    <cellStyle name="40% - Accent4 3 6 2" xfId="10534"/>
    <cellStyle name="40% - Accent4 3 6 2 2" xfId="20155"/>
    <cellStyle name="40% - Accent4 3 6 2 2 2" xfId="36376"/>
    <cellStyle name="40% - Accent4 3 6 2 3" xfId="29688"/>
    <cellStyle name="40% - Accent4 3 6 3" xfId="15953"/>
    <cellStyle name="40% - Accent4 3 6 3 2" xfId="32174"/>
    <cellStyle name="40% - Accent4 3 6 4" xfId="18398"/>
    <cellStyle name="40% - Accent4 3 6 4 2" xfId="34619"/>
    <cellStyle name="40% - Accent4 3 6 5" xfId="27939"/>
    <cellStyle name="40% - Accent4 3 7" xfId="10511"/>
    <cellStyle name="40% - Accent4 3 7 2" xfId="20132"/>
    <cellStyle name="40% - Accent4 3 7 2 2" xfId="36353"/>
    <cellStyle name="40% - Accent4 3 7 3" xfId="29665"/>
    <cellStyle name="40% - Accent4 3 8" xfId="14368"/>
    <cellStyle name="40% - Accent4 3 8 2" xfId="30590"/>
    <cellStyle name="40% - Accent4 3 9" xfId="18375"/>
    <cellStyle name="40% - Accent4 3 9 2" xfId="34596"/>
    <cellStyle name="40% - Accent4 4" xfId="6637"/>
    <cellStyle name="40% - Accent4 4 10" xfId="38993"/>
    <cellStyle name="40% - Accent4 4 2" xfId="6638"/>
    <cellStyle name="40% - Accent4 4 2 2" xfId="6639"/>
    <cellStyle name="40% - Accent4 4 2 2 2" xfId="6640"/>
    <cellStyle name="40% - Accent4 4 2 2 2 2" xfId="10538"/>
    <cellStyle name="40% - Accent4 4 2 2 2 2 2" xfId="20159"/>
    <cellStyle name="40% - Accent4 4 2 2 2 2 2 2" xfId="36380"/>
    <cellStyle name="40% - Accent4 4 2 2 2 2 3" xfId="29692"/>
    <cellStyle name="40% - Accent4 4 2 2 2 3" xfId="17075"/>
    <cellStyle name="40% - Accent4 4 2 2 2 3 2" xfId="33296"/>
    <cellStyle name="40% - Accent4 4 2 2 2 4" xfId="18402"/>
    <cellStyle name="40% - Accent4 4 2 2 2 4 2" xfId="34623"/>
    <cellStyle name="40% - Accent4 4 2 2 2 5" xfId="27943"/>
    <cellStyle name="40% - Accent4 4 2 2 3" xfId="10537"/>
    <cellStyle name="40% - Accent4 4 2 2 3 2" xfId="20158"/>
    <cellStyle name="40% - Accent4 4 2 2 3 2 2" xfId="36379"/>
    <cellStyle name="40% - Accent4 4 2 2 3 3" xfId="29691"/>
    <cellStyle name="40% - Accent4 4 2 2 4" xfId="15490"/>
    <cellStyle name="40% - Accent4 4 2 2 4 2" xfId="31712"/>
    <cellStyle name="40% - Accent4 4 2 2 5" xfId="18401"/>
    <cellStyle name="40% - Accent4 4 2 2 5 2" xfId="34622"/>
    <cellStyle name="40% - Accent4 4 2 2 6" xfId="27942"/>
    <cellStyle name="40% - Accent4 4 2 2 7" xfId="39183"/>
    <cellStyle name="40% - Accent4 4 2 3" xfId="6641"/>
    <cellStyle name="40% - Accent4 4 2 3 2" xfId="10539"/>
    <cellStyle name="40% - Accent4 4 2 3 2 2" xfId="20160"/>
    <cellStyle name="40% - Accent4 4 2 3 2 2 2" xfId="36381"/>
    <cellStyle name="40% - Accent4 4 2 3 2 3" xfId="29693"/>
    <cellStyle name="40% - Accent4 4 2 3 3" xfId="16283"/>
    <cellStyle name="40% - Accent4 4 2 3 3 2" xfId="32504"/>
    <cellStyle name="40% - Accent4 4 2 3 4" xfId="18403"/>
    <cellStyle name="40% - Accent4 4 2 3 4 2" xfId="34624"/>
    <cellStyle name="40% - Accent4 4 2 3 5" xfId="27944"/>
    <cellStyle name="40% - Accent4 4 2 3 6" xfId="39331"/>
    <cellStyle name="40% - Accent4 4 2 4" xfId="10536"/>
    <cellStyle name="40% - Accent4 4 2 4 2" xfId="20157"/>
    <cellStyle name="40% - Accent4 4 2 4 2 2" xfId="36378"/>
    <cellStyle name="40% - Accent4 4 2 4 3" xfId="29690"/>
    <cellStyle name="40% - Accent4 4 2 4 4" xfId="39480"/>
    <cellStyle name="40% - Accent4 4 2 5" xfId="14698"/>
    <cellStyle name="40% - Accent4 4 2 5 2" xfId="30920"/>
    <cellStyle name="40% - Accent4 4 2 6" xfId="18400"/>
    <cellStyle name="40% - Accent4 4 2 6 2" xfId="34621"/>
    <cellStyle name="40% - Accent4 4 2 7" xfId="27941"/>
    <cellStyle name="40% - Accent4 4 2 8" xfId="39035"/>
    <cellStyle name="40% - Accent4 4 3" xfId="6642"/>
    <cellStyle name="40% - Accent4 4 3 2" xfId="6643"/>
    <cellStyle name="40% - Accent4 4 3 2 2" xfId="6644"/>
    <cellStyle name="40% - Accent4 4 3 2 2 2" xfId="10542"/>
    <cellStyle name="40% - Accent4 4 3 2 2 2 2" xfId="20163"/>
    <cellStyle name="40% - Accent4 4 3 2 2 2 2 2" xfId="36384"/>
    <cellStyle name="40% - Accent4 4 3 2 2 2 3" xfId="29696"/>
    <cellStyle name="40% - Accent4 4 3 2 2 3" xfId="17339"/>
    <cellStyle name="40% - Accent4 4 3 2 2 3 2" xfId="33560"/>
    <cellStyle name="40% - Accent4 4 3 2 2 4" xfId="18406"/>
    <cellStyle name="40% - Accent4 4 3 2 2 4 2" xfId="34627"/>
    <cellStyle name="40% - Accent4 4 3 2 2 5" xfId="27947"/>
    <cellStyle name="40% - Accent4 4 3 2 3" xfId="10541"/>
    <cellStyle name="40% - Accent4 4 3 2 3 2" xfId="20162"/>
    <cellStyle name="40% - Accent4 4 3 2 3 2 2" xfId="36383"/>
    <cellStyle name="40% - Accent4 4 3 2 3 3" xfId="29695"/>
    <cellStyle name="40% - Accent4 4 3 2 4" xfId="15754"/>
    <cellStyle name="40% - Accent4 4 3 2 4 2" xfId="31976"/>
    <cellStyle name="40% - Accent4 4 3 2 5" xfId="18405"/>
    <cellStyle name="40% - Accent4 4 3 2 5 2" xfId="34626"/>
    <cellStyle name="40% - Accent4 4 3 2 6" xfId="27946"/>
    <cellStyle name="40% - Accent4 4 3 3" xfId="6645"/>
    <cellStyle name="40% - Accent4 4 3 3 2" xfId="10543"/>
    <cellStyle name="40% - Accent4 4 3 3 2 2" xfId="20164"/>
    <cellStyle name="40% - Accent4 4 3 3 2 2 2" xfId="36385"/>
    <cellStyle name="40% - Accent4 4 3 3 2 3" xfId="29697"/>
    <cellStyle name="40% - Accent4 4 3 3 3" xfId="16547"/>
    <cellStyle name="40% - Accent4 4 3 3 3 2" xfId="32768"/>
    <cellStyle name="40% - Accent4 4 3 3 4" xfId="18407"/>
    <cellStyle name="40% - Accent4 4 3 3 4 2" xfId="34628"/>
    <cellStyle name="40% - Accent4 4 3 3 5" xfId="27948"/>
    <cellStyle name="40% - Accent4 4 3 4" xfId="10540"/>
    <cellStyle name="40% - Accent4 4 3 4 2" xfId="20161"/>
    <cellStyle name="40% - Accent4 4 3 4 2 2" xfId="36382"/>
    <cellStyle name="40% - Accent4 4 3 4 3" xfId="29694"/>
    <cellStyle name="40% - Accent4 4 3 5" xfId="14962"/>
    <cellStyle name="40% - Accent4 4 3 5 2" xfId="31184"/>
    <cellStyle name="40% - Accent4 4 3 6" xfId="18404"/>
    <cellStyle name="40% - Accent4 4 3 6 2" xfId="34625"/>
    <cellStyle name="40% - Accent4 4 3 7" xfId="27945"/>
    <cellStyle name="40% - Accent4 4 3 8" xfId="39127"/>
    <cellStyle name="40% - Accent4 4 4" xfId="6646"/>
    <cellStyle name="40% - Accent4 4 4 2" xfId="6647"/>
    <cellStyle name="40% - Accent4 4 4 2 2" xfId="10545"/>
    <cellStyle name="40% - Accent4 4 4 2 2 2" xfId="20166"/>
    <cellStyle name="40% - Accent4 4 4 2 2 2 2" xfId="36387"/>
    <cellStyle name="40% - Accent4 4 4 2 2 3" xfId="29699"/>
    <cellStyle name="40% - Accent4 4 4 2 3" xfId="16811"/>
    <cellStyle name="40% - Accent4 4 4 2 3 2" xfId="33032"/>
    <cellStyle name="40% - Accent4 4 4 2 4" xfId="18409"/>
    <cellStyle name="40% - Accent4 4 4 2 4 2" xfId="34630"/>
    <cellStyle name="40% - Accent4 4 4 2 5" xfId="27950"/>
    <cellStyle name="40% - Accent4 4 4 3" xfId="10544"/>
    <cellStyle name="40% - Accent4 4 4 3 2" xfId="20165"/>
    <cellStyle name="40% - Accent4 4 4 3 2 2" xfId="36386"/>
    <cellStyle name="40% - Accent4 4 4 3 3" xfId="29698"/>
    <cellStyle name="40% - Accent4 4 4 4" xfId="15226"/>
    <cellStyle name="40% - Accent4 4 4 4 2" xfId="31448"/>
    <cellStyle name="40% - Accent4 4 4 5" xfId="18408"/>
    <cellStyle name="40% - Accent4 4 4 5 2" xfId="34629"/>
    <cellStyle name="40% - Accent4 4 4 6" xfId="27949"/>
    <cellStyle name="40% - Accent4 4 4 7" xfId="39275"/>
    <cellStyle name="40% - Accent4 4 5" xfId="6648"/>
    <cellStyle name="40% - Accent4 4 5 2" xfId="10546"/>
    <cellStyle name="40% - Accent4 4 5 2 2" xfId="20167"/>
    <cellStyle name="40% - Accent4 4 5 2 2 2" xfId="36388"/>
    <cellStyle name="40% - Accent4 4 5 2 3" xfId="29700"/>
    <cellStyle name="40% - Accent4 4 5 3" xfId="16019"/>
    <cellStyle name="40% - Accent4 4 5 3 2" xfId="32240"/>
    <cellStyle name="40% - Accent4 4 5 4" xfId="18410"/>
    <cellStyle name="40% - Accent4 4 5 4 2" xfId="34631"/>
    <cellStyle name="40% - Accent4 4 5 5" xfId="27951"/>
    <cellStyle name="40% - Accent4 4 5 6" xfId="39424"/>
    <cellStyle name="40% - Accent4 4 6" xfId="10535"/>
    <cellStyle name="40% - Accent4 4 6 2" xfId="20156"/>
    <cellStyle name="40% - Accent4 4 6 2 2" xfId="36377"/>
    <cellStyle name="40% - Accent4 4 6 3" xfId="29689"/>
    <cellStyle name="40% - Accent4 4 7" xfId="14434"/>
    <cellStyle name="40% - Accent4 4 7 2" xfId="30656"/>
    <cellStyle name="40% - Accent4 4 8" xfId="18399"/>
    <cellStyle name="40% - Accent4 4 8 2" xfId="34620"/>
    <cellStyle name="40% - Accent4 4 9" xfId="27940"/>
    <cellStyle name="40% - Accent4 5" xfId="6649"/>
    <cellStyle name="40% - Accent4 5 2" xfId="6650"/>
    <cellStyle name="40% - Accent4 5 2 2" xfId="6651"/>
    <cellStyle name="40% - Accent4 5 2 2 2" xfId="10549"/>
    <cellStyle name="40% - Accent4 5 2 2 2 2" xfId="20170"/>
    <cellStyle name="40% - Accent4 5 2 2 2 2 2" xfId="36391"/>
    <cellStyle name="40% - Accent4 5 2 2 2 3" xfId="29703"/>
    <cellStyle name="40% - Accent4 5 2 2 3" xfId="16943"/>
    <cellStyle name="40% - Accent4 5 2 2 3 2" xfId="33164"/>
    <cellStyle name="40% - Accent4 5 2 2 4" xfId="18413"/>
    <cellStyle name="40% - Accent4 5 2 2 4 2" xfId="34634"/>
    <cellStyle name="40% - Accent4 5 2 2 5" xfId="27954"/>
    <cellStyle name="40% - Accent4 5 2 3" xfId="10548"/>
    <cellStyle name="40% - Accent4 5 2 3 2" xfId="20169"/>
    <cellStyle name="40% - Accent4 5 2 3 2 2" xfId="36390"/>
    <cellStyle name="40% - Accent4 5 2 3 3" xfId="29702"/>
    <cellStyle name="40% - Accent4 5 2 4" xfId="15358"/>
    <cellStyle name="40% - Accent4 5 2 4 2" xfId="31580"/>
    <cellStyle name="40% - Accent4 5 2 5" xfId="18412"/>
    <cellStyle name="40% - Accent4 5 2 5 2" xfId="34633"/>
    <cellStyle name="40% - Accent4 5 2 6" xfId="27953"/>
    <cellStyle name="40% - Accent4 5 2 7" xfId="39141"/>
    <cellStyle name="40% - Accent4 5 3" xfId="6652"/>
    <cellStyle name="40% - Accent4 5 3 2" xfId="10550"/>
    <cellStyle name="40% - Accent4 5 3 2 2" xfId="20171"/>
    <cellStyle name="40% - Accent4 5 3 2 2 2" xfId="36392"/>
    <cellStyle name="40% - Accent4 5 3 2 3" xfId="29704"/>
    <cellStyle name="40% - Accent4 5 3 3" xfId="16151"/>
    <cellStyle name="40% - Accent4 5 3 3 2" xfId="32372"/>
    <cellStyle name="40% - Accent4 5 3 4" xfId="18414"/>
    <cellStyle name="40% - Accent4 5 3 4 2" xfId="34635"/>
    <cellStyle name="40% - Accent4 5 3 5" xfId="27955"/>
    <cellStyle name="40% - Accent4 5 3 6" xfId="39289"/>
    <cellStyle name="40% - Accent4 5 4" xfId="10547"/>
    <cellStyle name="40% - Accent4 5 4 2" xfId="20168"/>
    <cellStyle name="40% - Accent4 5 4 2 2" xfId="36389"/>
    <cellStyle name="40% - Accent4 5 4 3" xfId="29701"/>
    <cellStyle name="40% - Accent4 5 4 4" xfId="39438"/>
    <cellStyle name="40% - Accent4 5 5" xfId="14566"/>
    <cellStyle name="40% - Accent4 5 5 2" xfId="30788"/>
    <cellStyle name="40% - Accent4 5 6" xfId="18411"/>
    <cellStyle name="40% - Accent4 5 6 2" xfId="34632"/>
    <cellStyle name="40% - Accent4 5 7" xfId="27952"/>
    <cellStyle name="40% - Accent4 5 8" xfId="39007"/>
    <cellStyle name="40% - Accent4 6" xfId="6653"/>
    <cellStyle name="40% - Accent4 6 2" xfId="6654"/>
    <cellStyle name="40% - Accent4 6 2 2" xfId="6655"/>
    <cellStyle name="40% - Accent4 6 2 2 2" xfId="10553"/>
    <cellStyle name="40% - Accent4 6 2 2 2 2" xfId="20174"/>
    <cellStyle name="40% - Accent4 6 2 2 2 2 2" xfId="36395"/>
    <cellStyle name="40% - Accent4 6 2 2 2 3" xfId="29707"/>
    <cellStyle name="40% - Accent4 6 2 2 3" xfId="17207"/>
    <cellStyle name="40% - Accent4 6 2 2 3 2" xfId="33428"/>
    <cellStyle name="40% - Accent4 6 2 2 4" xfId="18417"/>
    <cellStyle name="40% - Accent4 6 2 2 4 2" xfId="34638"/>
    <cellStyle name="40% - Accent4 6 2 2 5" xfId="27958"/>
    <cellStyle name="40% - Accent4 6 2 3" xfId="10552"/>
    <cellStyle name="40% - Accent4 6 2 3 2" xfId="20173"/>
    <cellStyle name="40% - Accent4 6 2 3 2 2" xfId="36394"/>
    <cellStyle name="40% - Accent4 6 2 3 3" xfId="29706"/>
    <cellStyle name="40% - Accent4 6 2 4" xfId="15622"/>
    <cellStyle name="40% - Accent4 6 2 4 2" xfId="31844"/>
    <cellStyle name="40% - Accent4 6 2 5" xfId="18416"/>
    <cellStyle name="40% - Accent4 6 2 5 2" xfId="34637"/>
    <cellStyle name="40% - Accent4 6 2 6" xfId="27957"/>
    <cellStyle name="40% - Accent4 6 3" xfId="6656"/>
    <cellStyle name="40% - Accent4 6 3 2" xfId="10554"/>
    <cellStyle name="40% - Accent4 6 3 2 2" xfId="20175"/>
    <cellStyle name="40% - Accent4 6 3 2 2 2" xfId="36396"/>
    <cellStyle name="40% - Accent4 6 3 2 3" xfId="29708"/>
    <cellStyle name="40% - Accent4 6 3 3" xfId="16415"/>
    <cellStyle name="40% - Accent4 6 3 3 2" xfId="32636"/>
    <cellStyle name="40% - Accent4 6 3 4" xfId="18418"/>
    <cellStyle name="40% - Accent4 6 3 4 2" xfId="34639"/>
    <cellStyle name="40% - Accent4 6 3 5" xfId="27959"/>
    <cellStyle name="40% - Accent4 6 4" xfId="10551"/>
    <cellStyle name="40% - Accent4 6 4 2" xfId="20172"/>
    <cellStyle name="40% - Accent4 6 4 2 2" xfId="36393"/>
    <cellStyle name="40% - Accent4 6 4 3" xfId="29705"/>
    <cellStyle name="40% - Accent4 6 5" xfId="14830"/>
    <cellStyle name="40% - Accent4 6 5 2" xfId="31052"/>
    <cellStyle name="40% - Accent4 6 6" xfId="18415"/>
    <cellStyle name="40% - Accent4 6 6 2" xfId="34636"/>
    <cellStyle name="40% - Accent4 6 7" xfId="27956"/>
    <cellStyle name="40% - Accent4 6 8" xfId="39083"/>
    <cellStyle name="40% - Accent4 7" xfId="6657"/>
    <cellStyle name="40% - Accent4 7 2" xfId="6658"/>
    <cellStyle name="40% - Accent4 7 2 2" xfId="10556"/>
    <cellStyle name="40% - Accent4 7 2 2 2" xfId="20177"/>
    <cellStyle name="40% - Accent4 7 2 2 2 2" xfId="36398"/>
    <cellStyle name="40% - Accent4 7 2 2 3" xfId="29710"/>
    <cellStyle name="40% - Accent4 7 2 3" xfId="16679"/>
    <cellStyle name="40% - Accent4 7 2 3 2" xfId="32900"/>
    <cellStyle name="40% - Accent4 7 2 4" xfId="18420"/>
    <cellStyle name="40% - Accent4 7 2 4 2" xfId="34641"/>
    <cellStyle name="40% - Accent4 7 2 5" xfId="27961"/>
    <cellStyle name="40% - Accent4 7 3" xfId="10555"/>
    <cellStyle name="40% - Accent4 7 3 2" xfId="20176"/>
    <cellStyle name="40% - Accent4 7 3 2 2" xfId="36397"/>
    <cellStyle name="40% - Accent4 7 3 3" xfId="29709"/>
    <cellStyle name="40% - Accent4 7 4" xfId="15094"/>
    <cellStyle name="40% - Accent4 7 4 2" xfId="31316"/>
    <cellStyle name="40% - Accent4 7 5" xfId="18419"/>
    <cellStyle name="40% - Accent4 7 5 2" xfId="34640"/>
    <cellStyle name="40% - Accent4 7 6" xfId="27960"/>
    <cellStyle name="40% - Accent4 7 7" xfId="39231"/>
    <cellStyle name="40% - Accent4 8" xfId="6659"/>
    <cellStyle name="40% - Accent4 8 2" xfId="10557"/>
    <cellStyle name="40% - Accent4 8 2 2" xfId="20178"/>
    <cellStyle name="40% - Accent4 8 2 2 2" xfId="36399"/>
    <cellStyle name="40% - Accent4 8 2 3" xfId="29711"/>
    <cellStyle name="40% - Accent4 8 3" xfId="15887"/>
    <cellStyle name="40% - Accent4 8 3 2" xfId="32108"/>
    <cellStyle name="40% - Accent4 8 4" xfId="18421"/>
    <cellStyle name="40% - Accent4 8 4 2" xfId="34642"/>
    <cellStyle name="40% - Accent4 8 5" xfId="27962"/>
    <cellStyle name="40% - Accent4 8 6" xfId="39380"/>
    <cellStyle name="40% - Accent4 9" xfId="10462"/>
    <cellStyle name="40% - Accent4 9 2" xfId="20083"/>
    <cellStyle name="40% - Accent4 9 2 2" xfId="36304"/>
    <cellStyle name="40% - Accent4 9 3" xfId="29616"/>
    <cellStyle name="40% - Accent5" xfId="46" builtinId="47" customBuiltin="1"/>
    <cellStyle name="40% - Accent5 10" xfId="14234"/>
    <cellStyle name="40% - Accent5 10 2" xfId="30521"/>
    <cellStyle name="40% - Accent5 11" xfId="18422"/>
    <cellStyle name="40% - Accent5 11 2" xfId="34643"/>
    <cellStyle name="40% - Accent5 12" xfId="26992"/>
    <cellStyle name="40% - Accent5 13" xfId="38911"/>
    <cellStyle name="40% - Accent5 14" xfId="4847"/>
    <cellStyle name="40% - Accent5 2" xfId="471"/>
    <cellStyle name="40% - Accent5 2 10" xfId="18423"/>
    <cellStyle name="40% - Accent5 2 10 2" xfId="34644"/>
    <cellStyle name="40% - Accent5 2 11" xfId="4876"/>
    <cellStyle name="40% - Accent5 2 11 2" xfId="27012"/>
    <cellStyle name="40% - Accent5 2 12" xfId="21144"/>
    <cellStyle name="40% - Accent5 2 12 2" xfId="37356"/>
    <cellStyle name="40% - Accent5 2 13" xfId="22642"/>
    <cellStyle name="40% - Accent5 2 14" xfId="38778"/>
    <cellStyle name="40% - Accent5 2 2" xfId="484"/>
    <cellStyle name="40% - Accent5 2 2 10" xfId="6660"/>
    <cellStyle name="40% - Accent5 2 2 10 2" xfId="27963"/>
    <cellStyle name="40% - Accent5 2 2 11" xfId="21157"/>
    <cellStyle name="40% - Accent5 2 2 11 2" xfId="37369"/>
    <cellStyle name="40% - Accent5 2 2 12" xfId="22655"/>
    <cellStyle name="40% - Accent5 2 2 13" xfId="38969"/>
    <cellStyle name="40% - Accent5 2 2 2" xfId="602"/>
    <cellStyle name="40% - Accent5 2 2 2 10" xfId="21274"/>
    <cellStyle name="40% - Accent5 2 2 2 10 2" xfId="37486"/>
    <cellStyle name="40% - Accent5 2 2 2 11" xfId="22772"/>
    <cellStyle name="40% - Accent5 2 2 2 12" xfId="39159"/>
    <cellStyle name="40% - Accent5 2 2 2 2" xfId="954"/>
    <cellStyle name="40% - Accent5 2 2 2 2 2" xfId="2453"/>
    <cellStyle name="40% - Accent5 2 2 2 2 2 2" xfId="6664"/>
    <cellStyle name="40% - Accent5 2 2 2 2 2 2 2" xfId="10564"/>
    <cellStyle name="40% - Accent5 2 2 2 2 2 2 2 2" xfId="20185"/>
    <cellStyle name="40% - Accent5 2 2 2 2 2 2 2 2 2" xfId="36406"/>
    <cellStyle name="40% - Accent5 2 2 2 2 2 2 2 3" xfId="29718"/>
    <cellStyle name="40% - Accent5 2 2 2 2 2 2 3" xfId="17175"/>
    <cellStyle name="40% - Accent5 2 2 2 2 2 2 3 2" xfId="33396"/>
    <cellStyle name="40% - Accent5 2 2 2 2 2 2 4" xfId="18428"/>
    <cellStyle name="40% - Accent5 2 2 2 2 2 2 4 2" xfId="34649"/>
    <cellStyle name="40% - Accent5 2 2 2 2 2 2 5" xfId="27967"/>
    <cellStyle name="40% - Accent5 2 2 2 2 2 3" xfId="10563"/>
    <cellStyle name="40% - Accent5 2 2 2 2 2 3 2" xfId="20184"/>
    <cellStyle name="40% - Accent5 2 2 2 2 2 3 2 2" xfId="36405"/>
    <cellStyle name="40% - Accent5 2 2 2 2 2 3 3" xfId="29717"/>
    <cellStyle name="40% - Accent5 2 2 2 2 2 4" xfId="15590"/>
    <cellStyle name="40% - Accent5 2 2 2 2 2 4 2" xfId="31812"/>
    <cellStyle name="40% - Accent5 2 2 2 2 2 5" xfId="18427"/>
    <cellStyle name="40% - Accent5 2 2 2 2 2 5 2" xfId="34648"/>
    <cellStyle name="40% - Accent5 2 2 2 2 2 6" xfId="6663"/>
    <cellStyle name="40% - Accent5 2 2 2 2 2 6 2" xfId="27966"/>
    <cellStyle name="40% - Accent5 2 2 2 2 2 7" xfId="24621"/>
    <cellStyle name="40% - Accent5 2 2 2 2 3" xfId="3952"/>
    <cellStyle name="40% - Accent5 2 2 2 2 3 2" xfId="10565"/>
    <cellStyle name="40% - Accent5 2 2 2 2 3 2 2" xfId="20186"/>
    <cellStyle name="40% - Accent5 2 2 2 2 3 2 2 2" xfId="36407"/>
    <cellStyle name="40% - Accent5 2 2 2 2 3 2 3" xfId="29719"/>
    <cellStyle name="40% - Accent5 2 2 2 2 3 3" xfId="16383"/>
    <cellStyle name="40% - Accent5 2 2 2 2 3 3 2" xfId="32604"/>
    <cellStyle name="40% - Accent5 2 2 2 2 3 4" xfId="18429"/>
    <cellStyle name="40% - Accent5 2 2 2 2 3 4 2" xfId="34650"/>
    <cellStyle name="40% - Accent5 2 2 2 2 3 5" xfId="6665"/>
    <cellStyle name="40% - Accent5 2 2 2 2 3 5 2" xfId="27968"/>
    <cellStyle name="40% - Accent5 2 2 2 2 3 6" xfId="26119"/>
    <cellStyle name="40% - Accent5 2 2 2 2 4" xfId="10562"/>
    <cellStyle name="40% - Accent5 2 2 2 2 4 2" xfId="20183"/>
    <cellStyle name="40% - Accent5 2 2 2 2 4 2 2" xfId="36404"/>
    <cellStyle name="40% - Accent5 2 2 2 2 4 3" xfId="29716"/>
    <cellStyle name="40% - Accent5 2 2 2 2 5" xfId="14798"/>
    <cellStyle name="40% - Accent5 2 2 2 2 5 2" xfId="31020"/>
    <cellStyle name="40% - Accent5 2 2 2 2 6" xfId="18426"/>
    <cellStyle name="40% - Accent5 2 2 2 2 6 2" xfId="34647"/>
    <cellStyle name="40% - Accent5 2 2 2 2 7" xfId="6662"/>
    <cellStyle name="40% - Accent5 2 2 2 2 7 2" xfId="27965"/>
    <cellStyle name="40% - Accent5 2 2 2 2 8" xfId="21625"/>
    <cellStyle name="40% - Accent5 2 2 2 2 8 2" xfId="37837"/>
    <cellStyle name="40% - Accent5 2 2 2 2 9" xfId="23123"/>
    <cellStyle name="40% - Accent5 2 2 2 3" xfId="1305"/>
    <cellStyle name="40% - Accent5 2 2 2 3 2" xfId="2804"/>
    <cellStyle name="40% - Accent5 2 2 2 3 2 2" xfId="6668"/>
    <cellStyle name="40% - Accent5 2 2 2 3 2 2 2" xfId="10568"/>
    <cellStyle name="40% - Accent5 2 2 2 3 2 2 2 2" xfId="20189"/>
    <cellStyle name="40% - Accent5 2 2 2 3 2 2 2 2 2" xfId="36410"/>
    <cellStyle name="40% - Accent5 2 2 2 3 2 2 2 3" xfId="29722"/>
    <cellStyle name="40% - Accent5 2 2 2 3 2 2 3" xfId="17439"/>
    <cellStyle name="40% - Accent5 2 2 2 3 2 2 3 2" xfId="33660"/>
    <cellStyle name="40% - Accent5 2 2 2 3 2 2 4" xfId="18432"/>
    <cellStyle name="40% - Accent5 2 2 2 3 2 2 4 2" xfId="34653"/>
    <cellStyle name="40% - Accent5 2 2 2 3 2 2 5" xfId="27971"/>
    <cellStyle name="40% - Accent5 2 2 2 3 2 3" xfId="10567"/>
    <cellStyle name="40% - Accent5 2 2 2 3 2 3 2" xfId="20188"/>
    <cellStyle name="40% - Accent5 2 2 2 3 2 3 2 2" xfId="36409"/>
    <cellStyle name="40% - Accent5 2 2 2 3 2 3 3" xfId="29721"/>
    <cellStyle name="40% - Accent5 2 2 2 3 2 4" xfId="15854"/>
    <cellStyle name="40% - Accent5 2 2 2 3 2 4 2" xfId="32076"/>
    <cellStyle name="40% - Accent5 2 2 2 3 2 5" xfId="18431"/>
    <cellStyle name="40% - Accent5 2 2 2 3 2 5 2" xfId="34652"/>
    <cellStyle name="40% - Accent5 2 2 2 3 2 6" xfId="6667"/>
    <cellStyle name="40% - Accent5 2 2 2 3 2 6 2" xfId="27970"/>
    <cellStyle name="40% - Accent5 2 2 2 3 2 7" xfId="24972"/>
    <cellStyle name="40% - Accent5 2 2 2 3 3" xfId="4303"/>
    <cellStyle name="40% - Accent5 2 2 2 3 3 2" xfId="10569"/>
    <cellStyle name="40% - Accent5 2 2 2 3 3 2 2" xfId="20190"/>
    <cellStyle name="40% - Accent5 2 2 2 3 3 2 2 2" xfId="36411"/>
    <cellStyle name="40% - Accent5 2 2 2 3 3 2 3" xfId="29723"/>
    <cellStyle name="40% - Accent5 2 2 2 3 3 3" xfId="16647"/>
    <cellStyle name="40% - Accent5 2 2 2 3 3 3 2" xfId="32868"/>
    <cellStyle name="40% - Accent5 2 2 2 3 3 4" xfId="18433"/>
    <cellStyle name="40% - Accent5 2 2 2 3 3 4 2" xfId="34654"/>
    <cellStyle name="40% - Accent5 2 2 2 3 3 5" xfId="6669"/>
    <cellStyle name="40% - Accent5 2 2 2 3 3 5 2" xfId="27972"/>
    <cellStyle name="40% - Accent5 2 2 2 3 3 6" xfId="26470"/>
    <cellStyle name="40% - Accent5 2 2 2 3 4" xfId="10566"/>
    <cellStyle name="40% - Accent5 2 2 2 3 4 2" xfId="20187"/>
    <cellStyle name="40% - Accent5 2 2 2 3 4 2 2" xfId="36408"/>
    <cellStyle name="40% - Accent5 2 2 2 3 4 3" xfId="29720"/>
    <cellStyle name="40% - Accent5 2 2 2 3 5" xfId="15062"/>
    <cellStyle name="40% - Accent5 2 2 2 3 5 2" xfId="31284"/>
    <cellStyle name="40% - Accent5 2 2 2 3 6" xfId="18430"/>
    <cellStyle name="40% - Accent5 2 2 2 3 6 2" xfId="34651"/>
    <cellStyle name="40% - Accent5 2 2 2 3 7" xfId="6666"/>
    <cellStyle name="40% - Accent5 2 2 2 3 7 2" xfId="27969"/>
    <cellStyle name="40% - Accent5 2 2 2 3 8" xfId="21976"/>
    <cellStyle name="40% - Accent5 2 2 2 3 8 2" xfId="38188"/>
    <cellStyle name="40% - Accent5 2 2 2 3 9" xfId="23474"/>
    <cellStyle name="40% - Accent5 2 2 2 4" xfId="1656"/>
    <cellStyle name="40% - Accent5 2 2 2 4 2" xfId="3155"/>
    <cellStyle name="40% - Accent5 2 2 2 4 2 2" xfId="10571"/>
    <cellStyle name="40% - Accent5 2 2 2 4 2 2 2" xfId="20192"/>
    <cellStyle name="40% - Accent5 2 2 2 4 2 2 2 2" xfId="36413"/>
    <cellStyle name="40% - Accent5 2 2 2 4 2 2 3" xfId="29725"/>
    <cellStyle name="40% - Accent5 2 2 2 4 2 3" xfId="16911"/>
    <cellStyle name="40% - Accent5 2 2 2 4 2 3 2" xfId="33132"/>
    <cellStyle name="40% - Accent5 2 2 2 4 2 4" xfId="18435"/>
    <cellStyle name="40% - Accent5 2 2 2 4 2 4 2" xfId="34656"/>
    <cellStyle name="40% - Accent5 2 2 2 4 2 5" xfId="6671"/>
    <cellStyle name="40% - Accent5 2 2 2 4 2 5 2" xfId="27974"/>
    <cellStyle name="40% - Accent5 2 2 2 4 2 6" xfId="25323"/>
    <cellStyle name="40% - Accent5 2 2 2 4 3" xfId="4654"/>
    <cellStyle name="40% - Accent5 2 2 2 4 3 2" xfId="20191"/>
    <cellStyle name="40% - Accent5 2 2 2 4 3 2 2" xfId="36412"/>
    <cellStyle name="40% - Accent5 2 2 2 4 3 3" xfId="10570"/>
    <cellStyle name="40% - Accent5 2 2 2 4 3 3 2" xfId="29724"/>
    <cellStyle name="40% - Accent5 2 2 2 4 3 4" xfId="26821"/>
    <cellStyle name="40% - Accent5 2 2 2 4 4" xfId="15326"/>
    <cellStyle name="40% - Accent5 2 2 2 4 4 2" xfId="31548"/>
    <cellStyle name="40% - Accent5 2 2 2 4 5" xfId="18434"/>
    <cellStyle name="40% - Accent5 2 2 2 4 5 2" xfId="34655"/>
    <cellStyle name="40% - Accent5 2 2 2 4 6" xfId="6670"/>
    <cellStyle name="40% - Accent5 2 2 2 4 6 2" xfId="27973"/>
    <cellStyle name="40% - Accent5 2 2 2 4 7" xfId="22327"/>
    <cellStyle name="40% - Accent5 2 2 2 4 7 2" xfId="38539"/>
    <cellStyle name="40% - Accent5 2 2 2 4 8" xfId="23825"/>
    <cellStyle name="40% - Accent5 2 2 2 5" xfId="2102"/>
    <cellStyle name="40% - Accent5 2 2 2 5 2" xfId="10572"/>
    <cellStyle name="40% - Accent5 2 2 2 5 2 2" xfId="20193"/>
    <cellStyle name="40% - Accent5 2 2 2 5 2 2 2" xfId="36414"/>
    <cellStyle name="40% - Accent5 2 2 2 5 2 3" xfId="29726"/>
    <cellStyle name="40% - Accent5 2 2 2 5 3" xfId="16119"/>
    <cellStyle name="40% - Accent5 2 2 2 5 3 2" xfId="32340"/>
    <cellStyle name="40% - Accent5 2 2 2 5 4" xfId="18436"/>
    <cellStyle name="40% - Accent5 2 2 2 5 4 2" xfId="34657"/>
    <cellStyle name="40% - Accent5 2 2 2 5 5" xfId="6672"/>
    <cellStyle name="40% - Accent5 2 2 2 5 5 2" xfId="27975"/>
    <cellStyle name="40% - Accent5 2 2 2 5 6" xfId="24270"/>
    <cellStyle name="40% - Accent5 2 2 2 6" xfId="3601"/>
    <cellStyle name="40% - Accent5 2 2 2 6 2" xfId="20182"/>
    <cellStyle name="40% - Accent5 2 2 2 6 2 2" xfId="36403"/>
    <cellStyle name="40% - Accent5 2 2 2 6 3" xfId="10561"/>
    <cellStyle name="40% - Accent5 2 2 2 6 3 2" xfId="29715"/>
    <cellStyle name="40% - Accent5 2 2 2 6 4" xfId="25768"/>
    <cellStyle name="40% - Accent5 2 2 2 7" xfId="14534"/>
    <cellStyle name="40% - Accent5 2 2 2 7 2" xfId="30756"/>
    <cellStyle name="40% - Accent5 2 2 2 8" xfId="18425"/>
    <cellStyle name="40% - Accent5 2 2 2 8 2" xfId="34646"/>
    <cellStyle name="40% - Accent5 2 2 2 9" xfId="6661"/>
    <cellStyle name="40% - Accent5 2 2 2 9 2" xfId="27964"/>
    <cellStyle name="40% - Accent5 2 2 3" xfId="720"/>
    <cellStyle name="40% - Accent5 2 2 3 10" xfId="39307"/>
    <cellStyle name="40% - Accent5 2 2 3 2" xfId="1071"/>
    <cellStyle name="40% - Accent5 2 2 3 2 2" xfId="2570"/>
    <cellStyle name="40% - Accent5 2 2 3 2 2 2" xfId="10575"/>
    <cellStyle name="40% - Accent5 2 2 3 2 2 2 2" xfId="20196"/>
    <cellStyle name="40% - Accent5 2 2 3 2 2 2 2 2" xfId="36417"/>
    <cellStyle name="40% - Accent5 2 2 3 2 2 2 3" xfId="29729"/>
    <cellStyle name="40% - Accent5 2 2 3 2 2 3" xfId="17043"/>
    <cellStyle name="40% - Accent5 2 2 3 2 2 3 2" xfId="33264"/>
    <cellStyle name="40% - Accent5 2 2 3 2 2 4" xfId="18439"/>
    <cellStyle name="40% - Accent5 2 2 3 2 2 4 2" xfId="34660"/>
    <cellStyle name="40% - Accent5 2 2 3 2 2 5" xfId="6675"/>
    <cellStyle name="40% - Accent5 2 2 3 2 2 5 2" xfId="27978"/>
    <cellStyle name="40% - Accent5 2 2 3 2 2 6" xfId="24738"/>
    <cellStyle name="40% - Accent5 2 2 3 2 3" xfId="4069"/>
    <cellStyle name="40% - Accent5 2 2 3 2 3 2" xfId="20195"/>
    <cellStyle name="40% - Accent5 2 2 3 2 3 2 2" xfId="36416"/>
    <cellStyle name="40% - Accent5 2 2 3 2 3 3" xfId="10574"/>
    <cellStyle name="40% - Accent5 2 2 3 2 3 3 2" xfId="29728"/>
    <cellStyle name="40% - Accent5 2 2 3 2 3 4" xfId="26236"/>
    <cellStyle name="40% - Accent5 2 2 3 2 4" xfId="15458"/>
    <cellStyle name="40% - Accent5 2 2 3 2 4 2" xfId="31680"/>
    <cellStyle name="40% - Accent5 2 2 3 2 5" xfId="18438"/>
    <cellStyle name="40% - Accent5 2 2 3 2 5 2" xfId="34659"/>
    <cellStyle name="40% - Accent5 2 2 3 2 6" xfId="6674"/>
    <cellStyle name="40% - Accent5 2 2 3 2 6 2" xfId="27977"/>
    <cellStyle name="40% - Accent5 2 2 3 2 7" xfId="21742"/>
    <cellStyle name="40% - Accent5 2 2 3 2 7 2" xfId="37954"/>
    <cellStyle name="40% - Accent5 2 2 3 2 8" xfId="23240"/>
    <cellStyle name="40% - Accent5 2 2 3 3" xfId="1422"/>
    <cellStyle name="40% - Accent5 2 2 3 3 2" xfId="2921"/>
    <cellStyle name="40% - Accent5 2 2 3 3 2 2" xfId="20197"/>
    <cellStyle name="40% - Accent5 2 2 3 3 2 2 2" xfId="36418"/>
    <cellStyle name="40% - Accent5 2 2 3 3 2 3" xfId="10576"/>
    <cellStyle name="40% - Accent5 2 2 3 3 2 3 2" xfId="29730"/>
    <cellStyle name="40% - Accent5 2 2 3 3 2 4" xfId="25089"/>
    <cellStyle name="40% - Accent5 2 2 3 3 3" xfId="4420"/>
    <cellStyle name="40% - Accent5 2 2 3 3 3 2" xfId="16251"/>
    <cellStyle name="40% - Accent5 2 2 3 3 3 2 2" xfId="32472"/>
    <cellStyle name="40% - Accent5 2 2 3 3 3 3" xfId="26587"/>
    <cellStyle name="40% - Accent5 2 2 3 3 4" xfId="18440"/>
    <cellStyle name="40% - Accent5 2 2 3 3 4 2" xfId="34661"/>
    <cellStyle name="40% - Accent5 2 2 3 3 5" xfId="6676"/>
    <cellStyle name="40% - Accent5 2 2 3 3 5 2" xfId="27979"/>
    <cellStyle name="40% - Accent5 2 2 3 3 6" xfId="22093"/>
    <cellStyle name="40% - Accent5 2 2 3 3 6 2" xfId="38305"/>
    <cellStyle name="40% - Accent5 2 2 3 3 7" xfId="23591"/>
    <cellStyle name="40% - Accent5 2 2 3 4" xfId="1773"/>
    <cellStyle name="40% - Accent5 2 2 3 4 2" xfId="3272"/>
    <cellStyle name="40% - Accent5 2 2 3 4 2 2" xfId="20194"/>
    <cellStyle name="40% - Accent5 2 2 3 4 2 2 2" xfId="36415"/>
    <cellStyle name="40% - Accent5 2 2 3 4 2 3" xfId="25440"/>
    <cellStyle name="40% - Accent5 2 2 3 4 3" xfId="4771"/>
    <cellStyle name="40% - Accent5 2 2 3 4 3 2" xfId="26938"/>
    <cellStyle name="40% - Accent5 2 2 3 4 4" xfId="10573"/>
    <cellStyle name="40% - Accent5 2 2 3 4 4 2" xfId="29727"/>
    <cellStyle name="40% - Accent5 2 2 3 4 5" xfId="22444"/>
    <cellStyle name="40% - Accent5 2 2 3 4 5 2" xfId="38656"/>
    <cellStyle name="40% - Accent5 2 2 3 4 6" xfId="23942"/>
    <cellStyle name="40% - Accent5 2 2 3 5" xfId="2219"/>
    <cellStyle name="40% - Accent5 2 2 3 5 2" xfId="14666"/>
    <cellStyle name="40% - Accent5 2 2 3 5 2 2" xfId="30888"/>
    <cellStyle name="40% - Accent5 2 2 3 5 3" xfId="24387"/>
    <cellStyle name="40% - Accent5 2 2 3 6" xfId="3718"/>
    <cellStyle name="40% - Accent5 2 2 3 6 2" xfId="18437"/>
    <cellStyle name="40% - Accent5 2 2 3 6 2 2" xfId="34658"/>
    <cellStyle name="40% - Accent5 2 2 3 6 3" xfId="25885"/>
    <cellStyle name="40% - Accent5 2 2 3 7" xfId="6673"/>
    <cellStyle name="40% - Accent5 2 2 3 7 2" xfId="27976"/>
    <cellStyle name="40% - Accent5 2 2 3 8" xfId="21391"/>
    <cellStyle name="40% - Accent5 2 2 3 8 2" xfId="37603"/>
    <cellStyle name="40% - Accent5 2 2 3 9" xfId="22889"/>
    <cellStyle name="40% - Accent5 2 2 4" xfId="837"/>
    <cellStyle name="40% - Accent5 2 2 4 10" xfId="39456"/>
    <cellStyle name="40% - Accent5 2 2 4 2" xfId="2336"/>
    <cellStyle name="40% - Accent5 2 2 4 2 2" xfId="6679"/>
    <cellStyle name="40% - Accent5 2 2 4 2 2 2" xfId="10579"/>
    <cellStyle name="40% - Accent5 2 2 4 2 2 2 2" xfId="20200"/>
    <cellStyle name="40% - Accent5 2 2 4 2 2 2 2 2" xfId="36421"/>
    <cellStyle name="40% - Accent5 2 2 4 2 2 2 3" xfId="29733"/>
    <cellStyle name="40% - Accent5 2 2 4 2 2 3" xfId="17307"/>
    <cellStyle name="40% - Accent5 2 2 4 2 2 3 2" xfId="33528"/>
    <cellStyle name="40% - Accent5 2 2 4 2 2 4" xfId="18443"/>
    <cellStyle name="40% - Accent5 2 2 4 2 2 4 2" xfId="34664"/>
    <cellStyle name="40% - Accent5 2 2 4 2 2 5" xfId="27982"/>
    <cellStyle name="40% - Accent5 2 2 4 2 3" xfId="10578"/>
    <cellStyle name="40% - Accent5 2 2 4 2 3 2" xfId="20199"/>
    <cellStyle name="40% - Accent5 2 2 4 2 3 2 2" xfId="36420"/>
    <cellStyle name="40% - Accent5 2 2 4 2 3 3" xfId="29732"/>
    <cellStyle name="40% - Accent5 2 2 4 2 4" xfId="15722"/>
    <cellStyle name="40% - Accent5 2 2 4 2 4 2" xfId="31944"/>
    <cellStyle name="40% - Accent5 2 2 4 2 5" xfId="18442"/>
    <cellStyle name="40% - Accent5 2 2 4 2 5 2" xfId="34663"/>
    <cellStyle name="40% - Accent5 2 2 4 2 6" xfId="6678"/>
    <cellStyle name="40% - Accent5 2 2 4 2 6 2" xfId="27981"/>
    <cellStyle name="40% - Accent5 2 2 4 2 7" xfId="24504"/>
    <cellStyle name="40% - Accent5 2 2 4 3" xfId="3835"/>
    <cellStyle name="40% - Accent5 2 2 4 3 2" xfId="10580"/>
    <cellStyle name="40% - Accent5 2 2 4 3 2 2" xfId="20201"/>
    <cellStyle name="40% - Accent5 2 2 4 3 2 2 2" xfId="36422"/>
    <cellStyle name="40% - Accent5 2 2 4 3 2 3" xfId="29734"/>
    <cellStyle name="40% - Accent5 2 2 4 3 3" xfId="16515"/>
    <cellStyle name="40% - Accent5 2 2 4 3 3 2" xfId="32736"/>
    <cellStyle name="40% - Accent5 2 2 4 3 4" xfId="18444"/>
    <cellStyle name="40% - Accent5 2 2 4 3 4 2" xfId="34665"/>
    <cellStyle name="40% - Accent5 2 2 4 3 5" xfId="6680"/>
    <cellStyle name="40% - Accent5 2 2 4 3 5 2" xfId="27983"/>
    <cellStyle name="40% - Accent5 2 2 4 3 6" xfId="26002"/>
    <cellStyle name="40% - Accent5 2 2 4 4" xfId="10577"/>
    <cellStyle name="40% - Accent5 2 2 4 4 2" xfId="20198"/>
    <cellStyle name="40% - Accent5 2 2 4 4 2 2" xfId="36419"/>
    <cellStyle name="40% - Accent5 2 2 4 4 3" xfId="29731"/>
    <cellStyle name="40% - Accent5 2 2 4 5" xfId="14930"/>
    <cellStyle name="40% - Accent5 2 2 4 5 2" xfId="31152"/>
    <cellStyle name="40% - Accent5 2 2 4 6" xfId="18441"/>
    <cellStyle name="40% - Accent5 2 2 4 6 2" xfId="34662"/>
    <cellStyle name="40% - Accent5 2 2 4 7" xfId="6677"/>
    <cellStyle name="40% - Accent5 2 2 4 7 2" xfId="27980"/>
    <cellStyle name="40% - Accent5 2 2 4 8" xfId="21508"/>
    <cellStyle name="40% - Accent5 2 2 4 8 2" xfId="37720"/>
    <cellStyle name="40% - Accent5 2 2 4 9" xfId="23006"/>
    <cellStyle name="40% - Accent5 2 2 5" xfId="1188"/>
    <cellStyle name="40% - Accent5 2 2 5 2" xfId="2687"/>
    <cellStyle name="40% - Accent5 2 2 5 2 2" xfId="10582"/>
    <cellStyle name="40% - Accent5 2 2 5 2 2 2" xfId="20203"/>
    <cellStyle name="40% - Accent5 2 2 5 2 2 2 2" xfId="36424"/>
    <cellStyle name="40% - Accent5 2 2 5 2 2 3" xfId="29736"/>
    <cellStyle name="40% - Accent5 2 2 5 2 3" xfId="16779"/>
    <cellStyle name="40% - Accent5 2 2 5 2 3 2" xfId="33000"/>
    <cellStyle name="40% - Accent5 2 2 5 2 4" xfId="18446"/>
    <cellStyle name="40% - Accent5 2 2 5 2 4 2" xfId="34667"/>
    <cellStyle name="40% - Accent5 2 2 5 2 5" xfId="6682"/>
    <cellStyle name="40% - Accent5 2 2 5 2 5 2" xfId="27985"/>
    <cellStyle name="40% - Accent5 2 2 5 2 6" xfId="24855"/>
    <cellStyle name="40% - Accent5 2 2 5 3" xfId="4186"/>
    <cellStyle name="40% - Accent5 2 2 5 3 2" xfId="20202"/>
    <cellStyle name="40% - Accent5 2 2 5 3 2 2" xfId="36423"/>
    <cellStyle name="40% - Accent5 2 2 5 3 3" xfId="10581"/>
    <cellStyle name="40% - Accent5 2 2 5 3 3 2" xfId="29735"/>
    <cellStyle name="40% - Accent5 2 2 5 3 4" xfId="26353"/>
    <cellStyle name="40% - Accent5 2 2 5 4" xfId="15194"/>
    <cellStyle name="40% - Accent5 2 2 5 4 2" xfId="31416"/>
    <cellStyle name="40% - Accent5 2 2 5 5" xfId="18445"/>
    <cellStyle name="40% - Accent5 2 2 5 5 2" xfId="34666"/>
    <cellStyle name="40% - Accent5 2 2 5 6" xfId="6681"/>
    <cellStyle name="40% - Accent5 2 2 5 6 2" xfId="27984"/>
    <cellStyle name="40% - Accent5 2 2 5 7" xfId="21859"/>
    <cellStyle name="40% - Accent5 2 2 5 7 2" xfId="38071"/>
    <cellStyle name="40% - Accent5 2 2 5 8" xfId="23357"/>
    <cellStyle name="40% - Accent5 2 2 6" xfId="1539"/>
    <cellStyle name="40% - Accent5 2 2 6 2" xfId="3038"/>
    <cellStyle name="40% - Accent5 2 2 6 2 2" xfId="20204"/>
    <cellStyle name="40% - Accent5 2 2 6 2 2 2" xfId="36425"/>
    <cellStyle name="40% - Accent5 2 2 6 2 3" xfId="10583"/>
    <cellStyle name="40% - Accent5 2 2 6 2 3 2" xfId="29737"/>
    <cellStyle name="40% - Accent5 2 2 6 2 4" xfId="25206"/>
    <cellStyle name="40% - Accent5 2 2 6 3" xfId="4537"/>
    <cellStyle name="40% - Accent5 2 2 6 3 2" xfId="15987"/>
    <cellStyle name="40% - Accent5 2 2 6 3 2 2" xfId="32208"/>
    <cellStyle name="40% - Accent5 2 2 6 3 3" xfId="26704"/>
    <cellStyle name="40% - Accent5 2 2 6 4" xfId="18447"/>
    <cellStyle name="40% - Accent5 2 2 6 4 2" xfId="34668"/>
    <cellStyle name="40% - Accent5 2 2 6 5" xfId="6683"/>
    <cellStyle name="40% - Accent5 2 2 6 5 2" xfId="27986"/>
    <cellStyle name="40% - Accent5 2 2 6 6" xfId="22210"/>
    <cellStyle name="40% - Accent5 2 2 6 6 2" xfId="38422"/>
    <cellStyle name="40% - Accent5 2 2 6 7" xfId="23708"/>
    <cellStyle name="40% - Accent5 2 2 7" xfId="1985"/>
    <cellStyle name="40% - Accent5 2 2 7 2" xfId="20181"/>
    <cellStyle name="40% - Accent5 2 2 7 2 2" xfId="36402"/>
    <cellStyle name="40% - Accent5 2 2 7 3" xfId="10560"/>
    <cellStyle name="40% - Accent5 2 2 7 3 2" xfId="29714"/>
    <cellStyle name="40% - Accent5 2 2 7 4" xfId="24153"/>
    <cellStyle name="40% - Accent5 2 2 8" xfId="3484"/>
    <cellStyle name="40% - Accent5 2 2 8 2" xfId="14402"/>
    <cellStyle name="40% - Accent5 2 2 8 2 2" xfId="30624"/>
    <cellStyle name="40% - Accent5 2 2 8 3" xfId="25651"/>
    <cellStyle name="40% - Accent5 2 2 9" xfId="18424"/>
    <cellStyle name="40% - Accent5 2 2 9 2" xfId="34645"/>
    <cellStyle name="40% - Accent5 2 3" xfId="589"/>
    <cellStyle name="40% - Accent5 2 3 10" xfId="21261"/>
    <cellStyle name="40% - Accent5 2 3 10 2" xfId="37473"/>
    <cellStyle name="40% - Accent5 2 3 11" xfId="22759"/>
    <cellStyle name="40% - Accent5 2 3 12" xfId="39103"/>
    <cellStyle name="40% - Accent5 2 3 2" xfId="941"/>
    <cellStyle name="40% - Accent5 2 3 2 2" xfId="2440"/>
    <cellStyle name="40% - Accent5 2 3 2 2 2" xfId="6687"/>
    <cellStyle name="40% - Accent5 2 3 2 2 2 2" xfId="10587"/>
    <cellStyle name="40% - Accent5 2 3 2 2 2 2 2" xfId="20208"/>
    <cellStyle name="40% - Accent5 2 3 2 2 2 2 2 2" xfId="36429"/>
    <cellStyle name="40% - Accent5 2 3 2 2 2 2 3" xfId="29741"/>
    <cellStyle name="40% - Accent5 2 3 2 2 2 3" xfId="17109"/>
    <cellStyle name="40% - Accent5 2 3 2 2 2 3 2" xfId="33330"/>
    <cellStyle name="40% - Accent5 2 3 2 2 2 4" xfId="18451"/>
    <cellStyle name="40% - Accent5 2 3 2 2 2 4 2" xfId="34672"/>
    <cellStyle name="40% - Accent5 2 3 2 2 2 5" xfId="27990"/>
    <cellStyle name="40% - Accent5 2 3 2 2 3" xfId="10586"/>
    <cellStyle name="40% - Accent5 2 3 2 2 3 2" xfId="20207"/>
    <cellStyle name="40% - Accent5 2 3 2 2 3 2 2" xfId="36428"/>
    <cellStyle name="40% - Accent5 2 3 2 2 3 3" xfId="29740"/>
    <cellStyle name="40% - Accent5 2 3 2 2 4" xfId="15524"/>
    <cellStyle name="40% - Accent5 2 3 2 2 4 2" xfId="31746"/>
    <cellStyle name="40% - Accent5 2 3 2 2 5" xfId="18450"/>
    <cellStyle name="40% - Accent5 2 3 2 2 5 2" xfId="34671"/>
    <cellStyle name="40% - Accent5 2 3 2 2 6" xfId="6686"/>
    <cellStyle name="40% - Accent5 2 3 2 2 6 2" xfId="27989"/>
    <cellStyle name="40% - Accent5 2 3 2 2 7" xfId="24608"/>
    <cellStyle name="40% - Accent5 2 3 2 3" xfId="3939"/>
    <cellStyle name="40% - Accent5 2 3 2 3 2" xfId="10588"/>
    <cellStyle name="40% - Accent5 2 3 2 3 2 2" xfId="20209"/>
    <cellStyle name="40% - Accent5 2 3 2 3 2 2 2" xfId="36430"/>
    <cellStyle name="40% - Accent5 2 3 2 3 2 3" xfId="29742"/>
    <cellStyle name="40% - Accent5 2 3 2 3 3" xfId="16317"/>
    <cellStyle name="40% - Accent5 2 3 2 3 3 2" xfId="32538"/>
    <cellStyle name="40% - Accent5 2 3 2 3 4" xfId="18452"/>
    <cellStyle name="40% - Accent5 2 3 2 3 4 2" xfId="34673"/>
    <cellStyle name="40% - Accent5 2 3 2 3 5" xfId="6688"/>
    <cellStyle name="40% - Accent5 2 3 2 3 5 2" xfId="27991"/>
    <cellStyle name="40% - Accent5 2 3 2 3 6" xfId="26106"/>
    <cellStyle name="40% - Accent5 2 3 2 4" xfId="10585"/>
    <cellStyle name="40% - Accent5 2 3 2 4 2" xfId="20206"/>
    <cellStyle name="40% - Accent5 2 3 2 4 2 2" xfId="36427"/>
    <cellStyle name="40% - Accent5 2 3 2 4 3" xfId="29739"/>
    <cellStyle name="40% - Accent5 2 3 2 5" xfId="14732"/>
    <cellStyle name="40% - Accent5 2 3 2 5 2" xfId="30954"/>
    <cellStyle name="40% - Accent5 2 3 2 6" xfId="18449"/>
    <cellStyle name="40% - Accent5 2 3 2 6 2" xfId="34670"/>
    <cellStyle name="40% - Accent5 2 3 2 7" xfId="6685"/>
    <cellStyle name="40% - Accent5 2 3 2 7 2" xfId="27988"/>
    <cellStyle name="40% - Accent5 2 3 2 8" xfId="21612"/>
    <cellStyle name="40% - Accent5 2 3 2 8 2" xfId="37824"/>
    <cellStyle name="40% - Accent5 2 3 2 9" xfId="23110"/>
    <cellStyle name="40% - Accent5 2 3 3" xfId="1292"/>
    <cellStyle name="40% - Accent5 2 3 3 2" xfId="2791"/>
    <cellStyle name="40% - Accent5 2 3 3 2 2" xfId="6691"/>
    <cellStyle name="40% - Accent5 2 3 3 2 2 2" xfId="10591"/>
    <cellStyle name="40% - Accent5 2 3 3 2 2 2 2" xfId="20212"/>
    <cellStyle name="40% - Accent5 2 3 3 2 2 2 2 2" xfId="36433"/>
    <cellStyle name="40% - Accent5 2 3 3 2 2 2 3" xfId="29745"/>
    <cellStyle name="40% - Accent5 2 3 3 2 2 3" xfId="17373"/>
    <cellStyle name="40% - Accent5 2 3 3 2 2 3 2" xfId="33594"/>
    <cellStyle name="40% - Accent5 2 3 3 2 2 4" xfId="18455"/>
    <cellStyle name="40% - Accent5 2 3 3 2 2 4 2" xfId="34676"/>
    <cellStyle name="40% - Accent5 2 3 3 2 2 5" xfId="27994"/>
    <cellStyle name="40% - Accent5 2 3 3 2 3" xfId="10590"/>
    <cellStyle name="40% - Accent5 2 3 3 2 3 2" xfId="20211"/>
    <cellStyle name="40% - Accent5 2 3 3 2 3 2 2" xfId="36432"/>
    <cellStyle name="40% - Accent5 2 3 3 2 3 3" xfId="29744"/>
    <cellStyle name="40% - Accent5 2 3 3 2 4" xfId="15788"/>
    <cellStyle name="40% - Accent5 2 3 3 2 4 2" xfId="32010"/>
    <cellStyle name="40% - Accent5 2 3 3 2 5" xfId="18454"/>
    <cellStyle name="40% - Accent5 2 3 3 2 5 2" xfId="34675"/>
    <cellStyle name="40% - Accent5 2 3 3 2 6" xfId="6690"/>
    <cellStyle name="40% - Accent5 2 3 3 2 6 2" xfId="27993"/>
    <cellStyle name="40% - Accent5 2 3 3 2 7" xfId="24959"/>
    <cellStyle name="40% - Accent5 2 3 3 3" xfId="4290"/>
    <cellStyle name="40% - Accent5 2 3 3 3 2" xfId="10592"/>
    <cellStyle name="40% - Accent5 2 3 3 3 2 2" xfId="20213"/>
    <cellStyle name="40% - Accent5 2 3 3 3 2 2 2" xfId="36434"/>
    <cellStyle name="40% - Accent5 2 3 3 3 2 3" xfId="29746"/>
    <cellStyle name="40% - Accent5 2 3 3 3 3" xfId="16581"/>
    <cellStyle name="40% - Accent5 2 3 3 3 3 2" xfId="32802"/>
    <cellStyle name="40% - Accent5 2 3 3 3 4" xfId="18456"/>
    <cellStyle name="40% - Accent5 2 3 3 3 4 2" xfId="34677"/>
    <cellStyle name="40% - Accent5 2 3 3 3 5" xfId="6692"/>
    <cellStyle name="40% - Accent5 2 3 3 3 5 2" xfId="27995"/>
    <cellStyle name="40% - Accent5 2 3 3 3 6" xfId="26457"/>
    <cellStyle name="40% - Accent5 2 3 3 4" xfId="10589"/>
    <cellStyle name="40% - Accent5 2 3 3 4 2" xfId="20210"/>
    <cellStyle name="40% - Accent5 2 3 3 4 2 2" xfId="36431"/>
    <cellStyle name="40% - Accent5 2 3 3 4 3" xfId="29743"/>
    <cellStyle name="40% - Accent5 2 3 3 5" xfId="14996"/>
    <cellStyle name="40% - Accent5 2 3 3 5 2" xfId="31218"/>
    <cellStyle name="40% - Accent5 2 3 3 6" xfId="18453"/>
    <cellStyle name="40% - Accent5 2 3 3 6 2" xfId="34674"/>
    <cellStyle name="40% - Accent5 2 3 3 7" xfId="6689"/>
    <cellStyle name="40% - Accent5 2 3 3 7 2" xfId="27992"/>
    <cellStyle name="40% - Accent5 2 3 3 8" xfId="21963"/>
    <cellStyle name="40% - Accent5 2 3 3 8 2" xfId="38175"/>
    <cellStyle name="40% - Accent5 2 3 3 9" xfId="23461"/>
    <cellStyle name="40% - Accent5 2 3 4" xfId="1643"/>
    <cellStyle name="40% - Accent5 2 3 4 2" xfId="3142"/>
    <cellStyle name="40% - Accent5 2 3 4 2 2" xfId="10594"/>
    <cellStyle name="40% - Accent5 2 3 4 2 2 2" xfId="20215"/>
    <cellStyle name="40% - Accent5 2 3 4 2 2 2 2" xfId="36436"/>
    <cellStyle name="40% - Accent5 2 3 4 2 2 3" xfId="29748"/>
    <cellStyle name="40% - Accent5 2 3 4 2 3" xfId="16845"/>
    <cellStyle name="40% - Accent5 2 3 4 2 3 2" xfId="33066"/>
    <cellStyle name="40% - Accent5 2 3 4 2 4" xfId="18458"/>
    <cellStyle name="40% - Accent5 2 3 4 2 4 2" xfId="34679"/>
    <cellStyle name="40% - Accent5 2 3 4 2 5" xfId="6694"/>
    <cellStyle name="40% - Accent5 2 3 4 2 5 2" xfId="27997"/>
    <cellStyle name="40% - Accent5 2 3 4 2 6" xfId="25310"/>
    <cellStyle name="40% - Accent5 2 3 4 3" xfId="4641"/>
    <cellStyle name="40% - Accent5 2 3 4 3 2" xfId="20214"/>
    <cellStyle name="40% - Accent5 2 3 4 3 2 2" xfId="36435"/>
    <cellStyle name="40% - Accent5 2 3 4 3 3" xfId="10593"/>
    <cellStyle name="40% - Accent5 2 3 4 3 3 2" xfId="29747"/>
    <cellStyle name="40% - Accent5 2 3 4 3 4" xfId="26808"/>
    <cellStyle name="40% - Accent5 2 3 4 4" xfId="15260"/>
    <cellStyle name="40% - Accent5 2 3 4 4 2" xfId="31482"/>
    <cellStyle name="40% - Accent5 2 3 4 5" xfId="18457"/>
    <cellStyle name="40% - Accent5 2 3 4 5 2" xfId="34678"/>
    <cellStyle name="40% - Accent5 2 3 4 6" xfId="6693"/>
    <cellStyle name="40% - Accent5 2 3 4 6 2" xfId="27996"/>
    <cellStyle name="40% - Accent5 2 3 4 7" xfId="22314"/>
    <cellStyle name="40% - Accent5 2 3 4 7 2" xfId="38526"/>
    <cellStyle name="40% - Accent5 2 3 4 8" xfId="23812"/>
    <cellStyle name="40% - Accent5 2 3 5" xfId="2089"/>
    <cellStyle name="40% - Accent5 2 3 5 2" xfId="10595"/>
    <cellStyle name="40% - Accent5 2 3 5 2 2" xfId="20216"/>
    <cellStyle name="40% - Accent5 2 3 5 2 2 2" xfId="36437"/>
    <cellStyle name="40% - Accent5 2 3 5 2 3" xfId="29749"/>
    <cellStyle name="40% - Accent5 2 3 5 3" xfId="16053"/>
    <cellStyle name="40% - Accent5 2 3 5 3 2" xfId="32274"/>
    <cellStyle name="40% - Accent5 2 3 5 4" xfId="18459"/>
    <cellStyle name="40% - Accent5 2 3 5 4 2" xfId="34680"/>
    <cellStyle name="40% - Accent5 2 3 5 5" xfId="6695"/>
    <cellStyle name="40% - Accent5 2 3 5 5 2" xfId="27998"/>
    <cellStyle name="40% - Accent5 2 3 5 6" xfId="24257"/>
    <cellStyle name="40% - Accent5 2 3 6" xfId="3588"/>
    <cellStyle name="40% - Accent5 2 3 6 2" xfId="20205"/>
    <cellStyle name="40% - Accent5 2 3 6 2 2" xfId="36426"/>
    <cellStyle name="40% - Accent5 2 3 6 3" xfId="10584"/>
    <cellStyle name="40% - Accent5 2 3 6 3 2" xfId="29738"/>
    <cellStyle name="40% - Accent5 2 3 6 4" xfId="25755"/>
    <cellStyle name="40% - Accent5 2 3 7" xfId="14468"/>
    <cellStyle name="40% - Accent5 2 3 7 2" xfId="30690"/>
    <cellStyle name="40% - Accent5 2 3 8" xfId="18448"/>
    <cellStyle name="40% - Accent5 2 3 8 2" xfId="34669"/>
    <cellStyle name="40% - Accent5 2 3 9" xfId="6684"/>
    <cellStyle name="40% - Accent5 2 3 9 2" xfId="27987"/>
    <cellStyle name="40% - Accent5 2 4" xfId="707"/>
    <cellStyle name="40% - Accent5 2 4 10" xfId="39251"/>
    <cellStyle name="40% - Accent5 2 4 2" xfId="1058"/>
    <cellStyle name="40% - Accent5 2 4 2 2" xfId="2557"/>
    <cellStyle name="40% - Accent5 2 4 2 2 2" xfId="10598"/>
    <cellStyle name="40% - Accent5 2 4 2 2 2 2" xfId="20219"/>
    <cellStyle name="40% - Accent5 2 4 2 2 2 2 2" xfId="36440"/>
    <cellStyle name="40% - Accent5 2 4 2 2 2 3" xfId="29752"/>
    <cellStyle name="40% - Accent5 2 4 2 2 3" xfId="16977"/>
    <cellStyle name="40% - Accent5 2 4 2 2 3 2" xfId="33198"/>
    <cellStyle name="40% - Accent5 2 4 2 2 4" xfId="18462"/>
    <cellStyle name="40% - Accent5 2 4 2 2 4 2" xfId="34683"/>
    <cellStyle name="40% - Accent5 2 4 2 2 5" xfId="6698"/>
    <cellStyle name="40% - Accent5 2 4 2 2 5 2" xfId="28001"/>
    <cellStyle name="40% - Accent5 2 4 2 2 6" xfId="24725"/>
    <cellStyle name="40% - Accent5 2 4 2 3" xfId="4056"/>
    <cellStyle name="40% - Accent5 2 4 2 3 2" xfId="20218"/>
    <cellStyle name="40% - Accent5 2 4 2 3 2 2" xfId="36439"/>
    <cellStyle name="40% - Accent5 2 4 2 3 3" xfId="10597"/>
    <cellStyle name="40% - Accent5 2 4 2 3 3 2" xfId="29751"/>
    <cellStyle name="40% - Accent5 2 4 2 3 4" xfId="26223"/>
    <cellStyle name="40% - Accent5 2 4 2 4" xfId="15392"/>
    <cellStyle name="40% - Accent5 2 4 2 4 2" xfId="31614"/>
    <cellStyle name="40% - Accent5 2 4 2 5" xfId="18461"/>
    <cellStyle name="40% - Accent5 2 4 2 5 2" xfId="34682"/>
    <cellStyle name="40% - Accent5 2 4 2 6" xfId="6697"/>
    <cellStyle name="40% - Accent5 2 4 2 6 2" xfId="28000"/>
    <cellStyle name="40% - Accent5 2 4 2 7" xfId="21729"/>
    <cellStyle name="40% - Accent5 2 4 2 7 2" xfId="37941"/>
    <cellStyle name="40% - Accent5 2 4 2 8" xfId="23227"/>
    <cellStyle name="40% - Accent5 2 4 3" xfId="1409"/>
    <cellStyle name="40% - Accent5 2 4 3 2" xfId="2908"/>
    <cellStyle name="40% - Accent5 2 4 3 2 2" xfId="20220"/>
    <cellStyle name="40% - Accent5 2 4 3 2 2 2" xfId="36441"/>
    <cellStyle name="40% - Accent5 2 4 3 2 3" xfId="10599"/>
    <cellStyle name="40% - Accent5 2 4 3 2 3 2" xfId="29753"/>
    <cellStyle name="40% - Accent5 2 4 3 2 4" xfId="25076"/>
    <cellStyle name="40% - Accent5 2 4 3 3" xfId="4407"/>
    <cellStyle name="40% - Accent5 2 4 3 3 2" xfId="16185"/>
    <cellStyle name="40% - Accent5 2 4 3 3 2 2" xfId="32406"/>
    <cellStyle name="40% - Accent5 2 4 3 3 3" xfId="26574"/>
    <cellStyle name="40% - Accent5 2 4 3 4" xfId="18463"/>
    <cellStyle name="40% - Accent5 2 4 3 4 2" xfId="34684"/>
    <cellStyle name="40% - Accent5 2 4 3 5" xfId="6699"/>
    <cellStyle name="40% - Accent5 2 4 3 5 2" xfId="28002"/>
    <cellStyle name="40% - Accent5 2 4 3 6" xfId="22080"/>
    <cellStyle name="40% - Accent5 2 4 3 6 2" xfId="38292"/>
    <cellStyle name="40% - Accent5 2 4 3 7" xfId="23578"/>
    <cellStyle name="40% - Accent5 2 4 4" xfId="1760"/>
    <cellStyle name="40% - Accent5 2 4 4 2" xfId="3259"/>
    <cellStyle name="40% - Accent5 2 4 4 2 2" xfId="20217"/>
    <cellStyle name="40% - Accent5 2 4 4 2 2 2" xfId="36438"/>
    <cellStyle name="40% - Accent5 2 4 4 2 3" xfId="25427"/>
    <cellStyle name="40% - Accent5 2 4 4 3" xfId="4758"/>
    <cellStyle name="40% - Accent5 2 4 4 3 2" xfId="26925"/>
    <cellStyle name="40% - Accent5 2 4 4 4" xfId="10596"/>
    <cellStyle name="40% - Accent5 2 4 4 4 2" xfId="29750"/>
    <cellStyle name="40% - Accent5 2 4 4 5" xfId="22431"/>
    <cellStyle name="40% - Accent5 2 4 4 5 2" xfId="38643"/>
    <cellStyle name="40% - Accent5 2 4 4 6" xfId="23929"/>
    <cellStyle name="40% - Accent5 2 4 5" xfId="2206"/>
    <cellStyle name="40% - Accent5 2 4 5 2" xfId="14600"/>
    <cellStyle name="40% - Accent5 2 4 5 2 2" xfId="30822"/>
    <cellStyle name="40% - Accent5 2 4 5 3" xfId="24374"/>
    <cellStyle name="40% - Accent5 2 4 6" xfId="3705"/>
    <cellStyle name="40% - Accent5 2 4 6 2" xfId="18460"/>
    <cellStyle name="40% - Accent5 2 4 6 2 2" xfId="34681"/>
    <cellStyle name="40% - Accent5 2 4 6 3" xfId="25872"/>
    <cellStyle name="40% - Accent5 2 4 7" xfId="6696"/>
    <cellStyle name="40% - Accent5 2 4 7 2" xfId="27999"/>
    <cellStyle name="40% - Accent5 2 4 8" xfId="21378"/>
    <cellStyle name="40% - Accent5 2 4 8 2" xfId="37590"/>
    <cellStyle name="40% - Accent5 2 4 9" xfId="22876"/>
    <cellStyle name="40% - Accent5 2 5" xfId="824"/>
    <cellStyle name="40% - Accent5 2 5 10" xfId="39400"/>
    <cellStyle name="40% - Accent5 2 5 2" xfId="2323"/>
    <cellStyle name="40% - Accent5 2 5 2 2" xfId="6702"/>
    <cellStyle name="40% - Accent5 2 5 2 2 2" xfId="10602"/>
    <cellStyle name="40% - Accent5 2 5 2 2 2 2" xfId="20223"/>
    <cellStyle name="40% - Accent5 2 5 2 2 2 2 2" xfId="36444"/>
    <cellStyle name="40% - Accent5 2 5 2 2 2 3" xfId="29756"/>
    <cellStyle name="40% - Accent5 2 5 2 2 3" xfId="17241"/>
    <cellStyle name="40% - Accent5 2 5 2 2 3 2" xfId="33462"/>
    <cellStyle name="40% - Accent5 2 5 2 2 4" xfId="18466"/>
    <cellStyle name="40% - Accent5 2 5 2 2 4 2" xfId="34687"/>
    <cellStyle name="40% - Accent5 2 5 2 2 5" xfId="28005"/>
    <cellStyle name="40% - Accent5 2 5 2 3" xfId="10601"/>
    <cellStyle name="40% - Accent5 2 5 2 3 2" xfId="20222"/>
    <cellStyle name="40% - Accent5 2 5 2 3 2 2" xfId="36443"/>
    <cellStyle name="40% - Accent5 2 5 2 3 3" xfId="29755"/>
    <cellStyle name="40% - Accent5 2 5 2 4" xfId="15656"/>
    <cellStyle name="40% - Accent5 2 5 2 4 2" xfId="31878"/>
    <cellStyle name="40% - Accent5 2 5 2 5" xfId="18465"/>
    <cellStyle name="40% - Accent5 2 5 2 5 2" xfId="34686"/>
    <cellStyle name="40% - Accent5 2 5 2 6" xfId="6701"/>
    <cellStyle name="40% - Accent5 2 5 2 6 2" xfId="28004"/>
    <cellStyle name="40% - Accent5 2 5 2 7" xfId="24491"/>
    <cellStyle name="40% - Accent5 2 5 3" xfId="3822"/>
    <cellStyle name="40% - Accent5 2 5 3 2" xfId="10603"/>
    <cellStyle name="40% - Accent5 2 5 3 2 2" xfId="20224"/>
    <cellStyle name="40% - Accent5 2 5 3 2 2 2" xfId="36445"/>
    <cellStyle name="40% - Accent5 2 5 3 2 3" xfId="29757"/>
    <cellStyle name="40% - Accent5 2 5 3 3" xfId="16449"/>
    <cellStyle name="40% - Accent5 2 5 3 3 2" xfId="32670"/>
    <cellStyle name="40% - Accent5 2 5 3 4" xfId="18467"/>
    <cellStyle name="40% - Accent5 2 5 3 4 2" xfId="34688"/>
    <cellStyle name="40% - Accent5 2 5 3 5" xfId="6703"/>
    <cellStyle name="40% - Accent5 2 5 3 5 2" xfId="28006"/>
    <cellStyle name="40% - Accent5 2 5 3 6" xfId="25989"/>
    <cellStyle name="40% - Accent5 2 5 4" xfId="10600"/>
    <cellStyle name="40% - Accent5 2 5 4 2" xfId="20221"/>
    <cellStyle name="40% - Accent5 2 5 4 2 2" xfId="36442"/>
    <cellStyle name="40% - Accent5 2 5 4 3" xfId="29754"/>
    <cellStyle name="40% - Accent5 2 5 5" xfId="14864"/>
    <cellStyle name="40% - Accent5 2 5 5 2" xfId="31086"/>
    <cellStyle name="40% - Accent5 2 5 6" xfId="18464"/>
    <cellStyle name="40% - Accent5 2 5 6 2" xfId="34685"/>
    <cellStyle name="40% - Accent5 2 5 7" xfId="6700"/>
    <cellStyle name="40% - Accent5 2 5 7 2" xfId="28003"/>
    <cellStyle name="40% - Accent5 2 5 8" xfId="21495"/>
    <cellStyle name="40% - Accent5 2 5 8 2" xfId="37707"/>
    <cellStyle name="40% - Accent5 2 5 9" xfId="22993"/>
    <cellStyle name="40% - Accent5 2 6" xfId="1175"/>
    <cellStyle name="40% - Accent5 2 6 2" xfId="2674"/>
    <cellStyle name="40% - Accent5 2 6 2 2" xfId="10605"/>
    <cellStyle name="40% - Accent5 2 6 2 2 2" xfId="20226"/>
    <cellStyle name="40% - Accent5 2 6 2 2 2 2" xfId="36447"/>
    <cellStyle name="40% - Accent5 2 6 2 2 3" xfId="29759"/>
    <cellStyle name="40% - Accent5 2 6 2 3" xfId="16713"/>
    <cellStyle name="40% - Accent5 2 6 2 3 2" xfId="32934"/>
    <cellStyle name="40% - Accent5 2 6 2 4" xfId="18469"/>
    <cellStyle name="40% - Accent5 2 6 2 4 2" xfId="34690"/>
    <cellStyle name="40% - Accent5 2 6 2 5" xfId="6705"/>
    <cellStyle name="40% - Accent5 2 6 2 5 2" xfId="28008"/>
    <cellStyle name="40% - Accent5 2 6 2 6" xfId="24842"/>
    <cellStyle name="40% - Accent5 2 6 3" xfId="4173"/>
    <cellStyle name="40% - Accent5 2 6 3 2" xfId="20225"/>
    <cellStyle name="40% - Accent5 2 6 3 2 2" xfId="36446"/>
    <cellStyle name="40% - Accent5 2 6 3 3" xfId="10604"/>
    <cellStyle name="40% - Accent5 2 6 3 3 2" xfId="29758"/>
    <cellStyle name="40% - Accent5 2 6 3 4" xfId="26340"/>
    <cellStyle name="40% - Accent5 2 6 4" xfId="15128"/>
    <cellStyle name="40% - Accent5 2 6 4 2" xfId="31350"/>
    <cellStyle name="40% - Accent5 2 6 5" xfId="18468"/>
    <cellStyle name="40% - Accent5 2 6 5 2" xfId="34689"/>
    <cellStyle name="40% - Accent5 2 6 6" xfId="6704"/>
    <cellStyle name="40% - Accent5 2 6 6 2" xfId="28007"/>
    <cellStyle name="40% - Accent5 2 6 7" xfId="21846"/>
    <cellStyle name="40% - Accent5 2 6 7 2" xfId="38058"/>
    <cellStyle name="40% - Accent5 2 6 8" xfId="23344"/>
    <cellStyle name="40% - Accent5 2 7" xfId="1526"/>
    <cellStyle name="40% - Accent5 2 7 2" xfId="3025"/>
    <cellStyle name="40% - Accent5 2 7 2 2" xfId="20227"/>
    <cellStyle name="40% - Accent5 2 7 2 2 2" xfId="36448"/>
    <cellStyle name="40% - Accent5 2 7 2 3" xfId="10606"/>
    <cellStyle name="40% - Accent5 2 7 2 3 2" xfId="29760"/>
    <cellStyle name="40% - Accent5 2 7 2 4" xfId="25193"/>
    <cellStyle name="40% - Accent5 2 7 3" xfId="4524"/>
    <cellStyle name="40% - Accent5 2 7 3 2" xfId="15921"/>
    <cellStyle name="40% - Accent5 2 7 3 2 2" xfId="32142"/>
    <cellStyle name="40% - Accent5 2 7 3 3" xfId="26691"/>
    <cellStyle name="40% - Accent5 2 7 4" xfId="18470"/>
    <cellStyle name="40% - Accent5 2 7 4 2" xfId="34691"/>
    <cellStyle name="40% - Accent5 2 7 5" xfId="6706"/>
    <cellStyle name="40% - Accent5 2 7 5 2" xfId="28009"/>
    <cellStyle name="40% - Accent5 2 7 6" xfId="22197"/>
    <cellStyle name="40% - Accent5 2 7 6 2" xfId="38409"/>
    <cellStyle name="40% - Accent5 2 7 7" xfId="23695"/>
    <cellStyle name="40% - Accent5 2 8" xfId="1972"/>
    <cellStyle name="40% - Accent5 2 8 2" xfId="20180"/>
    <cellStyle name="40% - Accent5 2 8 2 2" xfId="36401"/>
    <cellStyle name="40% - Accent5 2 8 3" xfId="10559"/>
    <cellStyle name="40% - Accent5 2 8 3 2" xfId="29713"/>
    <cellStyle name="40% - Accent5 2 8 4" xfId="24140"/>
    <cellStyle name="40% - Accent5 2 9" xfId="3471"/>
    <cellStyle name="40% - Accent5 2 9 2" xfId="14336"/>
    <cellStyle name="40% - Accent5 2 9 2 2" xfId="30558"/>
    <cellStyle name="40% - Accent5 2 9 3" xfId="25638"/>
    <cellStyle name="40% - Accent5 3" xfId="6707"/>
    <cellStyle name="40% - Accent5 3 10" xfId="28010"/>
    <cellStyle name="40% - Accent5 3 11" xfId="38982"/>
    <cellStyle name="40% - Accent5 3 2" xfId="6708"/>
    <cellStyle name="40% - Accent5 3 2 10" xfId="39024"/>
    <cellStyle name="40% - Accent5 3 2 2" xfId="6709"/>
    <cellStyle name="40% - Accent5 3 2 2 2" xfId="6710"/>
    <cellStyle name="40% - Accent5 3 2 2 2 2" xfId="6711"/>
    <cellStyle name="40% - Accent5 3 2 2 2 2 2" xfId="10611"/>
    <cellStyle name="40% - Accent5 3 2 2 2 2 2 2" xfId="20232"/>
    <cellStyle name="40% - Accent5 3 2 2 2 2 2 2 2" xfId="36453"/>
    <cellStyle name="40% - Accent5 3 2 2 2 2 2 3" xfId="29765"/>
    <cellStyle name="40% - Accent5 3 2 2 2 2 3" xfId="17142"/>
    <cellStyle name="40% - Accent5 3 2 2 2 2 3 2" xfId="33363"/>
    <cellStyle name="40% - Accent5 3 2 2 2 2 4" xfId="18475"/>
    <cellStyle name="40% - Accent5 3 2 2 2 2 4 2" xfId="34696"/>
    <cellStyle name="40% - Accent5 3 2 2 2 2 5" xfId="28014"/>
    <cellStyle name="40% - Accent5 3 2 2 2 3" xfId="10610"/>
    <cellStyle name="40% - Accent5 3 2 2 2 3 2" xfId="20231"/>
    <cellStyle name="40% - Accent5 3 2 2 2 3 2 2" xfId="36452"/>
    <cellStyle name="40% - Accent5 3 2 2 2 3 3" xfId="29764"/>
    <cellStyle name="40% - Accent5 3 2 2 2 4" xfId="15557"/>
    <cellStyle name="40% - Accent5 3 2 2 2 4 2" xfId="31779"/>
    <cellStyle name="40% - Accent5 3 2 2 2 5" xfId="18474"/>
    <cellStyle name="40% - Accent5 3 2 2 2 5 2" xfId="34695"/>
    <cellStyle name="40% - Accent5 3 2 2 2 6" xfId="28013"/>
    <cellStyle name="40% - Accent5 3 2 2 3" xfId="6712"/>
    <cellStyle name="40% - Accent5 3 2 2 3 2" xfId="10612"/>
    <cellStyle name="40% - Accent5 3 2 2 3 2 2" xfId="20233"/>
    <cellStyle name="40% - Accent5 3 2 2 3 2 2 2" xfId="36454"/>
    <cellStyle name="40% - Accent5 3 2 2 3 2 3" xfId="29766"/>
    <cellStyle name="40% - Accent5 3 2 2 3 3" xfId="16350"/>
    <cellStyle name="40% - Accent5 3 2 2 3 3 2" xfId="32571"/>
    <cellStyle name="40% - Accent5 3 2 2 3 4" xfId="18476"/>
    <cellStyle name="40% - Accent5 3 2 2 3 4 2" xfId="34697"/>
    <cellStyle name="40% - Accent5 3 2 2 3 5" xfId="28015"/>
    <cellStyle name="40% - Accent5 3 2 2 4" xfId="10609"/>
    <cellStyle name="40% - Accent5 3 2 2 4 2" xfId="20230"/>
    <cellStyle name="40% - Accent5 3 2 2 4 2 2" xfId="36451"/>
    <cellStyle name="40% - Accent5 3 2 2 4 3" xfId="29763"/>
    <cellStyle name="40% - Accent5 3 2 2 5" xfId="14765"/>
    <cellStyle name="40% - Accent5 3 2 2 5 2" xfId="30987"/>
    <cellStyle name="40% - Accent5 3 2 2 6" xfId="18473"/>
    <cellStyle name="40% - Accent5 3 2 2 6 2" xfId="34694"/>
    <cellStyle name="40% - Accent5 3 2 2 7" xfId="28012"/>
    <cellStyle name="40% - Accent5 3 2 2 8" xfId="39172"/>
    <cellStyle name="40% - Accent5 3 2 3" xfId="6713"/>
    <cellStyle name="40% - Accent5 3 2 3 2" xfId="6714"/>
    <cellStyle name="40% - Accent5 3 2 3 2 2" xfId="6715"/>
    <cellStyle name="40% - Accent5 3 2 3 2 2 2" xfId="10615"/>
    <cellStyle name="40% - Accent5 3 2 3 2 2 2 2" xfId="20236"/>
    <cellStyle name="40% - Accent5 3 2 3 2 2 2 2 2" xfId="36457"/>
    <cellStyle name="40% - Accent5 3 2 3 2 2 2 3" xfId="29769"/>
    <cellStyle name="40% - Accent5 3 2 3 2 2 3" xfId="17406"/>
    <cellStyle name="40% - Accent5 3 2 3 2 2 3 2" xfId="33627"/>
    <cellStyle name="40% - Accent5 3 2 3 2 2 4" xfId="18479"/>
    <cellStyle name="40% - Accent5 3 2 3 2 2 4 2" xfId="34700"/>
    <cellStyle name="40% - Accent5 3 2 3 2 2 5" xfId="28018"/>
    <cellStyle name="40% - Accent5 3 2 3 2 3" xfId="10614"/>
    <cellStyle name="40% - Accent5 3 2 3 2 3 2" xfId="20235"/>
    <cellStyle name="40% - Accent5 3 2 3 2 3 2 2" xfId="36456"/>
    <cellStyle name="40% - Accent5 3 2 3 2 3 3" xfId="29768"/>
    <cellStyle name="40% - Accent5 3 2 3 2 4" xfId="15821"/>
    <cellStyle name="40% - Accent5 3 2 3 2 4 2" xfId="32043"/>
    <cellStyle name="40% - Accent5 3 2 3 2 5" xfId="18478"/>
    <cellStyle name="40% - Accent5 3 2 3 2 5 2" xfId="34699"/>
    <cellStyle name="40% - Accent5 3 2 3 2 6" xfId="28017"/>
    <cellStyle name="40% - Accent5 3 2 3 3" xfId="6716"/>
    <cellStyle name="40% - Accent5 3 2 3 3 2" xfId="10616"/>
    <cellStyle name="40% - Accent5 3 2 3 3 2 2" xfId="20237"/>
    <cellStyle name="40% - Accent5 3 2 3 3 2 2 2" xfId="36458"/>
    <cellStyle name="40% - Accent5 3 2 3 3 2 3" xfId="29770"/>
    <cellStyle name="40% - Accent5 3 2 3 3 3" xfId="16614"/>
    <cellStyle name="40% - Accent5 3 2 3 3 3 2" xfId="32835"/>
    <cellStyle name="40% - Accent5 3 2 3 3 4" xfId="18480"/>
    <cellStyle name="40% - Accent5 3 2 3 3 4 2" xfId="34701"/>
    <cellStyle name="40% - Accent5 3 2 3 3 5" xfId="28019"/>
    <cellStyle name="40% - Accent5 3 2 3 4" xfId="10613"/>
    <cellStyle name="40% - Accent5 3 2 3 4 2" xfId="20234"/>
    <cellStyle name="40% - Accent5 3 2 3 4 2 2" xfId="36455"/>
    <cellStyle name="40% - Accent5 3 2 3 4 3" xfId="29767"/>
    <cellStyle name="40% - Accent5 3 2 3 5" xfId="15029"/>
    <cellStyle name="40% - Accent5 3 2 3 5 2" xfId="31251"/>
    <cellStyle name="40% - Accent5 3 2 3 6" xfId="18477"/>
    <cellStyle name="40% - Accent5 3 2 3 6 2" xfId="34698"/>
    <cellStyle name="40% - Accent5 3 2 3 7" xfId="28016"/>
    <cellStyle name="40% - Accent5 3 2 3 8" xfId="39320"/>
    <cellStyle name="40% - Accent5 3 2 4" xfId="6717"/>
    <cellStyle name="40% - Accent5 3 2 4 2" xfId="6718"/>
    <cellStyle name="40% - Accent5 3 2 4 2 2" xfId="10618"/>
    <cellStyle name="40% - Accent5 3 2 4 2 2 2" xfId="20239"/>
    <cellStyle name="40% - Accent5 3 2 4 2 2 2 2" xfId="36460"/>
    <cellStyle name="40% - Accent5 3 2 4 2 2 3" xfId="29772"/>
    <cellStyle name="40% - Accent5 3 2 4 2 3" xfId="16878"/>
    <cellStyle name="40% - Accent5 3 2 4 2 3 2" xfId="33099"/>
    <cellStyle name="40% - Accent5 3 2 4 2 4" xfId="18482"/>
    <cellStyle name="40% - Accent5 3 2 4 2 4 2" xfId="34703"/>
    <cellStyle name="40% - Accent5 3 2 4 2 5" xfId="28021"/>
    <cellStyle name="40% - Accent5 3 2 4 3" xfId="10617"/>
    <cellStyle name="40% - Accent5 3 2 4 3 2" xfId="20238"/>
    <cellStyle name="40% - Accent5 3 2 4 3 2 2" xfId="36459"/>
    <cellStyle name="40% - Accent5 3 2 4 3 3" xfId="29771"/>
    <cellStyle name="40% - Accent5 3 2 4 4" xfId="15293"/>
    <cellStyle name="40% - Accent5 3 2 4 4 2" xfId="31515"/>
    <cellStyle name="40% - Accent5 3 2 4 5" xfId="18481"/>
    <cellStyle name="40% - Accent5 3 2 4 5 2" xfId="34702"/>
    <cellStyle name="40% - Accent5 3 2 4 6" xfId="28020"/>
    <cellStyle name="40% - Accent5 3 2 4 7" xfId="39469"/>
    <cellStyle name="40% - Accent5 3 2 5" xfId="6719"/>
    <cellStyle name="40% - Accent5 3 2 5 2" xfId="10619"/>
    <cellStyle name="40% - Accent5 3 2 5 2 2" xfId="20240"/>
    <cellStyle name="40% - Accent5 3 2 5 2 2 2" xfId="36461"/>
    <cellStyle name="40% - Accent5 3 2 5 2 3" xfId="29773"/>
    <cellStyle name="40% - Accent5 3 2 5 3" xfId="16086"/>
    <cellStyle name="40% - Accent5 3 2 5 3 2" xfId="32307"/>
    <cellStyle name="40% - Accent5 3 2 5 4" xfId="18483"/>
    <cellStyle name="40% - Accent5 3 2 5 4 2" xfId="34704"/>
    <cellStyle name="40% - Accent5 3 2 5 5" xfId="28022"/>
    <cellStyle name="40% - Accent5 3 2 6" xfId="10608"/>
    <cellStyle name="40% - Accent5 3 2 6 2" xfId="20229"/>
    <cellStyle name="40% - Accent5 3 2 6 2 2" xfId="36450"/>
    <cellStyle name="40% - Accent5 3 2 6 3" xfId="29762"/>
    <cellStyle name="40% - Accent5 3 2 7" xfId="14501"/>
    <cellStyle name="40% - Accent5 3 2 7 2" xfId="30723"/>
    <cellStyle name="40% - Accent5 3 2 8" xfId="18472"/>
    <cellStyle name="40% - Accent5 3 2 8 2" xfId="34693"/>
    <cellStyle name="40% - Accent5 3 2 9" xfId="28011"/>
    <cellStyle name="40% - Accent5 3 3" xfId="6720"/>
    <cellStyle name="40% - Accent5 3 3 2" xfId="6721"/>
    <cellStyle name="40% - Accent5 3 3 2 2" xfId="6722"/>
    <cellStyle name="40% - Accent5 3 3 2 2 2" xfId="10622"/>
    <cellStyle name="40% - Accent5 3 3 2 2 2 2" xfId="20243"/>
    <cellStyle name="40% - Accent5 3 3 2 2 2 2 2" xfId="36464"/>
    <cellStyle name="40% - Accent5 3 3 2 2 2 3" xfId="29776"/>
    <cellStyle name="40% - Accent5 3 3 2 2 3" xfId="17010"/>
    <cellStyle name="40% - Accent5 3 3 2 2 3 2" xfId="33231"/>
    <cellStyle name="40% - Accent5 3 3 2 2 4" xfId="18486"/>
    <cellStyle name="40% - Accent5 3 3 2 2 4 2" xfId="34707"/>
    <cellStyle name="40% - Accent5 3 3 2 2 5" xfId="28025"/>
    <cellStyle name="40% - Accent5 3 3 2 3" xfId="10621"/>
    <cellStyle name="40% - Accent5 3 3 2 3 2" xfId="20242"/>
    <cellStyle name="40% - Accent5 3 3 2 3 2 2" xfId="36463"/>
    <cellStyle name="40% - Accent5 3 3 2 3 3" xfId="29775"/>
    <cellStyle name="40% - Accent5 3 3 2 4" xfId="15425"/>
    <cellStyle name="40% - Accent5 3 3 2 4 2" xfId="31647"/>
    <cellStyle name="40% - Accent5 3 3 2 5" xfId="18485"/>
    <cellStyle name="40% - Accent5 3 3 2 5 2" xfId="34706"/>
    <cellStyle name="40% - Accent5 3 3 2 6" xfId="28024"/>
    <cellStyle name="40% - Accent5 3 3 3" xfId="6723"/>
    <cellStyle name="40% - Accent5 3 3 3 2" xfId="10623"/>
    <cellStyle name="40% - Accent5 3 3 3 2 2" xfId="20244"/>
    <cellStyle name="40% - Accent5 3 3 3 2 2 2" xfId="36465"/>
    <cellStyle name="40% - Accent5 3 3 3 2 3" xfId="29777"/>
    <cellStyle name="40% - Accent5 3 3 3 3" xfId="16218"/>
    <cellStyle name="40% - Accent5 3 3 3 3 2" xfId="32439"/>
    <cellStyle name="40% - Accent5 3 3 3 4" xfId="18487"/>
    <cellStyle name="40% - Accent5 3 3 3 4 2" xfId="34708"/>
    <cellStyle name="40% - Accent5 3 3 3 5" xfId="28026"/>
    <cellStyle name="40% - Accent5 3 3 4" xfId="10620"/>
    <cellStyle name="40% - Accent5 3 3 4 2" xfId="20241"/>
    <cellStyle name="40% - Accent5 3 3 4 2 2" xfId="36462"/>
    <cellStyle name="40% - Accent5 3 3 4 3" xfId="29774"/>
    <cellStyle name="40% - Accent5 3 3 5" xfId="14633"/>
    <cellStyle name="40% - Accent5 3 3 5 2" xfId="30855"/>
    <cellStyle name="40% - Accent5 3 3 6" xfId="18484"/>
    <cellStyle name="40% - Accent5 3 3 6 2" xfId="34705"/>
    <cellStyle name="40% - Accent5 3 3 7" xfId="28023"/>
    <cellStyle name="40% - Accent5 3 3 8" xfId="39116"/>
    <cellStyle name="40% - Accent5 3 4" xfId="6724"/>
    <cellStyle name="40% - Accent5 3 4 2" xfId="6725"/>
    <cellStyle name="40% - Accent5 3 4 2 2" xfId="6726"/>
    <cellStyle name="40% - Accent5 3 4 2 2 2" xfId="10626"/>
    <cellStyle name="40% - Accent5 3 4 2 2 2 2" xfId="20247"/>
    <cellStyle name="40% - Accent5 3 4 2 2 2 2 2" xfId="36468"/>
    <cellStyle name="40% - Accent5 3 4 2 2 2 3" xfId="29780"/>
    <cellStyle name="40% - Accent5 3 4 2 2 3" xfId="17274"/>
    <cellStyle name="40% - Accent5 3 4 2 2 3 2" xfId="33495"/>
    <cellStyle name="40% - Accent5 3 4 2 2 4" xfId="18490"/>
    <cellStyle name="40% - Accent5 3 4 2 2 4 2" xfId="34711"/>
    <cellStyle name="40% - Accent5 3 4 2 2 5" xfId="28029"/>
    <cellStyle name="40% - Accent5 3 4 2 3" xfId="10625"/>
    <cellStyle name="40% - Accent5 3 4 2 3 2" xfId="20246"/>
    <cellStyle name="40% - Accent5 3 4 2 3 2 2" xfId="36467"/>
    <cellStyle name="40% - Accent5 3 4 2 3 3" xfId="29779"/>
    <cellStyle name="40% - Accent5 3 4 2 4" xfId="15689"/>
    <cellStyle name="40% - Accent5 3 4 2 4 2" xfId="31911"/>
    <cellStyle name="40% - Accent5 3 4 2 5" xfId="18489"/>
    <cellStyle name="40% - Accent5 3 4 2 5 2" xfId="34710"/>
    <cellStyle name="40% - Accent5 3 4 2 6" xfId="28028"/>
    <cellStyle name="40% - Accent5 3 4 3" xfId="6727"/>
    <cellStyle name="40% - Accent5 3 4 3 2" xfId="10627"/>
    <cellStyle name="40% - Accent5 3 4 3 2 2" xfId="20248"/>
    <cellStyle name="40% - Accent5 3 4 3 2 2 2" xfId="36469"/>
    <cellStyle name="40% - Accent5 3 4 3 2 3" xfId="29781"/>
    <cellStyle name="40% - Accent5 3 4 3 3" xfId="16482"/>
    <cellStyle name="40% - Accent5 3 4 3 3 2" xfId="32703"/>
    <cellStyle name="40% - Accent5 3 4 3 4" xfId="18491"/>
    <cellStyle name="40% - Accent5 3 4 3 4 2" xfId="34712"/>
    <cellStyle name="40% - Accent5 3 4 3 5" xfId="28030"/>
    <cellStyle name="40% - Accent5 3 4 4" xfId="10624"/>
    <cellStyle name="40% - Accent5 3 4 4 2" xfId="20245"/>
    <cellStyle name="40% - Accent5 3 4 4 2 2" xfId="36466"/>
    <cellStyle name="40% - Accent5 3 4 4 3" xfId="29778"/>
    <cellStyle name="40% - Accent5 3 4 5" xfId="14897"/>
    <cellStyle name="40% - Accent5 3 4 5 2" xfId="31119"/>
    <cellStyle name="40% - Accent5 3 4 6" xfId="18488"/>
    <cellStyle name="40% - Accent5 3 4 6 2" xfId="34709"/>
    <cellStyle name="40% - Accent5 3 4 7" xfId="28027"/>
    <cellStyle name="40% - Accent5 3 4 8" xfId="39264"/>
    <cellStyle name="40% - Accent5 3 5" xfId="6728"/>
    <cellStyle name="40% - Accent5 3 5 2" xfId="6729"/>
    <cellStyle name="40% - Accent5 3 5 2 2" xfId="10629"/>
    <cellStyle name="40% - Accent5 3 5 2 2 2" xfId="20250"/>
    <cellStyle name="40% - Accent5 3 5 2 2 2 2" xfId="36471"/>
    <cellStyle name="40% - Accent5 3 5 2 2 3" xfId="29783"/>
    <cellStyle name="40% - Accent5 3 5 2 3" xfId="16746"/>
    <cellStyle name="40% - Accent5 3 5 2 3 2" xfId="32967"/>
    <cellStyle name="40% - Accent5 3 5 2 4" xfId="18493"/>
    <cellStyle name="40% - Accent5 3 5 2 4 2" xfId="34714"/>
    <cellStyle name="40% - Accent5 3 5 2 5" xfId="28032"/>
    <cellStyle name="40% - Accent5 3 5 3" xfId="10628"/>
    <cellStyle name="40% - Accent5 3 5 3 2" xfId="20249"/>
    <cellStyle name="40% - Accent5 3 5 3 2 2" xfId="36470"/>
    <cellStyle name="40% - Accent5 3 5 3 3" xfId="29782"/>
    <cellStyle name="40% - Accent5 3 5 4" xfId="15161"/>
    <cellStyle name="40% - Accent5 3 5 4 2" xfId="31383"/>
    <cellStyle name="40% - Accent5 3 5 5" xfId="18492"/>
    <cellStyle name="40% - Accent5 3 5 5 2" xfId="34713"/>
    <cellStyle name="40% - Accent5 3 5 6" xfId="28031"/>
    <cellStyle name="40% - Accent5 3 5 7" xfId="39413"/>
    <cellStyle name="40% - Accent5 3 6" xfId="6730"/>
    <cellStyle name="40% - Accent5 3 6 2" xfId="10630"/>
    <cellStyle name="40% - Accent5 3 6 2 2" xfId="20251"/>
    <cellStyle name="40% - Accent5 3 6 2 2 2" xfId="36472"/>
    <cellStyle name="40% - Accent5 3 6 2 3" xfId="29784"/>
    <cellStyle name="40% - Accent5 3 6 3" xfId="15954"/>
    <cellStyle name="40% - Accent5 3 6 3 2" xfId="32175"/>
    <cellStyle name="40% - Accent5 3 6 4" xfId="18494"/>
    <cellStyle name="40% - Accent5 3 6 4 2" xfId="34715"/>
    <cellStyle name="40% - Accent5 3 6 5" xfId="28033"/>
    <cellStyle name="40% - Accent5 3 7" xfId="10607"/>
    <cellStyle name="40% - Accent5 3 7 2" xfId="20228"/>
    <cellStyle name="40% - Accent5 3 7 2 2" xfId="36449"/>
    <cellStyle name="40% - Accent5 3 7 3" xfId="29761"/>
    <cellStyle name="40% - Accent5 3 8" xfId="14369"/>
    <cellStyle name="40% - Accent5 3 8 2" xfId="30591"/>
    <cellStyle name="40% - Accent5 3 9" xfId="18471"/>
    <cellStyle name="40% - Accent5 3 9 2" xfId="34692"/>
    <cellStyle name="40% - Accent5 4" xfId="6731"/>
    <cellStyle name="40% - Accent5 4 10" xfId="38995"/>
    <cellStyle name="40% - Accent5 4 2" xfId="6732"/>
    <cellStyle name="40% - Accent5 4 2 2" xfId="6733"/>
    <cellStyle name="40% - Accent5 4 2 2 2" xfId="6734"/>
    <cellStyle name="40% - Accent5 4 2 2 2 2" xfId="10634"/>
    <cellStyle name="40% - Accent5 4 2 2 2 2 2" xfId="20255"/>
    <cellStyle name="40% - Accent5 4 2 2 2 2 2 2" xfId="36476"/>
    <cellStyle name="40% - Accent5 4 2 2 2 2 3" xfId="29788"/>
    <cellStyle name="40% - Accent5 4 2 2 2 3" xfId="17076"/>
    <cellStyle name="40% - Accent5 4 2 2 2 3 2" xfId="33297"/>
    <cellStyle name="40% - Accent5 4 2 2 2 4" xfId="18498"/>
    <cellStyle name="40% - Accent5 4 2 2 2 4 2" xfId="34719"/>
    <cellStyle name="40% - Accent5 4 2 2 2 5" xfId="28037"/>
    <cellStyle name="40% - Accent5 4 2 2 3" xfId="10633"/>
    <cellStyle name="40% - Accent5 4 2 2 3 2" xfId="20254"/>
    <cellStyle name="40% - Accent5 4 2 2 3 2 2" xfId="36475"/>
    <cellStyle name="40% - Accent5 4 2 2 3 3" xfId="29787"/>
    <cellStyle name="40% - Accent5 4 2 2 4" xfId="15491"/>
    <cellStyle name="40% - Accent5 4 2 2 4 2" xfId="31713"/>
    <cellStyle name="40% - Accent5 4 2 2 5" xfId="18497"/>
    <cellStyle name="40% - Accent5 4 2 2 5 2" xfId="34718"/>
    <cellStyle name="40% - Accent5 4 2 2 6" xfId="28036"/>
    <cellStyle name="40% - Accent5 4 2 2 7" xfId="39185"/>
    <cellStyle name="40% - Accent5 4 2 3" xfId="6735"/>
    <cellStyle name="40% - Accent5 4 2 3 2" xfId="10635"/>
    <cellStyle name="40% - Accent5 4 2 3 2 2" xfId="20256"/>
    <cellStyle name="40% - Accent5 4 2 3 2 2 2" xfId="36477"/>
    <cellStyle name="40% - Accent5 4 2 3 2 3" xfId="29789"/>
    <cellStyle name="40% - Accent5 4 2 3 3" xfId="16284"/>
    <cellStyle name="40% - Accent5 4 2 3 3 2" xfId="32505"/>
    <cellStyle name="40% - Accent5 4 2 3 4" xfId="18499"/>
    <cellStyle name="40% - Accent5 4 2 3 4 2" xfId="34720"/>
    <cellStyle name="40% - Accent5 4 2 3 5" xfId="28038"/>
    <cellStyle name="40% - Accent5 4 2 3 6" xfId="39333"/>
    <cellStyle name="40% - Accent5 4 2 4" xfId="10632"/>
    <cellStyle name="40% - Accent5 4 2 4 2" xfId="20253"/>
    <cellStyle name="40% - Accent5 4 2 4 2 2" xfId="36474"/>
    <cellStyle name="40% - Accent5 4 2 4 3" xfId="29786"/>
    <cellStyle name="40% - Accent5 4 2 4 4" xfId="39482"/>
    <cellStyle name="40% - Accent5 4 2 5" xfId="14699"/>
    <cellStyle name="40% - Accent5 4 2 5 2" xfId="30921"/>
    <cellStyle name="40% - Accent5 4 2 6" xfId="18496"/>
    <cellStyle name="40% - Accent5 4 2 6 2" xfId="34717"/>
    <cellStyle name="40% - Accent5 4 2 7" xfId="28035"/>
    <cellStyle name="40% - Accent5 4 2 8" xfId="39037"/>
    <cellStyle name="40% - Accent5 4 3" xfId="6736"/>
    <cellStyle name="40% - Accent5 4 3 2" xfId="6737"/>
    <cellStyle name="40% - Accent5 4 3 2 2" xfId="6738"/>
    <cellStyle name="40% - Accent5 4 3 2 2 2" xfId="10638"/>
    <cellStyle name="40% - Accent5 4 3 2 2 2 2" xfId="20259"/>
    <cellStyle name="40% - Accent5 4 3 2 2 2 2 2" xfId="36480"/>
    <cellStyle name="40% - Accent5 4 3 2 2 2 3" xfId="29792"/>
    <cellStyle name="40% - Accent5 4 3 2 2 3" xfId="17340"/>
    <cellStyle name="40% - Accent5 4 3 2 2 3 2" xfId="33561"/>
    <cellStyle name="40% - Accent5 4 3 2 2 4" xfId="18502"/>
    <cellStyle name="40% - Accent5 4 3 2 2 4 2" xfId="34723"/>
    <cellStyle name="40% - Accent5 4 3 2 2 5" xfId="28041"/>
    <cellStyle name="40% - Accent5 4 3 2 3" xfId="10637"/>
    <cellStyle name="40% - Accent5 4 3 2 3 2" xfId="20258"/>
    <cellStyle name="40% - Accent5 4 3 2 3 2 2" xfId="36479"/>
    <cellStyle name="40% - Accent5 4 3 2 3 3" xfId="29791"/>
    <cellStyle name="40% - Accent5 4 3 2 4" xfId="15755"/>
    <cellStyle name="40% - Accent5 4 3 2 4 2" xfId="31977"/>
    <cellStyle name="40% - Accent5 4 3 2 5" xfId="18501"/>
    <cellStyle name="40% - Accent5 4 3 2 5 2" xfId="34722"/>
    <cellStyle name="40% - Accent5 4 3 2 6" xfId="28040"/>
    <cellStyle name="40% - Accent5 4 3 3" xfId="6739"/>
    <cellStyle name="40% - Accent5 4 3 3 2" xfId="10639"/>
    <cellStyle name="40% - Accent5 4 3 3 2 2" xfId="20260"/>
    <cellStyle name="40% - Accent5 4 3 3 2 2 2" xfId="36481"/>
    <cellStyle name="40% - Accent5 4 3 3 2 3" xfId="29793"/>
    <cellStyle name="40% - Accent5 4 3 3 3" xfId="16548"/>
    <cellStyle name="40% - Accent5 4 3 3 3 2" xfId="32769"/>
    <cellStyle name="40% - Accent5 4 3 3 4" xfId="18503"/>
    <cellStyle name="40% - Accent5 4 3 3 4 2" xfId="34724"/>
    <cellStyle name="40% - Accent5 4 3 3 5" xfId="28042"/>
    <cellStyle name="40% - Accent5 4 3 4" xfId="10636"/>
    <cellStyle name="40% - Accent5 4 3 4 2" xfId="20257"/>
    <cellStyle name="40% - Accent5 4 3 4 2 2" xfId="36478"/>
    <cellStyle name="40% - Accent5 4 3 4 3" xfId="29790"/>
    <cellStyle name="40% - Accent5 4 3 5" xfId="14963"/>
    <cellStyle name="40% - Accent5 4 3 5 2" xfId="31185"/>
    <cellStyle name="40% - Accent5 4 3 6" xfId="18500"/>
    <cellStyle name="40% - Accent5 4 3 6 2" xfId="34721"/>
    <cellStyle name="40% - Accent5 4 3 7" xfId="28039"/>
    <cellStyle name="40% - Accent5 4 3 8" xfId="39129"/>
    <cellStyle name="40% - Accent5 4 4" xfId="6740"/>
    <cellStyle name="40% - Accent5 4 4 2" xfId="6741"/>
    <cellStyle name="40% - Accent5 4 4 2 2" xfId="10641"/>
    <cellStyle name="40% - Accent5 4 4 2 2 2" xfId="20262"/>
    <cellStyle name="40% - Accent5 4 4 2 2 2 2" xfId="36483"/>
    <cellStyle name="40% - Accent5 4 4 2 2 3" xfId="29795"/>
    <cellStyle name="40% - Accent5 4 4 2 3" xfId="16812"/>
    <cellStyle name="40% - Accent5 4 4 2 3 2" xfId="33033"/>
    <cellStyle name="40% - Accent5 4 4 2 4" xfId="18505"/>
    <cellStyle name="40% - Accent5 4 4 2 4 2" xfId="34726"/>
    <cellStyle name="40% - Accent5 4 4 2 5" xfId="28044"/>
    <cellStyle name="40% - Accent5 4 4 3" xfId="10640"/>
    <cellStyle name="40% - Accent5 4 4 3 2" xfId="20261"/>
    <cellStyle name="40% - Accent5 4 4 3 2 2" xfId="36482"/>
    <cellStyle name="40% - Accent5 4 4 3 3" xfId="29794"/>
    <cellStyle name="40% - Accent5 4 4 4" xfId="15227"/>
    <cellStyle name="40% - Accent5 4 4 4 2" xfId="31449"/>
    <cellStyle name="40% - Accent5 4 4 5" xfId="18504"/>
    <cellStyle name="40% - Accent5 4 4 5 2" xfId="34725"/>
    <cellStyle name="40% - Accent5 4 4 6" xfId="28043"/>
    <cellStyle name="40% - Accent5 4 4 7" xfId="39277"/>
    <cellStyle name="40% - Accent5 4 5" xfId="6742"/>
    <cellStyle name="40% - Accent5 4 5 2" xfId="10642"/>
    <cellStyle name="40% - Accent5 4 5 2 2" xfId="20263"/>
    <cellStyle name="40% - Accent5 4 5 2 2 2" xfId="36484"/>
    <cellStyle name="40% - Accent5 4 5 2 3" xfId="29796"/>
    <cellStyle name="40% - Accent5 4 5 3" xfId="16020"/>
    <cellStyle name="40% - Accent5 4 5 3 2" xfId="32241"/>
    <cellStyle name="40% - Accent5 4 5 4" xfId="18506"/>
    <cellStyle name="40% - Accent5 4 5 4 2" xfId="34727"/>
    <cellStyle name="40% - Accent5 4 5 5" xfId="28045"/>
    <cellStyle name="40% - Accent5 4 5 6" xfId="39426"/>
    <cellStyle name="40% - Accent5 4 6" xfId="10631"/>
    <cellStyle name="40% - Accent5 4 6 2" xfId="20252"/>
    <cellStyle name="40% - Accent5 4 6 2 2" xfId="36473"/>
    <cellStyle name="40% - Accent5 4 6 3" xfId="29785"/>
    <cellStyle name="40% - Accent5 4 7" xfId="14435"/>
    <cellStyle name="40% - Accent5 4 7 2" xfId="30657"/>
    <cellStyle name="40% - Accent5 4 8" xfId="18495"/>
    <cellStyle name="40% - Accent5 4 8 2" xfId="34716"/>
    <cellStyle name="40% - Accent5 4 9" xfId="28034"/>
    <cellStyle name="40% - Accent5 5" xfId="6743"/>
    <cellStyle name="40% - Accent5 5 2" xfId="6744"/>
    <cellStyle name="40% - Accent5 5 2 2" xfId="6745"/>
    <cellStyle name="40% - Accent5 5 2 2 2" xfId="10645"/>
    <cellStyle name="40% - Accent5 5 2 2 2 2" xfId="20266"/>
    <cellStyle name="40% - Accent5 5 2 2 2 2 2" xfId="36487"/>
    <cellStyle name="40% - Accent5 5 2 2 2 3" xfId="29799"/>
    <cellStyle name="40% - Accent5 5 2 2 3" xfId="16944"/>
    <cellStyle name="40% - Accent5 5 2 2 3 2" xfId="33165"/>
    <cellStyle name="40% - Accent5 5 2 2 4" xfId="18509"/>
    <cellStyle name="40% - Accent5 5 2 2 4 2" xfId="34730"/>
    <cellStyle name="40% - Accent5 5 2 2 5" xfId="28048"/>
    <cellStyle name="40% - Accent5 5 2 3" xfId="10644"/>
    <cellStyle name="40% - Accent5 5 2 3 2" xfId="20265"/>
    <cellStyle name="40% - Accent5 5 2 3 2 2" xfId="36486"/>
    <cellStyle name="40% - Accent5 5 2 3 3" xfId="29798"/>
    <cellStyle name="40% - Accent5 5 2 4" xfId="15359"/>
    <cellStyle name="40% - Accent5 5 2 4 2" xfId="31581"/>
    <cellStyle name="40% - Accent5 5 2 5" xfId="18508"/>
    <cellStyle name="40% - Accent5 5 2 5 2" xfId="34729"/>
    <cellStyle name="40% - Accent5 5 2 6" xfId="28047"/>
    <cellStyle name="40% - Accent5 5 2 7" xfId="39142"/>
    <cellStyle name="40% - Accent5 5 3" xfId="6746"/>
    <cellStyle name="40% - Accent5 5 3 2" xfId="10646"/>
    <cellStyle name="40% - Accent5 5 3 2 2" xfId="20267"/>
    <cellStyle name="40% - Accent5 5 3 2 2 2" xfId="36488"/>
    <cellStyle name="40% - Accent5 5 3 2 3" xfId="29800"/>
    <cellStyle name="40% - Accent5 5 3 3" xfId="16152"/>
    <cellStyle name="40% - Accent5 5 3 3 2" xfId="32373"/>
    <cellStyle name="40% - Accent5 5 3 4" xfId="18510"/>
    <cellStyle name="40% - Accent5 5 3 4 2" xfId="34731"/>
    <cellStyle name="40% - Accent5 5 3 5" xfId="28049"/>
    <cellStyle name="40% - Accent5 5 3 6" xfId="39290"/>
    <cellStyle name="40% - Accent5 5 4" xfId="10643"/>
    <cellStyle name="40% - Accent5 5 4 2" xfId="20264"/>
    <cellStyle name="40% - Accent5 5 4 2 2" xfId="36485"/>
    <cellStyle name="40% - Accent5 5 4 3" xfId="29797"/>
    <cellStyle name="40% - Accent5 5 4 4" xfId="39439"/>
    <cellStyle name="40% - Accent5 5 5" xfId="14567"/>
    <cellStyle name="40% - Accent5 5 5 2" xfId="30789"/>
    <cellStyle name="40% - Accent5 5 6" xfId="18507"/>
    <cellStyle name="40% - Accent5 5 6 2" xfId="34728"/>
    <cellStyle name="40% - Accent5 5 7" xfId="28046"/>
    <cellStyle name="40% - Accent5 5 8" xfId="39008"/>
    <cellStyle name="40% - Accent5 6" xfId="6747"/>
    <cellStyle name="40% - Accent5 6 2" xfId="6748"/>
    <cellStyle name="40% - Accent5 6 2 2" xfId="6749"/>
    <cellStyle name="40% - Accent5 6 2 2 2" xfId="10649"/>
    <cellStyle name="40% - Accent5 6 2 2 2 2" xfId="20270"/>
    <cellStyle name="40% - Accent5 6 2 2 2 2 2" xfId="36491"/>
    <cellStyle name="40% - Accent5 6 2 2 2 3" xfId="29803"/>
    <cellStyle name="40% - Accent5 6 2 2 3" xfId="17208"/>
    <cellStyle name="40% - Accent5 6 2 2 3 2" xfId="33429"/>
    <cellStyle name="40% - Accent5 6 2 2 4" xfId="18513"/>
    <cellStyle name="40% - Accent5 6 2 2 4 2" xfId="34734"/>
    <cellStyle name="40% - Accent5 6 2 2 5" xfId="28052"/>
    <cellStyle name="40% - Accent5 6 2 3" xfId="10648"/>
    <cellStyle name="40% - Accent5 6 2 3 2" xfId="20269"/>
    <cellStyle name="40% - Accent5 6 2 3 2 2" xfId="36490"/>
    <cellStyle name="40% - Accent5 6 2 3 3" xfId="29802"/>
    <cellStyle name="40% - Accent5 6 2 4" xfId="15623"/>
    <cellStyle name="40% - Accent5 6 2 4 2" xfId="31845"/>
    <cellStyle name="40% - Accent5 6 2 5" xfId="18512"/>
    <cellStyle name="40% - Accent5 6 2 5 2" xfId="34733"/>
    <cellStyle name="40% - Accent5 6 2 6" xfId="28051"/>
    <cellStyle name="40% - Accent5 6 3" xfId="6750"/>
    <cellStyle name="40% - Accent5 6 3 2" xfId="10650"/>
    <cellStyle name="40% - Accent5 6 3 2 2" xfId="20271"/>
    <cellStyle name="40% - Accent5 6 3 2 2 2" xfId="36492"/>
    <cellStyle name="40% - Accent5 6 3 2 3" xfId="29804"/>
    <cellStyle name="40% - Accent5 6 3 3" xfId="16416"/>
    <cellStyle name="40% - Accent5 6 3 3 2" xfId="32637"/>
    <cellStyle name="40% - Accent5 6 3 4" xfId="18514"/>
    <cellStyle name="40% - Accent5 6 3 4 2" xfId="34735"/>
    <cellStyle name="40% - Accent5 6 3 5" xfId="28053"/>
    <cellStyle name="40% - Accent5 6 4" xfId="10647"/>
    <cellStyle name="40% - Accent5 6 4 2" xfId="20268"/>
    <cellStyle name="40% - Accent5 6 4 2 2" xfId="36489"/>
    <cellStyle name="40% - Accent5 6 4 3" xfId="29801"/>
    <cellStyle name="40% - Accent5 6 5" xfId="14831"/>
    <cellStyle name="40% - Accent5 6 5 2" xfId="31053"/>
    <cellStyle name="40% - Accent5 6 6" xfId="18511"/>
    <cellStyle name="40% - Accent5 6 6 2" xfId="34732"/>
    <cellStyle name="40% - Accent5 6 7" xfId="28050"/>
    <cellStyle name="40% - Accent5 6 8" xfId="39085"/>
    <cellStyle name="40% - Accent5 7" xfId="6751"/>
    <cellStyle name="40% - Accent5 7 2" xfId="6752"/>
    <cellStyle name="40% - Accent5 7 2 2" xfId="10652"/>
    <cellStyle name="40% - Accent5 7 2 2 2" xfId="20273"/>
    <cellStyle name="40% - Accent5 7 2 2 2 2" xfId="36494"/>
    <cellStyle name="40% - Accent5 7 2 2 3" xfId="29806"/>
    <cellStyle name="40% - Accent5 7 2 3" xfId="16680"/>
    <cellStyle name="40% - Accent5 7 2 3 2" xfId="32901"/>
    <cellStyle name="40% - Accent5 7 2 4" xfId="18516"/>
    <cellStyle name="40% - Accent5 7 2 4 2" xfId="34737"/>
    <cellStyle name="40% - Accent5 7 2 5" xfId="28055"/>
    <cellStyle name="40% - Accent5 7 3" xfId="10651"/>
    <cellStyle name="40% - Accent5 7 3 2" xfId="20272"/>
    <cellStyle name="40% - Accent5 7 3 2 2" xfId="36493"/>
    <cellStyle name="40% - Accent5 7 3 3" xfId="29805"/>
    <cellStyle name="40% - Accent5 7 4" xfId="15095"/>
    <cellStyle name="40% - Accent5 7 4 2" xfId="31317"/>
    <cellStyle name="40% - Accent5 7 5" xfId="18515"/>
    <cellStyle name="40% - Accent5 7 5 2" xfId="34736"/>
    <cellStyle name="40% - Accent5 7 6" xfId="28054"/>
    <cellStyle name="40% - Accent5 7 7" xfId="39233"/>
    <cellStyle name="40% - Accent5 8" xfId="6753"/>
    <cellStyle name="40% - Accent5 8 2" xfId="10653"/>
    <cellStyle name="40% - Accent5 8 2 2" xfId="20274"/>
    <cellStyle name="40% - Accent5 8 2 2 2" xfId="36495"/>
    <cellStyle name="40% - Accent5 8 2 3" xfId="29807"/>
    <cellStyle name="40% - Accent5 8 3" xfId="15888"/>
    <cellStyle name="40% - Accent5 8 3 2" xfId="32109"/>
    <cellStyle name="40% - Accent5 8 4" xfId="18517"/>
    <cellStyle name="40% - Accent5 8 4 2" xfId="34738"/>
    <cellStyle name="40% - Accent5 8 5" xfId="28056"/>
    <cellStyle name="40% - Accent5 8 6" xfId="39382"/>
    <cellStyle name="40% - Accent5 9" xfId="10558"/>
    <cellStyle name="40% - Accent5 9 2" xfId="20179"/>
    <cellStyle name="40% - Accent5 9 2 2" xfId="36400"/>
    <cellStyle name="40% - Accent5 9 3" xfId="29712"/>
    <cellStyle name="40% - Accent6" xfId="47" builtinId="51" customBuiltin="1"/>
    <cellStyle name="40% - Accent6 10" xfId="14235"/>
    <cellStyle name="40% - Accent6 10 2" xfId="30522"/>
    <cellStyle name="40% - Accent6 11" xfId="18518"/>
    <cellStyle name="40% - Accent6 11 2" xfId="34739"/>
    <cellStyle name="40% - Accent6 12" xfId="26994"/>
    <cellStyle name="40% - Accent6 13" xfId="38913"/>
    <cellStyle name="40% - Accent6 14" xfId="4851"/>
    <cellStyle name="40% - Accent6 2" xfId="4877"/>
    <cellStyle name="40% - Accent6 2 10" xfId="18519"/>
    <cellStyle name="40% - Accent6 2 10 2" xfId="34740"/>
    <cellStyle name="40% - Accent6 2 11" xfId="27013"/>
    <cellStyle name="40% - Accent6 2 12" xfId="38779"/>
    <cellStyle name="40% - Accent6 2 2" xfId="6754"/>
    <cellStyle name="40% - Accent6 2 2 10" xfId="28057"/>
    <cellStyle name="40% - Accent6 2 2 11" xfId="38971"/>
    <cellStyle name="40% - Accent6 2 2 2" xfId="6755"/>
    <cellStyle name="40% - Accent6 2 2 2 10" xfId="39161"/>
    <cellStyle name="40% - Accent6 2 2 2 2" xfId="6756"/>
    <cellStyle name="40% - Accent6 2 2 2 2 2" xfId="6757"/>
    <cellStyle name="40% - Accent6 2 2 2 2 2 2" xfId="6758"/>
    <cellStyle name="40% - Accent6 2 2 2 2 2 2 2" xfId="10660"/>
    <cellStyle name="40% - Accent6 2 2 2 2 2 2 2 2" xfId="20281"/>
    <cellStyle name="40% - Accent6 2 2 2 2 2 2 2 2 2" xfId="36502"/>
    <cellStyle name="40% - Accent6 2 2 2 2 2 2 2 3" xfId="29814"/>
    <cellStyle name="40% - Accent6 2 2 2 2 2 2 3" xfId="17176"/>
    <cellStyle name="40% - Accent6 2 2 2 2 2 2 3 2" xfId="33397"/>
    <cellStyle name="40% - Accent6 2 2 2 2 2 2 4" xfId="18524"/>
    <cellStyle name="40% - Accent6 2 2 2 2 2 2 4 2" xfId="34745"/>
    <cellStyle name="40% - Accent6 2 2 2 2 2 2 5" xfId="28061"/>
    <cellStyle name="40% - Accent6 2 2 2 2 2 3" xfId="10659"/>
    <cellStyle name="40% - Accent6 2 2 2 2 2 3 2" xfId="20280"/>
    <cellStyle name="40% - Accent6 2 2 2 2 2 3 2 2" xfId="36501"/>
    <cellStyle name="40% - Accent6 2 2 2 2 2 3 3" xfId="29813"/>
    <cellStyle name="40% - Accent6 2 2 2 2 2 4" xfId="15591"/>
    <cellStyle name="40% - Accent6 2 2 2 2 2 4 2" xfId="31813"/>
    <cellStyle name="40% - Accent6 2 2 2 2 2 5" xfId="18523"/>
    <cellStyle name="40% - Accent6 2 2 2 2 2 5 2" xfId="34744"/>
    <cellStyle name="40% - Accent6 2 2 2 2 2 6" xfId="28060"/>
    <cellStyle name="40% - Accent6 2 2 2 2 3" xfId="6759"/>
    <cellStyle name="40% - Accent6 2 2 2 2 3 2" xfId="10661"/>
    <cellStyle name="40% - Accent6 2 2 2 2 3 2 2" xfId="20282"/>
    <cellStyle name="40% - Accent6 2 2 2 2 3 2 2 2" xfId="36503"/>
    <cellStyle name="40% - Accent6 2 2 2 2 3 2 3" xfId="29815"/>
    <cellStyle name="40% - Accent6 2 2 2 2 3 3" xfId="16384"/>
    <cellStyle name="40% - Accent6 2 2 2 2 3 3 2" xfId="32605"/>
    <cellStyle name="40% - Accent6 2 2 2 2 3 4" xfId="18525"/>
    <cellStyle name="40% - Accent6 2 2 2 2 3 4 2" xfId="34746"/>
    <cellStyle name="40% - Accent6 2 2 2 2 3 5" xfId="28062"/>
    <cellStyle name="40% - Accent6 2 2 2 2 4" xfId="10658"/>
    <cellStyle name="40% - Accent6 2 2 2 2 4 2" xfId="20279"/>
    <cellStyle name="40% - Accent6 2 2 2 2 4 2 2" xfId="36500"/>
    <cellStyle name="40% - Accent6 2 2 2 2 4 3" xfId="29812"/>
    <cellStyle name="40% - Accent6 2 2 2 2 5" xfId="14799"/>
    <cellStyle name="40% - Accent6 2 2 2 2 5 2" xfId="31021"/>
    <cellStyle name="40% - Accent6 2 2 2 2 6" xfId="18522"/>
    <cellStyle name="40% - Accent6 2 2 2 2 6 2" xfId="34743"/>
    <cellStyle name="40% - Accent6 2 2 2 2 7" xfId="28059"/>
    <cellStyle name="40% - Accent6 2 2 2 3" xfId="6760"/>
    <cellStyle name="40% - Accent6 2 2 2 3 2" xfId="6761"/>
    <cellStyle name="40% - Accent6 2 2 2 3 2 2" xfId="6762"/>
    <cellStyle name="40% - Accent6 2 2 2 3 2 2 2" xfId="10664"/>
    <cellStyle name="40% - Accent6 2 2 2 3 2 2 2 2" xfId="20285"/>
    <cellStyle name="40% - Accent6 2 2 2 3 2 2 2 2 2" xfId="36506"/>
    <cellStyle name="40% - Accent6 2 2 2 3 2 2 2 3" xfId="29818"/>
    <cellStyle name="40% - Accent6 2 2 2 3 2 2 3" xfId="17440"/>
    <cellStyle name="40% - Accent6 2 2 2 3 2 2 3 2" xfId="33661"/>
    <cellStyle name="40% - Accent6 2 2 2 3 2 2 4" xfId="18528"/>
    <cellStyle name="40% - Accent6 2 2 2 3 2 2 4 2" xfId="34749"/>
    <cellStyle name="40% - Accent6 2 2 2 3 2 2 5" xfId="28065"/>
    <cellStyle name="40% - Accent6 2 2 2 3 2 3" xfId="10663"/>
    <cellStyle name="40% - Accent6 2 2 2 3 2 3 2" xfId="20284"/>
    <cellStyle name="40% - Accent6 2 2 2 3 2 3 2 2" xfId="36505"/>
    <cellStyle name="40% - Accent6 2 2 2 3 2 3 3" xfId="29817"/>
    <cellStyle name="40% - Accent6 2 2 2 3 2 4" xfId="15855"/>
    <cellStyle name="40% - Accent6 2 2 2 3 2 4 2" xfId="32077"/>
    <cellStyle name="40% - Accent6 2 2 2 3 2 5" xfId="18527"/>
    <cellStyle name="40% - Accent6 2 2 2 3 2 5 2" xfId="34748"/>
    <cellStyle name="40% - Accent6 2 2 2 3 2 6" xfId="28064"/>
    <cellStyle name="40% - Accent6 2 2 2 3 3" xfId="6763"/>
    <cellStyle name="40% - Accent6 2 2 2 3 3 2" xfId="10665"/>
    <cellStyle name="40% - Accent6 2 2 2 3 3 2 2" xfId="20286"/>
    <cellStyle name="40% - Accent6 2 2 2 3 3 2 2 2" xfId="36507"/>
    <cellStyle name="40% - Accent6 2 2 2 3 3 2 3" xfId="29819"/>
    <cellStyle name="40% - Accent6 2 2 2 3 3 3" xfId="16648"/>
    <cellStyle name="40% - Accent6 2 2 2 3 3 3 2" xfId="32869"/>
    <cellStyle name="40% - Accent6 2 2 2 3 3 4" xfId="18529"/>
    <cellStyle name="40% - Accent6 2 2 2 3 3 4 2" xfId="34750"/>
    <cellStyle name="40% - Accent6 2 2 2 3 3 5" xfId="28066"/>
    <cellStyle name="40% - Accent6 2 2 2 3 4" xfId="10662"/>
    <cellStyle name="40% - Accent6 2 2 2 3 4 2" xfId="20283"/>
    <cellStyle name="40% - Accent6 2 2 2 3 4 2 2" xfId="36504"/>
    <cellStyle name="40% - Accent6 2 2 2 3 4 3" xfId="29816"/>
    <cellStyle name="40% - Accent6 2 2 2 3 5" xfId="15063"/>
    <cellStyle name="40% - Accent6 2 2 2 3 5 2" xfId="31285"/>
    <cellStyle name="40% - Accent6 2 2 2 3 6" xfId="18526"/>
    <cellStyle name="40% - Accent6 2 2 2 3 6 2" xfId="34747"/>
    <cellStyle name="40% - Accent6 2 2 2 3 7" xfId="28063"/>
    <cellStyle name="40% - Accent6 2 2 2 4" xfId="6764"/>
    <cellStyle name="40% - Accent6 2 2 2 4 2" xfId="6765"/>
    <cellStyle name="40% - Accent6 2 2 2 4 2 2" xfId="10667"/>
    <cellStyle name="40% - Accent6 2 2 2 4 2 2 2" xfId="20288"/>
    <cellStyle name="40% - Accent6 2 2 2 4 2 2 2 2" xfId="36509"/>
    <cellStyle name="40% - Accent6 2 2 2 4 2 2 3" xfId="29821"/>
    <cellStyle name="40% - Accent6 2 2 2 4 2 3" xfId="16912"/>
    <cellStyle name="40% - Accent6 2 2 2 4 2 3 2" xfId="33133"/>
    <cellStyle name="40% - Accent6 2 2 2 4 2 4" xfId="18531"/>
    <cellStyle name="40% - Accent6 2 2 2 4 2 4 2" xfId="34752"/>
    <cellStyle name="40% - Accent6 2 2 2 4 2 5" xfId="28068"/>
    <cellStyle name="40% - Accent6 2 2 2 4 3" xfId="10666"/>
    <cellStyle name="40% - Accent6 2 2 2 4 3 2" xfId="20287"/>
    <cellStyle name="40% - Accent6 2 2 2 4 3 2 2" xfId="36508"/>
    <cellStyle name="40% - Accent6 2 2 2 4 3 3" xfId="29820"/>
    <cellStyle name="40% - Accent6 2 2 2 4 4" xfId="15327"/>
    <cellStyle name="40% - Accent6 2 2 2 4 4 2" xfId="31549"/>
    <cellStyle name="40% - Accent6 2 2 2 4 5" xfId="18530"/>
    <cellStyle name="40% - Accent6 2 2 2 4 5 2" xfId="34751"/>
    <cellStyle name="40% - Accent6 2 2 2 4 6" xfId="28067"/>
    <cellStyle name="40% - Accent6 2 2 2 5" xfId="6766"/>
    <cellStyle name="40% - Accent6 2 2 2 5 2" xfId="10668"/>
    <cellStyle name="40% - Accent6 2 2 2 5 2 2" xfId="20289"/>
    <cellStyle name="40% - Accent6 2 2 2 5 2 2 2" xfId="36510"/>
    <cellStyle name="40% - Accent6 2 2 2 5 2 3" xfId="29822"/>
    <cellStyle name="40% - Accent6 2 2 2 5 3" xfId="16120"/>
    <cellStyle name="40% - Accent6 2 2 2 5 3 2" xfId="32341"/>
    <cellStyle name="40% - Accent6 2 2 2 5 4" xfId="18532"/>
    <cellStyle name="40% - Accent6 2 2 2 5 4 2" xfId="34753"/>
    <cellStyle name="40% - Accent6 2 2 2 5 5" xfId="28069"/>
    <cellStyle name="40% - Accent6 2 2 2 6" xfId="10657"/>
    <cellStyle name="40% - Accent6 2 2 2 6 2" xfId="20278"/>
    <cellStyle name="40% - Accent6 2 2 2 6 2 2" xfId="36499"/>
    <cellStyle name="40% - Accent6 2 2 2 6 3" xfId="29811"/>
    <cellStyle name="40% - Accent6 2 2 2 7" xfId="14535"/>
    <cellStyle name="40% - Accent6 2 2 2 7 2" xfId="30757"/>
    <cellStyle name="40% - Accent6 2 2 2 8" xfId="18521"/>
    <cellStyle name="40% - Accent6 2 2 2 8 2" xfId="34742"/>
    <cellStyle name="40% - Accent6 2 2 2 9" xfId="28058"/>
    <cellStyle name="40% - Accent6 2 2 3" xfId="6767"/>
    <cellStyle name="40% - Accent6 2 2 3 2" xfId="6768"/>
    <cellStyle name="40% - Accent6 2 2 3 2 2" xfId="6769"/>
    <cellStyle name="40% - Accent6 2 2 3 2 2 2" xfId="10671"/>
    <cellStyle name="40% - Accent6 2 2 3 2 2 2 2" xfId="20292"/>
    <cellStyle name="40% - Accent6 2 2 3 2 2 2 2 2" xfId="36513"/>
    <cellStyle name="40% - Accent6 2 2 3 2 2 2 3" xfId="29825"/>
    <cellStyle name="40% - Accent6 2 2 3 2 2 3" xfId="17044"/>
    <cellStyle name="40% - Accent6 2 2 3 2 2 3 2" xfId="33265"/>
    <cellStyle name="40% - Accent6 2 2 3 2 2 4" xfId="18535"/>
    <cellStyle name="40% - Accent6 2 2 3 2 2 4 2" xfId="34756"/>
    <cellStyle name="40% - Accent6 2 2 3 2 2 5" xfId="28072"/>
    <cellStyle name="40% - Accent6 2 2 3 2 3" xfId="10670"/>
    <cellStyle name="40% - Accent6 2 2 3 2 3 2" xfId="20291"/>
    <cellStyle name="40% - Accent6 2 2 3 2 3 2 2" xfId="36512"/>
    <cellStyle name="40% - Accent6 2 2 3 2 3 3" xfId="29824"/>
    <cellStyle name="40% - Accent6 2 2 3 2 4" xfId="15459"/>
    <cellStyle name="40% - Accent6 2 2 3 2 4 2" xfId="31681"/>
    <cellStyle name="40% - Accent6 2 2 3 2 5" xfId="18534"/>
    <cellStyle name="40% - Accent6 2 2 3 2 5 2" xfId="34755"/>
    <cellStyle name="40% - Accent6 2 2 3 2 6" xfId="28071"/>
    <cellStyle name="40% - Accent6 2 2 3 3" xfId="6770"/>
    <cellStyle name="40% - Accent6 2 2 3 3 2" xfId="10672"/>
    <cellStyle name="40% - Accent6 2 2 3 3 2 2" xfId="20293"/>
    <cellStyle name="40% - Accent6 2 2 3 3 2 2 2" xfId="36514"/>
    <cellStyle name="40% - Accent6 2 2 3 3 2 3" xfId="29826"/>
    <cellStyle name="40% - Accent6 2 2 3 3 3" xfId="16252"/>
    <cellStyle name="40% - Accent6 2 2 3 3 3 2" xfId="32473"/>
    <cellStyle name="40% - Accent6 2 2 3 3 4" xfId="18536"/>
    <cellStyle name="40% - Accent6 2 2 3 3 4 2" xfId="34757"/>
    <cellStyle name="40% - Accent6 2 2 3 3 5" xfId="28073"/>
    <cellStyle name="40% - Accent6 2 2 3 4" xfId="10669"/>
    <cellStyle name="40% - Accent6 2 2 3 4 2" xfId="20290"/>
    <cellStyle name="40% - Accent6 2 2 3 4 2 2" xfId="36511"/>
    <cellStyle name="40% - Accent6 2 2 3 4 3" xfId="29823"/>
    <cellStyle name="40% - Accent6 2 2 3 5" xfId="14667"/>
    <cellStyle name="40% - Accent6 2 2 3 5 2" xfId="30889"/>
    <cellStyle name="40% - Accent6 2 2 3 6" xfId="18533"/>
    <cellStyle name="40% - Accent6 2 2 3 6 2" xfId="34754"/>
    <cellStyle name="40% - Accent6 2 2 3 7" xfId="28070"/>
    <cellStyle name="40% - Accent6 2 2 3 8" xfId="39309"/>
    <cellStyle name="40% - Accent6 2 2 4" xfId="6771"/>
    <cellStyle name="40% - Accent6 2 2 4 2" xfId="6772"/>
    <cellStyle name="40% - Accent6 2 2 4 2 2" xfId="6773"/>
    <cellStyle name="40% - Accent6 2 2 4 2 2 2" xfId="10675"/>
    <cellStyle name="40% - Accent6 2 2 4 2 2 2 2" xfId="20296"/>
    <cellStyle name="40% - Accent6 2 2 4 2 2 2 2 2" xfId="36517"/>
    <cellStyle name="40% - Accent6 2 2 4 2 2 2 3" xfId="29829"/>
    <cellStyle name="40% - Accent6 2 2 4 2 2 3" xfId="17308"/>
    <cellStyle name="40% - Accent6 2 2 4 2 2 3 2" xfId="33529"/>
    <cellStyle name="40% - Accent6 2 2 4 2 2 4" xfId="18539"/>
    <cellStyle name="40% - Accent6 2 2 4 2 2 4 2" xfId="34760"/>
    <cellStyle name="40% - Accent6 2 2 4 2 2 5" xfId="28076"/>
    <cellStyle name="40% - Accent6 2 2 4 2 3" xfId="10674"/>
    <cellStyle name="40% - Accent6 2 2 4 2 3 2" xfId="20295"/>
    <cellStyle name="40% - Accent6 2 2 4 2 3 2 2" xfId="36516"/>
    <cellStyle name="40% - Accent6 2 2 4 2 3 3" xfId="29828"/>
    <cellStyle name="40% - Accent6 2 2 4 2 4" xfId="15723"/>
    <cellStyle name="40% - Accent6 2 2 4 2 4 2" xfId="31945"/>
    <cellStyle name="40% - Accent6 2 2 4 2 5" xfId="18538"/>
    <cellStyle name="40% - Accent6 2 2 4 2 5 2" xfId="34759"/>
    <cellStyle name="40% - Accent6 2 2 4 2 6" xfId="28075"/>
    <cellStyle name="40% - Accent6 2 2 4 3" xfId="6774"/>
    <cellStyle name="40% - Accent6 2 2 4 3 2" xfId="10676"/>
    <cellStyle name="40% - Accent6 2 2 4 3 2 2" xfId="20297"/>
    <cellStyle name="40% - Accent6 2 2 4 3 2 2 2" xfId="36518"/>
    <cellStyle name="40% - Accent6 2 2 4 3 2 3" xfId="29830"/>
    <cellStyle name="40% - Accent6 2 2 4 3 3" xfId="16516"/>
    <cellStyle name="40% - Accent6 2 2 4 3 3 2" xfId="32737"/>
    <cellStyle name="40% - Accent6 2 2 4 3 4" xfId="18540"/>
    <cellStyle name="40% - Accent6 2 2 4 3 4 2" xfId="34761"/>
    <cellStyle name="40% - Accent6 2 2 4 3 5" xfId="28077"/>
    <cellStyle name="40% - Accent6 2 2 4 4" xfId="10673"/>
    <cellStyle name="40% - Accent6 2 2 4 4 2" xfId="20294"/>
    <cellStyle name="40% - Accent6 2 2 4 4 2 2" xfId="36515"/>
    <cellStyle name="40% - Accent6 2 2 4 4 3" xfId="29827"/>
    <cellStyle name="40% - Accent6 2 2 4 5" xfId="14931"/>
    <cellStyle name="40% - Accent6 2 2 4 5 2" xfId="31153"/>
    <cellStyle name="40% - Accent6 2 2 4 6" xfId="18537"/>
    <cellStyle name="40% - Accent6 2 2 4 6 2" xfId="34758"/>
    <cellStyle name="40% - Accent6 2 2 4 7" xfId="28074"/>
    <cellStyle name="40% - Accent6 2 2 4 8" xfId="39458"/>
    <cellStyle name="40% - Accent6 2 2 5" xfId="6775"/>
    <cellStyle name="40% - Accent6 2 2 5 2" xfId="6776"/>
    <cellStyle name="40% - Accent6 2 2 5 2 2" xfId="10678"/>
    <cellStyle name="40% - Accent6 2 2 5 2 2 2" xfId="20299"/>
    <cellStyle name="40% - Accent6 2 2 5 2 2 2 2" xfId="36520"/>
    <cellStyle name="40% - Accent6 2 2 5 2 2 3" xfId="29832"/>
    <cellStyle name="40% - Accent6 2 2 5 2 3" xfId="16780"/>
    <cellStyle name="40% - Accent6 2 2 5 2 3 2" xfId="33001"/>
    <cellStyle name="40% - Accent6 2 2 5 2 4" xfId="18542"/>
    <cellStyle name="40% - Accent6 2 2 5 2 4 2" xfId="34763"/>
    <cellStyle name="40% - Accent6 2 2 5 2 5" xfId="28079"/>
    <cellStyle name="40% - Accent6 2 2 5 3" xfId="10677"/>
    <cellStyle name="40% - Accent6 2 2 5 3 2" xfId="20298"/>
    <cellStyle name="40% - Accent6 2 2 5 3 2 2" xfId="36519"/>
    <cellStyle name="40% - Accent6 2 2 5 3 3" xfId="29831"/>
    <cellStyle name="40% - Accent6 2 2 5 4" xfId="15195"/>
    <cellStyle name="40% - Accent6 2 2 5 4 2" xfId="31417"/>
    <cellStyle name="40% - Accent6 2 2 5 5" xfId="18541"/>
    <cellStyle name="40% - Accent6 2 2 5 5 2" xfId="34762"/>
    <cellStyle name="40% - Accent6 2 2 5 6" xfId="28078"/>
    <cellStyle name="40% - Accent6 2 2 6" xfId="6777"/>
    <cellStyle name="40% - Accent6 2 2 6 2" xfId="10679"/>
    <cellStyle name="40% - Accent6 2 2 6 2 2" xfId="20300"/>
    <cellStyle name="40% - Accent6 2 2 6 2 2 2" xfId="36521"/>
    <cellStyle name="40% - Accent6 2 2 6 2 3" xfId="29833"/>
    <cellStyle name="40% - Accent6 2 2 6 3" xfId="15988"/>
    <cellStyle name="40% - Accent6 2 2 6 3 2" xfId="32209"/>
    <cellStyle name="40% - Accent6 2 2 6 4" xfId="18543"/>
    <cellStyle name="40% - Accent6 2 2 6 4 2" xfId="34764"/>
    <cellStyle name="40% - Accent6 2 2 6 5" xfId="28080"/>
    <cellStyle name="40% - Accent6 2 2 7" xfId="10656"/>
    <cellStyle name="40% - Accent6 2 2 7 2" xfId="20277"/>
    <cellStyle name="40% - Accent6 2 2 7 2 2" xfId="36498"/>
    <cellStyle name="40% - Accent6 2 2 7 3" xfId="29810"/>
    <cellStyle name="40% - Accent6 2 2 8" xfId="14403"/>
    <cellStyle name="40% - Accent6 2 2 8 2" xfId="30625"/>
    <cellStyle name="40% - Accent6 2 2 9" xfId="18520"/>
    <cellStyle name="40% - Accent6 2 2 9 2" xfId="34741"/>
    <cellStyle name="40% - Accent6 2 3" xfId="6778"/>
    <cellStyle name="40% - Accent6 2 3 10" xfId="39105"/>
    <cellStyle name="40% - Accent6 2 3 2" xfId="6779"/>
    <cellStyle name="40% - Accent6 2 3 2 2" xfId="6780"/>
    <cellStyle name="40% - Accent6 2 3 2 2 2" xfId="6781"/>
    <cellStyle name="40% - Accent6 2 3 2 2 2 2" xfId="10683"/>
    <cellStyle name="40% - Accent6 2 3 2 2 2 2 2" xfId="20304"/>
    <cellStyle name="40% - Accent6 2 3 2 2 2 2 2 2" xfId="36525"/>
    <cellStyle name="40% - Accent6 2 3 2 2 2 2 3" xfId="29837"/>
    <cellStyle name="40% - Accent6 2 3 2 2 2 3" xfId="17110"/>
    <cellStyle name="40% - Accent6 2 3 2 2 2 3 2" xfId="33331"/>
    <cellStyle name="40% - Accent6 2 3 2 2 2 4" xfId="18547"/>
    <cellStyle name="40% - Accent6 2 3 2 2 2 4 2" xfId="34768"/>
    <cellStyle name="40% - Accent6 2 3 2 2 2 5" xfId="28084"/>
    <cellStyle name="40% - Accent6 2 3 2 2 3" xfId="10682"/>
    <cellStyle name="40% - Accent6 2 3 2 2 3 2" xfId="20303"/>
    <cellStyle name="40% - Accent6 2 3 2 2 3 2 2" xfId="36524"/>
    <cellStyle name="40% - Accent6 2 3 2 2 3 3" xfId="29836"/>
    <cellStyle name="40% - Accent6 2 3 2 2 4" xfId="15525"/>
    <cellStyle name="40% - Accent6 2 3 2 2 4 2" xfId="31747"/>
    <cellStyle name="40% - Accent6 2 3 2 2 5" xfId="18546"/>
    <cellStyle name="40% - Accent6 2 3 2 2 5 2" xfId="34767"/>
    <cellStyle name="40% - Accent6 2 3 2 2 6" xfId="28083"/>
    <cellStyle name="40% - Accent6 2 3 2 3" xfId="6782"/>
    <cellStyle name="40% - Accent6 2 3 2 3 2" xfId="10684"/>
    <cellStyle name="40% - Accent6 2 3 2 3 2 2" xfId="20305"/>
    <cellStyle name="40% - Accent6 2 3 2 3 2 2 2" xfId="36526"/>
    <cellStyle name="40% - Accent6 2 3 2 3 2 3" xfId="29838"/>
    <cellStyle name="40% - Accent6 2 3 2 3 3" xfId="16318"/>
    <cellStyle name="40% - Accent6 2 3 2 3 3 2" xfId="32539"/>
    <cellStyle name="40% - Accent6 2 3 2 3 4" xfId="18548"/>
    <cellStyle name="40% - Accent6 2 3 2 3 4 2" xfId="34769"/>
    <cellStyle name="40% - Accent6 2 3 2 3 5" xfId="28085"/>
    <cellStyle name="40% - Accent6 2 3 2 4" xfId="10681"/>
    <cellStyle name="40% - Accent6 2 3 2 4 2" xfId="20302"/>
    <cellStyle name="40% - Accent6 2 3 2 4 2 2" xfId="36523"/>
    <cellStyle name="40% - Accent6 2 3 2 4 3" xfId="29835"/>
    <cellStyle name="40% - Accent6 2 3 2 5" xfId="14733"/>
    <cellStyle name="40% - Accent6 2 3 2 5 2" xfId="30955"/>
    <cellStyle name="40% - Accent6 2 3 2 6" xfId="18545"/>
    <cellStyle name="40% - Accent6 2 3 2 6 2" xfId="34766"/>
    <cellStyle name="40% - Accent6 2 3 2 7" xfId="28082"/>
    <cellStyle name="40% - Accent6 2 3 3" xfId="6783"/>
    <cellStyle name="40% - Accent6 2 3 3 2" xfId="6784"/>
    <cellStyle name="40% - Accent6 2 3 3 2 2" xfId="6785"/>
    <cellStyle name="40% - Accent6 2 3 3 2 2 2" xfId="10687"/>
    <cellStyle name="40% - Accent6 2 3 3 2 2 2 2" xfId="20308"/>
    <cellStyle name="40% - Accent6 2 3 3 2 2 2 2 2" xfId="36529"/>
    <cellStyle name="40% - Accent6 2 3 3 2 2 2 3" xfId="29841"/>
    <cellStyle name="40% - Accent6 2 3 3 2 2 3" xfId="17374"/>
    <cellStyle name="40% - Accent6 2 3 3 2 2 3 2" xfId="33595"/>
    <cellStyle name="40% - Accent6 2 3 3 2 2 4" xfId="18551"/>
    <cellStyle name="40% - Accent6 2 3 3 2 2 4 2" xfId="34772"/>
    <cellStyle name="40% - Accent6 2 3 3 2 2 5" xfId="28088"/>
    <cellStyle name="40% - Accent6 2 3 3 2 3" xfId="10686"/>
    <cellStyle name="40% - Accent6 2 3 3 2 3 2" xfId="20307"/>
    <cellStyle name="40% - Accent6 2 3 3 2 3 2 2" xfId="36528"/>
    <cellStyle name="40% - Accent6 2 3 3 2 3 3" xfId="29840"/>
    <cellStyle name="40% - Accent6 2 3 3 2 4" xfId="15789"/>
    <cellStyle name="40% - Accent6 2 3 3 2 4 2" xfId="32011"/>
    <cellStyle name="40% - Accent6 2 3 3 2 5" xfId="18550"/>
    <cellStyle name="40% - Accent6 2 3 3 2 5 2" xfId="34771"/>
    <cellStyle name="40% - Accent6 2 3 3 2 6" xfId="28087"/>
    <cellStyle name="40% - Accent6 2 3 3 3" xfId="6786"/>
    <cellStyle name="40% - Accent6 2 3 3 3 2" xfId="10688"/>
    <cellStyle name="40% - Accent6 2 3 3 3 2 2" xfId="20309"/>
    <cellStyle name="40% - Accent6 2 3 3 3 2 2 2" xfId="36530"/>
    <cellStyle name="40% - Accent6 2 3 3 3 2 3" xfId="29842"/>
    <cellStyle name="40% - Accent6 2 3 3 3 3" xfId="16582"/>
    <cellStyle name="40% - Accent6 2 3 3 3 3 2" xfId="32803"/>
    <cellStyle name="40% - Accent6 2 3 3 3 4" xfId="18552"/>
    <cellStyle name="40% - Accent6 2 3 3 3 4 2" xfId="34773"/>
    <cellStyle name="40% - Accent6 2 3 3 3 5" xfId="28089"/>
    <cellStyle name="40% - Accent6 2 3 3 4" xfId="10685"/>
    <cellStyle name="40% - Accent6 2 3 3 4 2" xfId="20306"/>
    <cellStyle name="40% - Accent6 2 3 3 4 2 2" xfId="36527"/>
    <cellStyle name="40% - Accent6 2 3 3 4 3" xfId="29839"/>
    <cellStyle name="40% - Accent6 2 3 3 5" xfId="14997"/>
    <cellStyle name="40% - Accent6 2 3 3 5 2" xfId="31219"/>
    <cellStyle name="40% - Accent6 2 3 3 6" xfId="18549"/>
    <cellStyle name="40% - Accent6 2 3 3 6 2" xfId="34770"/>
    <cellStyle name="40% - Accent6 2 3 3 7" xfId="28086"/>
    <cellStyle name="40% - Accent6 2 3 4" xfId="6787"/>
    <cellStyle name="40% - Accent6 2 3 4 2" xfId="6788"/>
    <cellStyle name="40% - Accent6 2 3 4 2 2" xfId="10690"/>
    <cellStyle name="40% - Accent6 2 3 4 2 2 2" xfId="20311"/>
    <cellStyle name="40% - Accent6 2 3 4 2 2 2 2" xfId="36532"/>
    <cellStyle name="40% - Accent6 2 3 4 2 2 3" xfId="29844"/>
    <cellStyle name="40% - Accent6 2 3 4 2 3" xfId="16846"/>
    <cellStyle name="40% - Accent6 2 3 4 2 3 2" xfId="33067"/>
    <cellStyle name="40% - Accent6 2 3 4 2 4" xfId="18554"/>
    <cellStyle name="40% - Accent6 2 3 4 2 4 2" xfId="34775"/>
    <cellStyle name="40% - Accent6 2 3 4 2 5" xfId="28091"/>
    <cellStyle name="40% - Accent6 2 3 4 3" xfId="10689"/>
    <cellStyle name="40% - Accent6 2 3 4 3 2" xfId="20310"/>
    <cellStyle name="40% - Accent6 2 3 4 3 2 2" xfId="36531"/>
    <cellStyle name="40% - Accent6 2 3 4 3 3" xfId="29843"/>
    <cellStyle name="40% - Accent6 2 3 4 4" xfId="15261"/>
    <cellStyle name="40% - Accent6 2 3 4 4 2" xfId="31483"/>
    <cellStyle name="40% - Accent6 2 3 4 5" xfId="18553"/>
    <cellStyle name="40% - Accent6 2 3 4 5 2" xfId="34774"/>
    <cellStyle name="40% - Accent6 2 3 4 6" xfId="28090"/>
    <cellStyle name="40% - Accent6 2 3 5" xfId="6789"/>
    <cellStyle name="40% - Accent6 2 3 5 2" xfId="10691"/>
    <cellStyle name="40% - Accent6 2 3 5 2 2" xfId="20312"/>
    <cellStyle name="40% - Accent6 2 3 5 2 2 2" xfId="36533"/>
    <cellStyle name="40% - Accent6 2 3 5 2 3" xfId="29845"/>
    <cellStyle name="40% - Accent6 2 3 5 3" xfId="16054"/>
    <cellStyle name="40% - Accent6 2 3 5 3 2" xfId="32275"/>
    <cellStyle name="40% - Accent6 2 3 5 4" xfId="18555"/>
    <cellStyle name="40% - Accent6 2 3 5 4 2" xfId="34776"/>
    <cellStyle name="40% - Accent6 2 3 5 5" xfId="28092"/>
    <cellStyle name="40% - Accent6 2 3 6" xfId="10680"/>
    <cellStyle name="40% - Accent6 2 3 6 2" xfId="20301"/>
    <cellStyle name="40% - Accent6 2 3 6 2 2" xfId="36522"/>
    <cellStyle name="40% - Accent6 2 3 6 3" xfId="29834"/>
    <cellStyle name="40% - Accent6 2 3 7" xfId="14469"/>
    <cellStyle name="40% - Accent6 2 3 7 2" xfId="30691"/>
    <cellStyle name="40% - Accent6 2 3 8" xfId="18544"/>
    <cellStyle name="40% - Accent6 2 3 8 2" xfId="34765"/>
    <cellStyle name="40% - Accent6 2 3 9" xfId="28081"/>
    <cellStyle name="40% - Accent6 2 4" xfId="6790"/>
    <cellStyle name="40% - Accent6 2 4 2" xfId="6791"/>
    <cellStyle name="40% - Accent6 2 4 2 2" xfId="6792"/>
    <cellStyle name="40% - Accent6 2 4 2 2 2" xfId="10694"/>
    <cellStyle name="40% - Accent6 2 4 2 2 2 2" xfId="20315"/>
    <cellStyle name="40% - Accent6 2 4 2 2 2 2 2" xfId="36536"/>
    <cellStyle name="40% - Accent6 2 4 2 2 2 3" xfId="29848"/>
    <cellStyle name="40% - Accent6 2 4 2 2 3" xfId="16978"/>
    <cellStyle name="40% - Accent6 2 4 2 2 3 2" xfId="33199"/>
    <cellStyle name="40% - Accent6 2 4 2 2 4" xfId="18558"/>
    <cellStyle name="40% - Accent6 2 4 2 2 4 2" xfId="34779"/>
    <cellStyle name="40% - Accent6 2 4 2 2 5" xfId="28095"/>
    <cellStyle name="40% - Accent6 2 4 2 3" xfId="10693"/>
    <cellStyle name="40% - Accent6 2 4 2 3 2" xfId="20314"/>
    <cellStyle name="40% - Accent6 2 4 2 3 2 2" xfId="36535"/>
    <cellStyle name="40% - Accent6 2 4 2 3 3" xfId="29847"/>
    <cellStyle name="40% - Accent6 2 4 2 4" xfId="15393"/>
    <cellStyle name="40% - Accent6 2 4 2 4 2" xfId="31615"/>
    <cellStyle name="40% - Accent6 2 4 2 5" xfId="18557"/>
    <cellStyle name="40% - Accent6 2 4 2 5 2" xfId="34778"/>
    <cellStyle name="40% - Accent6 2 4 2 6" xfId="28094"/>
    <cellStyle name="40% - Accent6 2 4 3" xfId="6793"/>
    <cellStyle name="40% - Accent6 2 4 3 2" xfId="10695"/>
    <cellStyle name="40% - Accent6 2 4 3 2 2" xfId="20316"/>
    <cellStyle name="40% - Accent6 2 4 3 2 2 2" xfId="36537"/>
    <cellStyle name="40% - Accent6 2 4 3 2 3" xfId="29849"/>
    <cellStyle name="40% - Accent6 2 4 3 3" xfId="16186"/>
    <cellStyle name="40% - Accent6 2 4 3 3 2" xfId="32407"/>
    <cellStyle name="40% - Accent6 2 4 3 4" xfId="18559"/>
    <cellStyle name="40% - Accent6 2 4 3 4 2" xfId="34780"/>
    <cellStyle name="40% - Accent6 2 4 3 5" xfId="28096"/>
    <cellStyle name="40% - Accent6 2 4 4" xfId="10692"/>
    <cellStyle name="40% - Accent6 2 4 4 2" xfId="20313"/>
    <cellStyle name="40% - Accent6 2 4 4 2 2" xfId="36534"/>
    <cellStyle name="40% - Accent6 2 4 4 3" xfId="29846"/>
    <cellStyle name="40% - Accent6 2 4 5" xfId="14601"/>
    <cellStyle name="40% - Accent6 2 4 5 2" xfId="30823"/>
    <cellStyle name="40% - Accent6 2 4 6" xfId="18556"/>
    <cellStyle name="40% - Accent6 2 4 6 2" xfId="34777"/>
    <cellStyle name="40% - Accent6 2 4 7" xfId="28093"/>
    <cellStyle name="40% - Accent6 2 4 8" xfId="39253"/>
    <cellStyle name="40% - Accent6 2 5" xfId="6794"/>
    <cellStyle name="40% - Accent6 2 5 2" xfId="6795"/>
    <cellStyle name="40% - Accent6 2 5 2 2" xfId="6796"/>
    <cellStyle name="40% - Accent6 2 5 2 2 2" xfId="10698"/>
    <cellStyle name="40% - Accent6 2 5 2 2 2 2" xfId="20319"/>
    <cellStyle name="40% - Accent6 2 5 2 2 2 2 2" xfId="36540"/>
    <cellStyle name="40% - Accent6 2 5 2 2 2 3" xfId="29852"/>
    <cellStyle name="40% - Accent6 2 5 2 2 3" xfId="17242"/>
    <cellStyle name="40% - Accent6 2 5 2 2 3 2" xfId="33463"/>
    <cellStyle name="40% - Accent6 2 5 2 2 4" xfId="18562"/>
    <cellStyle name="40% - Accent6 2 5 2 2 4 2" xfId="34783"/>
    <cellStyle name="40% - Accent6 2 5 2 2 5" xfId="28099"/>
    <cellStyle name="40% - Accent6 2 5 2 3" xfId="10697"/>
    <cellStyle name="40% - Accent6 2 5 2 3 2" xfId="20318"/>
    <cellStyle name="40% - Accent6 2 5 2 3 2 2" xfId="36539"/>
    <cellStyle name="40% - Accent6 2 5 2 3 3" xfId="29851"/>
    <cellStyle name="40% - Accent6 2 5 2 4" xfId="15657"/>
    <cellStyle name="40% - Accent6 2 5 2 4 2" xfId="31879"/>
    <cellStyle name="40% - Accent6 2 5 2 5" xfId="18561"/>
    <cellStyle name="40% - Accent6 2 5 2 5 2" xfId="34782"/>
    <cellStyle name="40% - Accent6 2 5 2 6" xfId="28098"/>
    <cellStyle name="40% - Accent6 2 5 3" xfId="6797"/>
    <cellStyle name="40% - Accent6 2 5 3 2" xfId="10699"/>
    <cellStyle name="40% - Accent6 2 5 3 2 2" xfId="20320"/>
    <cellStyle name="40% - Accent6 2 5 3 2 2 2" xfId="36541"/>
    <cellStyle name="40% - Accent6 2 5 3 2 3" xfId="29853"/>
    <cellStyle name="40% - Accent6 2 5 3 3" xfId="16450"/>
    <cellStyle name="40% - Accent6 2 5 3 3 2" xfId="32671"/>
    <cellStyle name="40% - Accent6 2 5 3 4" xfId="18563"/>
    <cellStyle name="40% - Accent6 2 5 3 4 2" xfId="34784"/>
    <cellStyle name="40% - Accent6 2 5 3 5" xfId="28100"/>
    <cellStyle name="40% - Accent6 2 5 4" xfId="10696"/>
    <cellStyle name="40% - Accent6 2 5 4 2" xfId="20317"/>
    <cellStyle name="40% - Accent6 2 5 4 2 2" xfId="36538"/>
    <cellStyle name="40% - Accent6 2 5 4 3" xfId="29850"/>
    <cellStyle name="40% - Accent6 2 5 5" xfId="14865"/>
    <cellStyle name="40% - Accent6 2 5 5 2" xfId="31087"/>
    <cellStyle name="40% - Accent6 2 5 6" xfId="18560"/>
    <cellStyle name="40% - Accent6 2 5 6 2" xfId="34781"/>
    <cellStyle name="40% - Accent6 2 5 7" xfId="28097"/>
    <cellStyle name="40% - Accent6 2 5 8" xfId="39402"/>
    <cellStyle name="40% - Accent6 2 6" xfId="6798"/>
    <cellStyle name="40% - Accent6 2 6 2" xfId="6799"/>
    <cellStyle name="40% - Accent6 2 6 2 2" xfId="10701"/>
    <cellStyle name="40% - Accent6 2 6 2 2 2" xfId="20322"/>
    <cellStyle name="40% - Accent6 2 6 2 2 2 2" xfId="36543"/>
    <cellStyle name="40% - Accent6 2 6 2 2 3" xfId="29855"/>
    <cellStyle name="40% - Accent6 2 6 2 3" xfId="16714"/>
    <cellStyle name="40% - Accent6 2 6 2 3 2" xfId="32935"/>
    <cellStyle name="40% - Accent6 2 6 2 4" xfId="18565"/>
    <cellStyle name="40% - Accent6 2 6 2 4 2" xfId="34786"/>
    <cellStyle name="40% - Accent6 2 6 2 5" xfId="28102"/>
    <cellStyle name="40% - Accent6 2 6 3" xfId="10700"/>
    <cellStyle name="40% - Accent6 2 6 3 2" xfId="20321"/>
    <cellStyle name="40% - Accent6 2 6 3 2 2" xfId="36542"/>
    <cellStyle name="40% - Accent6 2 6 3 3" xfId="29854"/>
    <cellStyle name="40% - Accent6 2 6 4" xfId="15129"/>
    <cellStyle name="40% - Accent6 2 6 4 2" xfId="31351"/>
    <cellStyle name="40% - Accent6 2 6 5" xfId="18564"/>
    <cellStyle name="40% - Accent6 2 6 5 2" xfId="34785"/>
    <cellStyle name="40% - Accent6 2 6 6" xfId="28101"/>
    <cellStyle name="40% - Accent6 2 7" xfId="6800"/>
    <cellStyle name="40% - Accent6 2 7 2" xfId="10702"/>
    <cellStyle name="40% - Accent6 2 7 2 2" xfId="20323"/>
    <cellStyle name="40% - Accent6 2 7 2 2 2" xfId="36544"/>
    <cellStyle name="40% - Accent6 2 7 2 3" xfId="29856"/>
    <cellStyle name="40% - Accent6 2 7 3" xfId="15922"/>
    <cellStyle name="40% - Accent6 2 7 3 2" xfId="32143"/>
    <cellStyle name="40% - Accent6 2 7 4" xfId="18566"/>
    <cellStyle name="40% - Accent6 2 7 4 2" xfId="34787"/>
    <cellStyle name="40% - Accent6 2 7 5" xfId="28103"/>
    <cellStyle name="40% - Accent6 2 8" xfId="10655"/>
    <cellStyle name="40% - Accent6 2 8 2" xfId="20276"/>
    <cellStyle name="40% - Accent6 2 8 2 2" xfId="36497"/>
    <cellStyle name="40% - Accent6 2 8 3" xfId="29809"/>
    <cellStyle name="40% - Accent6 2 9" xfId="14337"/>
    <cellStyle name="40% - Accent6 2 9 2" xfId="30559"/>
    <cellStyle name="40% - Accent6 3" xfId="6801"/>
    <cellStyle name="40% - Accent6 3 10" xfId="28104"/>
    <cellStyle name="40% - Accent6 3 11" xfId="38984"/>
    <cellStyle name="40% - Accent6 3 2" xfId="6802"/>
    <cellStyle name="40% - Accent6 3 2 10" xfId="39026"/>
    <cellStyle name="40% - Accent6 3 2 2" xfId="6803"/>
    <cellStyle name="40% - Accent6 3 2 2 2" xfId="6804"/>
    <cellStyle name="40% - Accent6 3 2 2 2 2" xfId="6805"/>
    <cellStyle name="40% - Accent6 3 2 2 2 2 2" xfId="10707"/>
    <cellStyle name="40% - Accent6 3 2 2 2 2 2 2" xfId="20328"/>
    <cellStyle name="40% - Accent6 3 2 2 2 2 2 2 2" xfId="36549"/>
    <cellStyle name="40% - Accent6 3 2 2 2 2 2 3" xfId="29861"/>
    <cellStyle name="40% - Accent6 3 2 2 2 2 3" xfId="17143"/>
    <cellStyle name="40% - Accent6 3 2 2 2 2 3 2" xfId="33364"/>
    <cellStyle name="40% - Accent6 3 2 2 2 2 4" xfId="18571"/>
    <cellStyle name="40% - Accent6 3 2 2 2 2 4 2" xfId="34792"/>
    <cellStyle name="40% - Accent6 3 2 2 2 2 5" xfId="28108"/>
    <cellStyle name="40% - Accent6 3 2 2 2 3" xfId="10706"/>
    <cellStyle name="40% - Accent6 3 2 2 2 3 2" xfId="20327"/>
    <cellStyle name="40% - Accent6 3 2 2 2 3 2 2" xfId="36548"/>
    <cellStyle name="40% - Accent6 3 2 2 2 3 3" xfId="29860"/>
    <cellStyle name="40% - Accent6 3 2 2 2 4" xfId="15558"/>
    <cellStyle name="40% - Accent6 3 2 2 2 4 2" xfId="31780"/>
    <cellStyle name="40% - Accent6 3 2 2 2 5" xfId="18570"/>
    <cellStyle name="40% - Accent6 3 2 2 2 5 2" xfId="34791"/>
    <cellStyle name="40% - Accent6 3 2 2 2 6" xfId="28107"/>
    <cellStyle name="40% - Accent6 3 2 2 3" xfId="6806"/>
    <cellStyle name="40% - Accent6 3 2 2 3 2" xfId="10708"/>
    <cellStyle name="40% - Accent6 3 2 2 3 2 2" xfId="20329"/>
    <cellStyle name="40% - Accent6 3 2 2 3 2 2 2" xfId="36550"/>
    <cellStyle name="40% - Accent6 3 2 2 3 2 3" xfId="29862"/>
    <cellStyle name="40% - Accent6 3 2 2 3 3" xfId="16351"/>
    <cellStyle name="40% - Accent6 3 2 2 3 3 2" xfId="32572"/>
    <cellStyle name="40% - Accent6 3 2 2 3 4" xfId="18572"/>
    <cellStyle name="40% - Accent6 3 2 2 3 4 2" xfId="34793"/>
    <cellStyle name="40% - Accent6 3 2 2 3 5" xfId="28109"/>
    <cellStyle name="40% - Accent6 3 2 2 4" xfId="10705"/>
    <cellStyle name="40% - Accent6 3 2 2 4 2" xfId="20326"/>
    <cellStyle name="40% - Accent6 3 2 2 4 2 2" xfId="36547"/>
    <cellStyle name="40% - Accent6 3 2 2 4 3" xfId="29859"/>
    <cellStyle name="40% - Accent6 3 2 2 5" xfId="14766"/>
    <cellStyle name="40% - Accent6 3 2 2 5 2" xfId="30988"/>
    <cellStyle name="40% - Accent6 3 2 2 6" xfId="18569"/>
    <cellStyle name="40% - Accent6 3 2 2 6 2" xfId="34790"/>
    <cellStyle name="40% - Accent6 3 2 2 7" xfId="28106"/>
    <cellStyle name="40% - Accent6 3 2 2 8" xfId="39174"/>
    <cellStyle name="40% - Accent6 3 2 3" xfId="6807"/>
    <cellStyle name="40% - Accent6 3 2 3 2" xfId="6808"/>
    <cellStyle name="40% - Accent6 3 2 3 2 2" xfId="6809"/>
    <cellStyle name="40% - Accent6 3 2 3 2 2 2" xfId="10711"/>
    <cellStyle name="40% - Accent6 3 2 3 2 2 2 2" xfId="20332"/>
    <cellStyle name="40% - Accent6 3 2 3 2 2 2 2 2" xfId="36553"/>
    <cellStyle name="40% - Accent6 3 2 3 2 2 2 3" xfId="29865"/>
    <cellStyle name="40% - Accent6 3 2 3 2 2 3" xfId="17407"/>
    <cellStyle name="40% - Accent6 3 2 3 2 2 3 2" xfId="33628"/>
    <cellStyle name="40% - Accent6 3 2 3 2 2 4" xfId="18575"/>
    <cellStyle name="40% - Accent6 3 2 3 2 2 4 2" xfId="34796"/>
    <cellStyle name="40% - Accent6 3 2 3 2 2 5" xfId="28112"/>
    <cellStyle name="40% - Accent6 3 2 3 2 3" xfId="10710"/>
    <cellStyle name="40% - Accent6 3 2 3 2 3 2" xfId="20331"/>
    <cellStyle name="40% - Accent6 3 2 3 2 3 2 2" xfId="36552"/>
    <cellStyle name="40% - Accent6 3 2 3 2 3 3" xfId="29864"/>
    <cellStyle name="40% - Accent6 3 2 3 2 4" xfId="15822"/>
    <cellStyle name="40% - Accent6 3 2 3 2 4 2" xfId="32044"/>
    <cellStyle name="40% - Accent6 3 2 3 2 5" xfId="18574"/>
    <cellStyle name="40% - Accent6 3 2 3 2 5 2" xfId="34795"/>
    <cellStyle name="40% - Accent6 3 2 3 2 6" xfId="28111"/>
    <cellStyle name="40% - Accent6 3 2 3 3" xfId="6810"/>
    <cellStyle name="40% - Accent6 3 2 3 3 2" xfId="10712"/>
    <cellStyle name="40% - Accent6 3 2 3 3 2 2" xfId="20333"/>
    <cellStyle name="40% - Accent6 3 2 3 3 2 2 2" xfId="36554"/>
    <cellStyle name="40% - Accent6 3 2 3 3 2 3" xfId="29866"/>
    <cellStyle name="40% - Accent6 3 2 3 3 3" xfId="16615"/>
    <cellStyle name="40% - Accent6 3 2 3 3 3 2" xfId="32836"/>
    <cellStyle name="40% - Accent6 3 2 3 3 4" xfId="18576"/>
    <cellStyle name="40% - Accent6 3 2 3 3 4 2" xfId="34797"/>
    <cellStyle name="40% - Accent6 3 2 3 3 5" xfId="28113"/>
    <cellStyle name="40% - Accent6 3 2 3 4" xfId="10709"/>
    <cellStyle name="40% - Accent6 3 2 3 4 2" xfId="20330"/>
    <cellStyle name="40% - Accent6 3 2 3 4 2 2" xfId="36551"/>
    <cellStyle name="40% - Accent6 3 2 3 4 3" xfId="29863"/>
    <cellStyle name="40% - Accent6 3 2 3 5" xfId="15030"/>
    <cellStyle name="40% - Accent6 3 2 3 5 2" xfId="31252"/>
    <cellStyle name="40% - Accent6 3 2 3 6" xfId="18573"/>
    <cellStyle name="40% - Accent6 3 2 3 6 2" xfId="34794"/>
    <cellStyle name="40% - Accent6 3 2 3 7" xfId="28110"/>
    <cellStyle name="40% - Accent6 3 2 3 8" xfId="39322"/>
    <cellStyle name="40% - Accent6 3 2 4" xfId="6811"/>
    <cellStyle name="40% - Accent6 3 2 4 2" xfId="6812"/>
    <cellStyle name="40% - Accent6 3 2 4 2 2" xfId="10714"/>
    <cellStyle name="40% - Accent6 3 2 4 2 2 2" xfId="20335"/>
    <cellStyle name="40% - Accent6 3 2 4 2 2 2 2" xfId="36556"/>
    <cellStyle name="40% - Accent6 3 2 4 2 2 3" xfId="29868"/>
    <cellStyle name="40% - Accent6 3 2 4 2 3" xfId="16879"/>
    <cellStyle name="40% - Accent6 3 2 4 2 3 2" xfId="33100"/>
    <cellStyle name="40% - Accent6 3 2 4 2 4" xfId="18578"/>
    <cellStyle name="40% - Accent6 3 2 4 2 4 2" xfId="34799"/>
    <cellStyle name="40% - Accent6 3 2 4 2 5" xfId="28115"/>
    <cellStyle name="40% - Accent6 3 2 4 3" xfId="10713"/>
    <cellStyle name="40% - Accent6 3 2 4 3 2" xfId="20334"/>
    <cellStyle name="40% - Accent6 3 2 4 3 2 2" xfId="36555"/>
    <cellStyle name="40% - Accent6 3 2 4 3 3" xfId="29867"/>
    <cellStyle name="40% - Accent6 3 2 4 4" xfId="15294"/>
    <cellStyle name="40% - Accent6 3 2 4 4 2" xfId="31516"/>
    <cellStyle name="40% - Accent6 3 2 4 5" xfId="18577"/>
    <cellStyle name="40% - Accent6 3 2 4 5 2" xfId="34798"/>
    <cellStyle name="40% - Accent6 3 2 4 6" xfId="28114"/>
    <cellStyle name="40% - Accent6 3 2 4 7" xfId="39471"/>
    <cellStyle name="40% - Accent6 3 2 5" xfId="6813"/>
    <cellStyle name="40% - Accent6 3 2 5 2" xfId="10715"/>
    <cellStyle name="40% - Accent6 3 2 5 2 2" xfId="20336"/>
    <cellStyle name="40% - Accent6 3 2 5 2 2 2" xfId="36557"/>
    <cellStyle name="40% - Accent6 3 2 5 2 3" xfId="29869"/>
    <cellStyle name="40% - Accent6 3 2 5 3" xfId="16087"/>
    <cellStyle name="40% - Accent6 3 2 5 3 2" xfId="32308"/>
    <cellStyle name="40% - Accent6 3 2 5 4" xfId="18579"/>
    <cellStyle name="40% - Accent6 3 2 5 4 2" xfId="34800"/>
    <cellStyle name="40% - Accent6 3 2 5 5" xfId="28116"/>
    <cellStyle name="40% - Accent6 3 2 6" xfId="10704"/>
    <cellStyle name="40% - Accent6 3 2 6 2" xfId="20325"/>
    <cellStyle name="40% - Accent6 3 2 6 2 2" xfId="36546"/>
    <cellStyle name="40% - Accent6 3 2 6 3" xfId="29858"/>
    <cellStyle name="40% - Accent6 3 2 7" xfId="14502"/>
    <cellStyle name="40% - Accent6 3 2 7 2" xfId="30724"/>
    <cellStyle name="40% - Accent6 3 2 8" xfId="18568"/>
    <cellStyle name="40% - Accent6 3 2 8 2" xfId="34789"/>
    <cellStyle name="40% - Accent6 3 2 9" xfId="28105"/>
    <cellStyle name="40% - Accent6 3 3" xfId="6814"/>
    <cellStyle name="40% - Accent6 3 3 2" xfId="6815"/>
    <cellStyle name="40% - Accent6 3 3 2 2" xfId="6816"/>
    <cellStyle name="40% - Accent6 3 3 2 2 2" xfId="10718"/>
    <cellStyle name="40% - Accent6 3 3 2 2 2 2" xfId="20339"/>
    <cellStyle name="40% - Accent6 3 3 2 2 2 2 2" xfId="36560"/>
    <cellStyle name="40% - Accent6 3 3 2 2 2 3" xfId="29872"/>
    <cellStyle name="40% - Accent6 3 3 2 2 3" xfId="17011"/>
    <cellStyle name="40% - Accent6 3 3 2 2 3 2" xfId="33232"/>
    <cellStyle name="40% - Accent6 3 3 2 2 4" xfId="18582"/>
    <cellStyle name="40% - Accent6 3 3 2 2 4 2" xfId="34803"/>
    <cellStyle name="40% - Accent6 3 3 2 2 5" xfId="28119"/>
    <cellStyle name="40% - Accent6 3 3 2 3" xfId="10717"/>
    <cellStyle name="40% - Accent6 3 3 2 3 2" xfId="20338"/>
    <cellStyle name="40% - Accent6 3 3 2 3 2 2" xfId="36559"/>
    <cellStyle name="40% - Accent6 3 3 2 3 3" xfId="29871"/>
    <cellStyle name="40% - Accent6 3 3 2 4" xfId="15426"/>
    <cellStyle name="40% - Accent6 3 3 2 4 2" xfId="31648"/>
    <cellStyle name="40% - Accent6 3 3 2 5" xfId="18581"/>
    <cellStyle name="40% - Accent6 3 3 2 5 2" xfId="34802"/>
    <cellStyle name="40% - Accent6 3 3 2 6" xfId="28118"/>
    <cellStyle name="40% - Accent6 3 3 3" xfId="6817"/>
    <cellStyle name="40% - Accent6 3 3 3 2" xfId="10719"/>
    <cellStyle name="40% - Accent6 3 3 3 2 2" xfId="20340"/>
    <cellStyle name="40% - Accent6 3 3 3 2 2 2" xfId="36561"/>
    <cellStyle name="40% - Accent6 3 3 3 2 3" xfId="29873"/>
    <cellStyle name="40% - Accent6 3 3 3 3" xfId="16219"/>
    <cellStyle name="40% - Accent6 3 3 3 3 2" xfId="32440"/>
    <cellStyle name="40% - Accent6 3 3 3 4" xfId="18583"/>
    <cellStyle name="40% - Accent6 3 3 3 4 2" xfId="34804"/>
    <cellStyle name="40% - Accent6 3 3 3 5" xfId="28120"/>
    <cellStyle name="40% - Accent6 3 3 4" xfId="10716"/>
    <cellStyle name="40% - Accent6 3 3 4 2" xfId="20337"/>
    <cellStyle name="40% - Accent6 3 3 4 2 2" xfId="36558"/>
    <cellStyle name="40% - Accent6 3 3 4 3" xfId="29870"/>
    <cellStyle name="40% - Accent6 3 3 5" xfId="14634"/>
    <cellStyle name="40% - Accent6 3 3 5 2" xfId="30856"/>
    <cellStyle name="40% - Accent6 3 3 6" xfId="18580"/>
    <cellStyle name="40% - Accent6 3 3 6 2" xfId="34801"/>
    <cellStyle name="40% - Accent6 3 3 7" xfId="28117"/>
    <cellStyle name="40% - Accent6 3 3 8" xfId="39118"/>
    <cellStyle name="40% - Accent6 3 4" xfId="6818"/>
    <cellStyle name="40% - Accent6 3 4 2" xfId="6819"/>
    <cellStyle name="40% - Accent6 3 4 2 2" xfId="6820"/>
    <cellStyle name="40% - Accent6 3 4 2 2 2" xfId="10722"/>
    <cellStyle name="40% - Accent6 3 4 2 2 2 2" xfId="20343"/>
    <cellStyle name="40% - Accent6 3 4 2 2 2 2 2" xfId="36564"/>
    <cellStyle name="40% - Accent6 3 4 2 2 2 3" xfId="29876"/>
    <cellStyle name="40% - Accent6 3 4 2 2 3" xfId="17275"/>
    <cellStyle name="40% - Accent6 3 4 2 2 3 2" xfId="33496"/>
    <cellStyle name="40% - Accent6 3 4 2 2 4" xfId="18586"/>
    <cellStyle name="40% - Accent6 3 4 2 2 4 2" xfId="34807"/>
    <cellStyle name="40% - Accent6 3 4 2 2 5" xfId="28123"/>
    <cellStyle name="40% - Accent6 3 4 2 3" xfId="10721"/>
    <cellStyle name="40% - Accent6 3 4 2 3 2" xfId="20342"/>
    <cellStyle name="40% - Accent6 3 4 2 3 2 2" xfId="36563"/>
    <cellStyle name="40% - Accent6 3 4 2 3 3" xfId="29875"/>
    <cellStyle name="40% - Accent6 3 4 2 4" xfId="15690"/>
    <cellStyle name="40% - Accent6 3 4 2 4 2" xfId="31912"/>
    <cellStyle name="40% - Accent6 3 4 2 5" xfId="18585"/>
    <cellStyle name="40% - Accent6 3 4 2 5 2" xfId="34806"/>
    <cellStyle name="40% - Accent6 3 4 2 6" xfId="28122"/>
    <cellStyle name="40% - Accent6 3 4 3" xfId="6821"/>
    <cellStyle name="40% - Accent6 3 4 3 2" xfId="10723"/>
    <cellStyle name="40% - Accent6 3 4 3 2 2" xfId="20344"/>
    <cellStyle name="40% - Accent6 3 4 3 2 2 2" xfId="36565"/>
    <cellStyle name="40% - Accent6 3 4 3 2 3" xfId="29877"/>
    <cellStyle name="40% - Accent6 3 4 3 3" xfId="16483"/>
    <cellStyle name="40% - Accent6 3 4 3 3 2" xfId="32704"/>
    <cellStyle name="40% - Accent6 3 4 3 4" xfId="18587"/>
    <cellStyle name="40% - Accent6 3 4 3 4 2" xfId="34808"/>
    <cellStyle name="40% - Accent6 3 4 3 5" xfId="28124"/>
    <cellStyle name="40% - Accent6 3 4 4" xfId="10720"/>
    <cellStyle name="40% - Accent6 3 4 4 2" xfId="20341"/>
    <cellStyle name="40% - Accent6 3 4 4 2 2" xfId="36562"/>
    <cellStyle name="40% - Accent6 3 4 4 3" xfId="29874"/>
    <cellStyle name="40% - Accent6 3 4 5" xfId="14898"/>
    <cellStyle name="40% - Accent6 3 4 5 2" xfId="31120"/>
    <cellStyle name="40% - Accent6 3 4 6" xfId="18584"/>
    <cellStyle name="40% - Accent6 3 4 6 2" xfId="34805"/>
    <cellStyle name="40% - Accent6 3 4 7" xfId="28121"/>
    <cellStyle name="40% - Accent6 3 4 8" xfId="39266"/>
    <cellStyle name="40% - Accent6 3 5" xfId="6822"/>
    <cellStyle name="40% - Accent6 3 5 2" xfId="6823"/>
    <cellStyle name="40% - Accent6 3 5 2 2" xfId="10725"/>
    <cellStyle name="40% - Accent6 3 5 2 2 2" xfId="20346"/>
    <cellStyle name="40% - Accent6 3 5 2 2 2 2" xfId="36567"/>
    <cellStyle name="40% - Accent6 3 5 2 2 3" xfId="29879"/>
    <cellStyle name="40% - Accent6 3 5 2 3" xfId="16747"/>
    <cellStyle name="40% - Accent6 3 5 2 3 2" xfId="32968"/>
    <cellStyle name="40% - Accent6 3 5 2 4" xfId="18589"/>
    <cellStyle name="40% - Accent6 3 5 2 4 2" xfId="34810"/>
    <cellStyle name="40% - Accent6 3 5 2 5" xfId="28126"/>
    <cellStyle name="40% - Accent6 3 5 3" xfId="10724"/>
    <cellStyle name="40% - Accent6 3 5 3 2" xfId="20345"/>
    <cellStyle name="40% - Accent6 3 5 3 2 2" xfId="36566"/>
    <cellStyle name="40% - Accent6 3 5 3 3" xfId="29878"/>
    <cellStyle name="40% - Accent6 3 5 4" xfId="15162"/>
    <cellStyle name="40% - Accent6 3 5 4 2" xfId="31384"/>
    <cellStyle name="40% - Accent6 3 5 5" xfId="18588"/>
    <cellStyle name="40% - Accent6 3 5 5 2" xfId="34809"/>
    <cellStyle name="40% - Accent6 3 5 6" xfId="28125"/>
    <cellStyle name="40% - Accent6 3 5 7" xfId="39415"/>
    <cellStyle name="40% - Accent6 3 6" xfId="6824"/>
    <cellStyle name="40% - Accent6 3 6 2" xfId="10726"/>
    <cellStyle name="40% - Accent6 3 6 2 2" xfId="20347"/>
    <cellStyle name="40% - Accent6 3 6 2 2 2" xfId="36568"/>
    <cellStyle name="40% - Accent6 3 6 2 3" xfId="29880"/>
    <cellStyle name="40% - Accent6 3 6 3" xfId="15955"/>
    <cellStyle name="40% - Accent6 3 6 3 2" xfId="32176"/>
    <cellStyle name="40% - Accent6 3 6 4" xfId="18590"/>
    <cellStyle name="40% - Accent6 3 6 4 2" xfId="34811"/>
    <cellStyle name="40% - Accent6 3 6 5" xfId="28127"/>
    <cellStyle name="40% - Accent6 3 7" xfId="10703"/>
    <cellStyle name="40% - Accent6 3 7 2" xfId="20324"/>
    <cellStyle name="40% - Accent6 3 7 2 2" xfId="36545"/>
    <cellStyle name="40% - Accent6 3 7 3" xfId="29857"/>
    <cellStyle name="40% - Accent6 3 8" xfId="14370"/>
    <cellStyle name="40% - Accent6 3 8 2" xfId="30592"/>
    <cellStyle name="40% - Accent6 3 9" xfId="18567"/>
    <cellStyle name="40% - Accent6 3 9 2" xfId="34788"/>
    <cellStyle name="40% - Accent6 4" xfId="6825"/>
    <cellStyle name="40% - Accent6 4 10" xfId="38997"/>
    <cellStyle name="40% - Accent6 4 2" xfId="6826"/>
    <cellStyle name="40% - Accent6 4 2 2" xfId="6827"/>
    <cellStyle name="40% - Accent6 4 2 2 2" xfId="6828"/>
    <cellStyle name="40% - Accent6 4 2 2 2 2" xfId="10730"/>
    <cellStyle name="40% - Accent6 4 2 2 2 2 2" xfId="20351"/>
    <cellStyle name="40% - Accent6 4 2 2 2 2 2 2" xfId="36572"/>
    <cellStyle name="40% - Accent6 4 2 2 2 2 3" xfId="29884"/>
    <cellStyle name="40% - Accent6 4 2 2 2 3" xfId="17077"/>
    <cellStyle name="40% - Accent6 4 2 2 2 3 2" xfId="33298"/>
    <cellStyle name="40% - Accent6 4 2 2 2 4" xfId="18594"/>
    <cellStyle name="40% - Accent6 4 2 2 2 4 2" xfId="34815"/>
    <cellStyle name="40% - Accent6 4 2 2 2 5" xfId="28131"/>
    <cellStyle name="40% - Accent6 4 2 2 3" xfId="10729"/>
    <cellStyle name="40% - Accent6 4 2 2 3 2" xfId="20350"/>
    <cellStyle name="40% - Accent6 4 2 2 3 2 2" xfId="36571"/>
    <cellStyle name="40% - Accent6 4 2 2 3 3" xfId="29883"/>
    <cellStyle name="40% - Accent6 4 2 2 4" xfId="15492"/>
    <cellStyle name="40% - Accent6 4 2 2 4 2" xfId="31714"/>
    <cellStyle name="40% - Accent6 4 2 2 5" xfId="18593"/>
    <cellStyle name="40% - Accent6 4 2 2 5 2" xfId="34814"/>
    <cellStyle name="40% - Accent6 4 2 2 6" xfId="28130"/>
    <cellStyle name="40% - Accent6 4 2 2 7" xfId="39187"/>
    <cellStyle name="40% - Accent6 4 2 3" xfId="6829"/>
    <cellStyle name="40% - Accent6 4 2 3 2" xfId="10731"/>
    <cellStyle name="40% - Accent6 4 2 3 2 2" xfId="20352"/>
    <cellStyle name="40% - Accent6 4 2 3 2 2 2" xfId="36573"/>
    <cellStyle name="40% - Accent6 4 2 3 2 3" xfId="29885"/>
    <cellStyle name="40% - Accent6 4 2 3 3" xfId="16285"/>
    <cellStyle name="40% - Accent6 4 2 3 3 2" xfId="32506"/>
    <cellStyle name="40% - Accent6 4 2 3 4" xfId="18595"/>
    <cellStyle name="40% - Accent6 4 2 3 4 2" xfId="34816"/>
    <cellStyle name="40% - Accent6 4 2 3 5" xfId="28132"/>
    <cellStyle name="40% - Accent6 4 2 3 6" xfId="39335"/>
    <cellStyle name="40% - Accent6 4 2 4" xfId="10728"/>
    <cellStyle name="40% - Accent6 4 2 4 2" xfId="20349"/>
    <cellStyle name="40% - Accent6 4 2 4 2 2" xfId="36570"/>
    <cellStyle name="40% - Accent6 4 2 4 3" xfId="29882"/>
    <cellStyle name="40% - Accent6 4 2 4 4" xfId="39484"/>
    <cellStyle name="40% - Accent6 4 2 5" xfId="14700"/>
    <cellStyle name="40% - Accent6 4 2 5 2" xfId="30922"/>
    <cellStyle name="40% - Accent6 4 2 6" xfId="18592"/>
    <cellStyle name="40% - Accent6 4 2 6 2" xfId="34813"/>
    <cellStyle name="40% - Accent6 4 2 7" xfId="28129"/>
    <cellStyle name="40% - Accent6 4 2 8" xfId="39039"/>
    <cellStyle name="40% - Accent6 4 3" xfId="6830"/>
    <cellStyle name="40% - Accent6 4 3 2" xfId="6831"/>
    <cellStyle name="40% - Accent6 4 3 2 2" xfId="6832"/>
    <cellStyle name="40% - Accent6 4 3 2 2 2" xfId="10734"/>
    <cellStyle name="40% - Accent6 4 3 2 2 2 2" xfId="20355"/>
    <cellStyle name="40% - Accent6 4 3 2 2 2 2 2" xfId="36576"/>
    <cellStyle name="40% - Accent6 4 3 2 2 2 3" xfId="29888"/>
    <cellStyle name="40% - Accent6 4 3 2 2 3" xfId="17341"/>
    <cellStyle name="40% - Accent6 4 3 2 2 3 2" xfId="33562"/>
    <cellStyle name="40% - Accent6 4 3 2 2 4" xfId="18598"/>
    <cellStyle name="40% - Accent6 4 3 2 2 4 2" xfId="34819"/>
    <cellStyle name="40% - Accent6 4 3 2 2 5" xfId="28135"/>
    <cellStyle name="40% - Accent6 4 3 2 3" xfId="10733"/>
    <cellStyle name="40% - Accent6 4 3 2 3 2" xfId="20354"/>
    <cellStyle name="40% - Accent6 4 3 2 3 2 2" xfId="36575"/>
    <cellStyle name="40% - Accent6 4 3 2 3 3" xfId="29887"/>
    <cellStyle name="40% - Accent6 4 3 2 4" xfId="15756"/>
    <cellStyle name="40% - Accent6 4 3 2 4 2" xfId="31978"/>
    <cellStyle name="40% - Accent6 4 3 2 5" xfId="18597"/>
    <cellStyle name="40% - Accent6 4 3 2 5 2" xfId="34818"/>
    <cellStyle name="40% - Accent6 4 3 2 6" xfId="28134"/>
    <cellStyle name="40% - Accent6 4 3 3" xfId="6833"/>
    <cellStyle name="40% - Accent6 4 3 3 2" xfId="10735"/>
    <cellStyle name="40% - Accent6 4 3 3 2 2" xfId="20356"/>
    <cellStyle name="40% - Accent6 4 3 3 2 2 2" xfId="36577"/>
    <cellStyle name="40% - Accent6 4 3 3 2 3" xfId="29889"/>
    <cellStyle name="40% - Accent6 4 3 3 3" xfId="16549"/>
    <cellStyle name="40% - Accent6 4 3 3 3 2" xfId="32770"/>
    <cellStyle name="40% - Accent6 4 3 3 4" xfId="18599"/>
    <cellStyle name="40% - Accent6 4 3 3 4 2" xfId="34820"/>
    <cellStyle name="40% - Accent6 4 3 3 5" xfId="28136"/>
    <cellStyle name="40% - Accent6 4 3 4" xfId="10732"/>
    <cellStyle name="40% - Accent6 4 3 4 2" xfId="20353"/>
    <cellStyle name="40% - Accent6 4 3 4 2 2" xfId="36574"/>
    <cellStyle name="40% - Accent6 4 3 4 3" xfId="29886"/>
    <cellStyle name="40% - Accent6 4 3 5" xfId="14964"/>
    <cellStyle name="40% - Accent6 4 3 5 2" xfId="31186"/>
    <cellStyle name="40% - Accent6 4 3 6" xfId="18596"/>
    <cellStyle name="40% - Accent6 4 3 6 2" xfId="34817"/>
    <cellStyle name="40% - Accent6 4 3 7" xfId="28133"/>
    <cellStyle name="40% - Accent6 4 3 8" xfId="39131"/>
    <cellStyle name="40% - Accent6 4 4" xfId="6834"/>
    <cellStyle name="40% - Accent6 4 4 2" xfId="6835"/>
    <cellStyle name="40% - Accent6 4 4 2 2" xfId="10737"/>
    <cellStyle name="40% - Accent6 4 4 2 2 2" xfId="20358"/>
    <cellStyle name="40% - Accent6 4 4 2 2 2 2" xfId="36579"/>
    <cellStyle name="40% - Accent6 4 4 2 2 3" xfId="29891"/>
    <cellStyle name="40% - Accent6 4 4 2 3" xfId="16813"/>
    <cellStyle name="40% - Accent6 4 4 2 3 2" xfId="33034"/>
    <cellStyle name="40% - Accent6 4 4 2 4" xfId="18601"/>
    <cellStyle name="40% - Accent6 4 4 2 4 2" xfId="34822"/>
    <cellStyle name="40% - Accent6 4 4 2 5" xfId="28138"/>
    <cellStyle name="40% - Accent6 4 4 3" xfId="10736"/>
    <cellStyle name="40% - Accent6 4 4 3 2" xfId="20357"/>
    <cellStyle name="40% - Accent6 4 4 3 2 2" xfId="36578"/>
    <cellStyle name="40% - Accent6 4 4 3 3" xfId="29890"/>
    <cellStyle name="40% - Accent6 4 4 4" xfId="15228"/>
    <cellStyle name="40% - Accent6 4 4 4 2" xfId="31450"/>
    <cellStyle name="40% - Accent6 4 4 5" xfId="18600"/>
    <cellStyle name="40% - Accent6 4 4 5 2" xfId="34821"/>
    <cellStyle name="40% - Accent6 4 4 6" xfId="28137"/>
    <cellStyle name="40% - Accent6 4 4 7" xfId="39279"/>
    <cellStyle name="40% - Accent6 4 5" xfId="6836"/>
    <cellStyle name="40% - Accent6 4 5 2" xfId="10738"/>
    <cellStyle name="40% - Accent6 4 5 2 2" xfId="20359"/>
    <cellStyle name="40% - Accent6 4 5 2 2 2" xfId="36580"/>
    <cellStyle name="40% - Accent6 4 5 2 3" xfId="29892"/>
    <cellStyle name="40% - Accent6 4 5 3" xfId="16021"/>
    <cellStyle name="40% - Accent6 4 5 3 2" xfId="32242"/>
    <cellStyle name="40% - Accent6 4 5 4" xfId="18602"/>
    <cellStyle name="40% - Accent6 4 5 4 2" xfId="34823"/>
    <cellStyle name="40% - Accent6 4 5 5" xfId="28139"/>
    <cellStyle name="40% - Accent6 4 5 6" xfId="39428"/>
    <cellStyle name="40% - Accent6 4 6" xfId="10727"/>
    <cellStyle name="40% - Accent6 4 6 2" xfId="20348"/>
    <cellStyle name="40% - Accent6 4 6 2 2" xfId="36569"/>
    <cellStyle name="40% - Accent6 4 6 3" xfId="29881"/>
    <cellStyle name="40% - Accent6 4 7" xfId="14436"/>
    <cellStyle name="40% - Accent6 4 7 2" xfId="30658"/>
    <cellStyle name="40% - Accent6 4 8" xfId="18591"/>
    <cellStyle name="40% - Accent6 4 8 2" xfId="34812"/>
    <cellStyle name="40% - Accent6 4 9" xfId="28128"/>
    <cellStyle name="40% - Accent6 5" xfId="6837"/>
    <cellStyle name="40% - Accent6 5 2" xfId="6838"/>
    <cellStyle name="40% - Accent6 5 2 2" xfId="6839"/>
    <cellStyle name="40% - Accent6 5 2 2 2" xfId="10741"/>
    <cellStyle name="40% - Accent6 5 2 2 2 2" xfId="20362"/>
    <cellStyle name="40% - Accent6 5 2 2 2 2 2" xfId="36583"/>
    <cellStyle name="40% - Accent6 5 2 2 2 3" xfId="29895"/>
    <cellStyle name="40% - Accent6 5 2 2 3" xfId="16945"/>
    <cellStyle name="40% - Accent6 5 2 2 3 2" xfId="33166"/>
    <cellStyle name="40% - Accent6 5 2 2 4" xfId="18605"/>
    <cellStyle name="40% - Accent6 5 2 2 4 2" xfId="34826"/>
    <cellStyle name="40% - Accent6 5 2 2 5" xfId="28142"/>
    <cellStyle name="40% - Accent6 5 2 3" xfId="10740"/>
    <cellStyle name="40% - Accent6 5 2 3 2" xfId="20361"/>
    <cellStyle name="40% - Accent6 5 2 3 2 2" xfId="36582"/>
    <cellStyle name="40% - Accent6 5 2 3 3" xfId="29894"/>
    <cellStyle name="40% - Accent6 5 2 4" xfId="15360"/>
    <cellStyle name="40% - Accent6 5 2 4 2" xfId="31582"/>
    <cellStyle name="40% - Accent6 5 2 5" xfId="18604"/>
    <cellStyle name="40% - Accent6 5 2 5 2" xfId="34825"/>
    <cellStyle name="40% - Accent6 5 2 6" xfId="28141"/>
    <cellStyle name="40% - Accent6 5 2 7" xfId="39143"/>
    <cellStyle name="40% - Accent6 5 3" xfId="6840"/>
    <cellStyle name="40% - Accent6 5 3 2" xfId="10742"/>
    <cellStyle name="40% - Accent6 5 3 2 2" xfId="20363"/>
    <cellStyle name="40% - Accent6 5 3 2 2 2" xfId="36584"/>
    <cellStyle name="40% - Accent6 5 3 2 3" xfId="29896"/>
    <cellStyle name="40% - Accent6 5 3 3" xfId="16153"/>
    <cellStyle name="40% - Accent6 5 3 3 2" xfId="32374"/>
    <cellStyle name="40% - Accent6 5 3 4" xfId="18606"/>
    <cellStyle name="40% - Accent6 5 3 4 2" xfId="34827"/>
    <cellStyle name="40% - Accent6 5 3 5" xfId="28143"/>
    <cellStyle name="40% - Accent6 5 3 6" xfId="39291"/>
    <cellStyle name="40% - Accent6 5 4" xfId="10739"/>
    <cellStyle name="40% - Accent6 5 4 2" xfId="20360"/>
    <cellStyle name="40% - Accent6 5 4 2 2" xfId="36581"/>
    <cellStyle name="40% - Accent6 5 4 3" xfId="29893"/>
    <cellStyle name="40% - Accent6 5 4 4" xfId="39440"/>
    <cellStyle name="40% - Accent6 5 5" xfId="14568"/>
    <cellStyle name="40% - Accent6 5 5 2" xfId="30790"/>
    <cellStyle name="40% - Accent6 5 6" xfId="18603"/>
    <cellStyle name="40% - Accent6 5 6 2" xfId="34824"/>
    <cellStyle name="40% - Accent6 5 7" xfId="28140"/>
    <cellStyle name="40% - Accent6 5 8" xfId="39009"/>
    <cellStyle name="40% - Accent6 6" xfId="6841"/>
    <cellStyle name="40% - Accent6 6 2" xfId="6842"/>
    <cellStyle name="40% - Accent6 6 2 2" xfId="6843"/>
    <cellStyle name="40% - Accent6 6 2 2 2" xfId="10745"/>
    <cellStyle name="40% - Accent6 6 2 2 2 2" xfId="20366"/>
    <cellStyle name="40% - Accent6 6 2 2 2 2 2" xfId="36587"/>
    <cellStyle name="40% - Accent6 6 2 2 2 3" xfId="29899"/>
    <cellStyle name="40% - Accent6 6 2 2 3" xfId="17209"/>
    <cellStyle name="40% - Accent6 6 2 2 3 2" xfId="33430"/>
    <cellStyle name="40% - Accent6 6 2 2 4" xfId="18609"/>
    <cellStyle name="40% - Accent6 6 2 2 4 2" xfId="34830"/>
    <cellStyle name="40% - Accent6 6 2 2 5" xfId="28146"/>
    <cellStyle name="40% - Accent6 6 2 3" xfId="10744"/>
    <cellStyle name="40% - Accent6 6 2 3 2" xfId="20365"/>
    <cellStyle name="40% - Accent6 6 2 3 2 2" xfId="36586"/>
    <cellStyle name="40% - Accent6 6 2 3 3" xfId="29898"/>
    <cellStyle name="40% - Accent6 6 2 4" xfId="15624"/>
    <cellStyle name="40% - Accent6 6 2 4 2" xfId="31846"/>
    <cellStyle name="40% - Accent6 6 2 5" xfId="18608"/>
    <cellStyle name="40% - Accent6 6 2 5 2" xfId="34829"/>
    <cellStyle name="40% - Accent6 6 2 6" xfId="28145"/>
    <cellStyle name="40% - Accent6 6 3" xfId="6844"/>
    <cellStyle name="40% - Accent6 6 3 2" xfId="10746"/>
    <cellStyle name="40% - Accent6 6 3 2 2" xfId="20367"/>
    <cellStyle name="40% - Accent6 6 3 2 2 2" xfId="36588"/>
    <cellStyle name="40% - Accent6 6 3 2 3" xfId="29900"/>
    <cellStyle name="40% - Accent6 6 3 3" xfId="16417"/>
    <cellStyle name="40% - Accent6 6 3 3 2" xfId="32638"/>
    <cellStyle name="40% - Accent6 6 3 4" xfId="18610"/>
    <cellStyle name="40% - Accent6 6 3 4 2" xfId="34831"/>
    <cellStyle name="40% - Accent6 6 3 5" xfId="28147"/>
    <cellStyle name="40% - Accent6 6 4" xfId="10743"/>
    <cellStyle name="40% - Accent6 6 4 2" xfId="20364"/>
    <cellStyle name="40% - Accent6 6 4 2 2" xfId="36585"/>
    <cellStyle name="40% - Accent6 6 4 3" xfId="29897"/>
    <cellStyle name="40% - Accent6 6 5" xfId="14832"/>
    <cellStyle name="40% - Accent6 6 5 2" xfId="31054"/>
    <cellStyle name="40% - Accent6 6 6" xfId="18607"/>
    <cellStyle name="40% - Accent6 6 6 2" xfId="34828"/>
    <cellStyle name="40% - Accent6 6 7" xfId="28144"/>
    <cellStyle name="40% - Accent6 6 8" xfId="39087"/>
    <cellStyle name="40% - Accent6 7" xfId="6845"/>
    <cellStyle name="40% - Accent6 7 2" xfId="6846"/>
    <cellStyle name="40% - Accent6 7 2 2" xfId="10748"/>
    <cellStyle name="40% - Accent6 7 2 2 2" xfId="20369"/>
    <cellStyle name="40% - Accent6 7 2 2 2 2" xfId="36590"/>
    <cellStyle name="40% - Accent6 7 2 2 3" xfId="29902"/>
    <cellStyle name="40% - Accent6 7 2 3" xfId="16681"/>
    <cellStyle name="40% - Accent6 7 2 3 2" xfId="32902"/>
    <cellStyle name="40% - Accent6 7 2 4" xfId="18612"/>
    <cellStyle name="40% - Accent6 7 2 4 2" xfId="34833"/>
    <cellStyle name="40% - Accent6 7 2 5" xfId="28149"/>
    <cellStyle name="40% - Accent6 7 3" xfId="10747"/>
    <cellStyle name="40% - Accent6 7 3 2" xfId="20368"/>
    <cellStyle name="40% - Accent6 7 3 2 2" xfId="36589"/>
    <cellStyle name="40% - Accent6 7 3 3" xfId="29901"/>
    <cellStyle name="40% - Accent6 7 4" xfId="15096"/>
    <cellStyle name="40% - Accent6 7 4 2" xfId="31318"/>
    <cellStyle name="40% - Accent6 7 5" xfId="18611"/>
    <cellStyle name="40% - Accent6 7 5 2" xfId="34832"/>
    <cellStyle name="40% - Accent6 7 6" xfId="28148"/>
    <cellStyle name="40% - Accent6 7 7" xfId="39235"/>
    <cellStyle name="40% - Accent6 8" xfId="6847"/>
    <cellStyle name="40% - Accent6 8 2" xfId="10749"/>
    <cellStyle name="40% - Accent6 8 2 2" xfId="20370"/>
    <cellStyle name="40% - Accent6 8 2 2 2" xfId="36591"/>
    <cellStyle name="40% - Accent6 8 2 3" xfId="29903"/>
    <cellStyle name="40% - Accent6 8 3" xfId="15889"/>
    <cellStyle name="40% - Accent6 8 3 2" xfId="32110"/>
    <cellStyle name="40% - Accent6 8 4" xfId="18613"/>
    <cellStyle name="40% - Accent6 8 4 2" xfId="34834"/>
    <cellStyle name="40% - Accent6 8 5" xfId="28150"/>
    <cellStyle name="40% - Accent6 8 6" xfId="39384"/>
    <cellStyle name="40% - Accent6 9" xfId="10654"/>
    <cellStyle name="40% - Accent6 9 2" xfId="20275"/>
    <cellStyle name="40% - Accent6 9 2 2" xfId="36496"/>
    <cellStyle name="40% - Accent6 9 3" xfId="29808"/>
    <cellStyle name="60% - Accent1" xfId="48" builtinId="32" customBuiltin="1"/>
    <cellStyle name="60% - Accent1 2" xfId="4878"/>
    <cellStyle name="60% - Accent1 2 2" xfId="38780"/>
    <cellStyle name="60% - Accent1 3" xfId="4832"/>
    <cellStyle name="60% - Accent2" xfId="49" builtinId="36" customBuiltin="1"/>
    <cellStyle name="60% - Accent2 2" xfId="4879"/>
    <cellStyle name="60% - Accent2 2 2" xfId="38781"/>
    <cellStyle name="60% - Accent2 3" xfId="4836"/>
    <cellStyle name="60% - Accent3" xfId="50" builtinId="40" customBuiltin="1"/>
    <cellStyle name="60% - Accent3 2" xfId="4880"/>
    <cellStyle name="60% - Accent3 2 2" xfId="38782"/>
    <cellStyle name="60% - Accent3 3" xfId="4840"/>
    <cellStyle name="60% - Accent4" xfId="51" builtinId="44" customBuiltin="1"/>
    <cellStyle name="60% - Accent4 2" xfId="4881"/>
    <cellStyle name="60% - Accent4 2 2" xfId="38783"/>
    <cellStyle name="60% - Accent4 3" xfId="4844"/>
    <cellStyle name="60% - Accent5" xfId="52" builtinId="48" customBuiltin="1"/>
    <cellStyle name="60% - Accent5 2" xfId="4882"/>
    <cellStyle name="60% - Accent5 2 2" xfId="38784"/>
    <cellStyle name="60% - Accent5 3" xfId="4848"/>
    <cellStyle name="60% - Accent6" xfId="53" builtinId="52" customBuiltin="1"/>
    <cellStyle name="60% - Accent6 2" xfId="4883"/>
    <cellStyle name="60% - Accent6 2 2" xfId="38785"/>
    <cellStyle name="60% - Accent6 3" xfId="4852"/>
    <cellStyle name="Accent1" xfId="54" builtinId="29" customBuiltin="1"/>
    <cellStyle name="Accent1 2" xfId="4884"/>
    <cellStyle name="Accent1 2 2" xfId="38786"/>
    <cellStyle name="Accent1 3" xfId="4829"/>
    <cellStyle name="Accent2" xfId="55" builtinId="33" customBuiltin="1"/>
    <cellStyle name="Accent2 2" xfId="4885"/>
    <cellStyle name="Accent2 2 2" xfId="38787"/>
    <cellStyle name="Accent2 3" xfId="4833"/>
    <cellStyle name="Accent3" xfId="56" builtinId="37" customBuiltin="1"/>
    <cellStyle name="Accent3 2" xfId="4886"/>
    <cellStyle name="Accent3 2 2" xfId="38788"/>
    <cellStyle name="Accent3 3" xfId="4837"/>
    <cellStyle name="Accent4" xfId="57" builtinId="41" customBuiltin="1"/>
    <cellStyle name="Accent4 2" xfId="4887"/>
    <cellStyle name="Accent4 2 2" xfId="38789"/>
    <cellStyle name="Accent4 3" xfId="4841"/>
    <cellStyle name="Accent5" xfId="58" builtinId="45" customBuiltin="1"/>
    <cellStyle name="Accent5 2" xfId="4888"/>
    <cellStyle name="Accent5 2 2" xfId="38790"/>
    <cellStyle name="Accent5 3" xfId="4845"/>
    <cellStyle name="Accent6" xfId="59" builtinId="49" customBuiltin="1"/>
    <cellStyle name="Accent6 2" xfId="4889"/>
    <cellStyle name="Accent6 2 2" xfId="38791"/>
    <cellStyle name="Accent6 3" xfId="4849"/>
    <cellStyle name="Bad" xfId="60" builtinId="27" customBuiltin="1"/>
    <cellStyle name="Bad 2" xfId="4890"/>
    <cellStyle name="Bad 2 2" xfId="38792"/>
    <cellStyle name="Bad 3" xfId="4822"/>
    <cellStyle name="Calculation" xfId="61" builtinId="22" customBuiltin="1"/>
    <cellStyle name="Calculation 2" xfId="4891"/>
    <cellStyle name="Calculation 2 2" xfId="38793"/>
    <cellStyle name="Calculation 3" xfId="4825"/>
    <cellStyle name="Check" xfId="39626"/>
    <cellStyle name="Check Cell" xfId="62" builtinId="23" customBuiltin="1"/>
    <cellStyle name="Check Cell 2" xfId="4892"/>
    <cellStyle name="Check Cell 2 2" xfId="38794"/>
    <cellStyle name="Check Cell 3" xfId="4827"/>
    <cellStyle name="Comma" xfId="63" builtinId="3"/>
    <cellStyle name="Comma 10" xfId="64"/>
    <cellStyle name="Comma 10 10" xfId="4961"/>
    <cellStyle name="Comma 10 10 2" xfId="10751"/>
    <cellStyle name="Comma 10 11" xfId="4962"/>
    <cellStyle name="Comma 10 11 2" xfId="10752"/>
    <cellStyle name="Comma 10 12" xfId="4963"/>
    <cellStyle name="Comma 10 12 2" xfId="10753"/>
    <cellStyle name="Comma 10 13" xfId="4964"/>
    <cellStyle name="Comma 10 13 2" xfId="10754"/>
    <cellStyle name="Comma 10 14" xfId="4965"/>
    <cellStyle name="Comma 10 14 2" xfId="10755"/>
    <cellStyle name="Comma 10 15" xfId="4966"/>
    <cellStyle name="Comma 10 15 2" xfId="10756"/>
    <cellStyle name="Comma 10 16" xfId="4967"/>
    <cellStyle name="Comma 10 16 2" xfId="10757"/>
    <cellStyle name="Comma 10 17" xfId="4968"/>
    <cellStyle name="Comma 10 17 2" xfId="10758"/>
    <cellStyle name="Comma 10 18" xfId="4969"/>
    <cellStyle name="Comma 10 18 2" xfId="10759"/>
    <cellStyle name="Comma 10 19" xfId="4970"/>
    <cellStyle name="Comma 10 19 2" xfId="10760"/>
    <cellStyle name="Comma 10 2" xfId="65"/>
    <cellStyle name="Comma 10 2 2" xfId="10761"/>
    <cellStyle name="Comma 10 2 3" xfId="4971"/>
    <cellStyle name="Comma 10 2 4" xfId="25472"/>
    <cellStyle name="Comma 10 2 5" xfId="3305"/>
    <cellStyle name="Comma 10 20" xfId="4972"/>
    <cellStyle name="Comma 10 20 2" xfId="10762"/>
    <cellStyle name="Comma 10 21" xfId="4973"/>
    <cellStyle name="Comma 10 21 2" xfId="10763"/>
    <cellStyle name="Comma 10 22" xfId="4974"/>
    <cellStyle name="Comma 10 22 2" xfId="10764"/>
    <cellStyle name="Comma 10 23" xfId="4975"/>
    <cellStyle name="Comma 10 23 2" xfId="10765"/>
    <cellStyle name="Comma 10 24" xfId="4976"/>
    <cellStyle name="Comma 10 24 2" xfId="10766"/>
    <cellStyle name="Comma 10 25" xfId="4977"/>
    <cellStyle name="Comma 10 25 2" xfId="10767"/>
    <cellStyle name="Comma 10 26" xfId="4978"/>
    <cellStyle name="Comma 10 26 2" xfId="10768"/>
    <cellStyle name="Comma 10 27" xfId="4979"/>
    <cellStyle name="Comma 10 27 2" xfId="10769"/>
    <cellStyle name="Comma 10 28" xfId="4980"/>
    <cellStyle name="Comma 10 28 2" xfId="10770"/>
    <cellStyle name="Comma 10 29" xfId="10750"/>
    <cellStyle name="Comma 10 3" xfId="4803"/>
    <cellStyle name="Comma 10 3 2" xfId="10771"/>
    <cellStyle name="Comma 10 3 3" xfId="4981"/>
    <cellStyle name="Comma 10 3 4" xfId="26970"/>
    <cellStyle name="Comma 10 30" xfId="4945"/>
    <cellStyle name="Comma 10 31" xfId="22476"/>
    <cellStyle name="Comma 10 31 2" xfId="38688"/>
    <cellStyle name="Comma 10 32" xfId="23974"/>
    <cellStyle name="Comma 10 33" xfId="39572"/>
    <cellStyle name="Comma 10 34" xfId="1806"/>
    <cellStyle name="Comma 10 4" xfId="4982"/>
    <cellStyle name="Comma 10 4 2" xfId="10772"/>
    <cellStyle name="Comma 10 5" xfId="4983"/>
    <cellStyle name="Comma 10 5 2" xfId="10773"/>
    <cellStyle name="Comma 10 6" xfId="4984"/>
    <cellStyle name="Comma 10 6 2" xfId="10774"/>
    <cellStyle name="Comma 10 7" xfId="4985"/>
    <cellStyle name="Comma 10 7 2" xfId="10775"/>
    <cellStyle name="Comma 10 8" xfId="4986"/>
    <cellStyle name="Comma 10 8 2" xfId="10776"/>
    <cellStyle name="Comma 10 9" xfId="4987"/>
    <cellStyle name="Comma 10 9 2" xfId="10777"/>
    <cellStyle name="Comma 11" xfId="66"/>
    <cellStyle name="Comma 11 2" xfId="3309"/>
    <cellStyle name="Comma 11 2 2" xfId="10778"/>
    <cellStyle name="Comma 11 2 3" xfId="6848"/>
    <cellStyle name="Comma 11 2 4" xfId="25476"/>
    <cellStyle name="Comma 11 3" xfId="4807"/>
    <cellStyle name="Comma 11 3 2" xfId="26974"/>
    <cellStyle name="Comma 11 4" xfId="14236"/>
    <cellStyle name="Comma 11 5" xfId="22480"/>
    <cellStyle name="Comma 11 5 2" xfId="38692"/>
    <cellStyle name="Comma 11 6" xfId="23978"/>
    <cellStyle name="Comma 11 7" xfId="39576"/>
    <cellStyle name="Comma 11 8" xfId="1810"/>
    <cellStyle name="Comma 12" xfId="14238"/>
    <cellStyle name="Comma 12 10" xfId="4988"/>
    <cellStyle name="Comma 12 10 10" xfId="14314"/>
    <cellStyle name="Comma 12 10 10 2" xfId="30539"/>
    <cellStyle name="Comma 12 10 2" xfId="6849"/>
    <cellStyle name="Comma 12 10 2 10" xfId="14350"/>
    <cellStyle name="Comma 12 10 2 10 2" xfId="30572"/>
    <cellStyle name="Comma 12 10 2 2" xfId="6850"/>
    <cellStyle name="Comma 12 10 2 2 2" xfId="6851"/>
    <cellStyle name="Comma 12 10 2 2 2 2" xfId="6852"/>
    <cellStyle name="Comma 12 10 2 2 2 2 2" xfId="6853"/>
    <cellStyle name="Comma 12 10 2 2 2 2 2 2" xfId="6854"/>
    <cellStyle name="Comma 12 10 2 2 2 2 2 2 2" xfId="10784"/>
    <cellStyle name="Comma 12 10 2 2 2 2 2 2 3" xfId="17189"/>
    <cellStyle name="Comma 12 10 2 2 2 2 2 2 3 2" xfId="33410"/>
    <cellStyle name="Comma 12 10 2 2 2 2 2 3" xfId="6855"/>
    <cellStyle name="Comma 12 10 2 2 2 2 2 3 2" xfId="10785"/>
    <cellStyle name="Comma 12 10 2 2 2 2 2 4" xfId="10783"/>
    <cellStyle name="Comma 12 10 2 2 2 2 2 5" xfId="15604"/>
    <cellStyle name="Comma 12 10 2 2 2 2 2 5 2" xfId="31826"/>
    <cellStyle name="Comma 12 10 2 2 2 2 3" xfId="6856"/>
    <cellStyle name="Comma 12 10 2 2 2 2 3 2" xfId="10786"/>
    <cellStyle name="Comma 12 10 2 2 2 2 3 3" xfId="16397"/>
    <cellStyle name="Comma 12 10 2 2 2 2 3 3 2" xfId="32618"/>
    <cellStyle name="Comma 12 10 2 2 2 2 4" xfId="6857"/>
    <cellStyle name="Comma 12 10 2 2 2 2 4 2" xfId="10787"/>
    <cellStyle name="Comma 12 10 2 2 2 2 5" xfId="10782"/>
    <cellStyle name="Comma 12 10 2 2 2 2 6" xfId="14812"/>
    <cellStyle name="Comma 12 10 2 2 2 2 6 2" xfId="31034"/>
    <cellStyle name="Comma 12 10 2 2 2 3" xfId="6858"/>
    <cellStyle name="Comma 12 10 2 2 2 3 2" xfId="6859"/>
    <cellStyle name="Comma 12 10 2 2 2 3 2 2" xfId="6860"/>
    <cellStyle name="Comma 12 10 2 2 2 3 2 2 2" xfId="10790"/>
    <cellStyle name="Comma 12 10 2 2 2 3 2 2 3" xfId="17453"/>
    <cellStyle name="Comma 12 10 2 2 2 3 2 2 3 2" xfId="33674"/>
    <cellStyle name="Comma 12 10 2 2 2 3 2 3" xfId="6861"/>
    <cellStyle name="Comma 12 10 2 2 2 3 2 3 2" xfId="10791"/>
    <cellStyle name="Comma 12 10 2 2 2 3 2 4" xfId="10789"/>
    <cellStyle name="Comma 12 10 2 2 2 3 2 5" xfId="15868"/>
    <cellStyle name="Comma 12 10 2 2 2 3 2 5 2" xfId="32090"/>
    <cellStyle name="Comma 12 10 2 2 2 3 3" xfId="6862"/>
    <cellStyle name="Comma 12 10 2 2 2 3 3 2" xfId="10792"/>
    <cellStyle name="Comma 12 10 2 2 2 3 3 3" xfId="16661"/>
    <cellStyle name="Comma 12 10 2 2 2 3 3 3 2" xfId="32882"/>
    <cellStyle name="Comma 12 10 2 2 2 3 4" xfId="6863"/>
    <cellStyle name="Comma 12 10 2 2 2 3 4 2" xfId="10793"/>
    <cellStyle name="Comma 12 10 2 2 2 3 5" xfId="10788"/>
    <cellStyle name="Comma 12 10 2 2 2 3 6" xfId="15076"/>
    <cellStyle name="Comma 12 10 2 2 2 3 6 2" xfId="31298"/>
    <cellStyle name="Comma 12 10 2 2 2 4" xfId="6864"/>
    <cellStyle name="Comma 12 10 2 2 2 4 2" xfId="6865"/>
    <cellStyle name="Comma 12 10 2 2 2 4 2 2" xfId="10795"/>
    <cellStyle name="Comma 12 10 2 2 2 4 2 3" xfId="16925"/>
    <cellStyle name="Comma 12 10 2 2 2 4 2 3 2" xfId="33146"/>
    <cellStyle name="Comma 12 10 2 2 2 4 3" xfId="6866"/>
    <cellStyle name="Comma 12 10 2 2 2 4 3 2" xfId="10796"/>
    <cellStyle name="Comma 12 10 2 2 2 4 4" xfId="10794"/>
    <cellStyle name="Comma 12 10 2 2 2 4 5" xfId="15340"/>
    <cellStyle name="Comma 12 10 2 2 2 4 5 2" xfId="31562"/>
    <cellStyle name="Comma 12 10 2 2 2 5" xfId="6867"/>
    <cellStyle name="Comma 12 10 2 2 2 5 2" xfId="10797"/>
    <cellStyle name="Comma 12 10 2 2 2 5 3" xfId="16133"/>
    <cellStyle name="Comma 12 10 2 2 2 5 3 2" xfId="32354"/>
    <cellStyle name="Comma 12 10 2 2 2 6" xfId="6868"/>
    <cellStyle name="Comma 12 10 2 2 2 6 2" xfId="10798"/>
    <cellStyle name="Comma 12 10 2 2 2 7" xfId="10781"/>
    <cellStyle name="Comma 12 10 2 2 2 8" xfId="14548"/>
    <cellStyle name="Comma 12 10 2 2 2 8 2" xfId="30770"/>
    <cellStyle name="Comma 12 10 2 2 3" xfId="6869"/>
    <cellStyle name="Comma 12 10 2 2 3 2" xfId="6870"/>
    <cellStyle name="Comma 12 10 2 2 3 2 2" xfId="6871"/>
    <cellStyle name="Comma 12 10 2 2 3 2 2 2" xfId="10801"/>
    <cellStyle name="Comma 12 10 2 2 3 2 2 3" xfId="17057"/>
    <cellStyle name="Comma 12 10 2 2 3 2 2 3 2" xfId="33278"/>
    <cellStyle name="Comma 12 10 2 2 3 2 3" xfId="6872"/>
    <cellStyle name="Comma 12 10 2 2 3 2 3 2" xfId="10802"/>
    <cellStyle name="Comma 12 10 2 2 3 2 4" xfId="10800"/>
    <cellStyle name="Comma 12 10 2 2 3 2 5" xfId="15472"/>
    <cellStyle name="Comma 12 10 2 2 3 2 5 2" xfId="31694"/>
    <cellStyle name="Comma 12 10 2 2 3 3" xfId="6873"/>
    <cellStyle name="Comma 12 10 2 2 3 3 2" xfId="10803"/>
    <cellStyle name="Comma 12 10 2 2 3 3 3" xfId="16265"/>
    <cellStyle name="Comma 12 10 2 2 3 3 3 2" xfId="32486"/>
    <cellStyle name="Comma 12 10 2 2 3 4" xfId="6874"/>
    <cellStyle name="Comma 12 10 2 2 3 4 2" xfId="10804"/>
    <cellStyle name="Comma 12 10 2 2 3 5" xfId="10799"/>
    <cellStyle name="Comma 12 10 2 2 3 6" xfId="14680"/>
    <cellStyle name="Comma 12 10 2 2 3 6 2" xfId="30902"/>
    <cellStyle name="Comma 12 10 2 2 4" xfId="6875"/>
    <cellStyle name="Comma 12 10 2 2 4 2" xfId="6876"/>
    <cellStyle name="Comma 12 10 2 2 4 2 2" xfId="6877"/>
    <cellStyle name="Comma 12 10 2 2 4 2 2 2" xfId="10807"/>
    <cellStyle name="Comma 12 10 2 2 4 2 2 3" xfId="17321"/>
    <cellStyle name="Comma 12 10 2 2 4 2 2 3 2" xfId="33542"/>
    <cellStyle name="Comma 12 10 2 2 4 2 3" xfId="6878"/>
    <cellStyle name="Comma 12 10 2 2 4 2 3 2" xfId="10808"/>
    <cellStyle name="Comma 12 10 2 2 4 2 4" xfId="10806"/>
    <cellStyle name="Comma 12 10 2 2 4 2 5" xfId="15736"/>
    <cellStyle name="Comma 12 10 2 2 4 2 5 2" xfId="31958"/>
    <cellStyle name="Comma 12 10 2 2 4 3" xfId="6879"/>
    <cellStyle name="Comma 12 10 2 2 4 3 2" xfId="10809"/>
    <cellStyle name="Comma 12 10 2 2 4 3 3" xfId="16529"/>
    <cellStyle name="Comma 12 10 2 2 4 3 3 2" xfId="32750"/>
    <cellStyle name="Comma 12 10 2 2 4 4" xfId="6880"/>
    <cellStyle name="Comma 12 10 2 2 4 4 2" xfId="10810"/>
    <cellStyle name="Comma 12 10 2 2 4 5" xfId="10805"/>
    <cellStyle name="Comma 12 10 2 2 4 6" xfId="14944"/>
    <cellStyle name="Comma 12 10 2 2 4 6 2" xfId="31166"/>
    <cellStyle name="Comma 12 10 2 2 5" xfId="6881"/>
    <cellStyle name="Comma 12 10 2 2 5 2" xfId="6882"/>
    <cellStyle name="Comma 12 10 2 2 5 2 2" xfId="10812"/>
    <cellStyle name="Comma 12 10 2 2 5 2 3" xfId="16793"/>
    <cellStyle name="Comma 12 10 2 2 5 2 3 2" xfId="33014"/>
    <cellStyle name="Comma 12 10 2 2 5 3" xfId="6883"/>
    <cellStyle name="Comma 12 10 2 2 5 3 2" xfId="10813"/>
    <cellStyle name="Comma 12 10 2 2 5 4" xfId="10811"/>
    <cellStyle name="Comma 12 10 2 2 5 5" xfId="15208"/>
    <cellStyle name="Comma 12 10 2 2 5 5 2" xfId="31430"/>
    <cellStyle name="Comma 12 10 2 2 6" xfId="6884"/>
    <cellStyle name="Comma 12 10 2 2 6 2" xfId="10814"/>
    <cellStyle name="Comma 12 10 2 2 6 3" xfId="16001"/>
    <cellStyle name="Comma 12 10 2 2 6 3 2" xfId="32222"/>
    <cellStyle name="Comma 12 10 2 2 7" xfId="6885"/>
    <cellStyle name="Comma 12 10 2 2 7 2" xfId="10815"/>
    <cellStyle name="Comma 12 10 2 2 8" xfId="10780"/>
    <cellStyle name="Comma 12 10 2 2 9" xfId="14416"/>
    <cellStyle name="Comma 12 10 2 2 9 2" xfId="30638"/>
    <cellStyle name="Comma 12 10 2 3" xfId="6886"/>
    <cellStyle name="Comma 12 10 2 3 2" xfId="6887"/>
    <cellStyle name="Comma 12 10 2 3 2 2" xfId="6888"/>
    <cellStyle name="Comma 12 10 2 3 2 2 2" xfId="6889"/>
    <cellStyle name="Comma 12 10 2 3 2 2 2 2" xfId="10819"/>
    <cellStyle name="Comma 12 10 2 3 2 2 2 3" xfId="17123"/>
    <cellStyle name="Comma 12 10 2 3 2 2 2 3 2" xfId="33344"/>
    <cellStyle name="Comma 12 10 2 3 2 2 3" xfId="6890"/>
    <cellStyle name="Comma 12 10 2 3 2 2 3 2" xfId="10820"/>
    <cellStyle name="Comma 12 10 2 3 2 2 4" xfId="10818"/>
    <cellStyle name="Comma 12 10 2 3 2 2 5" xfId="15538"/>
    <cellStyle name="Comma 12 10 2 3 2 2 5 2" xfId="31760"/>
    <cellStyle name="Comma 12 10 2 3 2 3" xfId="6891"/>
    <cellStyle name="Comma 12 10 2 3 2 3 2" xfId="10821"/>
    <cellStyle name="Comma 12 10 2 3 2 3 3" xfId="16331"/>
    <cellStyle name="Comma 12 10 2 3 2 3 3 2" xfId="32552"/>
    <cellStyle name="Comma 12 10 2 3 2 4" xfId="6892"/>
    <cellStyle name="Comma 12 10 2 3 2 4 2" xfId="10822"/>
    <cellStyle name="Comma 12 10 2 3 2 5" xfId="10817"/>
    <cellStyle name="Comma 12 10 2 3 2 6" xfId="14746"/>
    <cellStyle name="Comma 12 10 2 3 2 6 2" xfId="30968"/>
    <cellStyle name="Comma 12 10 2 3 3" xfId="6893"/>
    <cellStyle name="Comma 12 10 2 3 3 2" xfId="6894"/>
    <cellStyle name="Comma 12 10 2 3 3 2 2" xfId="6895"/>
    <cellStyle name="Comma 12 10 2 3 3 2 2 2" xfId="10825"/>
    <cellStyle name="Comma 12 10 2 3 3 2 2 3" xfId="17387"/>
    <cellStyle name="Comma 12 10 2 3 3 2 2 3 2" xfId="33608"/>
    <cellStyle name="Comma 12 10 2 3 3 2 3" xfId="6896"/>
    <cellStyle name="Comma 12 10 2 3 3 2 3 2" xfId="10826"/>
    <cellStyle name="Comma 12 10 2 3 3 2 4" xfId="10824"/>
    <cellStyle name="Comma 12 10 2 3 3 2 5" xfId="15802"/>
    <cellStyle name="Comma 12 10 2 3 3 2 5 2" xfId="32024"/>
    <cellStyle name="Comma 12 10 2 3 3 3" xfId="6897"/>
    <cellStyle name="Comma 12 10 2 3 3 3 2" xfId="10827"/>
    <cellStyle name="Comma 12 10 2 3 3 3 3" xfId="16595"/>
    <cellStyle name="Comma 12 10 2 3 3 3 3 2" xfId="32816"/>
    <cellStyle name="Comma 12 10 2 3 3 4" xfId="6898"/>
    <cellStyle name="Comma 12 10 2 3 3 4 2" xfId="10828"/>
    <cellStyle name="Comma 12 10 2 3 3 5" xfId="10823"/>
    <cellStyle name="Comma 12 10 2 3 3 6" xfId="15010"/>
    <cellStyle name="Comma 12 10 2 3 3 6 2" xfId="31232"/>
    <cellStyle name="Comma 12 10 2 3 4" xfId="6899"/>
    <cellStyle name="Comma 12 10 2 3 4 2" xfId="6900"/>
    <cellStyle name="Comma 12 10 2 3 4 2 2" xfId="10830"/>
    <cellStyle name="Comma 12 10 2 3 4 2 3" xfId="16859"/>
    <cellStyle name="Comma 12 10 2 3 4 2 3 2" xfId="33080"/>
    <cellStyle name="Comma 12 10 2 3 4 3" xfId="6901"/>
    <cellStyle name="Comma 12 10 2 3 4 3 2" xfId="10831"/>
    <cellStyle name="Comma 12 10 2 3 4 4" xfId="10829"/>
    <cellStyle name="Comma 12 10 2 3 4 5" xfId="15274"/>
    <cellStyle name="Comma 12 10 2 3 4 5 2" xfId="31496"/>
    <cellStyle name="Comma 12 10 2 3 5" xfId="6902"/>
    <cellStyle name="Comma 12 10 2 3 5 2" xfId="10832"/>
    <cellStyle name="Comma 12 10 2 3 5 3" xfId="16067"/>
    <cellStyle name="Comma 12 10 2 3 5 3 2" xfId="32288"/>
    <cellStyle name="Comma 12 10 2 3 6" xfId="6903"/>
    <cellStyle name="Comma 12 10 2 3 6 2" xfId="10833"/>
    <cellStyle name="Comma 12 10 2 3 7" xfId="10816"/>
    <cellStyle name="Comma 12 10 2 3 8" xfId="14482"/>
    <cellStyle name="Comma 12 10 2 3 8 2" xfId="30704"/>
    <cellStyle name="Comma 12 10 2 4" xfId="6904"/>
    <cellStyle name="Comma 12 10 2 4 2" xfId="6905"/>
    <cellStyle name="Comma 12 10 2 4 2 2" xfId="6906"/>
    <cellStyle name="Comma 12 10 2 4 2 2 2" xfId="10836"/>
    <cellStyle name="Comma 12 10 2 4 2 2 3" xfId="16991"/>
    <cellStyle name="Comma 12 10 2 4 2 2 3 2" xfId="33212"/>
    <cellStyle name="Comma 12 10 2 4 2 3" xfId="6907"/>
    <cellStyle name="Comma 12 10 2 4 2 3 2" xfId="10837"/>
    <cellStyle name="Comma 12 10 2 4 2 4" xfId="10835"/>
    <cellStyle name="Comma 12 10 2 4 2 5" xfId="15406"/>
    <cellStyle name="Comma 12 10 2 4 2 5 2" xfId="31628"/>
    <cellStyle name="Comma 12 10 2 4 3" xfId="6908"/>
    <cellStyle name="Comma 12 10 2 4 3 2" xfId="10838"/>
    <cellStyle name="Comma 12 10 2 4 3 3" xfId="16199"/>
    <cellStyle name="Comma 12 10 2 4 3 3 2" xfId="32420"/>
    <cellStyle name="Comma 12 10 2 4 4" xfId="6909"/>
    <cellStyle name="Comma 12 10 2 4 4 2" xfId="10839"/>
    <cellStyle name="Comma 12 10 2 4 5" xfId="10834"/>
    <cellStyle name="Comma 12 10 2 4 6" xfId="14614"/>
    <cellStyle name="Comma 12 10 2 4 6 2" xfId="30836"/>
    <cellStyle name="Comma 12 10 2 5" xfId="6910"/>
    <cellStyle name="Comma 12 10 2 5 2" xfId="6911"/>
    <cellStyle name="Comma 12 10 2 5 2 2" xfId="6912"/>
    <cellStyle name="Comma 12 10 2 5 2 2 2" xfId="10842"/>
    <cellStyle name="Comma 12 10 2 5 2 2 3" xfId="17255"/>
    <cellStyle name="Comma 12 10 2 5 2 2 3 2" xfId="33476"/>
    <cellStyle name="Comma 12 10 2 5 2 3" xfId="6913"/>
    <cellStyle name="Comma 12 10 2 5 2 3 2" xfId="10843"/>
    <cellStyle name="Comma 12 10 2 5 2 4" xfId="10841"/>
    <cellStyle name="Comma 12 10 2 5 2 5" xfId="15670"/>
    <cellStyle name="Comma 12 10 2 5 2 5 2" xfId="31892"/>
    <cellStyle name="Comma 12 10 2 5 3" xfId="6914"/>
    <cellStyle name="Comma 12 10 2 5 3 2" xfId="10844"/>
    <cellStyle name="Comma 12 10 2 5 3 3" xfId="16463"/>
    <cellStyle name="Comma 12 10 2 5 3 3 2" xfId="32684"/>
    <cellStyle name="Comma 12 10 2 5 4" xfId="6915"/>
    <cellStyle name="Comma 12 10 2 5 4 2" xfId="10845"/>
    <cellStyle name="Comma 12 10 2 5 5" xfId="10840"/>
    <cellStyle name="Comma 12 10 2 5 6" xfId="14878"/>
    <cellStyle name="Comma 12 10 2 5 6 2" xfId="31100"/>
    <cellStyle name="Comma 12 10 2 6" xfId="6916"/>
    <cellStyle name="Comma 12 10 2 6 2" xfId="6917"/>
    <cellStyle name="Comma 12 10 2 6 2 2" xfId="10847"/>
    <cellStyle name="Comma 12 10 2 6 2 3" xfId="16727"/>
    <cellStyle name="Comma 12 10 2 6 2 3 2" xfId="32948"/>
    <cellStyle name="Comma 12 10 2 6 3" xfId="6918"/>
    <cellStyle name="Comma 12 10 2 6 3 2" xfId="10848"/>
    <cellStyle name="Comma 12 10 2 6 4" xfId="10846"/>
    <cellStyle name="Comma 12 10 2 6 5" xfId="15142"/>
    <cellStyle name="Comma 12 10 2 6 5 2" xfId="31364"/>
    <cellStyle name="Comma 12 10 2 7" xfId="6919"/>
    <cellStyle name="Comma 12 10 2 7 2" xfId="10849"/>
    <cellStyle name="Comma 12 10 2 7 3" xfId="15935"/>
    <cellStyle name="Comma 12 10 2 7 3 2" xfId="32156"/>
    <cellStyle name="Comma 12 10 2 8" xfId="6920"/>
    <cellStyle name="Comma 12 10 2 8 2" xfId="10850"/>
    <cellStyle name="Comma 12 10 2 9" xfId="10779"/>
    <cellStyle name="Comma 12 10 3" xfId="6921"/>
    <cellStyle name="Comma 12 10 3 2" xfId="6922"/>
    <cellStyle name="Comma 12 10 3 2 2" xfId="6923"/>
    <cellStyle name="Comma 12 10 3 2 2 2" xfId="6924"/>
    <cellStyle name="Comma 12 10 3 2 2 2 2" xfId="6925"/>
    <cellStyle name="Comma 12 10 3 2 2 2 2 2" xfId="10855"/>
    <cellStyle name="Comma 12 10 3 2 2 2 2 3" xfId="17156"/>
    <cellStyle name="Comma 12 10 3 2 2 2 2 3 2" xfId="33377"/>
    <cellStyle name="Comma 12 10 3 2 2 2 3" xfId="6926"/>
    <cellStyle name="Comma 12 10 3 2 2 2 3 2" xfId="10856"/>
    <cellStyle name="Comma 12 10 3 2 2 2 4" xfId="10854"/>
    <cellStyle name="Comma 12 10 3 2 2 2 5" xfId="15571"/>
    <cellStyle name="Comma 12 10 3 2 2 2 5 2" xfId="31793"/>
    <cellStyle name="Comma 12 10 3 2 2 3" xfId="6927"/>
    <cellStyle name="Comma 12 10 3 2 2 3 2" xfId="10857"/>
    <cellStyle name="Comma 12 10 3 2 2 3 3" xfId="16364"/>
    <cellStyle name="Comma 12 10 3 2 2 3 3 2" xfId="32585"/>
    <cellStyle name="Comma 12 10 3 2 2 4" xfId="6928"/>
    <cellStyle name="Comma 12 10 3 2 2 4 2" xfId="10858"/>
    <cellStyle name="Comma 12 10 3 2 2 5" xfId="10853"/>
    <cellStyle name="Comma 12 10 3 2 2 6" xfId="14779"/>
    <cellStyle name="Comma 12 10 3 2 2 6 2" xfId="31001"/>
    <cellStyle name="Comma 12 10 3 2 3" xfId="6929"/>
    <cellStyle name="Comma 12 10 3 2 3 2" xfId="6930"/>
    <cellStyle name="Comma 12 10 3 2 3 2 2" xfId="6931"/>
    <cellStyle name="Comma 12 10 3 2 3 2 2 2" xfId="10861"/>
    <cellStyle name="Comma 12 10 3 2 3 2 2 3" xfId="17420"/>
    <cellStyle name="Comma 12 10 3 2 3 2 2 3 2" xfId="33641"/>
    <cellStyle name="Comma 12 10 3 2 3 2 3" xfId="6932"/>
    <cellStyle name="Comma 12 10 3 2 3 2 3 2" xfId="10862"/>
    <cellStyle name="Comma 12 10 3 2 3 2 4" xfId="10860"/>
    <cellStyle name="Comma 12 10 3 2 3 2 5" xfId="15835"/>
    <cellStyle name="Comma 12 10 3 2 3 2 5 2" xfId="32057"/>
    <cellStyle name="Comma 12 10 3 2 3 3" xfId="6933"/>
    <cellStyle name="Comma 12 10 3 2 3 3 2" xfId="10863"/>
    <cellStyle name="Comma 12 10 3 2 3 3 3" xfId="16628"/>
    <cellStyle name="Comma 12 10 3 2 3 3 3 2" xfId="32849"/>
    <cellStyle name="Comma 12 10 3 2 3 4" xfId="6934"/>
    <cellStyle name="Comma 12 10 3 2 3 4 2" xfId="10864"/>
    <cellStyle name="Comma 12 10 3 2 3 5" xfId="10859"/>
    <cellStyle name="Comma 12 10 3 2 3 6" xfId="15043"/>
    <cellStyle name="Comma 12 10 3 2 3 6 2" xfId="31265"/>
    <cellStyle name="Comma 12 10 3 2 4" xfId="6935"/>
    <cellStyle name="Comma 12 10 3 2 4 2" xfId="6936"/>
    <cellStyle name="Comma 12 10 3 2 4 2 2" xfId="10866"/>
    <cellStyle name="Comma 12 10 3 2 4 2 3" xfId="16892"/>
    <cellStyle name="Comma 12 10 3 2 4 2 3 2" xfId="33113"/>
    <cellStyle name="Comma 12 10 3 2 4 3" xfId="6937"/>
    <cellStyle name="Comma 12 10 3 2 4 3 2" xfId="10867"/>
    <cellStyle name="Comma 12 10 3 2 4 4" xfId="10865"/>
    <cellStyle name="Comma 12 10 3 2 4 5" xfId="15307"/>
    <cellStyle name="Comma 12 10 3 2 4 5 2" xfId="31529"/>
    <cellStyle name="Comma 12 10 3 2 5" xfId="6938"/>
    <cellStyle name="Comma 12 10 3 2 5 2" xfId="10868"/>
    <cellStyle name="Comma 12 10 3 2 5 3" xfId="16100"/>
    <cellStyle name="Comma 12 10 3 2 5 3 2" xfId="32321"/>
    <cellStyle name="Comma 12 10 3 2 6" xfId="6939"/>
    <cellStyle name="Comma 12 10 3 2 6 2" xfId="10869"/>
    <cellStyle name="Comma 12 10 3 2 7" xfId="10852"/>
    <cellStyle name="Comma 12 10 3 2 8" xfId="14515"/>
    <cellStyle name="Comma 12 10 3 2 8 2" xfId="30737"/>
    <cellStyle name="Comma 12 10 3 3" xfId="6940"/>
    <cellStyle name="Comma 12 10 3 3 2" xfId="6941"/>
    <cellStyle name="Comma 12 10 3 3 2 2" xfId="6942"/>
    <cellStyle name="Comma 12 10 3 3 2 2 2" xfId="10872"/>
    <cellStyle name="Comma 12 10 3 3 2 2 3" xfId="17024"/>
    <cellStyle name="Comma 12 10 3 3 2 2 3 2" xfId="33245"/>
    <cellStyle name="Comma 12 10 3 3 2 3" xfId="6943"/>
    <cellStyle name="Comma 12 10 3 3 2 3 2" xfId="10873"/>
    <cellStyle name="Comma 12 10 3 3 2 4" xfId="10871"/>
    <cellStyle name="Comma 12 10 3 3 2 5" xfId="15439"/>
    <cellStyle name="Comma 12 10 3 3 2 5 2" xfId="31661"/>
    <cellStyle name="Comma 12 10 3 3 3" xfId="6944"/>
    <cellStyle name="Comma 12 10 3 3 3 2" xfId="10874"/>
    <cellStyle name="Comma 12 10 3 3 3 3" xfId="16232"/>
    <cellStyle name="Comma 12 10 3 3 3 3 2" xfId="32453"/>
    <cellStyle name="Comma 12 10 3 3 4" xfId="6945"/>
    <cellStyle name="Comma 12 10 3 3 4 2" xfId="10875"/>
    <cellStyle name="Comma 12 10 3 3 5" xfId="10870"/>
    <cellStyle name="Comma 12 10 3 3 6" xfId="14647"/>
    <cellStyle name="Comma 12 10 3 3 6 2" xfId="30869"/>
    <cellStyle name="Comma 12 10 3 4" xfId="6946"/>
    <cellStyle name="Comma 12 10 3 4 2" xfId="6947"/>
    <cellStyle name="Comma 12 10 3 4 2 2" xfId="6948"/>
    <cellStyle name="Comma 12 10 3 4 2 2 2" xfId="10878"/>
    <cellStyle name="Comma 12 10 3 4 2 2 3" xfId="17288"/>
    <cellStyle name="Comma 12 10 3 4 2 2 3 2" xfId="33509"/>
    <cellStyle name="Comma 12 10 3 4 2 3" xfId="6949"/>
    <cellStyle name="Comma 12 10 3 4 2 3 2" xfId="10879"/>
    <cellStyle name="Comma 12 10 3 4 2 4" xfId="10877"/>
    <cellStyle name="Comma 12 10 3 4 2 5" xfId="15703"/>
    <cellStyle name="Comma 12 10 3 4 2 5 2" xfId="31925"/>
    <cellStyle name="Comma 12 10 3 4 3" xfId="6950"/>
    <cellStyle name="Comma 12 10 3 4 3 2" xfId="10880"/>
    <cellStyle name="Comma 12 10 3 4 3 3" xfId="16496"/>
    <cellStyle name="Comma 12 10 3 4 3 3 2" xfId="32717"/>
    <cellStyle name="Comma 12 10 3 4 4" xfId="6951"/>
    <cellStyle name="Comma 12 10 3 4 4 2" xfId="10881"/>
    <cellStyle name="Comma 12 10 3 4 5" xfId="10876"/>
    <cellStyle name="Comma 12 10 3 4 6" xfId="14911"/>
    <cellStyle name="Comma 12 10 3 4 6 2" xfId="31133"/>
    <cellStyle name="Comma 12 10 3 5" xfId="6952"/>
    <cellStyle name="Comma 12 10 3 5 2" xfId="6953"/>
    <cellStyle name="Comma 12 10 3 5 2 2" xfId="10883"/>
    <cellStyle name="Comma 12 10 3 5 2 3" xfId="16760"/>
    <cellStyle name="Comma 12 10 3 5 2 3 2" xfId="32981"/>
    <cellStyle name="Comma 12 10 3 5 3" xfId="6954"/>
    <cellStyle name="Comma 12 10 3 5 3 2" xfId="10884"/>
    <cellStyle name="Comma 12 10 3 5 4" xfId="10882"/>
    <cellStyle name="Comma 12 10 3 5 5" xfId="15175"/>
    <cellStyle name="Comma 12 10 3 5 5 2" xfId="31397"/>
    <cellStyle name="Comma 12 10 3 6" xfId="6955"/>
    <cellStyle name="Comma 12 10 3 6 2" xfId="10885"/>
    <cellStyle name="Comma 12 10 3 6 3" xfId="15968"/>
    <cellStyle name="Comma 12 10 3 6 3 2" xfId="32189"/>
    <cellStyle name="Comma 12 10 3 7" xfId="6956"/>
    <cellStyle name="Comma 12 10 3 7 2" xfId="10886"/>
    <cellStyle name="Comma 12 10 3 8" xfId="10851"/>
    <cellStyle name="Comma 12 10 3 9" xfId="14383"/>
    <cellStyle name="Comma 12 10 3 9 2" xfId="30605"/>
    <cellStyle name="Comma 12 10 4" xfId="6957"/>
    <cellStyle name="Comma 12 10 4 2" xfId="6958"/>
    <cellStyle name="Comma 12 10 4 2 2" xfId="6959"/>
    <cellStyle name="Comma 12 10 4 2 2 2" xfId="6960"/>
    <cellStyle name="Comma 12 10 4 2 2 2 2" xfId="10890"/>
    <cellStyle name="Comma 12 10 4 2 2 2 3" xfId="17090"/>
    <cellStyle name="Comma 12 10 4 2 2 2 3 2" xfId="33311"/>
    <cellStyle name="Comma 12 10 4 2 2 3" xfId="6961"/>
    <cellStyle name="Comma 12 10 4 2 2 3 2" xfId="10891"/>
    <cellStyle name="Comma 12 10 4 2 2 4" xfId="10889"/>
    <cellStyle name="Comma 12 10 4 2 2 5" xfId="15505"/>
    <cellStyle name="Comma 12 10 4 2 2 5 2" xfId="31727"/>
    <cellStyle name="Comma 12 10 4 2 3" xfId="6962"/>
    <cellStyle name="Comma 12 10 4 2 3 2" xfId="10892"/>
    <cellStyle name="Comma 12 10 4 2 3 3" xfId="16298"/>
    <cellStyle name="Comma 12 10 4 2 3 3 2" xfId="32519"/>
    <cellStyle name="Comma 12 10 4 2 4" xfId="6963"/>
    <cellStyle name="Comma 12 10 4 2 4 2" xfId="10893"/>
    <cellStyle name="Comma 12 10 4 2 5" xfId="10888"/>
    <cellStyle name="Comma 12 10 4 2 6" xfId="14713"/>
    <cellStyle name="Comma 12 10 4 2 6 2" xfId="30935"/>
    <cellStyle name="Comma 12 10 4 3" xfId="6964"/>
    <cellStyle name="Comma 12 10 4 3 2" xfId="6965"/>
    <cellStyle name="Comma 12 10 4 3 2 2" xfId="6966"/>
    <cellStyle name="Comma 12 10 4 3 2 2 2" xfId="10896"/>
    <cellStyle name="Comma 12 10 4 3 2 2 3" xfId="17354"/>
    <cellStyle name="Comma 12 10 4 3 2 2 3 2" xfId="33575"/>
    <cellStyle name="Comma 12 10 4 3 2 3" xfId="6967"/>
    <cellStyle name="Comma 12 10 4 3 2 3 2" xfId="10897"/>
    <cellStyle name="Comma 12 10 4 3 2 4" xfId="10895"/>
    <cellStyle name="Comma 12 10 4 3 2 5" xfId="15769"/>
    <cellStyle name="Comma 12 10 4 3 2 5 2" xfId="31991"/>
    <cellStyle name="Comma 12 10 4 3 3" xfId="6968"/>
    <cellStyle name="Comma 12 10 4 3 3 2" xfId="10898"/>
    <cellStyle name="Comma 12 10 4 3 3 3" xfId="16562"/>
    <cellStyle name="Comma 12 10 4 3 3 3 2" xfId="32783"/>
    <cellStyle name="Comma 12 10 4 3 4" xfId="6969"/>
    <cellStyle name="Comma 12 10 4 3 4 2" xfId="10899"/>
    <cellStyle name="Comma 12 10 4 3 5" xfId="10894"/>
    <cellStyle name="Comma 12 10 4 3 6" xfId="14977"/>
    <cellStyle name="Comma 12 10 4 3 6 2" xfId="31199"/>
    <cellStyle name="Comma 12 10 4 4" xfId="6970"/>
    <cellStyle name="Comma 12 10 4 4 2" xfId="6971"/>
    <cellStyle name="Comma 12 10 4 4 2 2" xfId="10901"/>
    <cellStyle name="Comma 12 10 4 4 2 3" xfId="16826"/>
    <cellStyle name="Comma 12 10 4 4 2 3 2" xfId="33047"/>
    <cellStyle name="Comma 12 10 4 4 3" xfId="6972"/>
    <cellStyle name="Comma 12 10 4 4 3 2" xfId="10902"/>
    <cellStyle name="Comma 12 10 4 4 4" xfId="10900"/>
    <cellStyle name="Comma 12 10 4 4 5" xfId="15241"/>
    <cellStyle name="Comma 12 10 4 4 5 2" xfId="31463"/>
    <cellStyle name="Comma 12 10 4 5" xfId="6973"/>
    <cellStyle name="Comma 12 10 4 5 2" xfId="10903"/>
    <cellStyle name="Comma 12 10 4 5 3" xfId="16034"/>
    <cellStyle name="Comma 12 10 4 5 3 2" xfId="32255"/>
    <cellStyle name="Comma 12 10 4 6" xfId="6974"/>
    <cellStyle name="Comma 12 10 4 6 2" xfId="10904"/>
    <cellStyle name="Comma 12 10 4 7" xfId="10887"/>
    <cellStyle name="Comma 12 10 4 8" xfId="14449"/>
    <cellStyle name="Comma 12 10 4 8 2" xfId="30671"/>
    <cellStyle name="Comma 12 10 5" xfId="6975"/>
    <cellStyle name="Comma 12 10 5 2" xfId="6976"/>
    <cellStyle name="Comma 12 10 5 2 2" xfId="6977"/>
    <cellStyle name="Comma 12 10 5 2 2 2" xfId="10907"/>
    <cellStyle name="Comma 12 10 5 2 2 3" xfId="16958"/>
    <cellStyle name="Comma 12 10 5 2 2 3 2" xfId="33179"/>
    <cellStyle name="Comma 12 10 5 2 3" xfId="6978"/>
    <cellStyle name="Comma 12 10 5 2 3 2" xfId="10908"/>
    <cellStyle name="Comma 12 10 5 2 4" xfId="10906"/>
    <cellStyle name="Comma 12 10 5 2 5" xfId="15373"/>
    <cellStyle name="Comma 12 10 5 2 5 2" xfId="31595"/>
    <cellStyle name="Comma 12 10 5 3" xfId="6979"/>
    <cellStyle name="Comma 12 10 5 3 2" xfId="10909"/>
    <cellStyle name="Comma 12 10 5 3 3" xfId="16166"/>
    <cellStyle name="Comma 12 10 5 3 3 2" xfId="32387"/>
    <cellStyle name="Comma 12 10 5 4" xfId="6980"/>
    <cellStyle name="Comma 12 10 5 4 2" xfId="10910"/>
    <cellStyle name="Comma 12 10 5 5" xfId="10905"/>
    <cellStyle name="Comma 12 10 5 6" xfId="14581"/>
    <cellStyle name="Comma 12 10 5 6 2" xfId="30803"/>
    <cellStyle name="Comma 12 10 6" xfId="6981"/>
    <cellStyle name="Comma 12 10 6 2" xfId="6982"/>
    <cellStyle name="Comma 12 10 6 2 2" xfId="6983"/>
    <cellStyle name="Comma 12 10 6 2 2 2" xfId="10913"/>
    <cellStyle name="Comma 12 10 6 2 2 3" xfId="17222"/>
    <cellStyle name="Comma 12 10 6 2 2 3 2" xfId="33443"/>
    <cellStyle name="Comma 12 10 6 2 3" xfId="6984"/>
    <cellStyle name="Comma 12 10 6 2 3 2" xfId="10914"/>
    <cellStyle name="Comma 12 10 6 2 4" xfId="10912"/>
    <cellStyle name="Comma 12 10 6 2 5" xfId="15637"/>
    <cellStyle name="Comma 12 10 6 2 5 2" xfId="31859"/>
    <cellStyle name="Comma 12 10 6 3" xfId="6985"/>
    <cellStyle name="Comma 12 10 6 3 2" xfId="10915"/>
    <cellStyle name="Comma 12 10 6 3 3" xfId="16430"/>
    <cellStyle name="Comma 12 10 6 3 3 2" xfId="32651"/>
    <cellStyle name="Comma 12 10 6 4" xfId="6986"/>
    <cellStyle name="Comma 12 10 6 4 2" xfId="10916"/>
    <cellStyle name="Comma 12 10 6 5" xfId="10911"/>
    <cellStyle name="Comma 12 10 6 6" xfId="14845"/>
    <cellStyle name="Comma 12 10 6 6 2" xfId="31067"/>
    <cellStyle name="Comma 12 10 7" xfId="6987"/>
    <cellStyle name="Comma 12 10 7 2" xfId="6988"/>
    <cellStyle name="Comma 12 10 7 2 2" xfId="10918"/>
    <cellStyle name="Comma 12 10 7 2 3" xfId="16694"/>
    <cellStyle name="Comma 12 10 7 2 3 2" xfId="32915"/>
    <cellStyle name="Comma 12 10 7 3" xfId="6989"/>
    <cellStyle name="Comma 12 10 7 3 2" xfId="10919"/>
    <cellStyle name="Comma 12 10 7 4" xfId="10917"/>
    <cellStyle name="Comma 12 10 7 5" xfId="15109"/>
    <cellStyle name="Comma 12 10 7 5 2" xfId="31331"/>
    <cellStyle name="Comma 12 10 8" xfId="6990"/>
    <cellStyle name="Comma 12 10 8 2" xfId="6991"/>
    <cellStyle name="Comma 12 10 8 2 2" xfId="10921"/>
    <cellStyle name="Comma 12 10 8 3" xfId="10920"/>
    <cellStyle name="Comma 12 10 8 4" xfId="15902"/>
    <cellStyle name="Comma 12 10 8 4 2" xfId="32123"/>
    <cellStyle name="Comma 12 10 9" xfId="6992"/>
    <cellStyle name="Comma 12 10 9 2" xfId="10922"/>
    <cellStyle name="Comma 12 11" xfId="4989"/>
    <cellStyle name="Comma 12 11 10" xfId="14315"/>
    <cellStyle name="Comma 12 11 10 2" xfId="30540"/>
    <cellStyle name="Comma 12 11 2" xfId="6993"/>
    <cellStyle name="Comma 12 11 2 10" xfId="14351"/>
    <cellStyle name="Comma 12 11 2 10 2" xfId="30573"/>
    <cellStyle name="Comma 12 11 2 2" xfId="6994"/>
    <cellStyle name="Comma 12 11 2 2 2" xfId="6995"/>
    <cellStyle name="Comma 12 11 2 2 2 2" xfId="6996"/>
    <cellStyle name="Comma 12 11 2 2 2 2 2" xfId="6997"/>
    <cellStyle name="Comma 12 11 2 2 2 2 2 2" xfId="6998"/>
    <cellStyle name="Comma 12 11 2 2 2 2 2 2 2" xfId="10928"/>
    <cellStyle name="Comma 12 11 2 2 2 2 2 2 3" xfId="17190"/>
    <cellStyle name="Comma 12 11 2 2 2 2 2 2 3 2" xfId="33411"/>
    <cellStyle name="Comma 12 11 2 2 2 2 2 3" xfId="6999"/>
    <cellStyle name="Comma 12 11 2 2 2 2 2 3 2" xfId="10929"/>
    <cellStyle name="Comma 12 11 2 2 2 2 2 4" xfId="10927"/>
    <cellStyle name="Comma 12 11 2 2 2 2 2 5" xfId="15605"/>
    <cellStyle name="Comma 12 11 2 2 2 2 2 5 2" xfId="31827"/>
    <cellStyle name="Comma 12 11 2 2 2 2 3" xfId="7000"/>
    <cellStyle name="Comma 12 11 2 2 2 2 3 2" xfId="10930"/>
    <cellStyle name="Comma 12 11 2 2 2 2 3 3" xfId="16398"/>
    <cellStyle name="Comma 12 11 2 2 2 2 3 3 2" xfId="32619"/>
    <cellStyle name="Comma 12 11 2 2 2 2 4" xfId="7001"/>
    <cellStyle name="Comma 12 11 2 2 2 2 4 2" xfId="10931"/>
    <cellStyle name="Comma 12 11 2 2 2 2 5" xfId="10926"/>
    <cellStyle name="Comma 12 11 2 2 2 2 6" xfId="14813"/>
    <cellStyle name="Comma 12 11 2 2 2 2 6 2" xfId="31035"/>
    <cellStyle name="Comma 12 11 2 2 2 3" xfId="7002"/>
    <cellStyle name="Comma 12 11 2 2 2 3 2" xfId="7003"/>
    <cellStyle name="Comma 12 11 2 2 2 3 2 2" xfId="7004"/>
    <cellStyle name="Comma 12 11 2 2 2 3 2 2 2" xfId="10934"/>
    <cellStyle name="Comma 12 11 2 2 2 3 2 2 3" xfId="17454"/>
    <cellStyle name="Comma 12 11 2 2 2 3 2 2 3 2" xfId="33675"/>
    <cellStyle name="Comma 12 11 2 2 2 3 2 3" xfId="7005"/>
    <cellStyle name="Comma 12 11 2 2 2 3 2 3 2" xfId="10935"/>
    <cellStyle name="Comma 12 11 2 2 2 3 2 4" xfId="10933"/>
    <cellStyle name="Comma 12 11 2 2 2 3 2 5" xfId="15869"/>
    <cellStyle name="Comma 12 11 2 2 2 3 2 5 2" xfId="32091"/>
    <cellStyle name="Comma 12 11 2 2 2 3 3" xfId="7006"/>
    <cellStyle name="Comma 12 11 2 2 2 3 3 2" xfId="10936"/>
    <cellStyle name="Comma 12 11 2 2 2 3 3 3" xfId="16662"/>
    <cellStyle name="Comma 12 11 2 2 2 3 3 3 2" xfId="32883"/>
    <cellStyle name="Comma 12 11 2 2 2 3 4" xfId="7007"/>
    <cellStyle name="Comma 12 11 2 2 2 3 4 2" xfId="10937"/>
    <cellStyle name="Comma 12 11 2 2 2 3 5" xfId="10932"/>
    <cellStyle name="Comma 12 11 2 2 2 3 6" xfId="15077"/>
    <cellStyle name="Comma 12 11 2 2 2 3 6 2" xfId="31299"/>
    <cellStyle name="Comma 12 11 2 2 2 4" xfId="7008"/>
    <cellStyle name="Comma 12 11 2 2 2 4 2" xfId="7009"/>
    <cellStyle name="Comma 12 11 2 2 2 4 2 2" xfId="10939"/>
    <cellStyle name="Comma 12 11 2 2 2 4 2 3" xfId="16926"/>
    <cellStyle name="Comma 12 11 2 2 2 4 2 3 2" xfId="33147"/>
    <cellStyle name="Comma 12 11 2 2 2 4 3" xfId="7010"/>
    <cellStyle name="Comma 12 11 2 2 2 4 3 2" xfId="10940"/>
    <cellStyle name="Comma 12 11 2 2 2 4 4" xfId="10938"/>
    <cellStyle name="Comma 12 11 2 2 2 4 5" xfId="15341"/>
    <cellStyle name="Comma 12 11 2 2 2 4 5 2" xfId="31563"/>
    <cellStyle name="Comma 12 11 2 2 2 5" xfId="7011"/>
    <cellStyle name="Comma 12 11 2 2 2 5 2" xfId="10941"/>
    <cellStyle name="Comma 12 11 2 2 2 5 3" xfId="16134"/>
    <cellStyle name="Comma 12 11 2 2 2 5 3 2" xfId="32355"/>
    <cellStyle name="Comma 12 11 2 2 2 6" xfId="7012"/>
    <cellStyle name="Comma 12 11 2 2 2 6 2" xfId="10942"/>
    <cellStyle name="Comma 12 11 2 2 2 7" xfId="10925"/>
    <cellStyle name="Comma 12 11 2 2 2 8" xfId="14549"/>
    <cellStyle name="Comma 12 11 2 2 2 8 2" xfId="30771"/>
    <cellStyle name="Comma 12 11 2 2 3" xfId="7013"/>
    <cellStyle name="Comma 12 11 2 2 3 2" xfId="7014"/>
    <cellStyle name="Comma 12 11 2 2 3 2 2" xfId="7015"/>
    <cellStyle name="Comma 12 11 2 2 3 2 2 2" xfId="10945"/>
    <cellStyle name="Comma 12 11 2 2 3 2 2 3" xfId="17058"/>
    <cellStyle name="Comma 12 11 2 2 3 2 2 3 2" xfId="33279"/>
    <cellStyle name="Comma 12 11 2 2 3 2 3" xfId="7016"/>
    <cellStyle name="Comma 12 11 2 2 3 2 3 2" xfId="10946"/>
    <cellStyle name="Comma 12 11 2 2 3 2 4" xfId="10944"/>
    <cellStyle name="Comma 12 11 2 2 3 2 5" xfId="15473"/>
    <cellStyle name="Comma 12 11 2 2 3 2 5 2" xfId="31695"/>
    <cellStyle name="Comma 12 11 2 2 3 3" xfId="7017"/>
    <cellStyle name="Comma 12 11 2 2 3 3 2" xfId="10947"/>
    <cellStyle name="Comma 12 11 2 2 3 3 3" xfId="16266"/>
    <cellStyle name="Comma 12 11 2 2 3 3 3 2" xfId="32487"/>
    <cellStyle name="Comma 12 11 2 2 3 4" xfId="7018"/>
    <cellStyle name="Comma 12 11 2 2 3 4 2" xfId="10948"/>
    <cellStyle name="Comma 12 11 2 2 3 5" xfId="10943"/>
    <cellStyle name="Comma 12 11 2 2 3 6" xfId="14681"/>
    <cellStyle name="Comma 12 11 2 2 3 6 2" xfId="30903"/>
    <cellStyle name="Comma 12 11 2 2 4" xfId="7019"/>
    <cellStyle name="Comma 12 11 2 2 4 2" xfId="7020"/>
    <cellStyle name="Comma 12 11 2 2 4 2 2" xfId="7021"/>
    <cellStyle name="Comma 12 11 2 2 4 2 2 2" xfId="10951"/>
    <cellStyle name="Comma 12 11 2 2 4 2 2 3" xfId="17322"/>
    <cellStyle name="Comma 12 11 2 2 4 2 2 3 2" xfId="33543"/>
    <cellStyle name="Comma 12 11 2 2 4 2 3" xfId="7022"/>
    <cellStyle name="Comma 12 11 2 2 4 2 3 2" xfId="10952"/>
    <cellStyle name="Comma 12 11 2 2 4 2 4" xfId="10950"/>
    <cellStyle name="Comma 12 11 2 2 4 2 5" xfId="15737"/>
    <cellStyle name="Comma 12 11 2 2 4 2 5 2" xfId="31959"/>
    <cellStyle name="Comma 12 11 2 2 4 3" xfId="7023"/>
    <cellStyle name="Comma 12 11 2 2 4 3 2" xfId="10953"/>
    <cellStyle name="Comma 12 11 2 2 4 3 3" xfId="16530"/>
    <cellStyle name="Comma 12 11 2 2 4 3 3 2" xfId="32751"/>
    <cellStyle name="Comma 12 11 2 2 4 4" xfId="7024"/>
    <cellStyle name="Comma 12 11 2 2 4 4 2" xfId="10954"/>
    <cellStyle name="Comma 12 11 2 2 4 5" xfId="10949"/>
    <cellStyle name="Comma 12 11 2 2 4 6" xfId="14945"/>
    <cellStyle name="Comma 12 11 2 2 4 6 2" xfId="31167"/>
    <cellStyle name="Comma 12 11 2 2 5" xfId="7025"/>
    <cellStyle name="Comma 12 11 2 2 5 2" xfId="7026"/>
    <cellStyle name="Comma 12 11 2 2 5 2 2" xfId="10956"/>
    <cellStyle name="Comma 12 11 2 2 5 2 3" xfId="16794"/>
    <cellStyle name="Comma 12 11 2 2 5 2 3 2" xfId="33015"/>
    <cellStyle name="Comma 12 11 2 2 5 3" xfId="7027"/>
    <cellStyle name="Comma 12 11 2 2 5 3 2" xfId="10957"/>
    <cellStyle name="Comma 12 11 2 2 5 4" xfId="10955"/>
    <cellStyle name="Comma 12 11 2 2 5 5" xfId="15209"/>
    <cellStyle name="Comma 12 11 2 2 5 5 2" xfId="31431"/>
    <cellStyle name="Comma 12 11 2 2 6" xfId="7028"/>
    <cellStyle name="Comma 12 11 2 2 6 2" xfId="10958"/>
    <cellStyle name="Comma 12 11 2 2 6 3" xfId="16002"/>
    <cellStyle name="Comma 12 11 2 2 6 3 2" xfId="32223"/>
    <cellStyle name="Comma 12 11 2 2 7" xfId="7029"/>
    <cellStyle name="Comma 12 11 2 2 7 2" xfId="10959"/>
    <cellStyle name="Comma 12 11 2 2 8" xfId="10924"/>
    <cellStyle name="Comma 12 11 2 2 9" xfId="14417"/>
    <cellStyle name="Comma 12 11 2 2 9 2" xfId="30639"/>
    <cellStyle name="Comma 12 11 2 3" xfId="7030"/>
    <cellStyle name="Comma 12 11 2 3 2" xfId="7031"/>
    <cellStyle name="Comma 12 11 2 3 2 2" xfId="7032"/>
    <cellStyle name="Comma 12 11 2 3 2 2 2" xfId="7033"/>
    <cellStyle name="Comma 12 11 2 3 2 2 2 2" xfId="10963"/>
    <cellStyle name="Comma 12 11 2 3 2 2 2 3" xfId="17124"/>
    <cellStyle name="Comma 12 11 2 3 2 2 2 3 2" xfId="33345"/>
    <cellStyle name="Comma 12 11 2 3 2 2 3" xfId="7034"/>
    <cellStyle name="Comma 12 11 2 3 2 2 3 2" xfId="10964"/>
    <cellStyle name="Comma 12 11 2 3 2 2 4" xfId="10962"/>
    <cellStyle name="Comma 12 11 2 3 2 2 5" xfId="15539"/>
    <cellStyle name="Comma 12 11 2 3 2 2 5 2" xfId="31761"/>
    <cellStyle name="Comma 12 11 2 3 2 3" xfId="7035"/>
    <cellStyle name="Comma 12 11 2 3 2 3 2" xfId="10965"/>
    <cellStyle name="Comma 12 11 2 3 2 3 3" xfId="16332"/>
    <cellStyle name="Comma 12 11 2 3 2 3 3 2" xfId="32553"/>
    <cellStyle name="Comma 12 11 2 3 2 4" xfId="7036"/>
    <cellStyle name="Comma 12 11 2 3 2 4 2" xfId="10966"/>
    <cellStyle name="Comma 12 11 2 3 2 5" xfId="10961"/>
    <cellStyle name="Comma 12 11 2 3 2 6" xfId="14747"/>
    <cellStyle name="Comma 12 11 2 3 2 6 2" xfId="30969"/>
    <cellStyle name="Comma 12 11 2 3 3" xfId="7037"/>
    <cellStyle name="Comma 12 11 2 3 3 2" xfId="7038"/>
    <cellStyle name="Comma 12 11 2 3 3 2 2" xfId="7039"/>
    <cellStyle name="Comma 12 11 2 3 3 2 2 2" xfId="10969"/>
    <cellStyle name="Comma 12 11 2 3 3 2 2 3" xfId="17388"/>
    <cellStyle name="Comma 12 11 2 3 3 2 2 3 2" xfId="33609"/>
    <cellStyle name="Comma 12 11 2 3 3 2 3" xfId="7040"/>
    <cellStyle name="Comma 12 11 2 3 3 2 3 2" xfId="10970"/>
    <cellStyle name="Comma 12 11 2 3 3 2 4" xfId="10968"/>
    <cellStyle name="Comma 12 11 2 3 3 2 5" xfId="15803"/>
    <cellStyle name="Comma 12 11 2 3 3 2 5 2" xfId="32025"/>
    <cellStyle name="Comma 12 11 2 3 3 3" xfId="7041"/>
    <cellStyle name="Comma 12 11 2 3 3 3 2" xfId="10971"/>
    <cellStyle name="Comma 12 11 2 3 3 3 3" xfId="16596"/>
    <cellStyle name="Comma 12 11 2 3 3 3 3 2" xfId="32817"/>
    <cellStyle name="Comma 12 11 2 3 3 4" xfId="7042"/>
    <cellStyle name="Comma 12 11 2 3 3 4 2" xfId="10972"/>
    <cellStyle name="Comma 12 11 2 3 3 5" xfId="10967"/>
    <cellStyle name="Comma 12 11 2 3 3 6" xfId="15011"/>
    <cellStyle name="Comma 12 11 2 3 3 6 2" xfId="31233"/>
    <cellStyle name="Comma 12 11 2 3 4" xfId="7043"/>
    <cellStyle name="Comma 12 11 2 3 4 2" xfId="7044"/>
    <cellStyle name="Comma 12 11 2 3 4 2 2" xfId="10974"/>
    <cellStyle name="Comma 12 11 2 3 4 2 3" xfId="16860"/>
    <cellStyle name="Comma 12 11 2 3 4 2 3 2" xfId="33081"/>
    <cellStyle name="Comma 12 11 2 3 4 3" xfId="7045"/>
    <cellStyle name="Comma 12 11 2 3 4 3 2" xfId="10975"/>
    <cellStyle name="Comma 12 11 2 3 4 4" xfId="10973"/>
    <cellStyle name="Comma 12 11 2 3 4 5" xfId="15275"/>
    <cellStyle name="Comma 12 11 2 3 4 5 2" xfId="31497"/>
    <cellStyle name="Comma 12 11 2 3 5" xfId="7046"/>
    <cellStyle name="Comma 12 11 2 3 5 2" xfId="10976"/>
    <cellStyle name="Comma 12 11 2 3 5 3" xfId="16068"/>
    <cellStyle name="Comma 12 11 2 3 5 3 2" xfId="32289"/>
    <cellStyle name="Comma 12 11 2 3 6" xfId="7047"/>
    <cellStyle name="Comma 12 11 2 3 6 2" xfId="10977"/>
    <cellStyle name="Comma 12 11 2 3 7" xfId="10960"/>
    <cellStyle name="Comma 12 11 2 3 8" xfId="14483"/>
    <cellStyle name="Comma 12 11 2 3 8 2" xfId="30705"/>
    <cellStyle name="Comma 12 11 2 4" xfId="7048"/>
    <cellStyle name="Comma 12 11 2 4 2" xfId="7049"/>
    <cellStyle name="Comma 12 11 2 4 2 2" xfId="7050"/>
    <cellStyle name="Comma 12 11 2 4 2 2 2" xfId="10980"/>
    <cellStyle name="Comma 12 11 2 4 2 2 3" xfId="16992"/>
    <cellStyle name="Comma 12 11 2 4 2 2 3 2" xfId="33213"/>
    <cellStyle name="Comma 12 11 2 4 2 3" xfId="7051"/>
    <cellStyle name="Comma 12 11 2 4 2 3 2" xfId="10981"/>
    <cellStyle name="Comma 12 11 2 4 2 4" xfId="10979"/>
    <cellStyle name="Comma 12 11 2 4 2 5" xfId="15407"/>
    <cellStyle name="Comma 12 11 2 4 2 5 2" xfId="31629"/>
    <cellStyle name="Comma 12 11 2 4 3" xfId="7052"/>
    <cellStyle name="Comma 12 11 2 4 3 2" xfId="10982"/>
    <cellStyle name="Comma 12 11 2 4 3 3" xfId="16200"/>
    <cellStyle name="Comma 12 11 2 4 3 3 2" xfId="32421"/>
    <cellStyle name="Comma 12 11 2 4 4" xfId="7053"/>
    <cellStyle name="Comma 12 11 2 4 4 2" xfId="10983"/>
    <cellStyle name="Comma 12 11 2 4 5" xfId="10978"/>
    <cellStyle name="Comma 12 11 2 4 6" xfId="14615"/>
    <cellStyle name="Comma 12 11 2 4 6 2" xfId="30837"/>
    <cellStyle name="Comma 12 11 2 5" xfId="7054"/>
    <cellStyle name="Comma 12 11 2 5 2" xfId="7055"/>
    <cellStyle name="Comma 12 11 2 5 2 2" xfId="7056"/>
    <cellStyle name="Comma 12 11 2 5 2 2 2" xfId="10986"/>
    <cellStyle name="Comma 12 11 2 5 2 2 3" xfId="17256"/>
    <cellStyle name="Comma 12 11 2 5 2 2 3 2" xfId="33477"/>
    <cellStyle name="Comma 12 11 2 5 2 3" xfId="7057"/>
    <cellStyle name="Comma 12 11 2 5 2 3 2" xfId="10987"/>
    <cellStyle name="Comma 12 11 2 5 2 4" xfId="10985"/>
    <cellStyle name="Comma 12 11 2 5 2 5" xfId="15671"/>
    <cellStyle name="Comma 12 11 2 5 2 5 2" xfId="31893"/>
    <cellStyle name="Comma 12 11 2 5 3" xfId="7058"/>
    <cellStyle name="Comma 12 11 2 5 3 2" xfId="10988"/>
    <cellStyle name="Comma 12 11 2 5 3 3" xfId="16464"/>
    <cellStyle name="Comma 12 11 2 5 3 3 2" xfId="32685"/>
    <cellStyle name="Comma 12 11 2 5 4" xfId="7059"/>
    <cellStyle name="Comma 12 11 2 5 4 2" xfId="10989"/>
    <cellStyle name="Comma 12 11 2 5 5" xfId="10984"/>
    <cellStyle name="Comma 12 11 2 5 6" xfId="14879"/>
    <cellStyle name="Comma 12 11 2 5 6 2" xfId="31101"/>
    <cellStyle name="Comma 12 11 2 6" xfId="7060"/>
    <cellStyle name="Comma 12 11 2 6 2" xfId="7061"/>
    <cellStyle name="Comma 12 11 2 6 2 2" xfId="10991"/>
    <cellStyle name="Comma 12 11 2 6 2 3" xfId="16728"/>
    <cellStyle name="Comma 12 11 2 6 2 3 2" xfId="32949"/>
    <cellStyle name="Comma 12 11 2 6 3" xfId="7062"/>
    <cellStyle name="Comma 12 11 2 6 3 2" xfId="10992"/>
    <cellStyle name="Comma 12 11 2 6 4" xfId="10990"/>
    <cellStyle name="Comma 12 11 2 6 5" xfId="15143"/>
    <cellStyle name="Comma 12 11 2 6 5 2" xfId="31365"/>
    <cellStyle name="Comma 12 11 2 7" xfId="7063"/>
    <cellStyle name="Comma 12 11 2 7 2" xfId="10993"/>
    <cellStyle name="Comma 12 11 2 7 3" xfId="15936"/>
    <cellStyle name="Comma 12 11 2 7 3 2" xfId="32157"/>
    <cellStyle name="Comma 12 11 2 8" xfId="7064"/>
    <cellStyle name="Comma 12 11 2 8 2" xfId="10994"/>
    <cellStyle name="Comma 12 11 2 9" xfId="10923"/>
    <cellStyle name="Comma 12 11 3" xfId="7065"/>
    <cellStyle name="Comma 12 11 3 2" xfId="7066"/>
    <cellStyle name="Comma 12 11 3 2 2" xfId="7067"/>
    <cellStyle name="Comma 12 11 3 2 2 2" xfId="7068"/>
    <cellStyle name="Comma 12 11 3 2 2 2 2" xfId="7069"/>
    <cellStyle name="Comma 12 11 3 2 2 2 2 2" xfId="10999"/>
    <cellStyle name="Comma 12 11 3 2 2 2 2 3" xfId="17157"/>
    <cellStyle name="Comma 12 11 3 2 2 2 2 3 2" xfId="33378"/>
    <cellStyle name="Comma 12 11 3 2 2 2 3" xfId="7070"/>
    <cellStyle name="Comma 12 11 3 2 2 2 3 2" xfId="11000"/>
    <cellStyle name="Comma 12 11 3 2 2 2 4" xfId="10998"/>
    <cellStyle name="Comma 12 11 3 2 2 2 5" xfId="15572"/>
    <cellStyle name="Comma 12 11 3 2 2 2 5 2" xfId="31794"/>
    <cellStyle name="Comma 12 11 3 2 2 3" xfId="7071"/>
    <cellStyle name="Comma 12 11 3 2 2 3 2" xfId="11001"/>
    <cellStyle name="Comma 12 11 3 2 2 3 3" xfId="16365"/>
    <cellStyle name="Comma 12 11 3 2 2 3 3 2" xfId="32586"/>
    <cellStyle name="Comma 12 11 3 2 2 4" xfId="7072"/>
    <cellStyle name="Comma 12 11 3 2 2 4 2" xfId="11002"/>
    <cellStyle name="Comma 12 11 3 2 2 5" xfId="10997"/>
    <cellStyle name="Comma 12 11 3 2 2 6" xfId="14780"/>
    <cellStyle name="Comma 12 11 3 2 2 6 2" xfId="31002"/>
    <cellStyle name="Comma 12 11 3 2 3" xfId="7073"/>
    <cellStyle name="Comma 12 11 3 2 3 2" xfId="7074"/>
    <cellStyle name="Comma 12 11 3 2 3 2 2" xfId="7075"/>
    <cellStyle name="Comma 12 11 3 2 3 2 2 2" xfId="11005"/>
    <cellStyle name="Comma 12 11 3 2 3 2 2 3" xfId="17421"/>
    <cellStyle name="Comma 12 11 3 2 3 2 2 3 2" xfId="33642"/>
    <cellStyle name="Comma 12 11 3 2 3 2 3" xfId="7076"/>
    <cellStyle name="Comma 12 11 3 2 3 2 3 2" xfId="11006"/>
    <cellStyle name="Comma 12 11 3 2 3 2 4" xfId="11004"/>
    <cellStyle name="Comma 12 11 3 2 3 2 5" xfId="15836"/>
    <cellStyle name="Comma 12 11 3 2 3 2 5 2" xfId="32058"/>
    <cellStyle name="Comma 12 11 3 2 3 3" xfId="7077"/>
    <cellStyle name="Comma 12 11 3 2 3 3 2" xfId="11007"/>
    <cellStyle name="Comma 12 11 3 2 3 3 3" xfId="16629"/>
    <cellStyle name="Comma 12 11 3 2 3 3 3 2" xfId="32850"/>
    <cellStyle name="Comma 12 11 3 2 3 4" xfId="7078"/>
    <cellStyle name="Comma 12 11 3 2 3 4 2" xfId="11008"/>
    <cellStyle name="Comma 12 11 3 2 3 5" xfId="11003"/>
    <cellStyle name="Comma 12 11 3 2 3 6" xfId="15044"/>
    <cellStyle name="Comma 12 11 3 2 3 6 2" xfId="31266"/>
    <cellStyle name="Comma 12 11 3 2 4" xfId="7079"/>
    <cellStyle name="Comma 12 11 3 2 4 2" xfId="7080"/>
    <cellStyle name="Comma 12 11 3 2 4 2 2" xfId="11010"/>
    <cellStyle name="Comma 12 11 3 2 4 2 3" xfId="16893"/>
    <cellStyle name="Comma 12 11 3 2 4 2 3 2" xfId="33114"/>
    <cellStyle name="Comma 12 11 3 2 4 3" xfId="7081"/>
    <cellStyle name="Comma 12 11 3 2 4 3 2" xfId="11011"/>
    <cellStyle name="Comma 12 11 3 2 4 4" xfId="11009"/>
    <cellStyle name="Comma 12 11 3 2 4 5" xfId="15308"/>
    <cellStyle name="Comma 12 11 3 2 4 5 2" xfId="31530"/>
    <cellStyle name="Comma 12 11 3 2 5" xfId="7082"/>
    <cellStyle name="Comma 12 11 3 2 5 2" xfId="11012"/>
    <cellStyle name="Comma 12 11 3 2 5 3" xfId="16101"/>
    <cellStyle name="Comma 12 11 3 2 5 3 2" xfId="32322"/>
    <cellStyle name="Comma 12 11 3 2 6" xfId="7083"/>
    <cellStyle name="Comma 12 11 3 2 6 2" xfId="11013"/>
    <cellStyle name="Comma 12 11 3 2 7" xfId="10996"/>
    <cellStyle name="Comma 12 11 3 2 8" xfId="14516"/>
    <cellStyle name="Comma 12 11 3 2 8 2" xfId="30738"/>
    <cellStyle name="Comma 12 11 3 3" xfId="7084"/>
    <cellStyle name="Comma 12 11 3 3 2" xfId="7085"/>
    <cellStyle name="Comma 12 11 3 3 2 2" xfId="7086"/>
    <cellStyle name="Comma 12 11 3 3 2 2 2" xfId="11016"/>
    <cellStyle name="Comma 12 11 3 3 2 2 3" xfId="17025"/>
    <cellStyle name="Comma 12 11 3 3 2 2 3 2" xfId="33246"/>
    <cellStyle name="Comma 12 11 3 3 2 3" xfId="7087"/>
    <cellStyle name="Comma 12 11 3 3 2 3 2" xfId="11017"/>
    <cellStyle name="Comma 12 11 3 3 2 4" xfId="11015"/>
    <cellStyle name="Comma 12 11 3 3 2 5" xfId="15440"/>
    <cellStyle name="Comma 12 11 3 3 2 5 2" xfId="31662"/>
    <cellStyle name="Comma 12 11 3 3 3" xfId="7088"/>
    <cellStyle name="Comma 12 11 3 3 3 2" xfId="11018"/>
    <cellStyle name="Comma 12 11 3 3 3 3" xfId="16233"/>
    <cellStyle name="Comma 12 11 3 3 3 3 2" xfId="32454"/>
    <cellStyle name="Comma 12 11 3 3 4" xfId="7089"/>
    <cellStyle name="Comma 12 11 3 3 4 2" xfId="11019"/>
    <cellStyle name="Comma 12 11 3 3 5" xfId="11014"/>
    <cellStyle name="Comma 12 11 3 3 6" xfId="14648"/>
    <cellStyle name="Comma 12 11 3 3 6 2" xfId="30870"/>
    <cellStyle name="Comma 12 11 3 4" xfId="7090"/>
    <cellStyle name="Comma 12 11 3 4 2" xfId="7091"/>
    <cellStyle name="Comma 12 11 3 4 2 2" xfId="7092"/>
    <cellStyle name="Comma 12 11 3 4 2 2 2" xfId="11022"/>
    <cellStyle name="Comma 12 11 3 4 2 2 3" xfId="17289"/>
    <cellStyle name="Comma 12 11 3 4 2 2 3 2" xfId="33510"/>
    <cellStyle name="Comma 12 11 3 4 2 3" xfId="7093"/>
    <cellStyle name="Comma 12 11 3 4 2 3 2" xfId="11023"/>
    <cellStyle name="Comma 12 11 3 4 2 4" xfId="11021"/>
    <cellStyle name="Comma 12 11 3 4 2 5" xfId="15704"/>
    <cellStyle name="Comma 12 11 3 4 2 5 2" xfId="31926"/>
    <cellStyle name="Comma 12 11 3 4 3" xfId="7094"/>
    <cellStyle name="Comma 12 11 3 4 3 2" xfId="11024"/>
    <cellStyle name="Comma 12 11 3 4 3 3" xfId="16497"/>
    <cellStyle name="Comma 12 11 3 4 3 3 2" xfId="32718"/>
    <cellStyle name="Comma 12 11 3 4 4" xfId="7095"/>
    <cellStyle name="Comma 12 11 3 4 4 2" xfId="11025"/>
    <cellStyle name="Comma 12 11 3 4 5" xfId="11020"/>
    <cellStyle name="Comma 12 11 3 4 6" xfId="14912"/>
    <cellStyle name="Comma 12 11 3 4 6 2" xfId="31134"/>
    <cellStyle name="Comma 12 11 3 5" xfId="7096"/>
    <cellStyle name="Comma 12 11 3 5 2" xfId="7097"/>
    <cellStyle name="Comma 12 11 3 5 2 2" xfId="11027"/>
    <cellStyle name="Comma 12 11 3 5 2 3" xfId="16761"/>
    <cellStyle name="Comma 12 11 3 5 2 3 2" xfId="32982"/>
    <cellStyle name="Comma 12 11 3 5 3" xfId="7098"/>
    <cellStyle name="Comma 12 11 3 5 3 2" xfId="11028"/>
    <cellStyle name="Comma 12 11 3 5 4" xfId="11026"/>
    <cellStyle name="Comma 12 11 3 5 5" xfId="15176"/>
    <cellStyle name="Comma 12 11 3 5 5 2" xfId="31398"/>
    <cellStyle name="Comma 12 11 3 6" xfId="7099"/>
    <cellStyle name="Comma 12 11 3 6 2" xfId="11029"/>
    <cellStyle name="Comma 12 11 3 6 3" xfId="15969"/>
    <cellStyle name="Comma 12 11 3 6 3 2" xfId="32190"/>
    <cellStyle name="Comma 12 11 3 7" xfId="7100"/>
    <cellStyle name="Comma 12 11 3 7 2" xfId="11030"/>
    <cellStyle name="Comma 12 11 3 8" xfId="10995"/>
    <cellStyle name="Comma 12 11 3 9" xfId="14384"/>
    <cellStyle name="Comma 12 11 3 9 2" xfId="30606"/>
    <cellStyle name="Comma 12 11 4" xfId="7101"/>
    <cellStyle name="Comma 12 11 4 2" xfId="7102"/>
    <cellStyle name="Comma 12 11 4 2 2" xfId="7103"/>
    <cellStyle name="Comma 12 11 4 2 2 2" xfId="7104"/>
    <cellStyle name="Comma 12 11 4 2 2 2 2" xfId="11034"/>
    <cellStyle name="Comma 12 11 4 2 2 2 3" xfId="17091"/>
    <cellStyle name="Comma 12 11 4 2 2 2 3 2" xfId="33312"/>
    <cellStyle name="Comma 12 11 4 2 2 3" xfId="7105"/>
    <cellStyle name="Comma 12 11 4 2 2 3 2" xfId="11035"/>
    <cellStyle name="Comma 12 11 4 2 2 4" xfId="11033"/>
    <cellStyle name="Comma 12 11 4 2 2 5" xfId="15506"/>
    <cellStyle name="Comma 12 11 4 2 2 5 2" xfId="31728"/>
    <cellStyle name="Comma 12 11 4 2 3" xfId="7106"/>
    <cellStyle name="Comma 12 11 4 2 3 2" xfId="11036"/>
    <cellStyle name="Comma 12 11 4 2 3 3" xfId="16299"/>
    <cellStyle name="Comma 12 11 4 2 3 3 2" xfId="32520"/>
    <cellStyle name="Comma 12 11 4 2 4" xfId="7107"/>
    <cellStyle name="Comma 12 11 4 2 4 2" xfId="11037"/>
    <cellStyle name="Comma 12 11 4 2 5" xfId="11032"/>
    <cellStyle name="Comma 12 11 4 2 6" xfId="14714"/>
    <cellStyle name="Comma 12 11 4 2 6 2" xfId="30936"/>
    <cellStyle name="Comma 12 11 4 3" xfId="7108"/>
    <cellStyle name="Comma 12 11 4 3 2" xfId="7109"/>
    <cellStyle name="Comma 12 11 4 3 2 2" xfId="7110"/>
    <cellStyle name="Comma 12 11 4 3 2 2 2" xfId="11040"/>
    <cellStyle name="Comma 12 11 4 3 2 2 3" xfId="17355"/>
    <cellStyle name="Comma 12 11 4 3 2 2 3 2" xfId="33576"/>
    <cellStyle name="Comma 12 11 4 3 2 3" xfId="7111"/>
    <cellStyle name="Comma 12 11 4 3 2 3 2" xfId="11041"/>
    <cellStyle name="Comma 12 11 4 3 2 4" xfId="11039"/>
    <cellStyle name="Comma 12 11 4 3 2 5" xfId="15770"/>
    <cellStyle name="Comma 12 11 4 3 2 5 2" xfId="31992"/>
    <cellStyle name="Comma 12 11 4 3 3" xfId="7112"/>
    <cellStyle name="Comma 12 11 4 3 3 2" xfId="11042"/>
    <cellStyle name="Comma 12 11 4 3 3 3" xfId="16563"/>
    <cellStyle name="Comma 12 11 4 3 3 3 2" xfId="32784"/>
    <cellStyle name="Comma 12 11 4 3 4" xfId="7113"/>
    <cellStyle name="Comma 12 11 4 3 4 2" xfId="11043"/>
    <cellStyle name="Comma 12 11 4 3 5" xfId="11038"/>
    <cellStyle name="Comma 12 11 4 3 6" xfId="14978"/>
    <cellStyle name="Comma 12 11 4 3 6 2" xfId="31200"/>
    <cellStyle name="Comma 12 11 4 4" xfId="7114"/>
    <cellStyle name="Comma 12 11 4 4 2" xfId="7115"/>
    <cellStyle name="Comma 12 11 4 4 2 2" xfId="11045"/>
    <cellStyle name="Comma 12 11 4 4 2 3" xfId="16827"/>
    <cellStyle name="Comma 12 11 4 4 2 3 2" xfId="33048"/>
    <cellStyle name="Comma 12 11 4 4 3" xfId="7116"/>
    <cellStyle name="Comma 12 11 4 4 3 2" xfId="11046"/>
    <cellStyle name="Comma 12 11 4 4 4" xfId="11044"/>
    <cellStyle name="Comma 12 11 4 4 5" xfId="15242"/>
    <cellStyle name="Comma 12 11 4 4 5 2" xfId="31464"/>
    <cellStyle name="Comma 12 11 4 5" xfId="7117"/>
    <cellStyle name="Comma 12 11 4 5 2" xfId="11047"/>
    <cellStyle name="Comma 12 11 4 5 3" xfId="16035"/>
    <cellStyle name="Comma 12 11 4 5 3 2" xfId="32256"/>
    <cellStyle name="Comma 12 11 4 6" xfId="7118"/>
    <cellStyle name="Comma 12 11 4 6 2" xfId="11048"/>
    <cellStyle name="Comma 12 11 4 7" xfId="11031"/>
    <cellStyle name="Comma 12 11 4 8" xfId="14450"/>
    <cellStyle name="Comma 12 11 4 8 2" xfId="30672"/>
    <cellStyle name="Comma 12 11 5" xfId="7119"/>
    <cellStyle name="Comma 12 11 5 2" xfId="7120"/>
    <cellStyle name="Comma 12 11 5 2 2" xfId="7121"/>
    <cellStyle name="Comma 12 11 5 2 2 2" xfId="11051"/>
    <cellStyle name="Comma 12 11 5 2 2 3" xfId="16959"/>
    <cellStyle name="Comma 12 11 5 2 2 3 2" xfId="33180"/>
    <cellStyle name="Comma 12 11 5 2 3" xfId="7122"/>
    <cellStyle name="Comma 12 11 5 2 3 2" xfId="11052"/>
    <cellStyle name="Comma 12 11 5 2 4" xfId="11050"/>
    <cellStyle name="Comma 12 11 5 2 5" xfId="15374"/>
    <cellStyle name="Comma 12 11 5 2 5 2" xfId="31596"/>
    <cellStyle name="Comma 12 11 5 3" xfId="7123"/>
    <cellStyle name="Comma 12 11 5 3 2" xfId="11053"/>
    <cellStyle name="Comma 12 11 5 3 3" xfId="16167"/>
    <cellStyle name="Comma 12 11 5 3 3 2" xfId="32388"/>
    <cellStyle name="Comma 12 11 5 4" xfId="7124"/>
    <cellStyle name="Comma 12 11 5 4 2" xfId="11054"/>
    <cellStyle name="Comma 12 11 5 5" xfId="11049"/>
    <cellStyle name="Comma 12 11 5 6" xfId="14582"/>
    <cellStyle name="Comma 12 11 5 6 2" xfId="30804"/>
    <cellStyle name="Comma 12 11 6" xfId="7125"/>
    <cellStyle name="Comma 12 11 6 2" xfId="7126"/>
    <cellStyle name="Comma 12 11 6 2 2" xfId="7127"/>
    <cellStyle name="Comma 12 11 6 2 2 2" xfId="11057"/>
    <cellStyle name="Comma 12 11 6 2 2 3" xfId="17223"/>
    <cellStyle name="Comma 12 11 6 2 2 3 2" xfId="33444"/>
    <cellStyle name="Comma 12 11 6 2 3" xfId="7128"/>
    <cellStyle name="Comma 12 11 6 2 3 2" xfId="11058"/>
    <cellStyle name="Comma 12 11 6 2 4" xfId="11056"/>
    <cellStyle name="Comma 12 11 6 2 5" xfId="15638"/>
    <cellStyle name="Comma 12 11 6 2 5 2" xfId="31860"/>
    <cellStyle name="Comma 12 11 6 3" xfId="7129"/>
    <cellStyle name="Comma 12 11 6 3 2" xfId="11059"/>
    <cellStyle name="Comma 12 11 6 3 3" xfId="16431"/>
    <cellStyle name="Comma 12 11 6 3 3 2" xfId="32652"/>
    <cellStyle name="Comma 12 11 6 4" xfId="7130"/>
    <cellStyle name="Comma 12 11 6 4 2" xfId="11060"/>
    <cellStyle name="Comma 12 11 6 5" xfId="11055"/>
    <cellStyle name="Comma 12 11 6 6" xfId="14846"/>
    <cellStyle name="Comma 12 11 6 6 2" xfId="31068"/>
    <cellStyle name="Comma 12 11 7" xfId="7131"/>
    <cellStyle name="Comma 12 11 7 2" xfId="7132"/>
    <cellStyle name="Comma 12 11 7 2 2" xfId="11062"/>
    <cellStyle name="Comma 12 11 7 2 3" xfId="16695"/>
    <cellStyle name="Comma 12 11 7 2 3 2" xfId="32916"/>
    <cellStyle name="Comma 12 11 7 3" xfId="7133"/>
    <cellStyle name="Comma 12 11 7 3 2" xfId="11063"/>
    <cellStyle name="Comma 12 11 7 4" xfId="11061"/>
    <cellStyle name="Comma 12 11 7 5" xfId="15110"/>
    <cellStyle name="Comma 12 11 7 5 2" xfId="31332"/>
    <cellStyle name="Comma 12 11 8" xfId="7134"/>
    <cellStyle name="Comma 12 11 8 2" xfId="7135"/>
    <cellStyle name="Comma 12 11 8 2 2" xfId="11065"/>
    <cellStyle name="Comma 12 11 8 3" xfId="11064"/>
    <cellStyle name="Comma 12 11 8 4" xfId="15903"/>
    <cellStyle name="Comma 12 11 8 4 2" xfId="32124"/>
    <cellStyle name="Comma 12 11 9" xfId="7136"/>
    <cellStyle name="Comma 12 11 9 2" xfId="11066"/>
    <cellStyle name="Comma 12 12" xfId="4990"/>
    <cellStyle name="Comma 12 12 2" xfId="4991"/>
    <cellStyle name="Comma 12 12 3" xfId="4992"/>
    <cellStyle name="Comma 12 13" xfId="4993"/>
    <cellStyle name="Comma 12 13 2" xfId="11067"/>
    <cellStyle name="Comma 12 13 3" xfId="7137"/>
    <cellStyle name="Comma 12 13 4" xfId="27018"/>
    <cellStyle name="Comma 12 14" xfId="7138"/>
    <cellStyle name="Comma 12 14 2" xfId="11068"/>
    <cellStyle name="Comma 12 2" xfId="4994"/>
    <cellStyle name="Comma 12 2 2" xfId="4995"/>
    <cellStyle name="Comma 12 2 3" xfId="4996"/>
    <cellStyle name="Comma 12 2 3 2" xfId="4997"/>
    <cellStyle name="Comma 12 2 3 3" xfId="4998"/>
    <cellStyle name="Comma 12 2 4" xfId="4999"/>
    <cellStyle name="Comma 12 2 4 2" xfId="11070"/>
    <cellStyle name="Comma 12 2 4 3" xfId="7139"/>
    <cellStyle name="Comma 12 2 4 4" xfId="27019"/>
    <cellStyle name="Comma 12 2 5" xfId="7140"/>
    <cellStyle name="Comma 12 2 5 2" xfId="11071"/>
    <cellStyle name="Comma 12 2 6" xfId="11069"/>
    <cellStyle name="Comma 12 3" xfId="5000"/>
    <cellStyle name="Comma 12 3 2" xfId="11072"/>
    <cellStyle name="Comma 12 4" xfId="5001"/>
    <cellStyle name="Comma 12 4 2" xfId="11073"/>
    <cellStyle name="Comma 12 5" xfId="5002"/>
    <cellStyle name="Comma 12 5 2" xfId="11074"/>
    <cellStyle name="Comma 12 6" xfId="5003"/>
    <cellStyle name="Comma 12 6 2" xfId="11075"/>
    <cellStyle name="Comma 12 7" xfId="5004"/>
    <cellStyle name="Comma 12 7 2" xfId="11076"/>
    <cellStyle name="Comma 12 8" xfId="5005"/>
    <cellStyle name="Comma 12 8 2" xfId="11077"/>
    <cellStyle name="Comma 12 9" xfId="5006"/>
    <cellStyle name="Comma 12 9 10" xfId="14316"/>
    <cellStyle name="Comma 12 9 10 2" xfId="30541"/>
    <cellStyle name="Comma 12 9 2" xfId="7141"/>
    <cellStyle name="Comma 12 9 2 10" xfId="14352"/>
    <cellStyle name="Comma 12 9 2 10 2" xfId="30574"/>
    <cellStyle name="Comma 12 9 2 2" xfId="7142"/>
    <cellStyle name="Comma 12 9 2 2 2" xfId="7143"/>
    <cellStyle name="Comma 12 9 2 2 2 2" xfId="7144"/>
    <cellStyle name="Comma 12 9 2 2 2 2 2" xfId="7145"/>
    <cellStyle name="Comma 12 9 2 2 2 2 2 2" xfId="7146"/>
    <cellStyle name="Comma 12 9 2 2 2 2 2 2 2" xfId="11083"/>
    <cellStyle name="Comma 12 9 2 2 2 2 2 2 3" xfId="17191"/>
    <cellStyle name="Comma 12 9 2 2 2 2 2 2 3 2" xfId="33412"/>
    <cellStyle name="Comma 12 9 2 2 2 2 2 3" xfId="7147"/>
    <cellStyle name="Comma 12 9 2 2 2 2 2 3 2" xfId="11084"/>
    <cellStyle name="Comma 12 9 2 2 2 2 2 4" xfId="11082"/>
    <cellStyle name="Comma 12 9 2 2 2 2 2 5" xfId="15606"/>
    <cellStyle name="Comma 12 9 2 2 2 2 2 5 2" xfId="31828"/>
    <cellStyle name="Comma 12 9 2 2 2 2 3" xfId="7148"/>
    <cellStyle name="Comma 12 9 2 2 2 2 3 2" xfId="11085"/>
    <cellStyle name="Comma 12 9 2 2 2 2 3 3" xfId="16399"/>
    <cellStyle name="Comma 12 9 2 2 2 2 3 3 2" xfId="32620"/>
    <cellStyle name="Comma 12 9 2 2 2 2 4" xfId="7149"/>
    <cellStyle name="Comma 12 9 2 2 2 2 4 2" xfId="11086"/>
    <cellStyle name="Comma 12 9 2 2 2 2 5" xfId="11081"/>
    <cellStyle name="Comma 12 9 2 2 2 2 6" xfId="14814"/>
    <cellStyle name="Comma 12 9 2 2 2 2 6 2" xfId="31036"/>
    <cellStyle name="Comma 12 9 2 2 2 3" xfId="7150"/>
    <cellStyle name="Comma 12 9 2 2 2 3 2" xfId="7151"/>
    <cellStyle name="Comma 12 9 2 2 2 3 2 2" xfId="7152"/>
    <cellStyle name="Comma 12 9 2 2 2 3 2 2 2" xfId="11089"/>
    <cellStyle name="Comma 12 9 2 2 2 3 2 2 3" xfId="17455"/>
    <cellStyle name="Comma 12 9 2 2 2 3 2 2 3 2" xfId="33676"/>
    <cellStyle name="Comma 12 9 2 2 2 3 2 3" xfId="7153"/>
    <cellStyle name="Comma 12 9 2 2 2 3 2 3 2" xfId="11090"/>
    <cellStyle name="Comma 12 9 2 2 2 3 2 4" xfId="11088"/>
    <cellStyle name="Comma 12 9 2 2 2 3 2 5" xfId="15870"/>
    <cellStyle name="Comma 12 9 2 2 2 3 2 5 2" xfId="32092"/>
    <cellStyle name="Comma 12 9 2 2 2 3 3" xfId="7154"/>
    <cellStyle name="Comma 12 9 2 2 2 3 3 2" xfId="11091"/>
    <cellStyle name="Comma 12 9 2 2 2 3 3 3" xfId="16663"/>
    <cellStyle name="Comma 12 9 2 2 2 3 3 3 2" xfId="32884"/>
    <cellStyle name="Comma 12 9 2 2 2 3 4" xfId="7155"/>
    <cellStyle name="Comma 12 9 2 2 2 3 4 2" xfId="11092"/>
    <cellStyle name="Comma 12 9 2 2 2 3 5" xfId="11087"/>
    <cellStyle name="Comma 12 9 2 2 2 3 6" xfId="15078"/>
    <cellStyle name="Comma 12 9 2 2 2 3 6 2" xfId="31300"/>
    <cellStyle name="Comma 12 9 2 2 2 4" xfId="7156"/>
    <cellStyle name="Comma 12 9 2 2 2 4 2" xfId="7157"/>
    <cellStyle name="Comma 12 9 2 2 2 4 2 2" xfId="11094"/>
    <cellStyle name="Comma 12 9 2 2 2 4 2 3" xfId="16927"/>
    <cellStyle name="Comma 12 9 2 2 2 4 2 3 2" xfId="33148"/>
    <cellStyle name="Comma 12 9 2 2 2 4 3" xfId="7158"/>
    <cellStyle name="Comma 12 9 2 2 2 4 3 2" xfId="11095"/>
    <cellStyle name="Comma 12 9 2 2 2 4 4" xfId="11093"/>
    <cellStyle name="Comma 12 9 2 2 2 4 5" xfId="15342"/>
    <cellStyle name="Comma 12 9 2 2 2 4 5 2" xfId="31564"/>
    <cellStyle name="Comma 12 9 2 2 2 5" xfId="7159"/>
    <cellStyle name="Comma 12 9 2 2 2 5 2" xfId="11096"/>
    <cellStyle name="Comma 12 9 2 2 2 5 3" xfId="16135"/>
    <cellStyle name="Comma 12 9 2 2 2 5 3 2" xfId="32356"/>
    <cellStyle name="Comma 12 9 2 2 2 6" xfId="7160"/>
    <cellStyle name="Comma 12 9 2 2 2 6 2" xfId="11097"/>
    <cellStyle name="Comma 12 9 2 2 2 7" xfId="11080"/>
    <cellStyle name="Comma 12 9 2 2 2 8" xfId="14550"/>
    <cellStyle name="Comma 12 9 2 2 2 8 2" xfId="30772"/>
    <cellStyle name="Comma 12 9 2 2 3" xfId="7161"/>
    <cellStyle name="Comma 12 9 2 2 3 2" xfId="7162"/>
    <cellStyle name="Comma 12 9 2 2 3 2 2" xfId="7163"/>
    <cellStyle name="Comma 12 9 2 2 3 2 2 2" xfId="11100"/>
    <cellStyle name="Comma 12 9 2 2 3 2 2 3" xfId="17059"/>
    <cellStyle name="Comma 12 9 2 2 3 2 2 3 2" xfId="33280"/>
    <cellStyle name="Comma 12 9 2 2 3 2 3" xfId="7164"/>
    <cellStyle name="Comma 12 9 2 2 3 2 3 2" xfId="11101"/>
    <cellStyle name="Comma 12 9 2 2 3 2 4" xfId="11099"/>
    <cellStyle name="Comma 12 9 2 2 3 2 5" xfId="15474"/>
    <cellStyle name="Comma 12 9 2 2 3 2 5 2" xfId="31696"/>
    <cellStyle name="Comma 12 9 2 2 3 3" xfId="7165"/>
    <cellStyle name="Comma 12 9 2 2 3 3 2" xfId="11102"/>
    <cellStyle name="Comma 12 9 2 2 3 3 3" xfId="16267"/>
    <cellStyle name="Comma 12 9 2 2 3 3 3 2" xfId="32488"/>
    <cellStyle name="Comma 12 9 2 2 3 4" xfId="7166"/>
    <cellStyle name="Comma 12 9 2 2 3 4 2" xfId="11103"/>
    <cellStyle name="Comma 12 9 2 2 3 5" xfId="11098"/>
    <cellStyle name="Comma 12 9 2 2 3 6" xfId="14682"/>
    <cellStyle name="Comma 12 9 2 2 3 6 2" xfId="30904"/>
    <cellStyle name="Comma 12 9 2 2 4" xfId="7167"/>
    <cellStyle name="Comma 12 9 2 2 4 2" xfId="7168"/>
    <cellStyle name="Comma 12 9 2 2 4 2 2" xfId="7169"/>
    <cellStyle name="Comma 12 9 2 2 4 2 2 2" xfId="11106"/>
    <cellStyle name="Comma 12 9 2 2 4 2 2 3" xfId="17323"/>
    <cellStyle name="Comma 12 9 2 2 4 2 2 3 2" xfId="33544"/>
    <cellStyle name="Comma 12 9 2 2 4 2 3" xfId="7170"/>
    <cellStyle name="Comma 12 9 2 2 4 2 3 2" xfId="11107"/>
    <cellStyle name="Comma 12 9 2 2 4 2 4" xfId="11105"/>
    <cellStyle name="Comma 12 9 2 2 4 2 5" xfId="15738"/>
    <cellStyle name="Comma 12 9 2 2 4 2 5 2" xfId="31960"/>
    <cellStyle name="Comma 12 9 2 2 4 3" xfId="7171"/>
    <cellStyle name="Comma 12 9 2 2 4 3 2" xfId="11108"/>
    <cellStyle name="Comma 12 9 2 2 4 3 3" xfId="16531"/>
    <cellStyle name="Comma 12 9 2 2 4 3 3 2" xfId="32752"/>
    <cellStyle name="Comma 12 9 2 2 4 4" xfId="7172"/>
    <cellStyle name="Comma 12 9 2 2 4 4 2" xfId="11109"/>
    <cellStyle name="Comma 12 9 2 2 4 5" xfId="11104"/>
    <cellStyle name="Comma 12 9 2 2 4 6" xfId="14946"/>
    <cellStyle name="Comma 12 9 2 2 4 6 2" xfId="31168"/>
    <cellStyle name="Comma 12 9 2 2 5" xfId="7173"/>
    <cellStyle name="Comma 12 9 2 2 5 2" xfId="7174"/>
    <cellStyle name="Comma 12 9 2 2 5 2 2" xfId="11111"/>
    <cellStyle name="Comma 12 9 2 2 5 2 3" xfId="16795"/>
    <cellStyle name="Comma 12 9 2 2 5 2 3 2" xfId="33016"/>
    <cellStyle name="Comma 12 9 2 2 5 3" xfId="7175"/>
    <cellStyle name="Comma 12 9 2 2 5 3 2" xfId="11112"/>
    <cellStyle name="Comma 12 9 2 2 5 4" xfId="11110"/>
    <cellStyle name="Comma 12 9 2 2 5 5" xfId="15210"/>
    <cellStyle name="Comma 12 9 2 2 5 5 2" xfId="31432"/>
    <cellStyle name="Comma 12 9 2 2 6" xfId="7176"/>
    <cellStyle name="Comma 12 9 2 2 6 2" xfId="11113"/>
    <cellStyle name="Comma 12 9 2 2 6 3" xfId="16003"/>
    <cellStyle name="Comma 12 9 2 2 6 3 2" xfId="32224"/>
    <cellStyle name="Comma 12 9 2 2 7" xfId="7177"/>
    <cellStyle name="Comma 12 9 2 2 7 2" xfId="11114"/>
    <cellStyle name="Comma 12 9 2 2 8" xfId="11079"/>
    <cellStyle name="Comma 12 9 2 2 9" xfId="14418"/>
    <cellStyle name="Comma 12 9 2 2 9 2" xfId="30640"/>
    <cellStyle name="Comma 12 9 2 3" xfId="7178"/>
    <cellStyle name="Comma 12 9 2 3 2" xfId="7179"/>
    <cellStyle name="Comma 12 9 2 3 2 2" xfId="7180"/>
    <cellStyle name="Comma 12 9 2 3 2 2 2" xfId="7181"/>
    <cellStyle name="Comma 12 9 2 3 2 2 2 2" xfId="11118"/>
    <cellStyle name="Comma 12 9 2 3 2 2 2 3" xfId="17125"/>
    <cellStyle name="Comma 12 9 2 3 2 2 2 3 2" xfId="33346"/>
    <cellStyle name="Comma 12 9 2 3 2 2 3" xfId="7182"/>
    <cellStyle name="Comma 12 9 2 3 2 2 3 2" xfId="11119"/>
    <cellStyle name="Comma 12 9 2 3 2 2 4" xfId="11117"/>
    <cellStyle name="Comma 12 9 2 3 2 2 5" xfId="15540"/>
    <cellStyle name="Comma 12 9 2 3 2 2 5 2" xfId="31762"/>
    <cellStyle name="Comma 12 9 2 3 2 3" xfId="7183"/>
    <cellStyle name="Comma 12 9 2 3 2 3 2" xfId="11120"/>
    <cellStyle name="Comma 12 9 2 3 2 3 3" xfId="16333"/>
    <cellStyle name="Comma 12 9 2 3 2 3 3 2" xfId="32554"/>
    <cellStyle name="Comma 12 9 2 3 2 4" xfId="7184"/>
    <cellStyle name="Comma 12 9 2 3 2 4 2" xfId="11121"/>
    <cellStyle name="Comma 12 9 2 3 2 5" xfId="11116"/>
    <cellStyle name="Comma 12 9 2 3 2 6" xfId="14748"/>
    <cellStyle name="Comma 12 9 2 3 2 6 2" xfId="30970"/>
    <cellStyle name="Comma 12 9 2 3 3" xfId="7185"/>
    <cellStyle name="Comma 12 9 2 3 3 2" xfId="7186"/>
    <cellStyle name="Comma 12 9 2 3 3 2 2" xfId="7187"/>
    <cellStyle name="Comma 12 9 2 3 3 2 2 2" xfId="11124"/>
    <cellStyle name="Comma 12 9 2 3 3 2 2 3" xfId="17389"/>
    <cellStyle name="Comma 12 9 2 3 3 2 2 3 2" xfId="33610"/>
    <cellStyle name="Comma 12 9 2 3 3 2 3" xfId="7188"/>
    <cellStyle name="Comma 12 9 2 3 3 2 3 2" xfId="11125"/>
    <cellStyle name="Comma 12 9 2 3 3 2 4" xfId="11123"/>
    <cellStyle name="Comma 12 9 2 3 3 2 5" xfId="15804"/>
    <cellStyle name="Comma 12 9 2 3 3 2 5 2" xfId="32026"/>
    <cellStyle name="Comma 12 9 2 3 3 3" xfId="7189"/>
    <cellStyle name="Comma 12 9 2 3 3 3 2" xfId="11126"/>
    <cellStyle name="Comma 12 9 2 3 3 3 3" xfId="16597"/>
    <cellStyle name="Comma 12 9 2 3 3 3 3 2" xfId="32818"/>
    <cellStyle name="Comma 12 9 2 3 3 4" xfId="7190"/>
    <cellStyle name="Comma 12 9 2 3 3 4 2" xfId="11127"/>
    <cellStyle name="Comma 12 9 2 3 3 5" xfId="11122"/>
    <cellStyle name="Comma 12 9 2 3 3 6" xfId="15012"/>
    <cellStyle name="Comma 12 9 2 3 3 6 2" xfId="31234"/>
    <cellStyle name="Comma 12 9 2 3 4" xfId="7191"/>
    <cellStyle name="Comma 12 9 2 3 4 2" xfId="7192"/>
    <cellStyle name="Comma 12 9 2 3 4 2 2" xfId="11129"/>
    <cellStyle name="Comma 12 9 2 3 4 2 3" xfId="16861"/>
    <cellStyle name="Comma 12 9 2 3 4 2 3 2" xfId="33082"/>
    <cellStyle name="Comma 12 9 2 3 4 3" xfId="7193"/>
    <cellStyle name="Comma 12 9 2 3 4 3 2" xfId="11130"/>
    <cellStyle name="Comma 12 9 2 3 4 4" xfId="11128"/>
    <cellStyle name="Comma 12 9 2 3 4 5" xfId="15276"/>
    <cellStyle name="Comma 12 9 2 3 4 5 2" xfId="31498"/>
    <cellStyle name="Comma 12 9 2 3 5" xfId="7194"/>
    <cellStyle name="Comma 12 9 2 3 5 2" xfId="11131"/>
    <cellStyle name="Comma 12 9 2 3 5 3" xfId="16069"/>
    <cellStyle name="Comma 12 9 2 3 5 3 2" xfId="32290"/>
    <cellStyle name="Comma 12 9 2 3 6" xfId="7195"/>
    <cellStyle name="Comma 12 9 2 3 6 2" xfId="11132"/>
    <cellStyle name="Comma 12 9 2 3 7" xfId="11115"/>
    <cellStyle name="Comma 12 9 2 3 8" xfId="14484"/>
    <cellStyle name="Comma 12 9 2 3 8 2" xfId="30706"/>
    <cellStyle name="Comma 12 9 2 4" xfId="7196"/>
    <cellStyle name="Comma 12 9 2 4 2" xfId="7197"/>
    <cellStyle name="Comma 12 9 2 4 2 2" xfId="7198"/>
    <cellStyle name="Comma 12 9 2 4 2 2 2" xfId="11135"/>
    <cellStyle name="Comma 12 9 2 4 2 2 3" xfId="16993"/>
    <cellStyle name="Comma 12 9 2 4 2 2 3 2" xfId="33214"/>
    <cellStyle name="Comma 12 9 2 4 2 3" xfId="7199"/>
    <cellStyle name="Comma 12 9 2 4 2 3 2" xfId="11136"/>
    <cellStyle name="Comma 12 9 2 4 2 4" xfId="11134"/>
    <cellStyle name="Comma 12 9 2 4 2 5" xfId="15408"/>
    <cellStyle name="Comma 12 9 2 4 2 5 2" xfId="31630"/>
    <cellStyle name="Comma 12 9 2 4 3" xfId="7200"/>
    <cellStyle name="Comma 12 9 2 4 3 2" xfId="11137"/>
    <cellStyle name="Comma 12 9 2 4 3 3" xfId="16201"/>
    <cellStyle name="Comma 12 9 2 4 3 3 2" xfId="32422"/>
    <cellStyle name="Comma 12 9 2 4 4" xfId="7201"/>
    <cellStyle name="Comma 12 9 2 4 4 2" xfId="11138"/>
    <cellStyle name="Comma 12 9 2 4 5" xfId="11133"/>
    <cellStyle name="Comma 12 9 2 4 6" xfId="14616"/>
    <cellStyle name="Comma 12 9 2 4 6 2" xfId="30838"/>
    <cellStyle name="Comma 12 9 2 5" xfId="7202"/>
    <cellStyle name="Comma 12 9 2 5 2" xfId="7203"/>
    <cellStyle name="Comma 12 9 2 5 2 2" xfId="7204"/>
    <cellStyle name="Comma 12 9 2 5 2 2 2" xfId="11141"/>
    <cellStyle name="Comma 12 9 2 5 2 2 3" xfId="17257"/>
    <cellStyle name="Comma 12 9 2 5 2 2 3 2" xfId="33478"/>
    <cellStyle name="Comma 12 9 2 5 2 3" xfId="7205"/>
    <cellStyle name="Comma 12 9 2 5 2 3 2" xfId="11142"/>
    <cellStyle name="Comma 12 9 2 5 2 4" xfId="11140"/>
    <cellStyle name="Comma 12 9 2 5 2 5" xfId="15672"/>
    <cellStyle name="Comma 12 9 2 5 2 5 2" xfId="31894"/>
    <cellStyle name="Comma 12 9 2 5 3" xfId="7206"/>
    <cellStyle name="Comma 12 9 2 5 3 2" xfId="11143"/>
    <cellStyle name="Comma 12 9 2 5 3 3" xfId="16465"/>
    <cellStyle name="Comma 12 9 2 5 3 3 2" xfId="32686"/>
    <cellStyle name="Comma 12 9 2 5 4" xfId="7207"/>
    <cellStyle name="Comma 12 9 2 5 4 2" xfId="11144"/>
    <cellStyle name="Comma 12 9 2 5 5" xfId="11139"/>
    <cellStyle name="Comma 12 9 2 5 6" xfId="14880"/>
    <cellStyle name="Comma 12 9 2 5 6 2" xfId="31102"/>
    <cellStyle name="Comma 12 9 2 6" xfId="7208"/>
    <cellStyle name="Comma 12 9 2 6 2" xfId="7209"/>
    <cellStyle name="Comma 12 9 2 6 2 2" xfId="11146"/>
    <cellStyle name="Comma 12 9 2 6 2 3" xfId="16729"/>
    <cellStyle name="Comma 12 9 2 6 2 3 2" xfId="32950"/>
    <cellStyle name="Comma 12 9 2 6 3" xfId="7210"/>
    <cellStyle name="Comma 12 9 2 6 3 2" xfId="11147"/>
    <cellStyle name="Comma 12 9 2 6 4" xfId="11145"/>
    <cellStyle name="Comma 12 9 2 6 5" xfId="15144"/>
    <cellStyle name="Comma 12 9 2 6 5 2" xfId="31366"/>
    <cellStyle name="Comma 12 9 2 7" xfId="7211"/>
    <cellStyle name="Comma 12 9 2 7 2" xfId="11148"/>
    <cellStyle name="Comma 12 9 2 7 3" xfId="15937"/>
    <cellStyle name="Comma 12 9 2 7 3 2" xfId="32158"/>
    <cellStyle name="Comma 12 9 2 8" xfId="7212"/>
    <cellStyle name="Comma 12 9 2 8 2" xfId="11149"/>
    <cellStyle name="Comma 12 9 2 9" xfId="11078"/>
    <cellStyle name="Comma 12 9 3" xfId="7213"/>
    <cellStyle name="Comma 12 9 3 2" xfId="7214"/>
    <cellStyle name="Comma 12 9 3 2 2" xfId="7215"/>
    <cellStyle name="Comma 12 9 3 2 2 2" xfId="7216"/>
    <cellStyle name="Comma 12 9 3 2 2 2 2" xfId="7217"/>
    <cellStyle name="Comma 12 9 3 2 2 2 2 2" xfId="11154"/>
    <cellStyle name="Comma 12 9 3 2 2 2 2 3" xfId="17158"/>
    <cellStyle name="Comma 12 9 3 2 2 2 2 3 2" xfId="33379"/>
    <cellStyle name="Comma 12 9 3 2 2 2 3" xfId="7218"/>
    <cellStyle name="Comma 12 9 3 2 2 2 3 2" xfId="11155"/>
    <cellStyle name="Comma 12 9 3 2 2 2 4" xfId="11153"/>
    <cellStyle name="Comma 12 9 3 2 2 2 5" xfId="15573"/>
    <cellStyle name="Comma 12 9 3 2 2 2 5 2" xfId="31795"/>
    <cellStyle name="Comma 12 9 3 2 2 3" xfId="7219"/>
    <cellStyle name="Comma 12 9 3 2 2 3 2" xfId="11156"/>
    <cellStyle name="Comma 12 9 3 2 2 3 3" xfId="16366"/>
    <cellStyle name="Comma 12 9 3 2 2 3 3 2" xfId="32587"/>
    <cellStyle name="Comma 12 9 3 2 2 4" xfId="7220"/>
    <cellStyle name="Comma 12 9 3 2 2 4 2" xfId="11157"/>
    <cellStyle name="Comma 12 9 3 2 2 5" xfId="11152"/>
    <cellStyle name="Comma 12 9 3 2 2 6" xfId="14781"/>
    <cellStyle name="Comma 12 9 3 2 2 6 2" xfId="31003"/>
    <cellStyle name="Comma 12 9 3 2 3" xfId="7221"/>
    <cellStyle name="Comma 12 9 3 2 3 2" xfId="7222"/>
    <cellStyle name="Comma 12 9 3 2 3 2 2" xfId="7223"/>
    <cellStyle name="Comma 12 9 3 2 3 2 2 2" xfId="11160"/>
    <cellStyle name="Comma 12 9 3 2 3 2 2 3" xfId="17422"/>
    <cellStyle name="Comma 12 9 3 2 3 2 2 3 2" xfId="33643"/>
    <cellStyle name="Comma 12 9 3 2 3 2 3" xfId="7224"/>
    <cellStyle name="Comma 12 9 3 2 3 2 3 2" xfId="11161"/>
    <cellStyle name="Comma 12 9 3 2 3 2 4" xfId="11159"/>
    <cellStyle name="Comma 12 9 3 2 3 2 5" xfId="15837"/>
    <cellStyle name="Comma 12 9 3 2 3 2 5 2" xfId="32059"/>
    <cellStyle name="Comma 12 9 3 2 3 3" xfId="7225"/>
    <cellStyle name="Comma 12 9 3 2 3 3 2" xfId="11162"/>
    <cellStyle name="Comma 12 9 3 2 3 3 3" xfId="16630"/>
    <cellStyle name="Comma 12 9 3 2 3 3 3 2" xfId="32851"/>
    <cellStyle name="Comma 12 9 3 2 3 4" xfId="7226"/>
    <cellStyle name="Comma 12 9 3 2 3 4 2" xfId="11163"/>
    <cellStyle name="Comma 12 9 3 2 3 5" xfId="11158"/>
    <cellStyle name="Comma 12 9 3 2 3 6" xfId="15045"/>
    <cellStyle name="Comma 12 9 3 2 3 6 2" xfId="31267"/>
    <cellStyle name="Comma 12 9 3 2 4" xfId="7227"/>
    <cellStyle name="Comma 12 9 3 2 4 2" xfId="7228"/>
    <cellStyle name="Comma 12 9 3 2 4 2 2" xfId="11165"/>
    <cellStyle name="Comma 12 9 3 2 4 2 3" xfId="16894"/>
    <cellStyle name="Comma 12 9 3 2 4 2 3 2" xfId="33115"/>
    <cellStyle name="Comma 12 9 3 2 4 3" xfId="7229"/>
    <cellStyle name="Comma 12 9 3 2 4 3 2" xfId="11166"/>
    <cellStyle name="Comma 12 9 3 2 4 4" xfId="11164"/>
    <cellStyle name="Comma 12 9 3 2 4 5" xfId="15309"/>
    <cellStyle name="Comma 12 9 3 2 4 5 2" xfId="31531"/>
    <cellStyle name="Comma 12 9 3 2 5" xfId="7230"/>
    <cellStyle name="Comma 12 9 3 2 5 2" xfId="11167"/>
    <cellStyle name="Comma 12 9 3 2 5 3" xfId="16102"/>
    <cellStyle name="Comma 12 9 3 2 5 3 2" xfId="32323"/>
    <cellStyle name="Comma 12 9 3 2 6" xfId="7231"/>
    <cellStyle name="Comma 12 9 3 2 6 2" xfId="11168"/>
    <cellStyle name="Comma 12 9 3 2 7" xfId="11151"/>
    <cellStyle name="Comma 12 9 3 2 8" xfId="14517"/>
    <cellStyle name="Comma 12 9 3 2 8 2" xfId="30739"/>
    <cellStyle name="Comma 12 9 3 3" xfId="7232"/>
    <cellStyle name="Comma 12 9 3 3 2" xfId="7233"/>
    <cellStyle name="Comma 12 9 3 3 2 2" xfId="7234"/>
    <cellStyle name="Comma 12 9 3 3 2 2 2" xfId="11171"/>
    <cellStyle name="Comma 12 9 3 3 2 2 3" xfId="17026"/>
    <cellStyle name="Comma 12 9 3 3 2 2 3 2" xfId="33247"/>
    <cellStyle name="Comma 12 9 3 3 2 3" xfId="7235"/>
    <cellStyle name="Comma 12 9 3 3 2 3 2" xfId="11172"/>
    <cellStyle name="Comma 12 9 3 3 2 4" xfId="11170"/>
    <cellStyle name="Comma 12 9 3 3 2 5" xfId="15441"/>
    <cellStyle name="Comma 12 9 3 3 2 5 2" xfId="31663"/>
    <cellStyle name="Comma 12 9 3 3 3" xfId="7236"/>
    <cellStyle name="Comma 12 9 3 3 3 2" xfId="11173"/>
    <cellStyle name="Comma 12 9 3 3 3 3" xfId="16234"/>
    <cellStyle name="Comma 12 9 3 3 3 3 2" xfId="32455"/>
    <cellStyle name="Comma 12 9 3 3 4" xfId="7237"/>
    <cellStyle name="Comma 12 9 3 3 4 2" xfId="11174"/>
    <cellStyle name="Comma 12 9 3 3 5" xfId="11169"/>
    <cellStyle name="Comma 12 9 3 3 6" xfId="14649"/>
    <cellStyle name="Comma 12 9 3 3 6 2" xfId="30871"/>
    <cellStyle name="Comma 12 9 3 4" xfId="7238"/>
    <cellStyle name="Comma 12 9 3 4 2" xfId="7239"/>
    <cellStyle name="Comma 12 9 3 4 2 2" xfId="7240"/>
    <cellStyle name="Comma 12 9 3 4 2 2 2" xfId="11177"/>
    <cellStyle name="Comma 12 9 3 4 2 2 3" xfId="17290"/>
    <cellStyle name="Comma 12 9 3 4 2 2 3 2" xfId="33511"/>
    <cellStyle name="Comma 12 9 3 4 2 3" xfId="7241"/>
    <cellStyle name="Comma 12 9 3 4 2 3 2" xfId="11178"/>
    <cellStyle name="Comma 12 9 3 4 2 4" xfId="11176"/>
    <cellStyle name="Comma 12 9 3 4 2 5" xfId="15705"/>
    <cellStyle name="Comma 12 9 3 4 2 5 2" xfId="31927"/>
    <cellStyle name="Comma 12 9 3 4 3" xfId="7242"/>
    <cellStyle name="Comma 12 9 3 4 3 2" xfId="11179"/>
    <cellStyle name="Comma 12 9 3 4 3 3" xfId="16498"/>
    <cellStyle name="Comma 12 9 3 4 3 3 2" xfId="32719"/>
    <cellStyle name="Comma 12 9 3 4 4" xfId="7243"/>
    <cellStyle name="Comma 12 9 3 4 4 2" xfId="11180"/>
    <cellStyle name="Comma 12 9 3 4 5" xfId="11175"/>
    <cellStyle name="Comma 12 9 3 4 6" xfId="14913"/>
    <cellStyle name="Comma 12 9 3 4 6 2" xfId="31135"/>
    <cellStyle name="Comma 12 9 3 5" xfId="7244"/>
    <cellStyle name="Comma 12 9 3 5 2" xfId="7245"/>
    <cellStyle name="Comma 12 9 3 5 2 2" xfId="11182"/>
    <cellStyle name="Comma 12 9 3 5 2 3" xfId="16762"/>
    <cellStyle name="Comma 12 9 3 5 2 3 2" xfId="32983"/>
    <cellStyle name="Comma 12 9 3 5 3" xfId="7246"/>
    <cellStyle name="Comma 12 9 3 5 3 2" xfId="11183"/>
    <cellStyle name="Comma 12 9 3 5 4" xfId="11181"/>
    <cellStyle name="Comma 12 9 3 5 5" xfId="15177"/>
    <cellStyle name="Comma 12 9 3 5 5 2" xfId="31399"/>
    <cellStyle name="Comma 12 9 3 6" xfId="7247"/>
    <cellStyle name="Comma 12 9 3 6 2" xfId="11184"/>
    <cellStyle name="Comma 12 9 3 6 3" xfId="15970"/>
    <cellStyle name="Comma 12 9 3 6 3 2" xfId="32191"/>
    <cellStyle name="Comma 12 9 3 7" xfId="7248"/>
    <cellStyle name="Comma 12 9 3 7 2" xfId="11185"/>
    <cellStyle name="Comma 12 9 3 8" xfId="11150"/>
    <cellStyle name="Comma 12 9 3 9" xfId="14385"/>
    <cellStyle name="Comma 12 9 3 9 2" xfId="30607"/>
    <cellStyle name="Comma 12 9 4" xfId="7249"/>
    <cellStyle name="Comma 12 9 4 2" xfId="7250"/>
    <cellStyle name="Comma 12 9 4 2 2" xfId="7251"/>
    <cellStyle name="Comma 12 9 4 2 2 2" xfId="7252"/>
    <cellStyle name="Comma 12 9 4 2 2 2 2" xfId="11189"/>
    <cellStyle name="Comma 12 9 4 2 2 2 3" xfId="17092"/>
    <cellStyle name="Comma 12 9 4 2 2 2 3 2" xfId="33313"/>
    <cellStyle name="Comma 12 9 4 2 2 3" xfId="7253"/>
    <cellStyle name="Comma 12 9 4 2 2 3 2" xfId="11190"/>
    <cellStyle name="Comma 12 9 4 2 2 4" xfId="11188"/>
    <cellStyle name="Comma 12 9 4 2 2 5" xfId="15507"/>
    <cellStyle name="Comma 12 9 4 2 2 5 2" xfId="31729"/>
    <cellStyle name="Comma 12 9 4 2 3" xfId="7254"/>
    <cellStyle name="Comma 12 9 4 2 3 2" xfId="11191"/>
    <cellStyle name="Comma 12 9 4 2 3 3" xfId="16300"/>
    <cellStyle name="Comma 12 9 4 2 3 3 2" xfId="32521"/>
    <cellStyle name="Comma 12 9 4 2 4" xfId="7255"/>
    <cellStyle name="Comma 12 9 4 2 4 2" xfId="11192"/>
    <cellStyle name="Comma 12 9 4 2 5" xfId="11187"/>
    <cellStyle name="Comma 12 9 4 2 6" xfId="14715"/>
    <cellStyle name="Comma 12 9 4 2 6 2" xfId="30937"/>
    <cellStyle name="Comma 12 9 4 3" xfId="7256"/>
    <cellStyle name="Comma 12 9 4 3 2" xfId="7257"/>
    <cellStyle name="Comma 12 9 4 3 2 2" xfId="7258"/>
    <cellStyle name="Comma 12 9 4 3 2 2 2" xfId="11195"/>
    <cellStyle name="Comma 12 9 4 3 2 2 3" xfId="17356"/>
    <cellStyle name="Comma 12 9 4 3 2 2 3 2" xfId="33577"/>
    <cellStyle name="Comma 12 9 4 3 2 3" xfId="7259"/>
    <cellStyle name="Comma 12 9 4 3 2 3 2" xfId="11196"/>
    <cellStyle name="Comma 12 9 4 3 2 4" xfId="11194"/>
    <cellStyle name="Comma 12 9 4 3 2 5" xfId="15771"/>
    <cellStyle name="Comma 12 9 4 3 2 5 2" xfId="31993"/>
    <cellStyle name="Comma 12 9 4 3 3" xfId="7260"/>
    <cellStyle name="Comma 12 9 4 3 3 2" xfId="11197"/>
    <cellStyle name="Comma 12 9 4 3 3 3" xfId="16564"/>
    <cellStyle name="Comma 12 9 4 3 3 3 2" xfId="32785"/>
    <cellStyle name="Comma 12 9 4 3 4" xfId="7261"/>
    <cellStyle name="Comma 12 9 4 3 4 2" xfId="11198"/>
    <cellStyle name="Comma 12 9 4 3 5" xfId="11193"/>
    <cellStyle name="Comma 12 9 4 3 6" xfId="14979"/>
    <cellStyle name="Comma 12 9 4 3 6 2" xfId="31201"/>
    <cellStyle name="Comma 12 9 4 4" xfId="7262"/>
    <cellStyle name="Comma 12 9 4 4 2" xfId="7263"/>
    <cellStyle name="Comma 12 9 4 4 2 2" xfId="11200"/>
    <cellStyle name="Comma 12 9 4 4 2 3" xfId="16828"/>
    <cellStyle name="Comma 12 9 4 4 2 3 2" xfId="33049"/>
    <cellStyle name="Comma 12 9 4 4 3" xfId="7264"/>
    <cellStyle name="Comma 12 9 4 4 3 2" xfId="11201"/>
    <cellStyle name="Comma 12 9 4 4 4" xfId="11199"/>
    <cellStyle name="Comma 12 9 4 4 5" xfId="15243"/>
    <cellStyle name="Comma 12 9 4 4 5 2" xfId="31465"/>
    <cellStyle name="Comma 12 9 4 5" xfId="7265"/>
    <cellStyle name="Comma 12 9 4 5 2" xfId="11202"/>
    <cellStyle name="Comma 12 9 4 5 3" xfId="16036"/>
    <cellStyle name="Comma 12 9 4 5 3 2" xfId="32257"/>
    <cellStyle name="Comma 12 9 4 6" xfId="7266"/>
    <cellStyle name="Comma 12 9 4 6 2" xfId="11203"/>
    <cellStyle name="Comma 12 9 4 7" xfId="11186"/>
    <cellStyle name="Comma 12 9 4 8" xfId="14451"/>
    <cellStyle name="Comma 12 9 4 8 2" xfId="30673"/>
    <cellStyle name="Comma 12 9 5" xfId="7267"/>
    <cellStyle name="Comma 12 9 5 2" xfId="7268"/>
    <cellStyle name="Comma 12 9 5 2 2" xfId="7269"/>
    <cellStyle name="Comma 12 9 5 2 2 2" xfId="11206"/>
    <cellStyle name="Comma 12 9 5 2 2 3" xfId="16960"/>
    <cellStyle name="Comma 12 9 5 2 2 3 2" xfId="33181"/>
    <cellStyle name="Comma 12 9 5 2 3" xfId="7270"/>
    <cellStyle name="Comma 12 9 5 2 3 2" xfId="11207"/>
    <cellStyle name="Comma 12 9 5 2 4" xfId="11205"/>
    <cellStyle name="Comma 12 9 5 2 5" xfId="15375"/>
    <cellStyle name="Comma 12 9 5 2 5 2" xfId="31597"/>
    <cellStyle name="Comma 12 9 5 3" xfId="7271"/>
    <cellStyle name="Comma 12 9 5 3 2" xfId="11208"/>
    <cellStyle name="Comma 12 9 5 3 3" xfId="16168"/>
    <cellStyle name="Comma 12 9 5 3 3 2" xfId="32389"/>
    <cellStyle name="Comma 12 9 5 4" xfId="7272"/>
    <cellStyle name="Comma 12 9 5 4 2" xfId="11209"/>
    <cellStyle name="Comma 12 9 5 5" xfId="11204"/>
    <cellStyle name="Comma 12 9 5 6" xfId="14583"/>
    <cellStyle name="Comma 12 9 5 6 2" xfId="30805"/>
    <cellStyle name="Comma 12 9 6" xfId="7273"/>
    <cellStyle name="Comma 12 9 6 2" xfId="7274"/>
    <cellStyle name="Comma 12 9 6 2 2" xfId="7275"/>
    <cellStyle name="Comma 12 9 6 2 2 2" xfId="11212"/>
    <cellStyle name="Comma 12 9 6 2 2 3" xfId="17224"/>
    <cellStyle name="Comma 12 9 6 2 2 3 2" xfId="33445"/>
    <cellStyle name="Comma 12 9 6 2 3" xfId="7276"/>
    <cellStyle name="Comma 12 9 6 2 3 2" xfId="11213"/>
    <cellStyle name="Comma 12 9 6 2 4" xfId="11211"/>
    <cellStyle name="Comma 12 9 6 2 5" xfId="15639"/>
    <cellStyle name="Comma 12 9 6 2 5 2" xfId="31861"/>
    <cellStyle name="Comma 12 9 6 3" xfId="7277"/>
    <cellStyle name="Comma 12 9 6 3 2" xfId="11214"/>
    <cellStyle name="Comma 12 9 6 3 3" xfId="16432"/>
    <cellStyle name="Comma 12 9 6 3 3 2" xfId="32653"/>
    <cellStyle name="Comma 12 9 6 4" xfId="7278"/>
    <cellStyle name="Comma 12 9 6 4 2" xfId="11215"/>
    <cellStyle name="Comma 12 9 6 5" xfId="11210"/>
    <cellStyle name="Comma 12 9 6 6" xfId="14847"/>
    <cellStyle name="Comma 12 9 6 6 2" xfId="31069"/>
    <cellStyle name="Comma 12 9 7" xfId="7279"/>
    <cellStyle name="Comma 12 9 7 2" xfId="7280"/>
    <cellStyle name="Comma 12 9 7 2 2" xfId="11217"/>
    <cellStyle name="Comma 12 9 7 2 3" xfId="16696"/>
    <cellStyle name="Comma 12 9 7 2 3 2" xfId="32917"/>
    <cellStyle name="Comma 12 9 7 3" xfId="7281"/>
    <cellStyle name="Comma 12 9 7 3 2" xfId="11218"/>
    <cellStyle name="Comma 12 9 7 4" xfId="11216"/>
    <cellStyle name="Comma 12 9 7 5" xfId="15111"/>
    <cellStyle name="Comma 12 9 7 5 2" xfId="31333"/>
    <cellStyle name="Comma 12 9 8" xfId="7282"/>
    <cellStyle name="Comma 12 9 8 2" xfId="7283"/>
    <cellStyle name="Comma 12 9 8 2 2" xfId="11220"/>
    <cellStyle name="Comma 12 9 8 3" xfId="11219"/>
    <cellStyle name="Comma 12 9 8 4" xfId="15904"/>
    <cellStyle name="Comma 12 9 8 4 2" xfId="32125"/>
    <cellStyle name="Comma 12 9 9" xfId="7284"/>
    <cellStyle name="Comma 12 9 9 2" xfId="11221"/>
    <cellStyle name="Comma 13" xfId="14239"/>
    <cellStyle name="Comma 13 2" xfId="5007"/>
    <cellStyle name="Comma 13 2 2" xfId="11222"/>
    <cellStyle name="Comma 13 3" xfId="5008"/>
    <cellStyle name="Comma 13 3 2" xfId="11223"/>
    <cellStyle name="Comma 13 4" xfId="5009"/>
    <cellStyle name="Comma 13 4 2" xfId="11224"/>
    <cellStyle name="Comma 13 5" xfId="5010"/>
    <cellStyle name="Comma 13 5 2" xfId="11225"/>
    <cellStyle name="Comma 13 6" xfId="5011"/>
    <cellStyle name="Comma 13 6 2" xfId="11226"/>
    <cellStyle name="Comma 14" xfId="20983"/>
    <cellStyle name="Comma 14 2" xfId="5012"/>
    <cellStyle name="Comma 14 2 2" xfId="11227"/>
    <cellStyle name="Comma 14 3" xfId="5013"/>
    <cellStyle name="Comma 14 3 2" xfId="11228"/>
    <cellStyle name="Comma 14 4" xfId="5014"/>
    <cellStyle name="Comma 14 4 2" xfId="11229"/>
    <cellStyle name="Comma 14 5" xfId="5015"/>
    <cellStyle name="Comma 14 5 2" xfId="11230"/>
    <cellStyle name="Comma 14 6" xfId="5016"/>
    <cellStyle name="Comma 14 6 2" xfId="11231"/>
    <cellStyle name="Comma 15 2" xfId="5017"/>
    <cellStyle name="Comma 15 2 2" xfId="11232"/>
    <cellStyle name="Comma 15 3" xfId="5018"/>
    <cellStyle name="Comma 15 3 2" xfId="11233"/>
    <cellStyle name="Comma 15 4" xfId="5019"/>
    <cellStyle name="Comma 15 4 2" xfId="11234"/>
    <cellStyle name="Comma 15 5" xfId="5020"/>
    <cellStyle name="Comma 15 5 2" xfId="11235"/>
    <cellStyle name="Comma 15 6" xfId="5021"/>
    <cellStyle name="Comma 15 6 2" xfId="11236"/>
    <cellStyle name="Comma 15 7" xfId="5022"/>
    <cellStyle name="Comma 15 7 2" xfId="5023"/>
    <cellStyle name="Comma 15 7 2 2" xfId="11238"/>
    <cellStyle name="Comma 15 7 3" xfId="11237"/>
    <cellStyle name="Comma 16" xfId="39609"/>
    <cellStyle name="Comma 16 2" xfId="5024"/>
    <cellStyle name="Comma 16 2 2" xfId="11239"/>
    <cellStyle name="Comma 16 3" xfId="5025"/>
    <cellStyle name="Comma 16 3 2" xfId="11240"/>
    <cellStyle name="Comma 16 4" xfId="5026"/>
    <cellStyle name="Comma 16 4 2" xfId="11241"/>
    <cellStyle name="Comma 16 5" xfId="5027"/>
    <cellStyle name="Comma 16 5 2" xfId="11242"/>
    <cellStyle name="Comma 16 6" xfId="5028"/>
    <cellStyle name="Comma 16 6 2" xfId="11243"/>
    <cellStyle name="Comma 2" xfId="67"/>
    <cellStyle name="Comma 2 10" xfId="727"/>
    <cellStyle name="Comma 2 10 2" xfId="2226"/>
    <cellStyle name="Comma 2 10 2 2" xfId="11245"/>
    <cellStyle name="Comma 2 10 2 3" xfId="24394"/>
    <cellStyle name="Comma 2 10 2 4" xfId="39010"/>
    <cellStyle name="Comma 2 10 3" xfId="3725"/>
    <cellStyle name="Comma 2 10 3 2" xfId="25892"/>
    <cellStyle name="Comma 2 10 3 3" xfId="39144"/>
    <cellStyle name="Comma 2 10 4" xfId="5029"/>
    <cellStyle name="Comma 2 10 4 2" xfId="39292"/>
    <cellStyle name="Comma 2 10 5" xfId="21398"/>
    <cellStyle name="Comma 2 10 5 2" xfId="37610"/>
    <cellStyle name="Comma 2 10 5 3" xfId="39441"/>
    <cellStyle name="Comma 2 10 6" xfId="22896"/>
    <cellStyle name="Comma 2 10 7" xfId="38862"/>
    <cellStyle name="Comma 2 11" xfId="1078"/>
    <cellStyle name="Comma 2 11 2" xfId="2577"/>
    <cellStyle name="Comma 2 11 2 2" xfId="11246"/>
    <cellStyle name="Comma 2 11 2 3" xfId="24745"/>
    <cellStyle name="Comma 2 11 2 4" xfId="39487"/>
    <cellStyle name="Comma 2 11 3" xfId="4076"/>
    <cellStyle name="Comma 2 11 3 2" xfId="26243"/>
    <cellStyle name="Comma 2 11 4" xfId="5030"/>
    <cellStyle name="Comma 2 11 5" xfId="21749"/>
    <cellStyle name="Comma 2 11 5 2" xfId="37961"/>
    <cellStyle name="Comma 2 11 6" xfId="23247"/>
    <cellStyle name="Comma 2 11 7" xfId="38914"/>
    <cellStyle name="Comma 2 12" xfId="1429"/>
    <cellStyle name="Comma 2 12 2" xfId="2928"/>
    <cellStyle name="Comma 2 12 2 2" xfId="11247"/>
    <cellStyle name="Comma 2 12 2 3" xfId="25096"/>
    <cellStyle name="Comma 2 12 3" xfId="4427"/>
    <cellStyle name="Comma 2 12 3 2" xfId="26594"/>
    <cellStyle name="Comma 2 12 4" xfId="5031"/>
    <cellStyle name="Comma 2 12 5" xfId="22100"/>
    <cellStyle name="Comma 2 12 5 2" xfId="38312"/>
    <cellStyle name="Comma 2 12 6" xfId="23598"/>
    <cellStyle name="Comma 2 12 7" xfId="39040"/>
    <cellStyle name="Comma 2 13" xfId="311"/>
    <cellStyle name="Comma 2 13 2" xfId="1847"/>
    <cellStyle name="Comma 2 13 2 2" xfId="11248"/>
    <cellStyle name="Comma 2 13 2 3" xfId="24015"/>
    <cellStyle name="Comma 2 13 3" xfId="3346"/>
    <cellStyle name="Comma 2 13 3 2" xfId="25513"/>
    <cellStyle name="Comma 2 13 4" xfId="5032"/>
    <cellStyle name="Comma 2 13 5" xfId="21019"/>
    <cellStyle name="Comma 2 13 5 2" xfId="37231"/>
    <cellStyle name="Comma 2 13 6" xfId="22517"/>
    <cellStyle name="Comma 2 13 7" xfId="39188"/>
    <cellStyle name="Comma 2 14" xfId="1784"/>
    <cellStyle name="Comma 2 14 2" xfId="3283"/>
    <cellStyle name="Comma 2 14 2 2" xfId="11249"/>
    <cellStyle name="Comma 2 14 2 3" xfId="25450"/>
    <cellStyle name="Comma 2 14 3" xfId="4781"/>
    <cellStyle name="Comma 2 14 3 2" xfId="26948"/>
    <cellStyle name="Comma 2 14 4" xfId="5033"/>
    <cellStyle name="Comma 2 14 5" xfId="22454"/>
    <cellStyle name="Comma 2 14 5 2" xfId="38666"/>
    <cellStyle name="Comma 2 14 6" xfId="23952"/>
    <cellStyle name="Comma 2 14 7" xfId="39337"/>
    <cellStyle name="Comma 2 15" xfId="1819"/>
    <cellStyle name="Comma 2 15 2" xfId="11250"/>
    <cellStyle name="Comma 2 15 3" xfId="5034"/>
    <cellStyle name="Comma 2 15 4" xfId="23987"/>
    <cellStyle name="Comma 2 16" xfId="3318"/>
    <cellStyle name="Comma 2 16 2" xfId="11251"/>
    <cellStyle name="Comma 2 16 3" xfId="5035"/>
    <cellStyle name="Comma 2 16 4" xfId="25485"/>
    <cellStyle name="Comma 2 17" xfId="5036"/>
    <cellStyle name="Comma 2 17 2" xfId="11252"/>
    <cellStyle name="Comma 2 18" xfId="5037"/>
    <cellStyle name="Comma 2 18 2" xfId="11253"/>
    <cellStyle name="Comma 2 19" xfId="5038"/>
    <cellStyle name="Comma 2 19 2" xfId="11254"/>
    <cellStyle name="Comma 2 2" xfId="68"/>
    <cellStyle name="Comma 2 2 10" xfId="1079"/>
    <cellStyle name="Comma 2 2 10 2" xfId="2578"/>
    <cellStyle name="Comma 2 2 10 2 2" xfId="24746"/>
    <cellStyle name="Comma 2 2 10 3" xfId="4077"/>
    <cellStyle name="Comma 2 2 10 3 2" xfId="26244"/>
    <cellStyle name="Comma 2 2 10 4" xfId="21750"/>
    <cellStyle name="Comma 2 2 10 4 2" xfId="37962"/>
    <cellStyle name="Comma 2 2 10 5" xfId="23248"/>
    <cellStyle name="Comma 2 2 10 6" xfId="39190"/>
    <cellStyle name="Comma 2 2 11" xfId="1430"/>
    <cellStyle name="Comma 2 2 11 2" xfId="2929"/>
    <cellStyle name="Comma 2 2 11 2 2" xfId="25097"/>
    <cellStyle name="Comma 2 2 11 3" xfId="4428"/>
    <cellStyle name="Comma 2 2 11 3 2" xfId="26595"/>
    <cellStyle name="Comma 2 2 11 4" xfId="22101"/>
    <cellStyle name="Comma 2 2 11 4 2" xfId="38313"/>
    <cellStyle name="Comma 2 2 11 5" xfId="23599"/>
    <cellStyle name="Comma 2 2 11 6" xfId="39339"/>
    <cellStyle name="Comma 2 2 12" xfId="312"/>
    <cellStyle name="Comma 2 2 12 2" xfId="1848"/>
    <cellStyle name="Comma 2 2 12 2 2" xfId="24016"/>
    <cellStyle name="Comma 2 2 12 3" xfId="3347"/>
    <cellStyle name="Comma 2 2 12 3 2" xfId="25514"/>
    <cellStyle name="Comma 2 2 12 4" xfId="21020"/>
    <cellStyle name="Comma 2 2 12 4 2" xfId="37232"/>
    <cellStyle name="Comma 2 2 12 5" xfId="22518"/>
    <cellStyle name="Comma 2 2 13" xfId="1820"/>
    <cellStyle name="Comma 2 2 13 2" xfId="23988"/>
    <cellStyle name="Comma 2 2 14" xfId="3319"/>
    <cellStyle name="Comma 2 2 14 2" xfId="25486"/>
    <cellStyle name="Comma 2 2 15" xfId="20992"/>
    <cellStyle name="Comma 2 2 15 2" xfId="37204"/>
    <cellStyle name="Comma 2 2 16" xfId="22490"/>
    <cellStyle name="Comma 2 2 17" xfId="38712"/>
    <cellStyle name="Comma 2 2 18" xfId="271"/>
    <cellStyle name="Comma 2 2 2" xfId="69"/>
    <cellStyle name="Comma 2 2 2 10" xfId="1824"/>
    <cellStyle name="Comma 2 2 2 10 2" xfId="23992"/>
    <cellStyle name="Comma 2 2 2 11" xfId="3323"/>
    <cellStyle name="Comma 2 2 2 11 2" xfId="25490"/>
    <cellStyle name="Comma 2 2 2 12" xfId="20996"/>
    <cellStyle name="Comma 2 2 2 12 2" xfId="37208"/>
    <cellStyle name="Comma 2 2 2 13" xfId="22494"/>
    <cellStyle name="Comma 2 2 2 14" xfId="38716"/>
    <cellStyle name="Comma 2 2 2 15" xfId="287"/>
    <cellStyle name="Comma 2 2 2 2" xfId="398"/>
    <cellStyle name="Comma 2 2 2 2 2" xfId="38756"/>
    <cellStyle name="Comma 2 2 2 2 3" xfId="38844"/>
    <cellStyle name="Comma 2 2 2 2 4" xfId="38884"/>
    <cellStyle name="Comma 2 2 2 2 5" xfId="38936"/>
    <cellStyle name="Comma 2 2 2 2 6" xfId="39062"/>
    <cellStyle name="Comma 2 2 2 2 7" xfId="39210"/>
    <cellStyle name="Comma 2 2 2 2 8" xfId="39359"/>
    <cellStyle name="Comma 2 2 2 2 9" xfId="38724"/>
    <cellStyle name="Comma 2 2 2 3" xfId="496"/>
    <cellStyle name="Comma 2 2 2 3 2" xfId="849"/>
    <cellStyle name="Comma 2 2 2 3 2 2" xfId="2348"/>
    <cellStyle name="Comma 2 2 2 3 2 2 2" xfId="24516"/>
    <cellStyle name="Comma 2 2 2 3 2 3" xfId="3847"/>
    <cellStyle name="Comma 2 2 2 3 2 3 2" xfId="26014"/>
    <cellStyle name="Comma 2 2 2 3 2 4" xfId="21520"/>
    <cellStyle name="Comma 2 2 2 3 2 4 2" xfId="37732"/>
    <cellStyle name="Comma 2 2 2 3 2 5" xfId="23018"/>
    <cellStyle name="Comma 2 2 2 3 2 6" xfId="39496"/>
    <cellStyle name="Comma 2 2 2 3 3" xfId="1200"/>
    <cellStyle name="Comma 2 2 2 3 3 2" xfId="2699"/>
    <cellStyle name="Comma 2 2 2 3 3 2 2" xfId="24867"/>
    <cellStyle name="Comma 2 2 2 3 3 3" xfId="4198"/>
    <cellStyle name="Comma 2 2 2 3 3 3 2" xfId="26365"/>
    <cellStyle name="Comma 2 2 2 3 3 4" xfId="21871"/>
    <cellStyle name="Comma 2 2 2 3 3 4 2" xfId="38083"/>
    <cellStyle name="Comma 2 2 2 3 3 5" xfId="23369"/>
    <cellStyle name="Comma 2 2 2 3 4" xfId="1551"/>
    <cellStyle name="Comma 2 2 2 3 4 2" xfId="3050"/>
    <cellStyle name="Comma 2 2 2 3 4 2 2" xfId="25218"/>
    <cellStyle name="Comma 2 2 2 3 4 3" xfId="4549"/>
    <cellStyle name="Comma 2 2 2 3 4 3 2" xfId="26716"/>
    <cellStyle name="Comma 2 2 2 3 4 4" xfId="22222"/>
    <cellStyle name="Comma 2 2 2 3 4 4 2" xfId="38434"/>
    <cellStyle name="Comma 2 2 2 3 4 5" xfId="23720"/>
    <cellStyle name="Comma 2 2 2 3 5" xfId="1997"/>
    <cellStyle name="Comma 2 2 2 3 5 2" xfId="24165"/>
    <cellStyle name="Comma 2 2 2 3 6" xfId="3496"/>
    <cellStyle name="Comma 2 2 2 3 6 2" xfId="25663"/>
    <cellStyle name="Comma 2 2 2 3 7" xfId="21169"/>
    <cellStyle name="Comma 2 2 2 3 7 2" xfId="37381"/>
    <cellStyle name="Comma 2 2 2 3 8" xfId="22667"/>
    <cellStyle name="Comma 2 2 2 3 9" xfId="38742"/>
    <cellStyle name="Comma 2 2 2 4" xfId="614"/>
    <cellStyle name="Comma 2 2 2 4 2" xfId="966"/>
    <cellStyle name="Comma 2 2 2 4 2 2" xfId="2465"/>
    <cellStyle name="Comma 2 2 2 4 2 2 2" xfId="24633"/>
    <cellStyle name="Comma 2 2 2 4 2 3" xfId="3964"/>
    <cellStyle name="Comma 2 2 2 4 2 3 2" xfId="26131"/>
    <cellStyle name="Comma 2 2 2 4 2 4" xfId="21637"/>
    <cellStyle name="Comma 2 2 2 4 2 4 2" xfId="37849"/>
    <cellStyle name="Comma 2 2 2 4 2 5" xfId="23135"/>
    <cellStyle name="Comma 2 2 2 4 3" xfId="1317"/>
    <cellStyle name="Comma 2 2 2 4 3 2" xfId="2816"/>
    <cellStyle name="Comma 2 2 2 4 3 2 2" xfId="24984"/>
    <cellStyle name="Comma 2 2 2 4 3 3" xfId="4315"/>
    <cellStyle name="Comma 2 2 2 4 3 3 2" xfId="26482"/>
    <cellStyle name="Comma 2 2 2 4 3 4" xfId="21988"/>
    <cellStyle name="Comma 2 2 2 4 3 4 2" xfId="38200"/>
    <cellStyle name="Comma 2 2 2 4 3 5" xfId="23486"/>
    <cellStyle name="Comma 2 2 2 4 4" xfId="1668"/>
    <cellStyle name="Comma 2 2 2 4 4 2" xfId="3167"/>
    <cellStyle name="Comma 2 2 2 4 4 2 2" xfId="25335"/>
    <cellStyle name="Comma 2 2 2 4 4 3" xfId="4666"/>
    <cellStyle name="Comma 2 2 2 4 4 3 2" xfId="26833"/>
    <cellStyle name="Comma 2 2 2 4 4 4" xfId="22339"/>
    <cellStyle name="Comma 2 2 2 4 4 4 2" xfId="38551"/>
    <cellStyle name="Comma 2 2 2 4 4 5" xfId="23837"/>
    <cellStyle name="Comma 2 2 2 4 5" xfId="2114"/>
    <cellStyle name="Comma 2 2 2 4 5 2" xfId="24282"/>
    <cellStyle name="Comma 2 2 2 4 6" xfId="3613"/>
    <cellStyle name="Comma 2 2 2 4 6 2" xfId="25780"/>
    <cellStyle name="Comma 2 2 2 4 7" xfId="21286"/>
    <cellStyle name="Comma 2 2 2 4 7 2" xfId="37498"/>
    <cellStyle name="Comma 2 2 2 4 8" xfId="22784"/>
    <cellStyle name="Comma 2 2 2 4 9" xfId="38830"/>
    <cellStyle name="Comma 2 2 2 5" xfId="345"/>
    <cellStyle name="Comma 2 2 2 5 2" xfId="1880"/>
    <cellStyle name="Comma 2 2 2 5 2 2" xfId="24048"/>
    <cellStyle name="Comma 2 2 2 5 3" xfId="3379"/>
    <cellStyle name="Comma 2 2 2 5 3 2" xfId="25546"/>
    <cellStyle name="Comma 2 2 2 5 4" xfId="21052"/>
    <cellStyle name="Comma 2 2 2 5 4 2" xfId="37264"/>
    <cellStyle name="Comma 2 2 2 5 5" xfId="22550"/>
    <cellStyle name="Comma 2 2 2 5 6" xfId="38870"/>
    <cellStyle name="Comma 2 2 2 6" xfId="732"/>
    <cellStyle name="Comma 2 2 2 6 2" xfId="2231"/>
    <cellStyle name="Comma 2 2 2 6 2 2" xfId="24399"/>
    <cellStyle name="Comma 2 2 2 6 3" xfId="3730"/>
    <cellStyle name="Comma 2 2 2 6 3 2" xfId="25897"/>
    <cellStyle name="Comma 2 2 2 6 4" xfId="21403"/>
    <cellStyle name="Comma 2 2 2 6 4 2" xfId="37615"/>
    <cellStyle name="Comma 2 2 2 6 5" xfId="22901"/>
    <cellStyle name="Comma 2 2 2 6 6" xfId="38922"/>
    <cellStyle name="Comma 2 2 2 7" xfId="1083"/>
    <cellStyle name="Comma 2 2 2 7 2" xfId="2582"/>
    <cellStyle name="Comma 2 2 2 7 2 2" xfId="24750"/>
    <cellStyle name="Comma 2 2 2 7 3" xfId="4081"/>
    <cellStyle name="Comma 2 2 2 7 3 2" xfId="26248"/>
    <cellStyle name="Comma 2 2 2 7 4" xfId="21754"/>
    <cellStyle name="Comma 2 2 2 7 4 2" xfId="37966"/>
    <cellStyle name="Comma 2 2 2 7 5" xfId="23252"/>
    <cellStyle name="Comma 2 2 2 7 6" xfId="39048"/>
    <cellStyle name="Comma 2 2 2 8" xfId="1434"/>
    <cellStyle name="Comma 2 2 2 8 2" xfId="2933"/>
    <cellStyle name="Comma 2 2 2 8 2 2" xfId="25101"/>
    <cellStyle name="Comma 2 2 2 8 3" xfId="4432"/>
    <cellStyle name="Comma 2 2 2 8 3 2" xfId="26599"/>
    <cellStyle name="Comma 2 2 2 8 4" xfId="22105"/>
    <cellStyle name="Comma 2 2 2 8 4 2" xfId="38317"/>
    <cellStyle name="Comma 2 2 2 8 5" xfId="23603"/>
    <cellStyle name="Comma 2 2 2 8 6" xfId="39196"/>
    <cellStyle name="Comma 2 2 2 9" xfId="316"/>
    <cellStyle name="Comma 2 2 2 9 2" xfId="1852"/>
    <cellStyle name="Comma 2 2 2 9 2 2" xfId="24020"/>
    <cellStyle name="Comma 2 2 2 9 3" xfId="3351"/>
    <cellStyle name="Comma 2 2 2 9 3 2" xfId="25518"/>
    <cellStyle name="Comma 2 2 2 9 4" xfId="21024"/>
    <cellStyle name="Comma 2 2 2 9 4 2" xfId="37236"/>
    <cellStyle name="Comma 2 2 2 9 5" xfId="22522"/>
    <cellStyle name="Comma 2 2 2 9 6" xfId="39345"/>
    <cellStyle name="Comma 2 2 3" xfId="70"/>
    <cellStyle name="Comma 2 2 3 10" xfId="22554"/>
    <cellStyle name="Comma 2 2 3 11" xfId="38720"/>
    <cellStyle name="Comma 2 2 3 12" xfId="349"/>
    <cellStyle name="Comma 2 2 3 2" xfId="500"/>
    <cellStyle name="Comma 2 2 3 2 2" xfId="853"/>
    <cellStyle name="Comma 2 2 3 2 2 2" xfId="2352"/>
    <cellStyle name="Comma 2 2 3 2 2 2 2" xfId="24520"/>
    <cellStyle name="Comma 2 2 3 2 2 3" xfId="3851"/>
    <cellStyle name="Comma 2 2 3 2 2 3 2" xfId="26018"/>
    <cellStyle name="Comma 2 2 3 2 2 4" xfId="21524"/>
    <cellStyle name="Comma 2 2 3 2 2 4 2" xfId="37736"/>
    <cellStyle name="Comma 2 2 3 2 2 5" xfId="23022"/>
    <cellStyle name="Comma 2 2 3 2 3" xfId="1204"/>
    <cellStyle name="Comma 2 2 3 2 3 2" xfId="2703"/>
    <cellStyle name="Comma 2 2 3 2 3 2 2" xfId="24871"/>
    <cellStyle name="Comma 2 2 3 2 3 3" xfId="4202"/>
    <cellStyle name="Comma 2 2 3 2 3 3 2" xfId="26369"/>
    <cellStyle name="Comma 2 2 3 2 3 4" xfId="21875"/>
    <cellStyle name="Comma 2 2 3 2 3 4 2" xfId="38087"/>
    <cellStyle name="Comma 2 2 3 2 3 5" xfId="23373"/>
    <cellStyle name="Comma 2 2 3 2 4" xfId="1555"/>
    <cellStyle name="Comma 2 2 3 2 4 2" xfId="3054"/>
    <cellStyle name="Comma 2 2 3 2 4 2 2" xfId="25222"/>
    <cellStyle name="Comma 2 2 3 2 4 3" xfId="4553"/>
    <cellStyle name="Comma 2 2 3 2 4 3 2" xfId="26720"/>
    <cellStyle name="Comma 2 2 3 2 4 4" xfId="22226"/>
    <cellStyle name="Comma 2 2 3 2 4 4 2" xfId="38438"/>
    <cellStyle name="Comma 2 2 3 2 4 5" xfId="23724"/>
    <cellStyle name="Comma 2 2 3 2 5" xfId="2001"/>
    <cellStyle name="Comma 2 2 3 2 5 2" xfId="24169"/>
    <cellStyle name="Comma 2 2 3 2 6" xfId="3500"/>
    <cellStyle name="Comma 2 2 3 2 6 2" xfId="25667"/>
    <cellStyle name="Comma 2 2 3 2 7" xfId="21173"/>
    <cellStyle name="Comma 2 2 3 2 7 2" xfId="37385"/>
    <cellStyle name="Comma 2 2 3 2 8" xfId="22671"/>
    <cellStyle name="Comma 2 2 3 2 9" xfId="38750"/>
    <cellStyle name="Comma 2 2 3 3" xfId="618"/>
    <cellStyle name="Comma 2 2 3 3 2" xfId="970"/>
    <cellStyle name="Comma 2 2 3 3 2 2" xfId="2469"/>
    <cellStyle name="Comma 2 2 3 3 2 2 2" xfId="24637"/>
    <cellStyle name="Comma 2 2 3 3 2 3" xfId="3968"/>
    <cellStyle name="Comma 2 2 3 3 2 3 2" xfId="26135"/>
    <cellStyle name="Comma 2 2 3 3 2 4" xfId="21641"/>
    <cellStyle name="Comma 2 2 3 3 2 4 2" xfId="37853"/>
    <cellStyle name="Comma 2 2 3 3 2 5" xfId="23139"/>
    <cellStyle name="Comma 2 2 3 3 3" xfId="1321"/>
    <cellStyle name="Comma 2 2 3 3 3 2" xfId="2820"/>
    <cellStyle name="Comma 2 2 3 3 3 2 2" xfId="24988"/>
    <cellStyle name="Comma 2 2 3 3 3 3" xfId="4319"/>
    <cellStyle name="Comma 2 2 3 3 3 3 2" xfId="26486"/>
    <cellStyle name="Comma 2 2 3 3 3 4" xfId="21992"/>
    <cellStyle name="Comma 2 2 3 3 3 4 2" xfId="38204"/>
    <cellStyle name="Comma 2 2 3 3 3 5" xfId="23490"/>
    <cellStyle name="Comma 2 2 3 3 4" xfId="1672"/>
    <cellStyle name="Comma 2 2 3 3 4 2" xfId="3171"/>
    <cellStyle name="Comma 2 2 3 3 4 2 2" xfId="25339"/>
    <cellStyle name="Comma 2 2 3 3 4 3" xfId="4670"/>
    <cellStyle name="Comma 2 2 3 3 4 3 2" xfId="26837"/>
    <cellStyle name="Comma 2 2 3 3 4 4" xfId="22343"/>
    <cellStyle name="Comma 2 2 3 3 4 4 2" xfId="38555"/>
    <cellStyle name="Comma 2 2 3 3 4 5" xfId="23841"/>
    <cellStyle name="Comma 2 2 3 3 5" xfId="2118"/>
    <cellStyle name="Comma 2 2 3 3 5 2" xfId="24286"/>
    <cellStyle name="Comma 2 2 3 3 6" xfId="3617"/>
    <cellStyle name="Comma 2 2 3 3 6 2" xfId="25784"/>
    <cellStyle name="Comma 2 2 3 3 7" xfId="21290"/>
    <cellStyle name="Comma 2 2 3 3 7 2" xfId="37502"/>
    <cellStyle name="Comma 2 2 3 3 8" xfId="22788"/>
    <cellStyle name="Comma 2 2 3 3 9" xfId="38838"/>
    <cellStyle name="Comma 2 2 3 4" xfId="736"/>
    <cellStyle name="Comma 2 2 3 4 2" xfId="2235"/>
    <cellStyle name="Comma 2 2 3 4 2 2" xfId="24403"/>
    <cellStyle name="Comma 2 2 3 4 3" xfId="3734"/>
    <cellStyle name="Comma 2 2 3 4 3 2" xfId="25901"/>
    <cellStyle name="Comma 2 2 3 4 4" xfId="21407"/>
    <cellStyle name="Comma 2 2 3 4 4 2" xfId="37619"/>
    <cellStyle name="Comma 2 2 3 4 5" xfId="22905"/>
    <cellStyle name="Comma 2 2 3 4 6" xfId="38878"/>
    <cellStyle name="Comma 2 2 3 5" xfId="1087"/>
    <cellStyle name="Comma 2 2 3 5 2" xfId="2586"/>
    <cellStyle name="Comma 2 2 3 5 2 2" xfId="24754"/>
    <cellStyle name="Comma 2 2 3 5 3" xfId="4085"/>
    <cellStyle name="Comma 2 2 3 5 3 2" xfId="26252"/>
    <cellStyle name="Comma 2 2 3 5 4" xfId="21758"/>
    <cellStyle name="Comma 2 2 3 5 4 2" xfId="37970"/>
    <cellStyle name="Comma 2 2 3 5 5" xfId="23256"/>
    <cellStyle name="Comma 2 2 3 5 6" xfId="38930"/>
    <cellStyle name="Comma 2 2 3 6" xfId="1438"/>
    <cellStyle name="Comma 2 2 3 6 2" xfId="2937"/>
    <cellStyle name="Comma 2 2 3 6 2 2" xfId="25105"/>
    <cellStyle name="Comma 2 2 3 6 3" xfId="4436"/>
    <cellStyle name="Comma 2 2 3 6 3 2" xfId="26603"/>
    <cellStyle name="Comma 2 2 3 6 4" xfId="22109"/>
    <cellStyle name="Comma 2 2 3 6 4 2" xfId="38321"/>
    <cellStyle name="Comma 2 2 3 6 5" xfId="23607"/>
    <cellStyle name="Comma 2 2 3 6 6" xfId="39056"/>
    <cellStyle name="Comma 2 2 3 7" xfId="1884"/>
    <cellStyle name="Comma 2 2 3 7 2" xfId="24052"/>
    <cellStyle name="Comma 2 2 3 7 3" xfId="39204"/>
    <cellStyle name="Comma 2 2 3 8" xfId="3383"/>
    <cellStyle name="Comma 2 2 3 8 2" xfId="25550"/>
    <cellStyle name="Comma 2 2 3 8 3" xfId="39353"/>
    <cellStyle name="Comma 2 2 3 9" xfId="21056"/>
    <cellStyle name="Comma 2 2 3 9 2" xfId="37268"/>
    <cellStyle name="Comma 2 2 4" xfId="353"/>
    <cellStyle name="Comma 2 2 4 10" xfId="22558"/>
    <cellStyle name="Comma 2 2 4 11" xfId="38729"/>
    <cellStyle name="Comma 2 2 4 2" xfId="504"/>
    <cellStyle name="Comma 2 2 4 2 2" xfId="857"/>
    <cellStyle name="Comma 2 2 4 2 2 2" xfId="2356"/>
    <cellStyle name="Comma 2 2 4 2 2 2 2" xfId="24524"/>
    <cellStyle name="Comma 2 2 4 2 2 3" xfId="3855"/>
    <cellStyle name="Comma 2 2 4 2 2 3 2" xfId="26022"/>
    <cellStyle name="Comma 2 2 4 2 2 4" xfId="21528"/>
    <cellStyle name="Comma 2 2 4 2 2 4 2" xfId="37740"/>
    <cellStyle name="Comma 2 2 4 2 2 5" xfId="23026"/>
    <cellStyle name="Comma 2 2 4 2 3" xfId="1208"/>
    <cellStyle name="Comma 2 2 4 2 3 2" xfId="2707"/>
    <cellStyle name="Comma 2 2 4 2 3 2 2" xfId="24875"/>
    <cellStyle name="Comma 2 2 4 2 3 3" xfId="4206"/>
    <cellStyle name="Comma 2 2 4 2 3 3 2" xfId="26373"/>
    <cellStyle name="Comma 2 2 4 2 3 4" xfId="21879"/>
    <cellStyle name="Comma 2 2 4 2 3 4 2" xfId="38091"/>
    <cellStyle name="Comma 2 2 4 2 3 5" xfId="23377"/>
    <cellStyle name="Comma 2 2 4 2 4" xfId="1559"/>
    <cellStyle name="Comma 2 2 4 2 4 2" xfId="3058"/>
    <cellStyle name="Comma 2 2 4 2 4 2 2" xfId="25226"/>
    <cellStyle name="Comma 2 2 4 2 4 3" xfId="4557"/>
    <cellStyle name="Comma 2 2 4 2 4 3 2" xfId="26724"/>
    <cellStyle name="Comma 2 2 4 2 4 4" xfId="22230"/>
    <cellStyle name="Comma 2 2 4 2 4 4 2" xfId="38442"/>
    <cellStyle name="Comma 2 2 4 2 4 5" xfId="23728"/>
    <cellStyle name="Comma 2 2 4 2 5" xfId="2005"/>
    <cellStyle name="Comma 2 2 4 2 5 2" xfId="24173"/>
    <cellStyle name="Comma 2 2 4 2 6" xfId="3504"/>
    <cellStyle name="Comma 2 2 4 2 6 2" xfId="25671"/>
    <cellStyle name="Comma 2 2 4 2 7" xfId="21177"/>
    <cellStyle name="Comma 2 2 4 2 7 2" xfId="37389"/>
    <cellStyle name="Comma 2 2 4 2 8" xfId="22675"/>
    <cellStyle name="Comma 2 2 4 2 9" xfId="38850"/>
    <cellStyle name="Comma 2 2 4 3" xfId="622"/>
    <cellStyle name="Comma 2 2 4 3 2" xfId="974"/>
    <cellStyle name="Comma 2 2 4 3 2 2" xfId="2473"/>
    <cellStyle name="Comma 2 2 4 3 2 2 2" xfId="24641"/>
    <cellStyle name="Comma 2 2 4 3 2 3" xfId="3972"/>
    <cellStyle name="Comma 2 2 4 3 2 3 2" xfId="26139"/>
    <cellStyle name="Comma 2 2 4 3 2 4" xfId="21645"/>
    <cellStyle name="Comma 2 2 4 3 2 4 2" xfId="37857"/>
    <cellStyle name="Comma 2 2 4 3 2 5" xfId="23143"/>
    <cellStyle name="Comma 2 2 4 3 3" xfId="1325"/>
    <cellStyle name="Comma 2 2 4 3 3 2" xfId="2824"/>
    <cellStyle name="Comma 2 2 4 3 3 2 2" xfId="24992"/>
    <cellStyle name="Comma 2 2 4 3 3 3" xfId="4323"/>
    <cellStyle name="Comma 2 2 4 3 3 3 2" xfId="26490"/>
    <cellStyle name="Comma 2 2 4 3 3 4" xfId="21996"/>
    <cellStyle name="Comma 2 2 4 3 3 4 2" xfId="38208"/>
    <cellStyle name="Comma 2 2 4 3 3 5" xfId="23494"/>
    <cellStyle name="Comma 2 2 4 3 4" xfId="1676"/>
    <cellStyle name="Comma 2 2 4 3 4 2" xfId="3175"/>
    <cellStyle name="Comma 2 2 4 3 4 2 2" xfId="25343"/>
    <cellStyle name="Comma 2 2 4 3 4 3" xfId="4674"/>
    <cellStyle name="Comma 2 2 4 3 4 3 2" xfId="26841"/>
    <cellStyle name="Comma 2 2 4 3 4 4" xfId="22347"/>
    <cellStyle name="Comma 2 2 4 3 4 4 2" xfId="38559"/>
    <cellStyle name="Comma 2 2 4 3 4 5" xfId="23845"/>
    <cellStyle name="Comma 2 2 4 3 5" xfId="2122"/>
    <cellStyle name="Comma 2 2 4 3 5 2" xfId="24290"/>
    <cellStyle name="Comma 2 2 4 3 6" xfId="3621"/>
    <cellStyle name="Comma 2 2 4 3 6 2" xfId="25788"/>
    <cellStyle name="Comma 2 2 4 3 7" xfId="21294"/>
    <cellStyle name="Comma 2 2 4 3 7 2" xfId="37506"/>
    <cellStyle name="Comma 2 2 4 3 8" xfId="22792"/>
    <cellStyle name="Comma 2 2 4 3 9" xfId="38890"/>
    <cellStyle name="Comma 2 2 4 4" xfId="740"/>
    <cellStyle name="Comma 2 2 4 4 2" xfId="2239"/>
    <cellStyle name="Comma 2 2 4 4 2 2" xfId="24407"/>
    <cellStyle name="Comma 2 2 4 4 3" xfId="3738"/>
    <cellStyle name="Comma 2 2 4 4 3 2" xfId="25905"/>
    <cellStyle name="Comma 2 2 4 4 4" xfId="21411"/>
    <cellStyle name="Comma 2 2 4 4 4 2" xfId="37623"/>
    <cellStyle name="Comma 2 2 4 4 5" xfId="22909"/>
    <cellStyle name="Comma 2 2 4 4 6" xfId="38942"/>
    <cellStyle name="Comma 2 2 4 5" xfId="1091"/>
    <cellStyle name="Comma 2 2 4 5 2" xfId="2590"/>
    <cellStyle name="Comma 2 2 4 5 2 2" xfId="24758"/>
    <cellStyle name="Comma 2 2 4 5 3" xfId="4089"/>
    <cellStyle name="Comma 2 2 4 5 3 2" xfId="26256"/>
    <cellStyle name="Comma 2 2 4 5 4" xfId="21762"/>
    <cellStyle name="Comma 2 2 4 5 4 2" xfId="37974"/>
    <cellStyle name="Comma 2 2 4 5 5" xfId="23260"/>
    <cellStyle name="Comma 2 2 4 5 6" xfId="39068"/>
    <cellStyle name="Comma 2 2 4 6" xfId="1442"/>
    <cellStyle name="Comma 2 2 4 6 2" xfId="2941"/>
    <cellStyle name="Comma 2 2 4 6 2 2" xfId="25109"/>
    <cellStyle name="Comma 2 2 4 6 3" xfId="4440"/>
    <cellStyle name="Comma 2 2 4 6 3 2" xfId="26607"/>
    <cellStyle name="Comma 2 2 4 6 4" xfId="22113"/>
    <cellStyle name="Comma 2 2 4 6 4 2" xfId="38325"/>
    <cellStyle name="Comma 2 2 4 6 5" xfId="23611"/>
    <cellStyle name="Comma 2 2 4 6 6" xfId="39216"/>
    <cellStyle name="Comma 2 2 4 7" xfId="1888"/>
    <cellStyle name="Comma 2 2 4 7 2" xfId="24056"/>
    <cellStyle name="Comma 2 2 4 7 3" xfId="39365"/>
    <cellStyle name="Comma 2 2 4 8" xfId="3387"/>
    <cellStyle name="Comma 2 2 4 8 2" xfId="25554"/>
    <cellStyle name="Comma 2 2 4 9" xfId="21060"/>
    <cellStyle name="Comma 2 2 4 9 2" xfId="37272"/>
    <cellStyle name="Comma 2 2 5" xfId="362"/>
    <cellStyle name="Comma 2 2 5 2" xfId="38860"/>
    <cellStyle name="Comma 2 2 5 3" xfId="38900"/>
    <cellStyle name="Comma 2 2 5 4" xfId="38951"/>
    <cellStyle name="Comma 2 2 5 5" xfId="39089"/>
    <cellStyle name="Comma 2 2 5 6" xfId="39237"/>
    <cellStyle name="Comma 2 2 5 7" xfId="39386"/>
    <cellStyle name="Comma 2 2 5 8" xfId="38736"/>
    <cellStyle name="Comma 2 2 6" xfId="492"/>
    <cellStyle name="Comma 2 2 6 2" xfId="845"/>
    <cellStyle name="Comma 2 2 6 2 2" xfId="2344"/>
    <cellStyle name="Comma 2 2 6 2 2 2" xfId="24512"/>
    <cellStyle name="Comma 2 2 6 2 3" xfId="3843"/>
    <cellStyle name="Comma 2 2 6 2 3 2" xfId="26010"/>
    <cellStyle name="Comma 2 2 6 2 4" xfId="21516"/>
    <cellStyle name="Comma 2 2 6 2 4 2" xfId="37728"/>
    <cellStyle name="Comma 2 2 6 2 5" xfId="23014"/>
    <cellStyle name="Comma 2 2 6 2 6" xfId="39011"/>
    <cellStyle name="Comma 2 2 6 3" xfId="1196"/>
    <cellStyle name="Comma 2 2 6 3 2" xfId="2695"/>
    <cellStyle name="Comma 2 2 6 3 2 2" xfId="24863"/>
    <cellStyle name="Comma 2 2 6 3 3" xfId="4194"/>
    <cellStyle name="Comma 2 2 6 3 3 2" xfId="26361"/>
    <cellStyle name="Comma 2 2 6 3 4" xfId="21867"/>
    <cellStyle name="Comma 2 2 6 3 4 2" xfId="38079"/>
    <cellStyle name="Comma 2 2 6 3 5" xfId="23365"/>
    <cellStyle name="Comma 2 2 6 3 6" xfId="39145"/>
    <cellStyle name="Comma 2 2 6 4" xfId="1547"/>
    <cellStyle name="Comma 2 2 6 4 2" xfId="3046"/>
    <cellStyle name="Comma 2 2 6 4 2 2" xfId="25214"/>
    <cellStyle name="Comma 2 2 6 4 3" xfId="4545"/>
    <cellStyle name="Comma 2 2 6 4 3 2" xfId="26712"/>
    <cellStyle name="Comma 2 2 6 4 4" xfId="22218"/>
    <cellStyle name="Comma 2 2 6 4 4 2" xfId="38430"/>
    <cellStyle name="Comma 2 2 6 4 5" xfId="23716"/>
    <cellStyle name="Comma 2 2 6 4 6" xfId="39293"/>
    <cellStyle name="Comma 2 2 6 5" xfId="1993"/>
    <cellStyle name="Comma 2 2 6 5 2" xfId="24161"/>
    <cellStyle name="Comma 2 2 6 5 3" xfId="39442"/>
    <cellStyle name="Comma 2 2 6 6" xfId="3492"/>
    <cellStyle name="Comma 2 2 6 6 2" xfId="25659"/>
    <cellStyle name="Comma 2 2 6 7" xfId="21165"/>
    <cellStyle name="Comma 2 2 6 7 2" xfId="37377"/>
    <cellStyle name="Comma 2 2 6 8" xfId="22663"/>
    <cellStyle name="Comma 2 2 6 9" xfId="38824"/>
    <cellStyle name="Comma 2 2 7" xfId="610"/>
    <cellStyle name="Comma 2 2 7 2" xfId="962"/>
    <cellStyle name="Comma 2 2 7 2 2" xfId="2461"/>
    <cellStyle name="Comma 2 2 7 2 2 2" xfId="24629"/>
    <cellStyle name="Comma 2 2 7 2 3" xfId="3960"/>
    <cellStyle name="Comma 2 2 7 2 3 2" xfId="26127"/>
    <cellStyle name="Comma 2 2 7 2 4" xfId="21633"/>
    <cellStyle name="Comma 2 2 7 2 4 2" xfId="37845"/>
    <cellStyle name="Comma 2 2 7 2 5" xfId="23131"/>
    <cellStyle name="Comma 2 2 7 2 6" xfId="39491"/>
    <cellStyle name="Comma 2 2 7 3" xfId="1313"/>
    <cellStyle name="Comma 2 2 7 3 2" xfId="2812"/>
    <cellStyle name="Comma 2 2 7 3 2 2" xfId="24980"/>
    <cellStyle name="Comma 2 2 7 3 3" xfId="4311"/>
    <cellStyle name="Comma 2 2 7 3 3 2" xfId="26478"/>
    <cellStyle name="Comma 2 2 7 3 4" xfId="21984"/>
    <cellStyle name="Comma 2 2 7 3 4 2" xfId="38196"/>
    <cellStyle name="Comma 2 2 7 3 5" xfId="23482"/>
    <cellStyle name="Comma 2 2 7 4" xfId="1664"/>
    <cellStyle name="Comma 2 2 7 4 2" xfId="3163"/>
    <cellStyle name="Comma 2 2 7 4 2 2" xfId="25331"/>
    <cellStyle name="Comma 2 2 7 4 3" xfId="4662"/>
    <cellStyle name="Comma 2 2 7 4 3 2" xfId="26829"/>
    <cellStyle name="Comma 2 2 7 4 4" xfId="22335"/>
    <cellStyle name="Comma 2 2 7 4 4 2" xfId="38547"/>
    <cellStyle name="Comma 2 2 7 4 5" xfId="23833"/>
    <cellStyle name="Comma 2 2 7 5" xfId="2110"/>
    <cellStyle name="Comma 2 2 7 5 2" xfId="24278"/>
    <cellStyle name="Comma 2 2 7 6" xfId="3609"/>
    <cellStyle name="Comma 2 2 7 6 2" xfId="25776"/>
    <cellStyle name="Comma 2 2 7 7" xfId="21282"/>
    <cellStyle name="Comma 2 2 7 7 2" xfId="37494"/>
    <cellStyle name="Comma 2 2 7 8" xfId="22780"/>
    <cellStyle name="Comma 2 2 7 9" xfId="38864"/>
    <cellStyle name="Comma 2 2 8" xfId="341"/>
    <cellStyle name="Comma 2 2 8 2" xfId="1876"/>
    <cellStyle name="Comma 2 2 8 2 2" xfId="24044"/>
    <cellStyle name="Comma 2 2 8 3" xfId="3375"/>
    <cellStyle name="Comma 2 2 8 3 2" xfId="25542"/>
    <cellStyle name="Comma 2 2 8 4" xfId="21048"/>
    <cellStyle name="Comma 2 2 8 4 2" xfId="37260"/>
    <cellStyle name="Comma 2 2 8 5" xfId="22546"/>
    <cellStyle name="Comma 2 2 8 6" xfId="38916"/>
    <cellStyle name="Comma 2 2 9" xfId="728"/>
    <cellStyle name="Comma 2 2 9 2" xfId="2227"/>
    <cellStyle name="Comma 2 2 9 2 2" xfId="24395"/>
    <cellStyle name="Comma 2 2 9 3" xfId="3726"/>
    <cellStyle name="Comma 2 2 9 3 2" xfId="25893"/>
    <cellStyle name="Comma 2 2 9 4" xfId="21399"/>
    <cellStyle name="Comma 2 2 9 4 2" xfId="37611"/>
    <cellStyle name="Comma 2 2 9 5" xfId="22897"/>
    <cellStyle name="Comma 2 2 9 6" xfId="39042"/>
    <cellStyle name="Comma 2 20" xfId="5039"/>
    <cellStyle name="Comma 2 20 2" xfId="11255"/>
    <cellStyle name="Comma 2 21" xfId="5040"/>
    <cellStyle name="Comma 2 21 2" xfId="11256"/>
    <cellStyle name="Comma 2 22" xfId="5041"/>
    <cellStyle name="Comma 2 22 2" xfId="11257"/>
    <cellStyle name="Comma 2 23" xfId="7285"/>
    <cellStyle name="Comma 2 23 2" xfId="11258"/>
    <cellStyle name="Comma 2 24" xfId="11244"/>
    <cellStyle name="Comma 2 25" xfId="14202"/>
    <cellStyle name="Comma 2 25 2" xfId="20978"/>
    <cellStyle name="Comma 2 25 2 2" xfId="37197"/>
    <cellStyle name="Comma 2 25 3" xfId="30509"/>
    <cellStyle name="Comma 2 26" xfId="14224"/>
    <cellStyle name="Comma 2 26 2" xfId="30512"/>
    <cellStyle name="Comma 2 27" xfId="20984"/>
    <cellStyle name="Comma 2 27 2" xfId="37200"/>
    <cellStyle name="Comma 2 28" xfId="4894"/>
    <cellStyle name="Comma 2 28 2" xfId="27014"/>
    <cellStyle name="Comma 2 29" xfId="20991"/>
    <cellStyle name="Comma 2 29 2" xfId="37203"/>
    <cellStyle name="Comma 2 3" xfId="71"/>
    <cellStyle name="Comma 2 3 10" xfId="1823"/>
    <cellStyle name="Comma 2 3 10 2" xfId="23991"/>
    <cellStyle name="Comma 2 3 10 3" xfId="39341"/>
    <cellStyle name="Comma 2 3 11" xfId="3322"/>
    <cellStyle name="Comma 2 3 11 2" xfId="25489"/>
    <cellStyle name="Comma 2 3 12" xfId="20995"/>
    <cellStyle name="Comma 2 3 12 2" xfId="37207"/>
    <cellStyle name="Comma 2 3 13" xfId="22493"/>
    <cellStyle name="Comma 2 3 14" xfId="38714"/>
    <cellStyle name="Comma 2 3 15" xfId="286"/>
    <cellStyle name="Comma 2 3 2" xfId="72"/>
    <cellStyle name="Comma 2 3 2 10" xfId="38722"/>
    <cellStyle name="Comma 2 3 2 11" xfId="399"/>
    <cellStyle name="Comma 2 3 2 2" xfId="38758"/>
    <cellStyle name="Comma 2 3 2 2 2" xfId="38846"/>
    <cellStyle name="Comma 2 3 2 2 3" xfId="38886"/>
    <cellStyle name="Comma 2 3 2 2 4" xfId="38938"/>
    <cellStyle name="Comma 2 3 2 2 5" xfId="39064"/>
    <cellStyle name="Comma 2 3 2 2 6" xfId="39212"/>
    <cellStyle name="Comma 2 3 2 2 7" xfId="39361"/>
    <cellStyle name="Comma 2 3 2 3" xfId="38744"/>
    <cellStyle name="Comma 2 3 2 4" xfId="38832"/>
    <cellStyle name="Comma 2 3 2 5" xfId="38872"/>
    <cellStyle name="Comma 2 3 2 6" xfId="38924"/>
    <cellStyle name="Comma 2 3 2 7" xfId="39050"/>
    <cellStyle name="Comma 2 3 2 8" xfId="39198"/>
    <cellStyle name="Comma 2 3 2 9" xfId="39347"/>
    <cellStyle name="Comma 2 3 3" xfId="495"/>
    <cellStyle name="Comma 2 3 3 2" xfId="848"/>
    <cellStyle name="Comma 2 3 3 2 2" xfId="2347"/>
    <cellStyle name="Comma 2 3 3 2 2 2" xfId="24515"/>
    <cellStyle name="Comma 2 3 3 2 3" xfId="3846"/>
    <cellStyle name="Comma 2 3 3 2 3 2" xfId="26013"/>
    <cellStyle name="Comma 2 3 3 2 4" xfId="21519"/>
    <cellStyle name="Comma 2 3 3 2 4 2" xfId="37731"/>
    <cellStyle name="Comma 2 3 3 2 5" xfId="23017"/>
    <cellStyle name="Comma 2 3 3 2 6" xfId="38752"/>
    <cellStyle name="Comma 2 3 3 3" xfId="1199"/>
    <cellStyle name="Comma 2 3 3 3 2" xfId="2698"/>
    <cellStyle name="Comma 2 3 3 3 2 2" xfId="24866"/>
    <cellStyle name="Comma 2 3 3 3 3" xfId="4197"/>
    <cellStyle name="Comma 2 3 3 3 3 2" xfId="26364"/>
    <cellStyle name="Comma 2 3 3 3 4" xfId="21870"/>
    <cellStyle name="Comma 2 3 3 3 4 2" xfId="38082"/>
    <cellStyle name="Comma 2 3 3 3 5" xfId="23368"/>
    <cellStyle name="Comma 2 3 3 3 6" xfId="38840"/>
    <cellStyle name="Comma 2 3 3 4" xfId="1550"/>
    <cellStyle name="Comma 2 3 3 4 2" xfId="3049"/>
    <cellStyle name="Comma 2 3 3 4 2 2" xfId="25217"/>
    <cellStyle name="Comma 2 3 3 4 3" xfId="4548"/>
    <cellStyle name="Comma 2 3 3 4 3 2" xfId="26715"/>
    <cellStyle name="Comma 2 3 3 4 4" xfId="22221"/>
    <cellStyle name="Comma 2 3 3 4 4 2" xfId="38433"/>
    <cellStyle name="Comma 2 3 3 4 5" xfId="23719"/>
    <cellStyle name="Comma 2 3 3 4 6" xfId="38880"/>
    <cellStyle name="Comma 2 3 3 5" xfId="1996"/>
    <cellStyle name="Comma 2 3 3 5 2" xfId="24164"/>
    <cellStyle name="Comma 2 3 3 5 3" xfId="38932"/>
    <cellStyle name="Comma 2 3 3 6" xfId="3495"/>
    <cellStyle name="Comma 2 3 3 6 2" xfId="25662"/>
    <cellStyle name="Comma 2 3 3 6 3" xfId="39058"/>
    <cellStyle name="Comma 2 3 3 7" xfId="21168"/>
    <cellStyle name="Comma 2 3 3 7 2" xfId="37380"/>
    <cellStyle name="Comma 2 3 3 7 3" xfId="39206"/>
    <cellStyle name="Comma 2 3 3 8" xfId="22666"/>
    <cellStyle name="Comma 2 3 3 8 2" xfId="39355"/>
    <cellStyle name="Comma 2 3 3 9" xfId="38731"/>
    <cellStyle name="Comma 2 3 4" xfId="613"/>
    <cellStyle name="Comma 2 3 4 2" xfId="965"/>
    <cellStyle name="Comma 2 3 4 2 2" xfId="2464"/>
    <cellStyle name="Comma 2 3 4 2 2 2" xfId="24632"/>
    <cellStyle name="Comma 2 3 4 2 3" xfId="3963"/>
    <cellStyle name="Comma 2 3 4 2 3 2" xfId="26130"/>
    <cellStyle name="Comma 2 3 4 2 4" xfId="21636"/>
    <cellStyle name="Comma 2 3 4 2 4 2" xfId="37848"/>
    <cellStyle name="Comma 2 3 4 2 5" xfId="23134"/>
    <cellStyle name="Comma 2 3 4 2 6" xfId="38852"/>
    <cellStyle name="Comma 2 3 4 3" xfId="1316"/>
    <cellStyle name="Comma 2 3 4 3 2" xfId="2815"/>
    <cellStyle name="Comma 2 3 4 3 2 2" xfId="24983"/>
    <cellStyle name="Comma 2 3 4 3 3" xfId="4314"/>
    <cellStyle name="Comma 2 3 4 3 3 2" xfId="26481"/>
    <cellStyle name="Comma 2 3 4 3 4" xfId="21987"/>
    <cellStyle name="Comma 2 3 4 3 4 2" xfId="38199"/>
    <cellStyle name="Comma 2 3 4 3 5" xfId="23485"/>
    <cellStyle name="Comma 2 3 4 3 6" xfId="38892"/>
    <cellStyle name="Comma 2 3 4 4" xfId="1667"/>
    <cellStyle name="Comma 2 3 4 4 2" xfId="3166"/>
    <cellStyle name="Comma 2 3 4 4 2 2" xfId="25334"/>
    <cellStyle name="Comma 2 3 4 4 3" xfId="4665"/>
    <cellStyle name="Comma 2 3 4 4 3 2" xfId="26832"/>
    <cellStyle name="Comma 2 3 4 4 4" xfId="22338"/>
    <cellStyle name="Comma 2 3 4 4 4 2" xfId="38550"/>
    <cellStyle name="Comma 2 3 4 4 5" xfId="23836"/>
    <cellStyle name="Comma 2 3 4 4 6" xfId="38944"/>
    <cellStyle name="Comma 2 3 4 5" xfId="2113"/>
    <cellStyle name="Comma 2 3 4 5 2" xfId="24281"/>
    <cellStyle name="Comma 2 3 4 5 3" xfId="39070"/>
    <cellStyle name="Comma 2 3 4 6" xfId="3612"/>
    <cellStyle name="Comma 2 3 4 6 2" xfId="25779"/>
    <cellStyle name="Comma 2 3 4 6 3" xfId="39218"/>
    <cellStyle name="Comma 2 3 4 7" xfId="21285"/>
    <cellStyle name="Comma 2 3 4 7 2" xfId="37497"/>
    <cellStyle name="Comma 2 3 4 7 3" xfId="39367"/>
    <cellStyle name="Comma 2 3 4 8" xfId="22783"/>
    <cellStyle name="Comma 2 3 4 9" xfId="38738"/>
    <cellStyle name="Comma 2 3 5" xfId="344"/>
    <cellStyle name="Comma 2 3 5 2" xfId="1879"/>
    <cellStyle name="Comma 2 3 5 2 2" xfId="24047"/>
    <cellStyle name="Comma 2 3 5 2 3" xfId="39495"/>
    <cellStyle name="Comma 2 3 5 3" xfId="3378"/>
    <cellStyle name="Comma 2 3 5 3 2" xfId="25545"/>
    <cellStyle name="Comma 2 3 5 4" xfId="21051"/>
    <cellStyle name="Comma 2 3 5 4 2" xfId="37263"/>
    <cellStyle name="Comma 2 3 5 5" xfId="22549"/>
    <cellStyle name="Comma 2 3 5 6" xfId="38826"/>
    <cellStyle name="Comma 2 3 6" xfId="731"/>
    <cellStyle name="Comma 2 3 6 2" xfId="2230"/>
    <cellStyle name="Comma 2 3 6 2 2" xfId="24398"/>
    <cellStyle name="Comma 2 3 6 3" xfId="3729"/>
    <cellStyle name="Comma 2 3 6 3 2" xfId="25896"/>
    <cellStyle name="Comma 2 3 6 4" xfId="21402"/>
    <cellStyle name="Comma 2 3 6 4 2" xfId="37614"/>
    <cellStyle name="Comma 2 3 6 5" xfId="22900"/>
    <cellStyle name="Comma 2 3 6 6" xfId="38866"/>
    <cellStyle name="Comma 2 3 7" xfId="1082"/>
    <cellStyle name="Comma 2 3 7 2" xfId="2581"/>
    <cellStyle name="Comma 2 3 7 2 2" xfId="24749"/>
    <cellStyle name="Comma 2 3 7 3" xfId="4080"/>
    <cellStyle name="Comma 2 3 7 3 2" xfId="26247"/>
    <cellStyle name="Comma 2 3 7 4" xfId="21753"/>
    <cellStyle name="Comma 2 3 7 4 2" xfId="37965"/>
    <cellStyle name="Comma 2 3 7 5" xfId="23251"/>
    <cellStyle name="Comma 2 3 7 6" xfId="38918"/>
    <cellStyle name="Comma 2 3 8" xfId="1433"/>
    <cellStyle name="Comma 2 3 8 2" xfId="2932"/>
    <cellStyle name="Comma 2 3 8 2 2" xfId="25100"/>
    <cellStyle name="Comma 2 3 8 3" xfId="4431"/>
    <cellStyle name="Comma 2 3 8 3 2" xfId="26598"/>
    <cellStyle name="Comma 2 3 8 4" xfId="22104"/>
    <cellStyle name="Comma 2 3 8 4 2" xfId="38316"/>
    <cellStyle name="Comma 2 3 8 5" xfId="23602"/>
    <cellStyle name="Comma 2 3 8 6" xfId="39044"/>
    <cellStyle name="Comma 2 3 9" xfId="315"/>
    <cellStyle name="Comma 2 3 9 2" xfId="1851"/>
    <cellStyle name="Comma 2 3 9 2 2" xfId="24019"/>
    <cellStyle name="Comma 2 3 9 3" xfId="3350"/>
    <cellStyle name="Comma 2 3 9 3 2" xfId="25517"/>
    <cellStyle name="Comma 2 3 9 4" xfId="21023"/>
    <cellStyle name="Comma 2 3 9 4 2" xfId="37235"/>
    <cellStyle name="Comma 2 3 9 5" xfId="22521"/>
    <cellStyle name="Comma 2 3 9 6" xfId="39192"/>
    <cellStyle name="Comma 2 30" xfId="22489"/>
    <cellStyle name="Comma 2 31" xfId="39550"/>
    <cellStyle name="Comma 2 32" xfId="270"/>
    <cellStyle name="Comma 2 33" xfId="39612"/>
    <cellStyle name="Comma 2 4" xfId="73"/>
    <cellStyle name="Comma 2 4 10" xfId="3329"/>
    <cellStyle name="Comma 2 4 10 2" xfId="25496"/>
    <cellStyle name="Comma 2 4 11" xfId="5042"/>
    <cellStyle name="Comma 2 4 12" xfId="21002"/>
    <cellStyle name="Comma 2 4 12 2" xfId="37214"/>
    <cellStyle name="Comma 2 4 13" xfId="22500"/>
    <cellStyle name="Comma 2 4 14" xfId="38718"/>
    <cellStyle name="Comma 2 4 15" xfId="294"/>
    <cellStyle name="Comma 2 4 2" xfId="499"/>
    <cellStyle name="Comma 2 4 2 10" xfId="38754"/>
    <cellStyle name="Comma 2 4 2 2" xfId="852"/>
    <cellStyle name="Comma 2 4 2 2 2" xfId="2351"/>
    <cellStyle name="Comma 2 4 2 2 2 2" xfId="24519"/>
    <cellStyle name="Comma 2 4 2 2 3" xfId="3850"/>
    <cellStyle name="Comma 2 4 2 2 3 2" xfId="26017"/>
    <cellStyle name="Comma 2 4 2 2 4" xfId="21523"/>
    <cellStyle name="Comma 2 4 2 2 4 2" xfId="37735"/>
    <cellStyle name="Comma 2 4 2 2 5" xfId="23021"/>
    <cellStyle name="Comma 2 4 2 2 6" xfId="38842"/>
    <cellStyle name="Comma 2 4 2 3" xfId="1203"/>
    <cellStyle name="Comma 2 4 2 3 2" xfId="2702"/>
    <cellStyle name="Comma 2 4 2 3 2 2" xfId="24870"/>
    <cellStyle name="Comma 2 4 2 3 3" xfId="4201"/>
    <cellStyle name="Comma 2 4 2 3 3 2" xfId="26368"/>
    <cellStyle name="Comma 2 4 2 3 4" xfId="21874"/>
    <cellStyle name="Comma 2 4 2 3 4 2" xfId="38086"/>
    <cellStyle name="Comma 2 4 2 3 5" xfId="23372"/>
    <cellStyle name="Comma 2 4 2 3 6" xfId="38882"/>
    <cellStyle name="Comma 2 4 2 4" xfId="1554"/>
    <cellStyle name="Comma 2 4 2 4 2" xfId="3053"/>
    <cellStyle name="Comma 2 4 2 4 2 2" xfId="25221"/>
    <cellStyle name="Comma 2 4 2 4 3" xfId="4552"/>
    <cellStyle name="Comma 2 4 2 4 3 2" xfId="26719"/>
    <cellStyle name="Comma 2 4 2 4 4" xfId="22225"/>
    <cellStyle name="Comma 2 4 2 4 4 2" xfId="38437"/>
    <cellStyle name="Comma 2 4 2 4 5" xfId="23723"/>
    <cellStyle name="Comma 2 4 2 4 6" xfId="38934"/>
    <cellStyle name="Comma 2 4 2 5" xfId="2000"/>
    <cellStyle name="Comma 2 4 2 5 2" xfId="24168"/>
    <cellStyle name="Comma 2 4 2 5 3" xfId="39060"/>
    <cellStyle name="Comma 2 4 2 6" xfId="3499"/>
    <cellStyle name="Comma 2 4 2 6 2" xfId="25666"/>
    <cellStyle name="Comma 2 4 2 6 3" xfId="39208"/>
    <cellStyle name="Comma 2 4 2 7" xfId="11259"/>
    <cellStyle name="Comma 2 4 2 7 2" xfId="39357"/>
    <cellStyle name="Comma 2 4 2 8" xfId="21172"/>
    <cellStyle name="Comma 2 4 2 8 2" xfId="37384"/>
    <cellStyle name="Comma 2 4 2 9" xfId="22670"/>
    <cellStyle name="Comma 2 4 3" xfId="617"/>
    <cellStyle name="Comma 2 4 3 2" xfId="969"/>
    <cellStyle name="Comma 2 4 3 2 2" xfId="2468"/>
    <cellStyle name="Comma 2 4 3 2 2 2" xfId="24636"/>
    <cellStyle name="Comma 2 4 3 2 3" xfId="3967"/>
    <cellStyle name="Comma 2 4 3 2 3 2" xfId="26134"/>
    <cellStyle name="Comma 2 4 3 2 4" xfId="21640"/>
    <cellStyle name="Comma 2 4 3 2 4 2" xfId="37852"/>
    <cellStyle name="Comma 2 4 3 2 5" xfId="23138"/>
    <cellStyle name="Comma 2 4 3 3" xfId="1320"/>
    <cellStyle name="Comma 2 4 3 3 2" xfId="2819"/>
    <cellStyle name="Comma 2 4 3 3 2 2" xfId="24987"/>
    <cellStyle name="Comma 2 4 3 3 3" xfId="4318"/>
    <cellStyle name="Comma 2 4 3 3 3 2" xfId="26485"/>
    <cellStyle name="Comma 2 4 3 3 4" xfId="21991"/>
    <cellStyle name="Comma 2 4 3 3 4 2" xfId="38203"/>
    <cellStyle name="Comma 2 4 3 3 5" xfId="23489"/>
    <cellStyle name="Comma 2 4 3 4" xfId="1671"/>
    <cellStyle name="Comma 2 4 3 4 2" xfId="3170"/>
    <cellStyle name="Comma 2 4 3 4 2 2" xfId="25338"/>
    <cellStyle name="Comma 2 4 3 4 3" xfId="4669"/>
    <cellStyle name="Comma 2 4 3 4 3 2" xfId="26836"/>
    <cellStyle name="Comma 2 4 3 4 4" xfId="22342"/>
    <cellStyle name="Comma 2 4 3 4 4 2" xfId="38554"/>
    <cellStyle name="Comma 2 4 3 4 5" xfId="23840"/>
    <cellStyle name="Comma 2 4 3 5" xfId="2117"/>
    <cellStyle name="Comma 2 4 3 5 2" xfId="24285"/>
    <cellStyle name="Comma 2 4 3 6" xfId="3616"/>
    <cellStyle name="Comma 2 4 3 6 2" xfId="25783"/>
    <cellStyle name="Comma 2 4 3 7" xfId="21289"/>
    <cellStyle name="Comma 2 4 3 7 2" xfId="37501"/>
    <cellStyle name="Comma 2 4 3 8" xfId="22787"/>
    <cellStyle name="Comma 2 4 3 9" xfId="38740"/>
    <cellStyle name="Comma 2 4 4" xfId="348"/>
    <cellStyle name="Comma 2 4 4 2" xfId="1883"/>
    <cellStyle name="Comma 2 4 4 2 2" xfId="24051"/>
    <cellStyle name="Comma 2 4 4 3" xfId="3382"/>
    <cellStyle name="Comma 2 4 4 3 2" xfId="25549"/>
    <cellStyle name="Comma 2 4 4 4" xfId="21055"/>
    <cellStyle name="Comma 2 4 4 4 2" xfId="37267"/>
    <cellStyle name="Comma 2 4 4 5" xfId="22553"/>
    <cellStyle name="Comma 2 4 4 6" xfId="38828"/>
    <cellStyle name="Comma 2 4 5" xfId="735"/>
    <cellStyle name="Comma 2 4 5 2" xfId="2234"/>
    <cellStyle name="Comma 2 4 5 2 2" xfId="24402"/>
    <cellStyle name="Comma 2 4 5 3" xfId="3733"/>
    <cellStyle name="Comma 2 4 5 3 2" xfId="25900"/>
    <cellStyle name="Comma 2 4 5 4" xfId="21406"/>
    <cellStyle name="Comma 2 4 5 4 2" xfId="37618"/>
    <cellStyle name="Comma 2 4 5 5" xfId="22904"/>
    <cellStyle name="Comma 2 4 5 6" xfId="38868"/>
    <cellStyle name="Comma 2 4 6" xfId="1086"/>
    <cellStyle name="Comma 2 4 6 2" xfId="2585"/>
    <cellStyle name="Comma 2 4 6 2 2" xfId="24753"/>
    <cellStyle name="Comma 2 4 6 3" xfId="4084"/>
    <cellStyle name="Comma 2 4 6 3 2" xfId="26251"/>
    <cellStyle name="Comma 2 4 6 4" xfId="21757"/>
    <cellStyle name="Comma 2 4 6 4 2" xfId="37969"/>
    <cellStyle name="Comma 2 4 6 5" xfId="23255"/>
    <cellStyle name="Comma 2 4 6 6" xfId="38920"/>
    <cellStyle name="Comma 2 4 7" xfId="1437"/>
    <cellStyle name="Comma 2 4 7 2" xfId="2936"/>
    <cellStyle name="Comma 2 4 7 2 2" xfId="25104"/>
    <cellStyle name="Comma 2 4 7 3" xfId="4435"/>
    <cellStyle name="Comma 2 4 7 3 2" xfId="26602"/>
    <cellStyle name="Comma 2 4 7 4" xfId="22108"/>
    <cellStyle name="Comma 2 4 7 4 2" xfId="38320"/>
    <cellStyle name="Comma 2 4 7 5" xfId="23606"/>
    <cellStyle name="Comma 2 4 7 6" xfId="39046"/>
    <cellStyle name="Comma 2 4 8" xfId="323"/>
    <cellStyle name="Comma 2 4 8 2" xfId="1858"/>
    <cellStyle name="Comma 2 4 8 2 2" xfId="24026"/>
    <cellStyle name="Comma 2 4 8 3" xfId="3357"/>
    <cellStyle name="Comma 2 4 8 3 2" xfId="25524"/>
    <cellStyle name="Comma 2 4 8 4" xfId="21030"/>
    <cellStyle name="Comma 2 4 8 4 2" xfId="37242"/>
    <cellStyle name="Comma 2 4 8 5" xfId="22528"/>
    <cellStyle name="Comma 2 4 8 6" xfId="39194"/>
    <cellStyle name="Comma 2 4 9" xfId="1830"/>
    <cellStyle name="Comma 2 4 9 2" xfId="23998"/>
    <cellStyle name="Comma 2 4 9 3" xfId="39343"/>
    <cellStyle name="Comma 2 5" xfId="74"/>
    <cellStyle name="Comma 2 5 10" xfId="21059"/>
    <cellStyle name="Comma 2 5 10 2" xfId="37271"/>
    <cellStyle name="Comma 2 5 11" xfId="22557"/>
    <cellStyle name="Comma 2 5 12" xfId="38710"/>
    <cellStyle name="Comma 2 5 13" xfId="352"/>
    <cellStyle name="Comma 2 5 2" xfId="75"/>
    <cellStyle name="Comma 2 5 2 10" xfId="503"/>
    <cellStyle name="Comma 2 5 2 2" xfId="856"/>
    <cellStyle name="Comma 2 5 2 2 2" xfId="2355"/>
    <cellStyle name="Comma 2 5 2 2 2 2" xfId="24523"/>
    <cellStyle name="Comma 2 5 2 2 3" xfId="3854"/>
    <cellStyle name="Comma 2 5 2 2 3 2" xfId="26021"/>
    <cellStyle name="Comma 2 5 2 2 4" xfId="21527"/>
    <cellStyle name="Comma 2 5 2 2 4 2" xfId="37739"/>
    <cellStyle name="Comma 2 5 2 2 5" xfId="23025"/>
    <cellStyle name="Comma 2 5 2 3" xfId="1207"/>
    <cellStyle name="Comma 2 5 2 3 2" xfId="2706"/>
    <cellStyle name="Comma 2 5 2 3 2 2" xfId="24874"/>
    <cellStyle name="Comma 2 5 2 3 3" xfId="4205"/>
    <cellStyle name="Comma 2 5 2 3 3 2" xfId="26372"/>
    <cellStyle name="Comma 2 5 2 3 4" xfId="21878"/>
    <cellStyle name="Comma 2 5 2 3 4 2" xfId="38090"/>
    <cellStyle name="Comma 2 5 2 3 5" xfId="23376"/>
    <cellStyle name="Comma 2 5 2 4" xfId="1558"/>
    <cellStyle name="Comma 2 5 2 4 2" xfId="3057"/>
    <cellStyle name="Comma 2 5 2 4 2 2" xfId="25225"/>
    <cellStyle name="Comma 2 5 2 4 3" xfId="4556"/>
    <cellStyle name="Comma 2 5 2 4 3 2" xfId="26723"/>
    <cellStyle name="Comma 2 5 2 4 4" xfId="22229"/>
    <cellStyle name="Comma 2 5 2 4 4 2" xfId="38441"/>
    <cellStyle name="Comma 2 5 2 4 5" xfId="23727"/>
    <cellStyle name="Comma 2 5 2 5" xfId="2004"/>
    <cellStyle name="Comma 2 5 2 5 2" xfId="24172"/>
    <cellStyle name="Comma 2 5 2 6" xfId="3503"/>
    <cellStyle name="Comma 2 5 2 6 2" xfId="25670"/>
    <cellStyle name="Comma 2 5 2 7" xfId="11260"/>
    <cellStyle name="Comma 2 5 2 8" xfId="21176"/>
    <cellStyle name="Comma 2 5 2 8 2" xfId="37388"/>
    <cellStyle name="Comma 2 5 2 9" xfId="22674"/>
    <cellStyle name="Comma 2 5 3" xfId="621"/>
    <cellStyle name="Comma 2 5 3 2" xfId="973"/>
    <cellStyle name="Comma 2 5 3 2 2" xfId="2472"/>
    <cellStyle name="Comma 2 5 3 2 2 2" xfId="24640"/>
    <cellStyle name="Comma 2 5 3 2 3" xfId="3971"/>
    <cellStyle name="Comma 2 5 3 2 3 2" xfId="26138"/>
    <cellStyle name="Comma 2 5 3 2 4" xfId="21644"/>
    <cellStyle name="Comma 2 5 3 2 4 2" xfId="37856"/>
    <cellStyle name="Comma 2 5 3 2 5" xfId="23142"/>
    <cellStyle name="Comma 2 5 3 3" xfId="1324"/>
    <cellStyle name="Comma 2 5 3 3 2" xfId="2823"/>
    <cellStyle name="Comma 2 5 3 3 2 2" xfId="24991"/>
    <cellStyle name="Comma 2 5 3 3 3" xfId="4322"/>
    <cellStyle name="Comma 2 5 3 3 3 2" xfId="26489"/>
    <cellStyle name="Comma 2 5 3 3 4" xfId="21995"/>
    <cellStyle name="Comma 2 5 3 3 4 2" xfId="38207"/>
    <cellStyle name="Comma 2 5 3 3 5" xfId="23493"/>
    <cellStyle name="Comma 2 5 3 4" xfId="1675"/>
    <cellStyle name="Comma 2 5 3 4 2" xfId="3174"/>
    <cellStyle name="Comma 2 5 3 4 2 2" xfId="25342"/>
    <cellStyle name="Comma 2 5 3 4 3" xfId="4673"/>
    <cellStyle name="Comma 2 5 3 4 3 2" xfId="26840"/>
    <cellStyle name="Comma 2 5 3 4 4" xfId="22346"/>
    <cellStyle name="Comma 2 5 3 4 4 2" xfId="38558"/>
    <cellStyle name="Comma 2 5 3 4 5" xfId="23844"/>
    <cellStyle name="Comma 2 5 3 5" xfId="2121"/>
    <cellStyle name="Comma 2 5 3 5 2" xfId="24289"/>
    <cellStyle name="Comma 2 5 3 6" xfId="3620"/>
    <cellStyle name="Comma 2 5 3 6 2" xfId="25787"/>
    <cellStyle name="Comma 2 5 3 7" xfId="21293"/>
    <cellStyle name="Comma 2 5 3 7 2" xfId="37505"/>
    <cellStyle name="Comma 2 5 3 8" xfId="22791"/>
    <cellStyle name="Comma 2 5 4" xfId="739"/>
    <cellStyle name="Comma 2 5 4 2" xfId="2238"/>
    <cellStyle name="Comma 2 5 4 2 2" xfId="24406"/>
    <cellStyle name="Comma 2 5 4 3" xfId="3737"/>
    <cellStyle name="Comma 2 5 4 3 2" xfId="25904"/>
    <cellStyle name="Comma 2 5 4 4" xfId="21410"/>
    <cellStyle name="Comma 2 5 4 4 2" xfId="37622"/>
    <cellStyle name="Comma 2 5 4 5" xfId="22908"/>
    <cellStyle name="Comma 2 5 5" xfId="1090"/>
    <cellStyle name="Comma 2 5 5 2" xfId="2589"/>
    <cellStyle name="Comma 2 5 5 2 2" xfId="24757"/>
    <cellStyle name="Comma 2 5 5 3" xfId="4088"/>
    <cellStyle name="Comma 2 5 5 3 2" xfId="26255"/>
    <cellStyle name="Comma 2 5 5 4" xfId="21761"/>
    <cellStyle name="Comma 2 5 5 4 2" xfId="37973"/>
    <cellStyle name="Comma 2 5 5 5" xfId="23259"/>
    <cellStyle name="Comma 2 5 6" xfId="1441"/>
    <cellStyle name="Comma 2 5 6 2" xfId="2940"/>
    <cellStyle name="Comma 2 5 6 2 2" xfId="25108"/>
    <cellStyle name="Comma 2 5 6 3" xfId="4439"/>
    <cellStyle name="Comma 2 5 6 3 2" xfId="26606"/>
    <cellStyle name="Comma 2 5 6 4" xfId="22112"/>
    <cellStyle name="Comma 2 5 6 4 2" xfId="38324"/>
    <cellStyle name="Comma 2 5 6 5" xfId="23610"/>
    <cellStyle name="Comma 2 5 7" xfId="1887"/>
    <cellStyle name="Comma 2 5 7 2" xfId="24055"/>
    <cellStyle name="Comma 2 5 8" xfId="3386"/>
    <cellStyle name="Comma 2 5 8 2" xfId="25553"/>
    <cellStyle name="Comma 2 5 9" xfId="5043"/>
    <cellStyle name="Comma 2 6" xfId="76"/>
    <cellStyle name="Comma 2 6 10" xfId="358"/>
    <cellStyle name="Comma 2 6 2" xfId="77"/>
    <cellStyle name="Comma 2 6 2 2" xfId="38748"/>
    <cellStyle name="Comma 2 6 2 3" xfId="11261"/>
    <cellStyle name="Comma 2 6 3" xfId="38836"/>
    <cellStyle name="Comma 2 6 4" xfId="38876"/>
    <cellStyle name="Comma 2 6 5" xfId="38928"/>
    <cellStyle name="Comma 2 6 6" xfId="39054"/>
    <cellStyle name="Comma 2 6 7" xfId="39202"/>
    <cellStyle name="Comma 2 6 8" xfId="39351"/>
    <cellStyle name="Comma 2 6 9" xfId="38727"/>
    <cellStyle name="Comma 2 7" xfId="78"/>
    <cellStyle name="Comma 2 7 10" xfId="38734"/>
    <cellStyle name="Comma 2 7 11" xfId="491"/>
    <cellStyle name="Comma 2 7 2" xfId="844"/>
    <cellStyle name="Comma 2 7 2 2" xfId="2343"/>
    <cellStyle name="Comma 2 7 2 2 2" xfId="24511"/>
    <cellStyle name="Comma 2 7 2 3" xfId="3842"/>
    <cellStyle name="Comma 2 7 2 3 2" xfId="26009"/>
    <cellStyle name="Comma 2 7 2 4" xfId="11262"/>
    <cellStyle name="Comma 2 7 2 5" xfId="21515"/>
    <cellStyle name="Comma 2 7 2 5 2" xfId="37727"/>
    <cellStyle name="Comma 2 7 2 6" xfId="23013"/>
    <cellStyle name="Comma 2 7 2 7" xfId="38848"/>
    <cellStyle name="Comma 2 7 3" xfId="1195"/>
    <cellStyle name="Comma 2 7 3 2" xfId="2694"/>
    <cellStyle name="Comma 2 7 3 2 2" xfId="24862"/>
    <cellStyle name="Comma 2 7 3 3" xfId="4193"/>
    <cellStyle name="Comma 2 7 3 3 2" xfId="26360"/>
    <cellStyle name="Comma 2 7 3 4" xfId="21866"/>
    <cellStyle name="Comma 2 7 3 4 2" xfId="38078"/>
    <cellStyle name="Comma 2 7 3 5" xfId="23364"/>
    <cellStyle name="Comma 2 7 3 6" xfId="38888"/>
    <cellStyle name="Comma 2 7 4" xfId="1546"/>
    <cellStyle name="Comma 2 7 4 2" xfId="3045"/>
    <cellStyle name="Comma 2 7 4 2 2" xfId="25213"/>
    <cellStyle name="Comma 2 7 4 3" xfId="4544"/>
    <cellStyle name="Comma 2 7 4 3 2" xfId="26711"/>
    <cellStyle name="Comma 2 7 4 4" xfId="22217"/>
    <cellStyle name="Comma 2 7 4 4 2" xfId="38429"/>
    <cellStyle name="Comma 2 7 4 5" xfId="23715"/>
    <cellStyle name="Comma 2 7 4 6" xfId="38940"/>
    <cellStyle name="Comma 2 7 5" xfId="1992"/>
    <cellStyle name="Comma 2 7 5 2" xfId="24160"/>
    <cellStyle name="Comma 2 7 5 3" xfId="39066"/>
    <cellStyle name="Comma 2 7 6" xfId="3491"/>
    <cellStyle name="Comma 2 7 6 2" xfId="25658"/>
    <cellStyle name="Comma 2 7 6 3" xfId="39214"/>
    <cellStyle name="Comma 2 7 7" xfId="5044"/>
    <cellStyle name="Comma 2 7 7 2" xfId="39363"/>
    <cellStyle name="Comma 2 7 8" xfId="21164"/>
    <cellStyle name="Comma 2 7 8 2" xfId="37376"/>
    <cellStyle name="Comma 2 7 9" xfId="22662"/>
    <cellStyle name="Comma 2 8" xfId="609"/>
    <cellStyle name="Comma 2 8 10" xfId="38856"/>
    <cellStyle name="Comma 2 8 2" xfId="961"/>
    <cellStyle name="Comma 2 8 2 2" xfId="2460"/>
    <cellStyle name="Comma 2 8 2 2 2" xfId="24628"/>
    <cellStyle name="Comma 2 8 2 3" xfId="3959"/>
    <cellStyle name="Comma 2 8 2 3 2" xfId="26126"/>
    <cellStyle name="Comma 2 8 2 4" xfId="11263"/>
    <cellStyle name="Comma 2 8 2 5" xfId="21632"/>
    <cellStyle name="Comma 2 8 2 5 2" xfId="37844"/>
    <cellStyle name="Comma 2 8 2 6" xfId="23130"/>
    <cellStyle name="Comma 2 8 2 7" xfId="38896"/>
    <cellStyle name="Comma 2 8 3" xfId="1312"/>
    <cellStyle name="Comma 2 8 3 2" xfId="2811"/>
    <cellStyle name="Comma 2 8 3 2 2" xfId="24979"/>
    <cellStyle name="Comma 2 8 3 3" xfId="4310"/>
    <cellStyle name="Comma 2 8 3 3 2" xfId="26477"/>
    <cellStyle name="Comma 2 8 3 4" xfId="21983"/>
    <cellStyle name="Comma 2 8 3 4 2" xfId="38195"/>
    <cellStyle name="Comma 2 8 3 5" xfId="23481"/>
    <cellStyle name="Comma 2 8 3 6" xfId="38948"/>
    <cellStyle name="Comma 2 8 4" xfId="1663"/>
    <cellStyle name="Comma 2 8 4 2" xfId="3162"/>
    <cellStyle name="Comma 2 8 4 2 2" xfId="25330"/>
    <cellStyle name="Comma 2 8 4 3" xfId="4661"/>
    <cellStyle name="Comma 2 8 4 3 2" xfId="26828"/>
    <cellStyle name="Comma 2 8 4 4" xfId="22334"/>
    <cellStyle name="Comma 2 8 4 4 2" xfId="38546"/>
    <cellStyle name="Comma 2 8 4 5" xfId="23832"/>
    <cellStyle name="Comma 2 8 4 6" xfId="39074"/>
    <cellStyle name="Comma 2 8 5" xfId="2109"/>
    <cellStyle name="Comma 2 8 5 2" xfId="24277"/>
    <cellStyle name="Comma 2 8 5 3" xfId="39222"/>
    <cellStyle name="Comma 2 8 6" xfId="3608"/>
    <cellStyle name="Comma 2 8 6 2" xfId="25775"/>
    <cellStyle name="Comma 2 8 6 3" xfId="39371"/>
    <cellStyle name="Comma 2 8 7" xfId="5045"/>
    <cellStyle name="Comma 2 8 8" xfId="21281"/>
    <cellStyle name="Comma 2 8 8 2" xfId="37493"/>
    <cellStyle name="Comma 2 8 9" xfId="22779"/>
    <cellStyle name="Comma 2 9" xfId="340"/>
    <cellStyle name="Comma 2 9 2" xfId="1875"/>
    <cellStyle name="Comma 2 9 2 2" xfId="11264"/>
    <cellStyle name="Comma 2 9 2 3" xfId="24043"/>
    <cellStyle name="Comma 2 9 2 4" xfId="38950"/>
    <cellStyle name="Comma 2 9 3" xfId="3374"/>
    <cellStyle name="Comma 2 9 3 2" xfId="25541"/>
    <cellStyle name="Comma 2 9 3 3" xfId="39088"/>
    <cellStyle name="Comma 2 9 4" xfId="5046"/>
    <cellStyle name="Comma 2 9 4 2" xfId="39236"/>
    <cellStyle name="Comma 2 9 5" xfId="21047"/>
    <cellStyle name="Comma 2 9 5 2" xfId="37259"/>
    <cellStyle name="Comma 2 9 5 3" xfId="39385"/>
    <cellStyle name="Comma 2 9 6" xfId="22545"/>
    <cellStyle name="Comma 2 9 7" xfId="38822"/>
    <cellStyle name="Comma 21 2" xfId="5047"/>
    <cellStyle name="Comma 21 2 2" xfId="11265"/>
    <cellStyle name="Comma 21 3" xfId="5048"/>
    <cellStyle name="Comma 21 3 2" xfId="11266"/>
    <cellStyle name="Comma 23 2" xfId="5049"/>
    <cellStyle name="Comma 23 2 2" xfId="11267"/>
    <cellStyle name="Comma 23 3" xfId="5050"/>
    <cellStyle name="Comma 23 3 2" xfId="11268"/>
    <cellStyle name="Comma 24 2" xfId="5051"/>
    <cellStyle name="Comma 24 2 2" xfId="11269"/>
    <cellStyle name="Comma 24 3" xfId="5052"/>
    <cellStyle name="Comma 24 3 2" xfId="11270"/>
    <cellStyle name="Comma 25 2" xfId="4948"/>
    <cellStyle name="Comma 25 2 10" xfId="5053"/>
    <cellStyle name="Comma 25 2 10 2" xfId="11272"/>
    <cellStyle name="Comma 25 2 11" xfId="5054"/>
    <cellStyle name="Comma 25 2 11 2" xfId="11273"/>
    <cellStyle name="Comma 25 2 12" xfId="5055"/>
    <cellStyle name="Comma 25 2 12 2" xfId="11274"/>
    <cellStyle name="Comma 25 2 13" xfId="5056"/>
    <cellStyle name="Comma 25 2 13 2" xfId="11275"/>
    <cellStyle name="Comma 25 2 14" xfId="5057"/>
    <cellStyle name="Comma 25 2 14 2" xfId="11276"/>
    <cellStyle name="Comma 25 2 15" xfId="5058"/>
    <cellStyle name="Comma 25 2 15 2" xfId="11277"/>
    <cellStyle name="Comma 25 2 16" xfId="5059"/>
    <cellStyle name="Comma 25 2 16 2" xfId="11278"/>
    <cellStyle name="Comma 25 2 17" xfId="5060"/>
    <cellStyle name="Comma 25 2 17 2" xfId="11279"/>
    <cellStyle name="Comma 25 2 18" xfId="5061"/>
    <cellStyle name="Comma 25 2 18 2" xfId="11280"/>
    <cellStyle name="Comma 25 2 19" xfId="11271"/>
    <cellStyle name="Comma 25 2 2" xfId="5062"/>
    <cellStyle name="Comma 25 2 2 2" xfId="11281"/>
    <cellStyle name="Comma 25 2 3" xfId="5063"/>
    <cellStyle name="Comma 25 2 3 2" xfId="11282"/>
    <cellStyle name="Comma 25 2 4" xfId="5064"/>
    <cellStyle name="Comma 25 2 4 2" xfId="11283"/>
    <cellStyle name="Comma 25 2 5" xfId="5065"/>
    <cellStyle name="Comma 25 2 5 2" xfId="11284"/>
    <cellStyle name="Comma 25 2 6" xfId="5066"/>
    <cellStyle name="Comma 25 2 6 2" xfId="11285"/>
    <cellStyle name="Comma 25 2 7" xfId="5067"/>
    <cellStyle name="Comma 25 2 7 2" xfId="11286"/>
    <cellStyle name="Comma 25 2 8" xfId="5068"/>
    <cellStyle name="Comma 25 2 8 2" xfId="11287"/>
    <cellStyle name="Comma 25 2 9" xfId="5069"/>
    <cellStyle name="Comma 25 2 9 2" xfId="11288"/>
    <cellStyle name="Comma 25 3" xfId="5070"/>
    <cellStyle name="Comma 25 3 10" xfId="5071"/>
    <cellStyle name="Comma 25 3 10 2" xfId="11290"/>
    <cellStyle name="Comma 25 3 11" xfId="5072"/>
    <cellStyle name="Comma 25 3 11 2" xfId="11291"/>
    <cellStyle name="Comma 25 3 12" xfId="5073"/>
    <cellStyle name="Comma 25 3 12 2" xfId="11292"/>
    <cellStyle name="Comma 25 3 13" xfId="5074"/>
    <cellStyle name="Comma 25 3 13 2" xfId="11293"/>
    <cellStyle name="Comma 25 3 14" xfId="5075"/>
    <cellStyle name="Comma 25 3 14 2" xfId="11294"/>
    <cellStyle name="Comma 25 3 15" xfId="5076"/>
    <cellStyle name="Comma 25 3 15 2" xfId="11295"/>
    <cellStyle name="Comma 25 3 16" xfId="5077"/>
    <cellStyle name="Comma 25 3 16 2" xfId="11296"/>
    <cellStyle name="Comma 25 3 17" xfId="5078"/>
    <cellStyle name="Comma 25 3 17 2" xfId="11297"/>
    <cellStyle name="Comma 25 3 18" xfId="5079"/>
    <cellStyle name="Comma 25 3 18 2" xfId="11298"/>
    <cellStyle name="Comma 25 3 19" xfId="11289"/>
    <cellStyle name="Comma 25 3 2" xfId="5080"/>
    <cellStyle name="Comma 25 3 2 2" xfId="11299"/>
    <cellStyle name="Comma 25 3 3" xfId="5081"/>
    <cellStyle name="Comma 25 3 3 2" xfId="11300"/>
    <cellStyle name="Comma 25 3 4" xfId="5082"/>
    <cellStyle name="Comma 25 3 4 2" xfId="11301"/>
    <cellStyle name="Comma 25 3 5" xfId="5083"/>
    <cellStyle name="Comma 25 3 5 2" xfId="11302"/>
    <cellStyle name="Comma 25 3 6" xfId="5084"/>
    <cellStyle name="Comma 25 3 6 2" xfId="11303"/>
    <cellStyle name="Comma 25 3 7" xfId="5085"/>
    <cellStyle name="Comma 25 3 7 2" xfId="11304"/>
    <cellStyle name="Comma 25 3 8" xfId="5086"/>
    <cellStyle name="Comma 25 3 8 2" xfId="11305"/>
    <cellStyle name="Comma 25 3 9" xfId="5087"/>
    <cellStyle name="Comma 25 3 9 2" xfId="11306"/>
    <cellStyle name="Comma 25 4" xfId="5088"/>
    <cellStyle name="Comma 25 4 2" xfId="11307"/>
    <cellStyle name="Comma 27 2" xfId="5089"/>
    <cellStyle name="Comma 27 2 2" xfId="11308"/>
    <cellStyle name="Comma 3" xfId="79"/>
    <cellStyle name="Comma 3 10" xfId="7286"/>
    <cellStyle name="Comma 3 10 2" xfId="7287"/>
    <cellStyle name="Comma 3 10 2 2" xfId="11310"/>
    <cellStyle name="Comma 3 10 2 3" xfId="16682"/>
    <cellStyle name="Comma 3 10 2 3 2" xfId="32903"/>
    <cellStyle name="Comma 3 10 3" xfId="7288"/>
    <cellStyle name="Comma 3 10 3 2" xfId="11311"/>
    <cellStyle name="Comma 3 10 4" xfId="11309"/>
    <cellStyle name="Comma 3 10 5" xfId="15097"/>
    <cellStyle name="Comma 3 10 5 2" xfId="31319"/>
    <cellStyle name="Comma 3 11" xfId="7289"/>
    <cellStyle name="Comma 3 11 2" xfId="7290"/>
    <cellStyle name="Comma 3 11 2 2" xfId="11313"/>
    <cellStyle name="Comma 3 11 3" xfId="11312"/>
    <cellStyle name="Comma 3 11 4" xfId="15890"/>
    <cellStyle name="Comma 3 11 4 2" xfId="32111"/>
    <cellStyle name="Comma 3 12" xfId="7291"/>
    <cellStyle name="Comma 3 12 2" xfId="11314"/>
    <cellStyle name="Comma 3 13" xfId="14240"/>
    <cellStyle name="Comma 3 13 2" xfId="30524"/>
    <cellStyle name="Comma 3 14" xfId="20977"/>
    <cellStyle name="Comma 3 15" xfId="14201"/>
    <cellStyle name="Comma 3 16" xfId="4895"/>
    <cellStyle name="Comma 3 17" xfId="21004"/>
    <cellStyle name="Comma 3 17 2" xfId="37216"/>
    <cellStyle name="Comma 3 18" xfId="22502"/>
    <cellStyle name="Comma 3 19" xfId="39552"/>
    <cellStyle name="Comma 3 2" xfId="80"/>
    <cellStyle name="Comma 3 2 10" xfId="5091"/>
    <cellStyle name="Comma 3 2 10 2" xfId="11315"/>
    <cellStyle name="Comma 3 2 11" xfId="5092"/>
    <cellStyle name="Comma 3 2 11 2" xfId="11316"/>
    <cellStyle name="Comma 3 2 12" xfId="5093"/>
    <cellStyle name="Comma 3 2 12 2" xfId="11317"/>
    <cellStyle name="Comma 3 2 13" xfId="5094"/>
    <cellStyle name="Comma 3 2 13 2" xfId="11318"/>
    <cellStyle name="Comma 3 2 14" xfId="5095"/>
    <cellStyle name="Comma 3 2 14 2" xfId="11319"/>
    <cellStyle name="Comma 3 2 15" xfId="5096"/>
    <cellStyle name="Comma 3 2 15 2" xfId="11320"/>
    <cellStyle name="Comma 3 2 16" xfId="5097"/>
    <cellStyle name="Comma 3 2 16 2" xfId="11321"/>
    <cellStyle name="Comma 3 2 17" xfId="5098"/>
    <cellStyle name="Comma 3 2 17 2" xfId="11322"/>
    <cellStyle name="Comma 3 2 18" xfId="5099"/>
    <cellStyle name="Comma 3 2 18 2" xfId="11323"/>
    <cellStyle name="Comma 3 2 19" xfId="5100"/>
    <cellStyle name="Comma 3 2 19 2" xfId="11324"/>
    <cellStyle name="Comma 3 2 2" xfId="5101"/>
    <cellStyle name="Comma 3 2 2 2" xfId="11325"/>
    <cellStyle name="Comma 3 2 20" xfId="5102"/>
    <cellStyle name="Comma 3 2 20 2" xfId="11326"/>
    <cellStyle name="Comma 3 2 21" xfId="5103"/>
    <cellStyle name="Comma 3 2 21 2" xfId="11327"/>
    <cellStyle name="Comma 3 2 22" xfId="5104"/>
    <cellStyle name="Comma 3 2 22 2" xfId="11328"/>
    <cellStyle name="Comma 3 2 23" xfId="5105"/>
    <cellStyle name="Comma 3 2 23 2" xfId="11329"/>
    <cellStyle name="Comma 3 2 24" xfId="5106"/>
    <cellStyle name="Comma 3 2 24 2" xfId="11330"/>
    <cellStyle name="Comma 3 2 25" xfId="5107"/>
    <cellStyle name="Comma 3 2 25 2" xfId="11331"/>
    <cellStyle name="Comma 3 2 26" xfId="5108"/>
    <cellStyle name="Comma 3 2 26 2" xfId="11332"/>
    <cellStyle name="Comma 3 2 27" xfId="5109"/>
    <cellStyle name="Comma 3 2 27 2" xfId="11333"/>
    <cellStyle name="Comma 3 2 28" xfId="5110"/>
    <cellStyle name="Comma 3 2 28 2" xfId="11334"/>
    <cellStyle name="Comma 3 2 29" xfId="5111"/>
    <cellStyle name="Comma 3 2 29 2" xfId="11335"/>
    <cellStyle name="Comma 3 2 3" xfId="5112"/>
    <cellStyle name="Comma 3 2 3 2" xfId="11336"/>
    <cellStyle name="Comma 3 2 30" xfId="5113"/>
    <cellStyle name="Comma 3 2 30 2" xfId="11337"/>
    <cellStyle name="Comma 3 2 31" xfId="5114"/>
    <cellStyle name="Comma 3 2 31 2" xfId="11338"/>
    <cellStyle name="Comma 3 2 32" xfId="5115"/>
    <cellStyle name="Comma 3 2 32 2" xfId="11339"/>
    <cellStyle name="Comma 3 2 33" xfId="5116"/>
    <cellStyle name="Comma 3 2 33 2" xfId="11340"/>
    <cellStyle name="Comma 3 2 34" xfId="5117"/>
    <cellStyle name="Comma 3 2 34 2" xfId="11341"/>
    <cellStyle name="Comma 3 2 35" xfId="5118"/>
    <cellStyle name="Comma 3 2 35 2" xfId="11342"/>
    <cellStyle name="Comma 3 2 36" xfId="5119"/>
    <cellStyle name="Comma 3 2 36 2" xfId="11343"/>
    <cellStyle name="Comma 3 2 37" xfId="5120"/>
    <cellStyle name="Comma 3 2 37 2" xfId="11344"/>
    <cellStyle name="Comma 3 2 38" xfId="5121"/>
    <cellStyle name="Comma 3 2 38 2" xfId="11345"/>
    <cellStyle name="Comma 3 2 39" xfId="5122"/>
    <cellStyle name="Comma 3 2 39 2" xfId="11346"/>
    <cellStyle name="Comma 3 2 4" xfId="5123"/>
    <cellStyle name="Comma 3 2 4 2" xfId="11347"/>
    <cellStyle name="Comma 3 2 40" xfId="5090"/>
    <cellStyle name="Comma 3 2 41" xfId="4950"/>
    <cellStyle name="Comma 3 2 42" xfId="38746"/>
    <cellStyle name="Comma 3 2 43" xfId="361"/>
    <cellStyle name="Comma 3 2 5" xfId="5124"/>
    <cellStyle name="Comma 3 2 5 2" xfId="11348"/>
    <cellStyle name="Comma 3 2 6" xfId="5125"/>
    <cellStyle name="Comma 3 2 6 2" xfId="11349"/>
    <cellStyle name="Comma 3 2 7" xfId="5126"/>
    <cellStyle name="Comma 3 2 7 2" xfId="11350"/>
    <cellStyle name="Comma 3 2 8" xfId="5127"/>
    <cellStyle name="Comma 3 2 8 2" xfId="11351"/>
    <cellStyle name="Comma 3 2 9" xfId="5128"/>
    <cellStyle name="Comma 3 2 9 2" xfId="11352"/>
    <cellStyle name="Comma 3 20" xfId="296"/>
    <cellStyle name="Comma 3 3" xfId="81"/>
    <cellStyle name="Comma 3 3 10" xfId="5129"/>
    <cellStyle name="Comma 3 3 10 2" xfId="11354"/>
    <cellStyle name="Comma 3 3 11" xfId="5130"/>
    <cellStyle name="Comma 3 3 11 2" xfId="11355"/>
    <cellStyle name="Comma 3 3 12" xfId="5131"/>
    <cellStyle name="Comma 3 3 12 2" xfId="11356"/>
    <cellStyle name="Comma 3 3 13" xfId="5132"/>
    <cellStyle name="Comma 3 3 13 2" xfId="11357"/>
    <cellStyle name="Comma 3 3 14" xfId="5133"/>
    <cellStyle name="Comma 3 3 14 2" xfId="11358"/>
    <cellStyle name="Comma 3 3 15" xfId="5134"/>
    <cellStyle name="Comma 3 3 15 2" xfId="11359"/>
    <cellStyle name="Comma 3 3 16" xfId="5135"/>
    <cellStyle name="Comma 3 3 16 2" xfId="11360"/>
    <cellStyle name="Comma 3 3 17" xfId="5136"/>
    <cellStyle name="Comma 3 3 17 2" xfId="11361"/>
    <cellStyle name="Comma 3 3 18" xfId="5137"/>
    <cellStyle name="Comma 3 3 18 2" xfId="11362"/>
    <cellStyle name="Comma 3 3 19" xfId="5138"/>
    <cellStyle name="Comma 3 3 19 2" xfId="11363"/>
    <cellStyle name="Comma 3 3 2" xfId="5139"/>
    <cellStyle name="Comma 3 3 2 2" xfId="11364"/>
    <cellStyle name="Comma 3 3 20" xfId="5140"/>
    <cellStyle name="Comma 3 3 20 2" xfId="11365"/>
    <cellStyle name="Comma 3 3 21" xfId="5141"/>
    <cellStyle name="Comma 3 3 21 2" xfId="11366"/>
    <cellStyle name="Comma 3 3 22" xfId="5142"/>
    <cellStyle name="Comma 3 3 22 2" xfId="11367"/>
    <cellStyle name="Comma 3 3 23" xfId="5143"/>
    <cellStyle name="Comma 3 3 23 2" xfId="11368"/>
    <cellStyle name="Comma 3 3 24" xfId="5144"/>
    <cellStyle name="Comma 3 3 24 2" xfId="11369"/>
    <cellStyle name="Comma 3 3 25" xfId="5145"/>
    <cellStyle name="Comma 3 3 25 2" xfId="11370"/>
    <cellStyle name="Comma 3 3 26" xfId="5146"/>
    <cellStyle name="Comma 3 3 26 2" xfId="11371"/>
    <cellStyle name="Comma 3 3 27" xfId="5147"/>
    <cellStyle name="Comma 3 3 27 2" xfId="11372"/>
    <cellStyle name="Comma 3 3 28" xfId="5148"/>
    <cellStyle name="Comma 3 3 28 2" xfId="11373"/>
    <cellStyle name="Comma 3 3 29" xfId="5149"/>
    <cellStyle name="Comma 3 3 29 2" xfId="11374"/>
    <cellStyle name="Comma 3 3 3" xfId="5150"/>
    <cellStyle name="Comma 3 3 3 2" xfId="11375"/>
    <cellStyle name="Comma 3 3 30" xfId="5151"/>
    <cellStyle name="Comma 3 3 30 2" xfId="11376"/>
    <cellStyle name="Comma 3 3 31" xfId="5152"/>
    <cellStyle name="Comma 3 3 31 2" xfId="11377"/>
    <cellStyle name="Comma 3 3 32" xfId="5153"/>
    <cellStyle name="Comma 3 3 32 2" xfId="11378"/>
    <cellStyle name="Comma 3 3 33" xfId="5154"/>
    <cellStyle name="Comma 3 3 33 2" xfId="11379"/>
    <cellStyle name="Comma 3 3 34" xfId="5155"/>
    <cellStyle name="Comma 3 3 34 2" xfId="11380"/>
    <cellStyle name="Comma 3 3 35" xfId="5156"/>
    <cellStyle name="Comma 3 3 35 2" xfId="11381"/>
    <cellStyle name="Comma 3 3 36" xfId="5157"/>
    <cellStyle name="Comma 3 3 36 2" xfId="11382"/>
    <cellStyle name="Comma 3 3 37" xfId="5158"/>
    <cellStyle name="Comma 3 3 37 2" xfId="11383"/>
    <cellStyle name="Comma 3 3 38" xfId="5159"/>
    <cellStyle name="Comma 3 3 38 2" xfId="11384"/>
    <cellStyle name="Comma 3 3 39" xfId="5160"/>
    <cellStyle name="Comma 3 3 39 2" xfId="11385"/>
    <cellStyle name="Comma 3 3 4" xfId="5161"/>
    <cellStyle name="Comma 3 3 4 2" xfId="11386"/>
    <cellStyle name="Comma 3 3 40" xfId="11353"/>
    <cellStyle name="Comma 3 3 41" xfId="38834"/>
    <cellStyle name="Comma 3 3 42" xfId="363"/>
    <cellStyle name="Comma 3 3 5" xfId="5162"/>
    <cellStyle name="Comma 3 3 5 2" xfId="11387"/>
    <cellStyle name="Comma 3 3 6" xfId="5163"/>
    <cellStyle name="Comma 3 3 6 2" xfId="11388"/>
    <cellStyle name="Comma 3 3 7" xfId="5164"/>
    <cellStyle name="Comma 3 3 7 2" xfId="11389"/>
    <cellStyle name="Comma 3 3 8" xfId="5165"/>
    <cellStyle name="Comma 3 3 8 2" xfId="11390"/>
    <cellStyle name="Comma 3 3 9" xfId="5166"/>
    <cellStyle name="Comma 3 3 9 2" xfId="11391"/>
    <cellStyle name="Comma 3 4" xfId="82"/>
    <cellStyle name="Comma 3 4 10" xfId="11392"/>
    <cellStyle name="Comma 3 4 11" xfId="14244"/>
    <cellStyle name="Comma 3 4 11 2" xfId="30528"/>
    <cellStyle name="Comma 3 4 12" xfId="7292"/>
    <cellStyle name="Comma 3 4 13" xfId="4960"/>
    <cellStyle name="Comma 3 4 14" xfId="21032"/>
    <cellStyle name="Comma 3 4 14 2" xfId="37244"/>
    <cellStyle name="Comma 3 4 15" xfId="22530"/>
    <cellStyle name="Comma 3 4 16" xfId="38874"/>
    <cellStyle name="Comma 3 4 17" xfId="325"/>
    <cellStyle name="Comma 3 4 2" xfId="268"/>
    <cellStyle name="Comma 3 4 2 10" xfId="14339"/>
    <cellStyle name="Comma 3 4 2 10 2" xfId="30561"/>
    <cellStyle name="Comma 3 4 2 11" xfId="7293"/>
    <cellStyle name="Comma 3 4 2 12" xfId="24028"/>
    <cellStyle name="Comma 3 4 2 13" xfId="1860"/>
    <cellStyle name="Comma 3 4 2 2" xfId="7294"/>
    <cellStyle name="Comma 3 4 2 2 2" xfId="7295"/>
    <cellStyle name="Comma 3 4 2 2 2 2" xfId="7296"/>
    <cellStyle name="Comma 3 4 2 2 2 2 2" xfId="7297"/>
    <cellStyle name="Comma 3 4 2 2 2 2 2 2" xfId="7298"/>
    <cellStyle name="Comma 3 4 2 2 2 2 2 2 2" xfId="11398"/>
    <cellStyle name="Comma 3 4 2 2 2 2 2 2 3" xfId="17178"/>
    <cellStyle name="Comma 3 4 2 2 2 2 2 2 3 2" xfId="33399"/>
    <cellStyle name="Comma 3 4 2 2 2 2 2 3" xfId="7299"/>
    <cellStyle name="Comma 3 4 2 2 2 2 2 3 2" xfId="11399"/>
    <cellStyle name="Comma 3 4 2 2 2 2 2 4" xfId="11397"/>
    <cellStyle name="Comma 3 4 2 2 2 2 2 5" xfId="15593"/>
    <cellStyle name="Comma 3 4 2 2 2 2 2 5 2" xfId="31815"/>
    <cellStyle name="Comma 3 4 2 2 2 2 3" xfId="7300"/>
    <cellStyle name="Comma 3 4 2 2 2 2 3 2" xfId="11400"/>
    <cellStyle name="Comma 3 4 2 2 2 2 3 3" xfId="16386"/>
    <cellStyle name="Comma 3 4 2 2 2 2 3 3 2" xfId="32607"/>
    <cellStyle name="Comma 3 4 2 2 2 2 4" xfId="7301"/>
    <cellStyle name="Comma 3 4 2 2 2 2 4 2" xfId="11401"/>
    <cellStyle name="Comma 3 4 2 2 2 2 5" xfId="11396"/>
    <cellStyle name="Comma 3 4 2 2 2 2 6" xfId="14801"/>
    <cellStyle name="Comma 3 4 2 2 2 2 6 2" xfId="31023"/>
    <cellStyle name="Comma 3 4 2 2 2 3" xfId="7302"/>
    <cellStyle name="Comma 3 4 2 2 2 3 2" xfId="7303"/>
    <cellStyle name="Comma 3 4 2 2 2 3 2 2" xfId="7304"/>
    <cellStyle name="Comma 3 4 2 2 2 3 2 2 2" xfId="11404"/>
    <cellStyle name="Comma 3 4 2 2 2 3 2 2 3" xfId="17442"/>
    <cellStyle name="Comma 3 4 2 2 2 3 2 2 3 2" xfId="33663"/>
    <cellStyle name="Comma 3 4 2 2 2 3 2 3" xfId="7305"/>
    <cellStyle name="Comma 3 4 2 2 2 3 2 3 2" xfId="11405"/>
    <cellStyle name="Comma 3 4 2 2 2 3 2 4" xfId="11403"/>
    <cellStyle name="Comma 3 4 2 2 2 3 2 5" xfId="15857"/>
    <cellStyle name="Comma 3 4 2 2 2 3 2 5 2" xfId="32079"/>
    <cellStyle name="Comma 3 4 2 2 2 3 3" xfId="7306"/>
    <cellStyle name="Comma 3 4 2 2 2 3 3 2" xfId="11406"/>
    <cellStyle name="Comma 3 4 2 2 2 3 3 3" xfId="16650"/>
    <cellStyle name="Comma 3 4 2 2 2 3 3 3 2" xfId="32871"/>
    <cellStyle name="Comma 3 4 2 2 2 3 4" xfId="7307"/>
    <cellStyle name="Comma 3 4 2 2 2 3 4 2" xfId="11407"/>
    <cellStyle name="Comma 3 4 2 2 2 3 5" xfId="11402"/>
    <cellStyle name="Comma 3 4 2 2 2 3 6" xfId="15065"/>
    <cellStyle name="Comma 3 4 2 2 2 3 6 2" xfId="31287"/>
    <cellStyle name="Comma 3 4 2 2 2 4" xfId="7308"/>
    <cellStyle name="Comma 3 4 2 2 2 4 2" xfId="7309"/>
    <cellStyle name="Comma 3 4 2 2 2 4 2 2" xfId="11409"/>
    <cellStyle name="Comma 3 4 2 2 2 4 2 3" xfId="16914"/>
    <cellStyle name="Comma 3 4 2 2 2 4 2 3 2" xfId="33135"/>
    <cellStyle name="Comma 3 4 2 2 2 4 3" xfId="7310"/>
    <cellStyle name="Comma 3 4 2 2 2 4 3 2" xfId="11410"/>
    <cellStyle name="Comma 3 4 2 2 2 4 4" xfId="11408"/>
    <cellStyle name="Comma 3 4 2 2 2 4 5" xfId="15329"/>
    <cellStyle name="Comma 3 4 2 2 2 4 5 2" xfId="31551"/>
    <cellStyle name="Comma 3 4 2 2 2 5" xfId="7311"/>
    <cellStyle name="Comma 3 4 2 2 2 5 2" xfId="11411"/>
    <cellStyle name="Comma 3 4 2 2 2 5 3" xfId="16122"/>
    <cellStyle name="Comma 3 4 2 2 2 5 3 2" xfId="32343"/>
    <cellStyle name="Comma 3 4 2 2 2 6" xfId="7312"/>
    <cellStyle name="Comma 3 4 2 2 2 6 2" xfId="11412"/>
    <cellStyle name="Comma 3 4 2 2 2 7" xfId="11395"/>
    <cellStyle name="Comma 3 4 2 2 2 8" xfId="14537"/>
    <cellStyle name="Comma 3 4 2 2 2 8 2" xfId="30759"/>
    <cellStyle name="Comma 3 4 2 2 3" xfId="7313"/>
    <cellStyle name="Comma 3 4 2 2 3 2" xfId="7314"/>
    <cellStyle name="Comma 3 4 2 2 3 2 2" xfId="7315"/>
    <cellStyle name="Comma 3 4 2 2 3 2 2 2" xfId="11415"/>
    <cellStyle name="Comma 3 4 2 2 3 2 2 3" xfId="17046"/>
    <cellStyle name="Comma 3 4 2 2 3 2 2 3 2" xfId="33267"/>
    <cellStyle name="Comma 3 4 2 2 3 2 3" xfId="7316"/>
    <cellStyle name="Comma 3 4 2 2 3 2 3 2" xfId="11416"/>
    <cellStyle name="Comma 3 4 2 2 3 2 4" xfId="11414"/>
    <cellStyle name="Comma 3 4 2 2 3 2 5" xfId="15461"/>
    <cellStyle name="Comma 3 4 2 2 3 2 5 2" xfId="31683"/>
    <cellStyle name="Comma 3 4 2 2 3 3" xfId="7317"/>
    <cellStyle name="Comma 3 4 2 2 3 3 2" xfId="11417"/>
    <cellStyle name="Comma 3 4 2 2 3 3 3" xfId="16254"/>
    <cellStyle name="Comma 3 4 2 2 3 3 3 2" xfId="32475"/>
    <cellStyle name="Comma 3 4 2 2 3 4" xfId="7318"/>
    <cellStyle name="Comma 3 4 2 2 3 4 2" xfId="11418"/>
    <cellStyle name="Comma 3 4 2 2 3 5" xfId="11413"/>
    <cellStyle name="Comma 3 4 2 2 3 6" xfId="14669"/>
    <cellStyle name="Comma 3 4 2 2 3 6 2" xfId="30891"/>
    <cellStyle name="Comma 3 4 2 2 4" xfId="7319"/>
    <cellStyle name="Comma 3 4 2 2 4 2" xfId="7320"/>
    <cellStyle name="Comma 3 4 2 2 4 2 2" xfId="7321"/>
    <cellStyle name="Comma 3 4 2 2 4 2 2 2" xfId="11421"/>
    <cellStyle name="Comma 3 4 2 2 4 2 2 3" xfId="17310"/>
    <cellStyle name="Comma 3 4 2 2 4 2 2 3 2" xfId="33531"/>
    <cellStyle name="Comma 3 4 2 2 4 2 3" xfId="7322"/>
    <cellStyle name="Comma 3 4 2 2 4 2 3 2" xfId="11422"/>
    <cellStyle name="Comma 3 4 2 2 4 2 4" xfId="11420"/>
    <cellStyle name="Comma 3 4 2 2 4 2 5" xfId="15725"/>
    <cellStyle name="Comma 3 4 2 2 4 2 5 2" xfId="31947"/>
    <cellStyle name="Comma 3 4 2 2 4 3" xfId="7323"/>
    <cellStyle name="Comma 3 4 2 2 4 3 2" xfId="11423"/>
    <cellStyle name="Comma 3 4 2 2 4 3 3" xfId="16518"/>
    <cellStyle name="Comma 3 4 2 2 4 3 3 2" xfId="32739"/>
    <cellStyle name="Comma 3 4 2 2 4 4" xfId="7324"/>
    <cellStyle name="Comma 3 4 2 2 4 4 2" xfId="11424"/>
    <cellStyle name="Comma 3 4 2 2 4 5" xfId="11419"/>
    <cellStyle name="Comma 3 4 2 2 4 6" xfId="14933"/>
    <cellStyle name="Comma 3 4 2 2 4 6 2" xfId="31155"/>
    <cellStyle name="Comma 3 4 2 2 5" xfId="7325"/>
    <cellStyle name="Comma 3 4 2 2 5 2" xfId="7326"/>
    <cellStyle name="Comma 3 4 2 2 5 2 2" xfId="11426"/>
    <cellStyle name="Comma 3 4 2 2 5 2 3" xfId="16782"/>
    <cellStyle name="Comma 3 4 2 2 5 2 3 2" xfId="33003"/>
    <cellStyle name="Comma 3 4 2 2 5 3" xfId="7327"/>
    <cellStyle name="Comma 3 4 2 2 5 3 2" xfId="11427"/>
    <cellStyle name="Comma 3 4 2 2 5 4" xfId="11425"/>
    <cellStyle name="Comma 3 4 2 2 5 5" xfId="15197"/>
    <cellStyle name="Comma 3 4 2 2 5 5 2" xfId="31419"/>
    <cellStyle name="Comma 3 4 2 2 6" xfId="7328"/>
    <cellStyle name="Comma 3 4 2 2 6 2" xfId="11428"/>
    <cellStyle name="Comma 3 4 2 2 6 3" xfId="15990"/>
    <cellStyle name="Comma 3 4 2 2 6 3 2" xfId="32211"/>
    <cellStyle name="Comma 3 4 2 2 7" xfId="7329"/>
    <cellStyle name="Comma 3 4 2 2 7 2" xfId="11429"/>
    <cellStyle name="Comma 3 4 2 2 8" xfId="11394"/>
    <cellStyle name="Comma 3 4 2 2 9" xfId="14405"/>
    <cellStyle name="Comma 3 4 2 2 9 2" xfId="30627"/>
    <cellStyle name="Comma 3 4 2 3" xfId="7330"/>
    <cellStyle name="Comma 3 4 2 3 2" xfId="7331"/>
    <cellStyle name="Comma 3 4 2 3 2 2" xfId="7332"/>
    <cellStyle name="Comma 3 4 2 3 2 2 2" xfId="7333"/>
    <cellStyle name="Comma 3 4 2 3 2 2 2 2" xfId="11433"/>
    <cellStyle name="Comma 3 4 2 3 2 2 2 3" xfId="17112"/>
    <cellStyle name="Comma 3 4 2 3 2 2 2 3 2" xfId="33333"/>
    <cellStyle name="Comma 3 4 2 3 2 2 3" xfId="7334"/>
    <cellStyle name="Comma 3 4 2 3 2 2 3 2" xfId="11434"/>
    <cellStyle name="Comma 3 4 2 3 2 2 4" xfId="11432"/>
    <cellStyle name="Comma 3 4 2 3 2 2 5" xfId="15527"/>
    <cellStyle name="Comma 3 4 2 3 2 2 5 2" xfId="31749"/>
    <cellStyle name="Comma 3 4 2 3 2 3" xfId="7335"/>
    <cellStyle name="Comma 3 4 2 3 2 3 2" xfId="11435"/>
    <cellStyle name="Comma 3 4 2 3 2 3 3" xfId="16320"/>
    <cellStyle name="Comma 3 4 2 3 2 3 3 2" xfId="32541"/>
    <cellStyle name="Comma 3 4 2 3 2 4" xfId="7336"/>
    <cellStyle name="Comma 3 4 2 3 2 4 2" xfId="11436"/>
    <cellStyle name="Comma 3 4 2 3 2 5" xfId="11431"/>
    <cellStyle name="Comma 3 4 2 3 2 6" xfId="14735"/>
    <cellStyle name="Comma 3 4 2 3 2 6 2" xfId="30957"/>
    <cellStyle name="Comma 3 4 2 3 3" xfId="7337"/>
    <cellStyle name="Comma 3 4 2 3 3 2" xfId="7338"/>
    <cellStyle name="Comma 3 4 2 3 3 2 2" xfId="7339"/>
    <cellStyle name="Comma 3 4 2 3 3 2 2 2" xfId="11439"/>
    <cellStyle name="Comma 3 4 2 3 3 2 2 3" xfId="17376"/>
    <cellStyle name="Comma 3 4 2 3 3 2 2 3 2" xfId="33597"/>
    <cellStyle name="Comma 3 4 2 3 3 2 3" xfId="7340"/>
    <cellStyle name="Comma 3 4 2 3 3 2 3 2" xfId="11440"/>
    <cellStyle name="Comma 3 4 2 3 3 2 4" xfId="11438"/>
    <cellStyle name="Comma 3 4 2 3 3 2 5" xfId="15791"/>
    <cellStyle name="Comma 3 4 2 3 3 2 5 2" xfId="32013"/>
    <cellStyle name="Comma 3 4 2 3 3 3" xfId="7341"/>
    <cellStyle name="Comma 3 4 2 3 3 3 2" xfId="11441"/>
    <cellStyle name="Comma 3 4 2 3 3 3 3" xfId="16584"/>
    <cellStyle name="Comma 3 4 2 3 3 3 3 2" xfId="32805"/>
    <cellStyle name="Comma 3 4 2 3 3 4" xfId="7342"/>
    <cellStyle name="Comma 3 4 2 3 3 4 2" xfId="11442"/>
    <cellStyle name="Comma 3 4 2 3 3 5" xfId="11437"/>
    <cellStyle name="Comma 3 4 2 3 3 6" xfId="14999"/>
    <cellStyle name="Comma 3 4 2 3 3 6 2" xfId="31221"/>
    <cellStyle name="Comma 3 4 2 3 4" xfId="7343"/>
    <cellStyle name="Comma 3 4 2 3 4 2" xfId="7344"/>
    <cellStyle name="Comma 3 4 2 3 4 2 2" xfId="11444"/>
    <cellStyle name="Comma 3 4 2 3 4 2 3" xfId="16848"/>
    <cellStyle name="Comma 3 4 2 3 4 2 3 2" xfId="33069"/>
    <cellStyle name="Comma 3 4 2 3 4 3" xfId="7345"/>
    <cellStyle name="Comma 3 4 2 3 4 3 2" xfId="11445"/>
    <cellStyle name="Comma 3 4 2 3 4 4" xfId="11443"/>
    <cellStyle name="Comma 3 4 2 3 4 5" xfId="15263"/>
    <cellStyle name="Comma 3 4 2 3 4 5 2" xfId="31485"/>
    <cellStyle name="Comma 3 4 2 3 5" xfId="7346"/>
    <cellStyle name="Comma 3 4 2 3 5 2" xfId="11446"/>
    <cellStyle name="Comma 3 4 2 3 5 3" xfId="16056"/>
    <cellStyle name="Comma 3 4 2 3 5 3 2" xfId="32277"/>
    <cellStyle name="Comma 3 4 2 3 6" xfId="7347"/>
    <cellStyle name="Comma 3 4 2 3 6 2" xfId="11447"/>
    <cellStyle name="Comma 3 4 2 3 7" xfId="11430"/>
    <cellStyle name="Comma 3 4 2 3 8" xfId="14471"/>
    <cellStyle name="Comma 3 4 2 3 8 2" xfId="30693"/>
    <cellStyle name="Comma 3 4 2 4" xfId="7348"/>
    <cellStyle name="Comma 3 4 2 4 2" xfId="7349"/>
    <cellStyle name="Comma 3 4 2 4 2 2" xfId="7350"/>
    <cellStyle name="Comma 3 4 2 4 2 2 2" xfId="11450"/>
    <cellStyle name="Comma 3 4 2 4 2 2 3" xfId="16980"/>
    <cellStyle name="Comma 3 4 2 4 2 2 3 2" xfId="33201"/>
    <cellStyle name="Comma 3 4 2 4 2 3" xfId="7351"/>
    <cellStyle name="Comma 3 4 2 4 2 3 2" xfId="11451"/>
    <cellStyle name="Comma 3 4 2 4 2 4" xfId="11449"/>
    <cellStyle name="Comma 3 4 2 4 2 5" xfId="15395"/>
    <cellStyle name="Comma 3 4 2 4 2 5 2" xfId="31617"/>
    <cellStyle name="Comma 3 4 2 4 3" xfId="7352"/>
    <cellStyle name="Comma 3 4 2 4 3 2" xfId="11452"/>
    <cellStyle name="Comma 3 4 2 4 3 3" xfId="16188"/>
    <cellStyle name="Comma 3 4 2 4 3 3 2" xfId="32409"/>
    <cellStyle name="Comma 3 4 2 4 4" xfId="7353"/>
    <cellStyle name="Comma 3 4 2 4 4 2" xfId="11453"/>
    <cellStyle name="Comma 3 4 2 4 5" xfId="11448"/>
    <cellStyle name="Comma 3 4 2 4 6" xfId="14603"/>
    <cellStyle name="Comma 3 4 2 4 6 2" xfId="30825"/>
    <cellStyle name="Comma 3 4 2 5" xfId="7354"/>
    <cellStyle name="Comma 3 4 2 5 2" xfId="7355"/>
    <cellStyle name="Comma 3 4 2 5 2 2" xfId="7356"/>
    <cellStyle name="Comma 3 4 2 5 2 2 2" xfId="11456"/>
    <cellStyle name="Comma 3 4 2 5 2 2 3" xfId="17244"/>
    <cellStyle name="Comma 3 4 2 5 2 2 3 2" xfId="33465"/>
    <cellStyle name="Comma 3 4 2 5 2 3" xfId="7357"/>
    <cellStyle name="Comma 3 4 2 5 2 3 2" xfId="11457"/>
    <cellStyle name="Comma 3 4 2 5 2 4" xfId="11455"/>
    <cellStyle name="Comma 3 4 2 5 2 5" xfId="15659"/>
    <cellStyle name="Comma 3 4 2 5 2 5 2" xfId="31881"/>
    <cellStyle name="Comma 3 4 2 5 3" xfId="7358"/>
    <cellStyle name="Comma 3 4 2 5 3 2" xfId="11458"/>
    <cellStyle name="Comma 3 4 2 5 3 3" xfId="16452"/>
    <cellStyle name="Comma 3 4 2 5 3 3 2" xfId="32673"/>
    <cellStyle name="Comma 3 4 2 5 4" xfId="7359"/>
    <cellStyle name="Comma 3 4 2 5 4 2" xfId="11459"/>
    <cellStyle name="Comma 3 4 2 5 5" xfId="11454"/>
    <cellStyle name="Comma 3 4 2 5 6" xfId="14867"/>
    <cellStyle name="Comma 3 4 2 5 6 2" xfId="31089"/>
    <cellStyle name="Comma 3 4 2 6" xfId="7360"/>
    <cellStyle name="Comma 3 4 2 6 2" xfId="7361"/>
    <cellStyle name="Comma 3 4 2 6 2 2" xfId="11461"/>
    <cellStyle name="Comma 3 4 2 6 2 3" xfId="16716"/>
    <cellStyle name="Comma 3 4 2 6 2 3 2" xfId="32937"/>
    <cellStyle name="Comma 3 4 2 6 3" xfId="7362"/>
    <cellStyle name="Comma 3 4 2 6 3 2" xfId="11462"/>
    <cellStyle name="Comma 3 4 2 6 4" xfId="11460"/>
    <cellStyle name="Comma 3 4 2 6 5" xfId="15131"/>
    <cellStyle name="Comma 3 4 2 6 5 2" xfId="31353"/>
    <cellStyle name="Comma 3 4 2 7" xfId="7363"/>
    <cellStyle name="Comma 3 4 2 7 2" xfId="11463"/>
    <cellStyle name="Comma 3 4 2 7 3" xfId="15924"/>
    <cellStyle name="Comma 3 4 2 7 3 2" xfId="32145"/>
    <cellStyle name="Comma 3 4 2 8" xfId="7364"/>
    <cellStyle name="Comma 3 4 2 8 2" xfId="11464"/>
    <cellStyle name="Comma 3 4 2 9" xfId="11393"/>
    <cellStyle name="Comma 3 4 3" xfId="3359"/>
    <cellStyle name="Comma 3 4 3 10" xfId="7365"/>
    <cellStyle name="Comma 3 4 3 11" xfId="25526"/>
    <cellStyle name="Comma 3 4 3 2" xfId="7366"/>
    <cellStyle name="Comma 3 4 3 2 2" xfId="7367"/>
    <cellStyle name="Comma 3 4 3 2 2 2" xfId="7368"/>
    <cellStyle name="Comma 3 4 3 2 2 2 2" xfId="7369"/>
    <cellStyle name="Comma 3 4 3 2 2 2 2 2" xfId="11469"/>
    <cellStyle name="Comma 3 4 3 2 2 2 2 3" xfId="17145"/>
    <cellStyle name="Comma 3 4 3 2 2 2 2 3 2" xfId="33366"/>
    <cellStyle name="Comma 3 4 3 2 2 2 3" xfId="7370"/>
    <cellStyle name="Comma 3 4 3 2 2 2 3 2" xfId="11470"/>
    <cellStyle name="Comma 3 4 3 2 2 2 4" xfId="11468"/>
    <cellStyle name="Comma 3 4 3 2 2 2 5" xfId="15560"/>
    <cellStyle name="Comma 3 4 3 2 2 2 5 2" xfId="31782"/>
    <cellStyle name="Comma 3 4 3 2 2 3" xfId="7371"/>
    <cellStyle name="Comma 3 4 3 2 2 3 2" xfId="11471"/>
    <cellStyle name="Comma 3 4 3 2 2 3 3" xfId="16353"/>
    <cellStyle name="Comma 3 4 3 2 2 3 3 2" xfId="32574"/>
    <cellStyle name="Comma 3 4 3 2 2 4" xfId="7372"/>
    <cellStyle name="Comma 3 4 3 2 2 4 2" xfId="11472"/>
    <cellStyle name="Comma 3 4 3 2 2 5" xfId="11467"/>
    <cellStyle name="Comma 3 4 3 2 2 6" xfId="14768"/>
    <cellStyle name="Comma 3 4 3 2 2 6 2" xfId="30990"/>
    <cellStyle name="Comma 3 4 3 2 3" xfId="7373"/>
    <cellStyle name="Comma 3 4 3 2 3 2" xfId="7374"/>
    <cellStyle name="Comma 3 4 3 2 3 2 2" xfId="7375"/>
    <cellStyle name="Comma 3 4 3 2 3 2 2 2" xfId="11475"/>
    <cellStyle name="Comma 3 4 3 2 3 2 2 3" xfId="17409"/>
    <cellStyle name="Comma 3 4 3 2 3 2 2 3 2" xfId="33630"/>
    <cellStyle name="Comma 3 4 3 2 3 2 3" xfId="7376"/>
    <cellStyle name="Comma 3 4 3 2 3 2 3 2" xfId="11476"/>
    <cellStyle name="Comma 3 4 3 2 3 2 4" xfId="11474"/>
    <cellStyle name="Comma 3 4 3 2 3 2 5" xfId="15824"/>
    <cellStyle name="Comma 3 4 3 2 3 2 5 2" xfId="32046"/>
    <cellStyle name="Comma 3 4 3 2 3 3" xfId="7377"/>
    <cellStyle name="Comma 3 4 3 2 3 3 2" xfId="11477"/>
    <cellStyle name="Comma 3 4 3 2 3 3 3" xfId="16617"/>
    <cellStyle name="Comma 3 4 3 2 3 3 3 2" xfId="32838"/>
    <cellStyle name="Comma 3 4 3 2 3 4" xfId="7378"/>
    <cellStyle name="Comma 3 4 3 2 3 4 2" xfId="11478"/>
    <cellStyle name="Comma 3 4 3 2 3 5" xfId="11473"/>
    <cellStyle name="Comma 3 4 3 2 3 6" xfId="15032"/>
    <cellStyle name="Comma 3 4 3 2 3 6 2" xfId="31254"/>
    <cellStyle name="Comma 3 4 3 2 4" xfId="7379"/>
    <cellStyle name="Comma 3 4 3 2 4 2" xfId="7380"/>
    <cellStyle name="Comma 3 4 3 2 4 2 2" xfId="11480"/>
    <cellStyle name="Comma 3 4 3 2 4 2 3" xfId="16881"/>
    <cellStyle name="Comma 3 4 3 2 4 2 3 2" xfId="33102"/>
    <cellStyle name="Comma 3 4 3 2 4 3" xfId="7381"/>
    <cellStyle name="Comma 3 4 3 2 4 3 2" xfId="11481"/>
    <cellStyle name="Comma 3 4 3 2 4 4" xfId="11479"/>
    <cellStyle name="Comma 3 4 3 2 4 5" xfId="15296"/>
    <cellStyle name="Comma 3 4 3 2 4 5 2" xfId="31518"/>
    <cellStyle name="Comma 3 4 3 2 5" xfId="7382"/>
    <cellStyle name="Comma 3 4 3 2 5 2" xfId="11482"/>
    <cellStyle name="Comma 3 4 3 2 5 3" xfId="16089"/>
    <cellStyle name="Comma 3 4 3 2 5 3 2" xfId="32310"/>
    <cellStyle name="Comma 3 4 3 2 6" xfId="7383"/>
    <cellStyle name="Comma 3 4 3 2 6 2" xfId="11483"/>
    <cellStyle name="Comma 3 4 3 2 7" xfId="11466"/>
    <cellStyle name="Comma 3 4 3 2 8" xfId="14504"/>
    <cellStyle name="Comma 3 4 3 2 8 2" xfId="30726"/>
    <cellStyle name="Comma 3 4 3 3" xfId="7384"/>
    <cellStyle name="Comma 3 4 3 3 2" xfId="7385"/>
    <cellStyle name="Comma 3 4 3 3 2 2" xfId="7386"/>
    <cellStyle name="Comma 3 4 3 3 2 2 2" xfId="11486"/>
    <cellStyle name="Comma 3 4 3 3 2 2 3" xfId="17013"/>
    <cellStyle name="Comma 3 4 3 3 2 2 3 2" xfId="33234"/>
    <cellStyle name="Comma 3 4 3 3 2 3" xfId="7387"/>
    <cellStyle name="Comma 3 4 3 3 2 3 2" xfId="11487"/>
    <cellStyle name="Comma 3 4 3 3 2 4" xfId="11485"/>
    <cellStyle name="Comma 3 4 3 3 2 5" xfId="15428"/>
    <cellStyle name="Comma 3 4 3 3 2 5 2" xfId="31650"/>
    <cellStyle name="Comma 3 4 3 3 3" xfId="7388"/>
    <cellStyle name="Comma 3 4 3 3 3 2" xfId="11488"/>
    <cellStyle name="Comma 3 4 3 3 3 3" xfId="16221"/>
    <cellStyle name="Comma 3 4 3 3 3 3 2" xfId="32442"/>
    <cellStyle name="Comma 3 4 3 3 4" xfId="7389"/>
    <cellStyle name="Comma 3 4 3 3 4 2" xfId="11489"/>
    <cellStyle name="Comma 3 4 3 3 5" xfId="11484"/>
    <cellStyle name="Comma 3 4 3 3 6" xfId="14636"/>
    <cellStyle name="Comma 3 4 3 3 6 2" xfId="30858"/>
    <cellStyle name="Comma 3 4 3 4" xfId="7390"/>
    <cellStyle name="Comma 3 4 3 4 2" xfId="7391"/>
    <cellStyle name="Comma 3 4 3 4 2 2" xfId="7392"/>
    <cellStyle name="Comma 3 4 3 4 2 2 2" xfId="11492"/>
    <cellStyle name="Comma 3 4 3 4 2 2 3" xfId="17277"/>
    <cellStyle name="Comma 3 4 3 4 2 2 3 2" xfId="33498"/>
    <cellStyle name="Comma 3 4 3 4 2 3" xfId="7393"/>
    <cellStyle name="Comma 3 4 3 4 2 3 2" xfId="11493"/>
    <cellStyle name="Comma 3 4 3 4 2 4" xfId="11491"/>
    <cellStyle name="Comma 3 4 3 4 2 5" xfId="15692"/>
    <cellStyle name="Comma 3 4 3 4 2 5 2" xfId="31914"/>
    <cellStyle name="Comma 3 4 3 4 3" xfId="7394"/>
    <cellStyle name="Comma 3 4 3 4 3 2" xfId="11494"/>
    <cellStyle name="Comma 3 4 3 4 3 3" xfId="16485"/>
    <cellStyle name="Comma 3 4 3 4 3 3 2" xfId="32706"/>
    <cellStyle name="Comma 3 4 3 4 4" xfId="7395"/>
    <cellStyle name="Comma 3 4 3 4 4 2" xfId="11495"/>
    <cellStyle name="Comma 3 4 3 4 5" xfId="11490"/>
    <cellStyle name="Comma 3 4 3 4 6" xfId="14900"/>
    <cellStyle name="Comma 3 4 3 4 6 2" xfId="31122"/>
    <cellStyle name="Comma 3 4 3 5" xfId="7396"/>
    <cellStyle name="Comma 3 4 3 5 2" xfId="7397"/>
    <cellStyle name="Comma 3 4 3 5 2 2" xfId="11497"/>
    <cellStyle name="Comma 3 4 3 5 2 3" xfId="16749"/>
    <cellStyle name="Comma 3 4 3 5 2 3 2" xfId="32970"/>
    <cellStyle name="Comma 3 4 3 5 3" xfId="7398"/>
    <cellStyle name="Comma 3 4 3 5 3 2" xfId="11498"/>
    <cellStyle name="Comma 3 4 3 5 4" xfId="11496"/>
    <cellStyle name="Comma 3 4 3 5 5" xfId="15164"/>
    <cellStyle name="Comma 3 4 3 5 5 2" xfId="31386"/>
    <cellStyle name="Comma 3 4 3 6" xfId="7399"/>
    <cellStyle name="Comma 3 4 3 6 2" xfId="11499"/>
    <cellStyle name="Comma 3 4 3 6 3" xfId="15957"/>
    <cellStyle name="Comma 3 4 3 6 3 2" xfId="32178"/>
    <cellStyle name="Comma 3 4 3 7" xfId="7400"/>
    <cellStyle name="Comma 3 4 3 7 2" xfId="11500"/>
    <cellStyle name="Comma 3 4 3 8" xfId="11465"/>
    <cellStyle name="Comma 3 4 3 9" xfId="14372"/>
    <cellStyle name="Comma 3 4 3 9 2" xfId="30594"/>
    <cellStyle name="Comma 3 4 4" xfId="7401"/>
    <cellStyle name="Comma 3 4 4 2" xfId="7402"/>
    <cellStyle name="Comma 3 4 4 2 2" xfId="7403"/>
    <cellStyle name="Comma 3 4 4 2 2 2" xfId="7404"/>
    <cellStyle name="Comma 3 4 4 2 2 2 2" xfId="11504"/>
    <cellStyle name="Comma 3 4 4 2 2 2 3" xfId="17079"/>
    <cellStyle name="Comma 3 4 4 2 2 2 3 2" xfId="33300"/>
    <cellStyle name="Comma 3 4 4 2 2 3" xfId="7405"/>
    <cellStyle name="Comma 3 4 4 2 2 3 2" xfId="11505"/>
    <cellStyle name="Comma 3 4 4 2 2 4" xfId="11503"/>
    <cellStyle name="Comma 3 4 4 2 2 5" xfId="15494"/>
    <cellStyle name="Comma 3 4 4 2 2 5 2" xfId="31716"/>
    <cellStyle name="Comma 3 4 4 2 3" xfId="7406"/>
    <cellStyle name="Comma 3 4 4 2 3 2" xfId="11506"/>
    <cellStyle name="Comma 3 4 4 2 3 3" xfId="16287"/>
    <cellStyle name="Comma 3 4 4 2 3 3 2" xfId="32508"/>
    <cellStyle name="Comma 3 4 4 2 4" xfId="7407"/>
    <cellStyle name="Comma 3 4 4 2 4 2" xfId="11507"/>
    <cellStyle name="Comma 3 4 4 2 5" xfId="11502"/>
    <cellStyle name="Comma 3 4 4 2 6" xfId="14702"/>
    <cellStyle name="Comma 3 4 4 2 6 2" xfId="30924"/>
    <cellStyle name="Comma 3 4 4 3" xfId="7408"/>
    <cellStyle name="Comma 3 4 4 3 2" xfId="7409"/>
    <cellStyle name="Comma 3 4 4 3 2 2" xfId="7410"/>
    <cellStyle name="Comma 3 4 4 3 2 2 2" xfId="11510"/>
    <cellStyle name="Comma 3 4 4 3 2 2 3" xfId="17343"/>
    <cellStyle name="Comma 3 4 4 3 2 2 3 2" xfId="33564"/>
    <cellStyle name="Comma 3 4 4 3 2 3" xfId="7411"/>
    <cellStyle name="Comma 3 4 4 3 2 3 2" xfId="11511"/>
    <cellStyle name="Comma 3 4 4 3 2 4" xfId="11509"/>
    <cellStyle name="Comma 3 4 4 3 2 5" xfId="15758"/>
    <cellStyle name="Comma 3 4 4 3 2 5 2" xfId="31980"/>
    <cellStyle name="Comma 3 4 4 3 3" xfId="7412"/>
    <cellStyle name="Comma 3 4 4 3 3 2" xfId="11512"/>
    <cellStyle name="Comma 3 4 4 3 3 3" xfId="16551"/>
    <cellStyle name="Comma 3 4 4 3 3 3 2" xfId="32772"/>
    <cellStyle name="Comma 3 4 4 3 4" xfId="7413"/>
    <cellStyle name="Comma 3 4 4 3 4 2" xfId="11513"/>
    <cellStyle name="Comma 3 4 4 3 5" xfId="11508"/>
    <cellStyle name="Comma 3 4 4 3 6" xfId="14966"/>
    <cellStyle name="Comma 3 4 4 3 6 2" xfId="31188"/>
    <cellStyle name="Comma 3 4 4 4" xfId="7414"/>
    <cellStyle name="Comma 3 4 4 4 2" xfId="7415"/>
    <cellStyle name="Comma 3 4 4 4 2 2" xfId="11515"/>
    <cellStyle name="Comma 3 4 4 4 2 3" xfId="16815"/>
    <cellStyle name="Comma 3 4 4 4 2 3 2" xfId="33036"/>
    <cellStyle name="Comma 3 4 4 4 3" xfId="7416"/>
    <cellStyle name="Comma 3 4 4 4 3 2" xfId="11516"/>
    <cellStyle name="Comma 3 4 4 4 4" xfId="11514"/>
    <cellStyle name="Comma 3 4 4 4 5" xfId="15230"/>
    <cellStyle name="Comma 3 4 4 4 5 2" xfId="31452"/>
    <cellStyle name="Comma 3 4 4 5" xfId="7417"/>
    <cellStyle name="Comma 3 4 4 5 2" xfId="11517"/>
    <cellStyle name="Comma 3 4 4 5 3" xfId="16023"/>
    <cellStyle name="Comma 3 4 4 5 3 2" xfId="32244"/>
    <cellStyle name="Comma 3 4 4 6" xfId="7418"/>
    <cellStyle name="Comma 3 4 4 6 2" xfId="11518"/>
    <cellStyle name="Comma 3 4 4 7" xfId="11501"/>
    <cellStyle name="Comma 3 4 4 8" xfId="14438"/>
    <cellStyle name="Comma 3 4 4 8 2" xfId="30660"/>
    <cellStyle name="Comma 3 4 5" xfId="7419"/>
    <cellStyle name="Comma 3 4 5 2" xfId="7420"/>
    <cellStyle name="Comma 3 4 5 2 2" xfId="7421"/>
    <cellStyle name="Comma 3 4 5 2 2 2" xfId="11521"/>
    <cellStyle name="Comma 3 4 5 2 2 3" xfId="16947"/>
    <cellStyle name="Comma 3 4 5 2 2 3 2" xfId="33168"/>
    <cellStyle name="Comma 3 4 5 2 3" xfId="7422"/>
    <cellStyle name="Comma 3 4 5 2 3 2" xfId="11522"/>
    <cellStyle name="Comma 3 4 5 2 4" xfId="11520"/>
    <cellStyle name="Comma 3 4 5 2 5" xfId="15362"/>
    <cellStyle name="Comma 3 4 5 2 5 2" xfId="31584"/>
    <cellStyle name="Comma 3 4 5 3" xfId="7423"/>
    <cellStyle name="Comma 3 4 5 3 2" xfId="11523"/>
    <cellStyle name="Comma 3 4 5 3 3" xfId="16155"/>
    <cellStyle name="Comma 3 4 5 3 3 2" xfId="32376"/>
    <cellStyle name="Comma 3 4 5 4" xfId="7424"/>
    <cellStyle name="Comma 3 4 5 4 2" xfId="11524"/>
    <cellStyle name="Comma 3 4 5 5" xfId="11519"/>
    <cellStyle name="Comma 3 4 5 6" xfId="14570"/>
    <cellStyle name="Comma 3 4 5 6 2" xfId="30792"/>
    <cellStyle name="Comma 3 4 6" xfId="7425"/>
    <cellStyle name="Comma 3 4 6 2" xfId="7426"/>
    <cellStyle name="Comma 3 4 6 2 2" xfId="7427"/>
    <cellStyle name="Comma 3 4 6 2 2 2" xfId="11527"/>
    <cellStyle name="Comma 3 4 6 2 2 3" xfId="17211"/>
    <cellStyle name="Comma 3 4 6 2 2 3 2" xfId="33432"/>
    <cellStyle name="Comma 3 4 6 2 3" xfId="7428"/>
    <cellStyle name="Comma 3 4 6 2 3 2" xfId="11528"/>
    <cellStyle name="Comma 3 4 6 2 4" xfId="11526"/>
    <cellStyle name="Comma 3 4 6 2 5" xfId="15626"/>
    <cellStyle name="Comma 3 4 6 2 5 2" xfId="31848"/>
    <cellStyle name="Comma 3 4 6 3" xfId="7429"/>
    <cellStyle name="Comma 3 4 6 3 2" xfId="11529"/>
    <cellStyle name="Comma 3 4 6 3 3" xfId="16419"/>
    <cellStyle name="Comma 3 4 6 3 3 2" xfId="32640"/>
    <cellStyle name="Comma 3 4 6 4" xfId="7430"/>
    <cellStyle name="Comma 3 4 6 4 2" xfId="11530"/>
    <cellStyle name="Comma 3 4 6 5" xfId="11525"/>
    <cellStyle name="Comma 3 4 6 6" xfId="14834"/>
    <cellStyle name="Comma 3 4 6 6 2" xfId="31056"/>
    <cellStyle name="Comma 3 4 7" xfId="7431"/>
    <cellStyle name="Comma 3 4 7 2" xfId="7432"/>
    <cellStyle name="Comma 3 4 7 2 2" xfId="11532"/>
    <cellStyle name="Comma 3 4 7 2 3" xfId="16683"/>
    <cellStyle name="Comma 3 4 7 2 3 2" xfId="32904"/>
    <cellStyle name="Comma 3 4 7 3" xfId="7433"/>
    <cellStyle name="Comma 3 4 7 3 2" xfId="11533"/>
    <cellStyle name="Comma 3 4 7 4" xfId="11531"/>
    <cellStyle name="Comma 3 4 7 5" xfId="15098"/>
    <cellStyle name="Comma 3 4 7 5 2" xfId="31320"/>
    <cellStyle name="Comma 3 4 8" xfId="7434"/>
    <cellStyle name="Comma 3 4 8 2" xfId="11534"/>
    <cellStyle name="Comma 3 4 8 3" xfId="15891"/>
    <cellStyle name="Comma 3 4 8 3 2" xfId="32112"/>
    <cellStyle name="Comma 3 4 9" xfId="7435"/>
    <cellStyle name="Comma 3 4 9 2" xfId="11535"/>
    <cellStyle name="Comma 3 5" xfId="1786"/>
    <cellStyle name="Comma 3 5 10" xfId="14338"/>
    <cellStyle name="Comma 3 5 10 2" xfId="30560"/>
    <cellStyle name="Comma 3 5 11" xfId="7436"/>
    <cellStyle name="Comma 3 5 12" xfId="22456"/>
    <cellStyle name="Comma 3 5 12 2" xfId="38668"/>
    <cellStyle name="Comma 3 5 13" xfId="23954"/>
    <cellStyle name="Comma 3 5 14" xfId="38926"/>
    <cellStyle name="Comma 3 5 2" xfId="3285"/>
    <cellStyle name="Comma 3 5 2 10" xfId="7437"/>
    <cellStyle name="Comma 3 5 2 11" xfId="25452"/>
    <cellStyle name="Comma 3 5 2 2" xfId="7438"/>
    <cellStyle name="Comma 3 5 2 2 2" xfId="7439"/>
    <cellStyle name="Comma 3 5 2 2 2 2" xfId="7440"/>
    <cellStyle name="Comma 3 5 2 2 2 2 2" xfId="7441"/>
    <cellStyle name="Comma 3 5 2 2 2 2 2 2" xfId="11541"/>
    <cellStyle name="Comma 3 5 2 2 2 2 2 3" xfId="17177"/>
    <cellStyle name="Comma 3 5 2 2 2 2 2 3 2" xfId="33398"/>
    <cellStyle name="Comma 3 5 2 2 2 2 3" xfId="7442"/>
    <cellStyle name="Comma 3 5 2 2 2 2 3 2" xfId="11542"/>
    <cellStyle name="Comma 3 5 2 2 2 2 4" xfId="11540"/>
    <cellStyle name="Comma 3 5 2 2 2 2 5" xfId="15592"/>
    <cellStyle name="Comma 3 5 2 2 2 2 5 2" xfId="31814"/>
    <cellStyle name="Comma 3 5 2 2 2 3" xfId="7443"/>
    <cellStyle name="Comma 3 5 2 2 2 3 2" xfId="11543"/>
    <cellStyle name="Comma 3 5 2 2 2 3 3" xfId="16385"/>
    <cellStyle name="Comma 3 5 2 2 2 3 3 2" xfId="32606"/>
    <cellStyle name="Comma 3 5 2 2 2 4" xfId="7444"/>
    <cellStyle name="Comma 3 5 2 2 2 4 2" xfId="11544"/>
    <cellStyle name="Comma 3 5 2 2 2 5" xfId="11539"/>
    <cellStyle name="Comma 3 5 2 2 2 6" xfId="14800"/>
    <cellStyle name="Comma 3 5 2 2 2 6 2" xfId="31022"/>
    <cellStyle name="Comma 3 5 2 2 3" xfId="7445"/>
    <cellStyle name="Comma 3 5 2 2 3 2" xfId="7446"/>
    <cellStyle name="Comma 3 5 2 2 3 2 2" xfId="7447"/>
    <cellStyle name="Comma 3 5 2 2 3 2 2 2" xfId="11547"/>
    <cellStyle name="Comma 3 5 2 2 3 2 2 3" xfId="17441"/>
    <cellStyle name="Comma 3 5 2 2 3 2 2 3 2" xfId="33662"/>
    <cellStyle name="Comma 3 5 2 2 3 2 3" xfId="7448"/>
    <cellStyle name="Comma 3 5 2 2 3 2 3 2" xfId="11548"/>
    <cellStyle name="Comma 3 5 2 2 3 2 4" xfId="11546"/>
    <cellStyle name="Comma 3 5 2 2 3 2 5" xfId="15856"/>
    <cellStyle name="Comma 3 5 2 2 3 2 5 2" xfId="32078"/>
    <cellStyle name="Comma 3 5 2 2 3 3" xfId="7449"/>
    <cellStyle name="Comma 3 5 2 2 3 3 2" xfId="11549"/>
    <cellStyle name="Comma 3 5 2 2 3 3 3" xfId="16649"/>
    <cellStyle name="Comma 3 5 2 2 3 3 3 2" xfId="32870"/>
    <cellStyle name="Comma 3 5 2 2 3 4" xfId="7450"/>
    <cellStyle name="Comma 3 5 2 2 3 4 2" xfId="11550"/>
    <cellStyle name="Comma 3 5 2 2 3 5" xfId="11545"/>
    <cellStyle name="Comma 3 5 2 2 3 6" xfId="15064"/>
    <cellStyle name="Comma 3 5 2 2 3 6 2" xfId="31286"/>
    <cellStyle name="Comma 3 5 2 2 4" xfId="7451"/>
    <cellStyle name="Comma 3 5 2 2 4 2" xfId="7452"/>
    <cellStyle name="Comma 3 5 2 2 4 2 2" xfId="11552"/>
    <cellStyle name="Comma 3 5 2 2 4 2 3" xfId="16913"/>
    <cellStyle name="Comma 3 5 2 2 4 2 3 2" xfId="33134"/>
    <cellStyle name="Comma 3 5 2 2 4 3" xfId="7453"/>
    <cellStyle name="Comma 3 5 2 2 4 3 2" xfId="11553"/>
    <cellStyle name="Comma 3 5 2 2 4 4" xfId="11551"/>
    <cellStyle name="Comma 3 5 2 2 4 5" xfId="15328"/>
    <cellStyle name="Comma 3 5 2 2 4 5 2" xfId="31550"/>
    <cellStyle name="Comma 3 5 2 2 5" xfId="7454"/>
    <cellStyle name="Comma 3 5 2 2 5 2" xfId="11554"/>
    <cellStyle name="Comma 3 5 2 2 5 3" xfId="16121"/>
    <cellStyle name="Comma 3 5 2 2 5 3 2" xfId="32342"/>
    <cellStyle name="Comma 3 5 2 2 6" xfId="7455"/>
    <cellStyle name="Comma 3 5 2 2 6 2" xfId="11555"/>
    <cellStyle name="Comma 3 5 2 2 7" xfId="11538"/>
    <cellStyle name="Comma 3 5 2 2 8" xfId="14536"/>
    <cellStyle name="Comma 3 5 2 2 8 2" xfId="30758"/>
    <cellStyle name="Comma 3 5 2 3" xfId="7456"/>
    <cellStyle name="Comma 3 5 2 3 2" xfId="7457"/>
    <cellStyle name="Comma 3 5 2 3 2 2" xfId="7458"/>
    <cellStyle name="Comma 3 5 2 3 2 2 2" xfId="11558"/>
    <cellStyle name="Comma 3 5 2 3 2 2 3" xfId="17045"/>
    <cellStyle name="Comma 3 5 2 3 2 2 3 2" xfId="33266"/>
    <cellStyle name="Comma 3 5 2 3 2 3" xfId="7459"/>
    <cellStyle name="Comma 3 5 2 3 2 3 2" xfId="11559"/>
    <cellStyle name="Comma 3 5 2 3 2 4" xfId="11557"/>
    <cellStyle name="Comma 3 5 2 3 2 5" xfId="15460"/>
    <cellStyle name="Comma 3 5 2 3 2 5 2" xfId="31682"/>
    <cellStyle name="Comma 3 5 2 3 3" xfId="7460"/>
    <cellStyle name="Comma 3 5 2 3 3 2" xfId="11560"/>
    <cellStyle name="Comma 3 5 2 3 3 3" xfId="16253"/>
    <cellStyle name="Comma 3 5 2 3 3 3 2" xfId="32474"/>
    <cellStyle name="Comma 3 5 2 3 4" xfId="7461"/>
    <cellStyle name="Comma 3 5 2 3 4 2" xfId="11561"/>
    <cellStyle name="Comma 3 5 2 3 5" xfId="11556"/>
    <cellStyle name="Comma 3 5 2 3 6" xfId="14668"/>
    <cellStyle name="Comma 3 5 2 3 6 2" xfId="30890"/>
    <cellStyle name="Comma 3 5 2 4" xfId="7462"/>
    <cellStyle name="Comma 3 5 2 4 2" xfId="7463"/>
    <cellStyle name="Comma 3 5 2 4 2 2" xfId="7464"/>
    <cellStyle name="Comma 3 5 2 4 2 2 2" xfId="11564"/>
    <cellStyle name="Comma 3 5 2 4 2 2 3" xfId="17309"/>
    <cellStyle name="Comma 3 5 2 4 2 2 3 2" xfId="33530"/>
    <cellStyle name="Comma 3 5 2 4 2 3" xfId="7465"/>
    <cellStyle name="Comma 3 5 2 4 2 3 2" xfId="11565"/>
    <cellStyle name="Comma 3 5 2 4 2 4" xfId="11563"/>
    <cellStyle name="Comma 3 5 2 4 2 5" xfId="15724"/>
    <cellStyle name="Comma 3 5 2 4 2 5 2" xfId="31946"/>
    <cellStyle name="Comma 3 5 2 4 3" xfId="7466"/>
    <cellStyle name="Comma 3 5 2 4 3 2" xfId="11566"/>
    <cellStyle name="Comma 3 5 2 4 3 3" xfId="16517"/>
    <cellStyle name="Comma 3 5 2 4 3 3 2" xfId="32738"/>
    <cellStyle name="Comma 3 5 2 4 4" xfId="7467"/>
    <cellStyle name="Comma 3 5 2 4 4 2" xfId="11567"/>
    <cellStyle name="Comma 3 5 2 4 5" xfId="11562"/>
    <cellStyle name="Comma 3 5 2 4 6" xfId="14932"/>
    <cellStyle name="Comma 3 5 2 4 6 2" xfId="31154"/>
    <cellStyle name="Comma 3 5 2 5" xfId="7468"/>
    <cellStyle name="Comma 3 5 2 5 2" xfId="7469"/>
    <cellStyle name="Comma 3 5 2 5 2 2" xfId="11569"/>
    <cellStyle name="Comma 3 5 2 5 2 3" xfId="16781"/>
    <cellStyle name="Comma 3 5 2 5 2 3 2" xfId="33002"/>
    <cellStyle name="Comma 3 5 2 5 3" xfId="7470"/>
    <cellStyle name="Comma 3 5 2 5 3 2" xfId="11570"/>
    <cellStyle name="Comma 3 5 2 5 4" xfId="11568"/>
    <cellStyle name="Comma 3 5 2 5 5" xfId="15196"/>
    <cellStyle name="Comma 3 5 2 5 5 2" xfId="31418"/>
    <cellStyle name="Comma 3 5 2 6" xfId="7471"/>
    <cellStyle name="Comma 3 5 2 6 2" xfId="11571"/>
    <cellStyle name="Comma 3 5 2 6 3" xfId="15989"/>
    <cellStyle name="Comma 3 5 2 6 3 2" xfId="32210"/>
    <cellStyle name="Comma 3 5 2 7" xfId="7472"/>
    <cellStyle name="Comma 3 5 2 7 2" xfId="11572"/>
    <cellStyle name="Comma 3 5 2 8" xfId="11537"/>
    <cellStyle name="Comma 3 5 2 9" xfId="14404"/>
    <cellStyle name="Comma 3 5 2 9 2" xfId="30626"/>
    <cellStyle name="Comma 3 5 3" xfId="4783"/>
    <cellStyle name="Comma 3 5 3 10" xfId="26950"/>
    <cellStyle name="Comma 3 5 3 2" xfId="7474"/>
    <cellStyle name="Comma 3 5 3 2 2" xfId="7475"/>
    <cellStyle name="Comma 3 5 3 2 2 2" xfId="7476"/>
    <cellStyle name="Comma 3 5 3 2 2 2 2" xfId="11576"/>
    <cellStyle name="Comma 3 5 3 2 2 2 3" xfId="17111"/>
    <cellStyle name="Comma 3 5 3 2 2 2 3 2" xfId="33332"/>
    <cellStyle name="Comma 3 5 3 2 2 3" xfId="7477"/>
    <cellStyle name="Comma 3 5 3 2 2 3 2" xfId="11577"/>
    <cellStyle name="Comma 3 5 3 2 2 4" xfId="11575"/>
    <cellStyle name="Comma 3 5 3 2 2 5" xfId="15526"/>
    <cellStyle name="Comma 3 5 3 2 2 5 2" xfId="31748"/>
    <cellStyle name="Comma 3 5 3 2 3" xfId="7478"/>
    <cellStyle name="Comma 3 5 3 2 3 2" xfId="11578"/>
    <cellStyle name="Comma 3 5 3 2 3 3" xfId="16319"/>
    <cellStyle name="Comma 3 5 3 2 3 3 2" xfId="32540"/>
    <cellStyle name="Comma 3 5 3 2 4" xfId="7479"/>
    <cellStyle name="Comma 3 5 3 2 4 2" xfId="11579"/>
    <cellStyle name="Comma 3 5 3 2 5" xfId="11574"/>
    <cellStyle name="Comma 3 5 3 2 6" xfId="14734"/>
    <cellStyle name="Comma 3 5 3 2 6 2" xfId="30956"/>
    <cellStyle name="Comma 3 5 3 3" xfId="7480"/>
    <cellStyle name="Comma 3 5 3 3 2" xfId="7481"/>
    <cellStyle name="Comma 3 5 3 3 2 2" xfId="7482"/>
    <cellStyle name="Comma 3 5 3 3 2 2 2" xfId="11582"/>
    <cellStyle name="Comma 3 5 3 3 2 2 3" xfId="17375"/>
    <cellStyle name="Comma 3 5 3 3 2 2 3 2" xfId="33596"/>
    <cellStyle name="Comma 3 5 3 3 2 3" xfId="7483"/>
    <cellStyle name="Comma 3 5 3 3 2 3 2" xfId="11583"/>
    <cellStyle name="Comma 3 5 3 3 2 4" xfId="11581"/>
    <cellStyle name="Comma 3 5 3 3 2 5" xfId="15790"/>
    <cellStyle name="Comma 3 5 3 3 2 5 2" xfId="32012"/>
    <cellStyle name="Comma 3 5 3 3 3" xfId="7484"/>
    <cellStyle name="Comma 3 5 3 3 3 2" xfId="11584"/>
    <cellStyle name="Comma 3 5 3 3 3 3" xfId="16583"/>
    <cellStyle name="Comma 3 5 3 3 3 3 2" xfId="32804"/>
    <cellStyle name="Comma 3 5 3 3 4" xfId="7485"/>
    <cellStyle name="Comma 3 5 3 3 4 2" xfId="11585"/>
    <cellStyle name="Comma 3 5 3 3 5" xfId="11580"/>
    <cellStyle name="Comma 3 5 3 3 6" xfId="14998"/>
    <cellStyle name="Comma 3 5 3 3 6 2" xfId="31220"/>
    <cellStyle name="Comma 3 5 3 4" xfId="7486"/>
    <cellStyle name="Comma 3 5 3 4 2" xfId="7487"/>
    <cellStyle name="Comma 3 5 3 4 2 2" xfId="11587"/>
    <cellStyle name="Comma 3 5 3 4 2 3" xfId="16847"/>
    <cellStyle name="Comma 3 5 3 4 2 3 2" xfId="33068"/>
    <cellStyle name="Comma 3 5 3 4 3" xfId="7488"/>
    <cellStyle name="Comma 3 5 3 4 3 2" xfId="11588"/>
    <cellStyle name="Comma 3 5 3 4 4" xfId="11586"/>
    <cellStyle name="Comma 3 5 3 4 5" xfId="15262"/>
    <cellStyle name="Comma 3 5 3 4 5 2" xfId="31484"/>
    <cellStyle name="Comma 3 5 3 5" xfId="7489"/>
    <cellStyle name="Comma 3 5 3 5 2" xfId="11589"/>
    <cellStyle name="Comma 3 5 3 5 3" xfId="16055"/>
    <cellStyle name="Comma 3 5 3 5 3 2" xfId="32276"/>
    <cellStyle name="Comma 3 5 3 6" xfId="7490"/>
    <cellStyle name="Comma 3 5 3 6 2" xfId="11590"/>
    <cellStyle name="Comma 3 5 3 7" xfId="11573"/>
    <cellStyle name="Comma 3 5 3 8" xfId="14470"/>
    <cellStyle name="Comma 3 5 3 8 2" xfId="30692"/>
    <cellStyle name="Comma 3 5 3 9" xfId="7473"/>
    <cellStyle name="Comma 3 5 4" xfId="7491"/>
    <cellStyle name="Comma 3 5 4 2" xfId="7492"/>
    <cellStyle name="Comma 3 5 4 2 2" xfId="7493"/>
    <cellStyle name="Comma 3 5 4 2 2 2" xfId="11593"/>
    <cellStyle name="Comma 3 5 4 2 2 3" xfId="16979"/>
    <cellStyle name="Comma 3 5 4 2 2 3 2" xfId="33200"/>
    <cellStyle name="Comma 3 5 4 2 3" xfId="7494"/>
    <cellStyle name="Comma 3 5 4 2 3 2" xfId="11594"/>
    <cellStyle name="Comma 3 5 4 2 4" xfId="11592"/>
    <cellStyle name="Comma 3 5 4 2 5" xfId="15394"/>
    <cellStyle name="Comma 3 5 4 2 5 2" xfId="31616"/>
    <cellStyle name="Comma 3 5 4 3" xfId="7495"/>
    <cellStyle name="Comma 3 5 4 3 2" xfId="11595"/>
    <cellStyle name="Comma 3 5 4 3 3" xfId="16187"/>
    <cellStyle name="Comma 3 5 4 3 3 2" xfId="32408"/>
    <cellStyle name="Comma 3 5 4 4" xfId="7496"/>
    <cellStyle name="Comma 3 5 4 4 2" xfId="11596"/>
    <cellStyle name="Comma 3 5 4 5" xfId="11591"/>
    <cellStyle name="Comma 3 5 4 6" xfId="14602"/>
    <cellStyle name="Comma 3 5 4 6 2" xfId="30824"/>
    <cellStyle name="Comma 3 5 5" xfId="7497"/>
    <cellStyle name="Comma 3 5 5 2" xfId="7498"/>
    <cellStyle name="Comma 3 5 5 2 2" xfId="7499"/>
    <cellStyle name="Comma 3 5 5 2 2 2" xfId="11599"/>
    <cellStyle name="Comma 3 5 5 2 2 3" xfId="17243"/>
    <cellStyle name="Comma 3 5 5 2 2 3 2" xfId="33464"/>
    <cellStyle name="Comma 3 5 5 2 3" xfId="7500"/>
    <cellStyle name="Comma 3 5 5 2 3 2" xfId="11600"/>
    <cellStyle name="Comma 3 5 5 2 4" xfId="11598"/>
    <cellStyle name="Comma 3 5 5 2 5" xfId="15658"/>
    <cellStyle name="Comma 3 5 5 2 5 2" xfId="31880"/>
    <cellStyle name="Comma 3 5 5 3" xfId="7501"/>
    <cellStyle name="Comma 3 5 5 3 2" xfId="11601"/>
    <cellStyle name="Comma 3 5 5 3 3" xfId="16451"/>
    <cellStyle name="Comma 3 5 5 3 3 2" xfId="32672"/>
    <cellStyle name="Comma 3 5 5 4" xfId="7502"/>
    <cellStyle name="Comma 3 5 5 4 2" xfId="11602"/>
    <cellStyle name="Comma 3 5 5 5" xfId="11597"/>
    <cellStyle name="Comma 3 5 5 6" xfId="14866"/>
    <cellStyle name="Comma 3 5 5 6 2" xfId="31088"/>
    <cellStyle name="Comma 3 5 6" xfId="7503"/>
    <cellStyle name="Comma 3 5 6 2" xfId="7504"/>
    <cellStyle name="Comma 3 5 6 2 2" xfId="11604"/>
    <cellStyle name="Comma 3 5 6 2 3" xfId="16715"/>
    <cellStyle name="Comma 3 5 6 2 3 2" xfId="32936"/>
    <cellStyle name="Comma 3 5 6 3" xfId="7505"/>
    <cellStyle name="Comma 3 5 6 3 2" xfId="11605"/>
    <cellStyle name="Comma 3 5 6 4" xfId="11603"/>
    <cellStyle name="Comma 3 5 6 5" xfId="15130"/>
    <cellStyle name="Comma 3 5 6 5 2" xfId="31352"/>
    <cellStyle name="Comma 3 5 7" xfId="7506"/>
    <cellStyle name="Comma 3 5 7 2" xfId="11606"/>
    <cellStyle name="Comma 3 5 7 3" xfId="15923"/>
    <cellStyle name="Comma 3 5 7 3 2" xfId="32144"/>
    <cellStyle name="Comma 3 5 8" xfId="7507"/>
    <cellStyle name="Comma 3 5 8 2" xfId="11607"/>
    <cellStyle name="Comma 3 5 9" xfId="11536"/>
    <cellStyle name="Comma 3 6" xfId="1832"/>
    <cellStyle name="Comma 3 6 10" xfId="7508"/>
    <cellStyle name="Comma 3 6 11" xfId="24000"/>
    <cellStyle name="Comma 3 6 12" xfId="39052"/>
    <cellStyle name="Comma 3 6 2" xfId="7509"/>
    <cellStyle name="Comma 3 6 2 2" xfId="7510"/>
    <cellStyle name="Comma 3 6 2 2 2" xfId="7511"/>
    <cellStyle name="Comma 3 6 2 2 2 2" xfId="7512"/>
    <cellStyle name="Comma 3 6 2 2 2 2 2" xfId="11612"/>
    <cellStyle name="Comma 3 6 2 2 2 2 3" xfId="17144"/>
    <cellStyle name="Comma 3 6 2 2 2 2 3 2" xfId="33365"/>
    <cellStyle name="Comma 3 6 2 2 2 3" xfId="7513"/>
    <cellStyle name="Comma 3 6 2 2 2 3 2" xfId="11613"/>
    <cellStyle name="Comma 3 6 2 2 2 4" xfId="11611"/>
    <cellStyle name="Comma 3 6 2 2 2 5" xfId="15559"/>
    <cellStyle name="Comma 3 6 2 2 2 5 2" xfId="31781"/>
    <cellStyle name="Comma 3 6 2 2 3" xfId="7514"/>
    <cellStyle name="Comma 3 6 2 2 3 2" xfId="11614"/>
    <cellStyle name="Comma 3 6 2 2 3 3" xfId="16352"/>
    <cellStyle name="Comma 3 6 2 2 3 3 2" xfId="32573"/>
    <cellStyle name="Comma 3 6 2 2 4" xfId="7515"/>
    <cellStyle name="Comma 3 6 2 2 4 2" xfId="11615"/>
    <cellStyle name="Comma 3 6 2 2 5" xfId="11610"/>
    <cellStyle name="Comma 3 6 2 2 6" xfId="14767"/>
    <cellStyle name="Comma 3 6 2 2 6 2" xfId="30989"/>
    <cellStyle name="Comma 3 6 2 3" xfId="7516"/>
    <cellStyle name="Comma 3 6 2 3 2" xfId="7517"/>
    <cellStyle name="Comma 3 6 2 3 2 2" xfId="7518"/>
    <cellStyle name="Comma 3 6 2 3 2 2 2" xfId="11618"/>
    <cellStyle name="Comma 3 6 2 3 2 2 3" xfId="17408"/>
    <cellStyle name="Comma 3 6 2 3 2 2 3 2" xfId="33629"/>
    <cellStyle name="Comma 3 6 2 3 2 3" xfId="7519"/>
    <cellStyle name="Comma 3 6 2 3 2 3 2" xfId="11619"/>
    <cellStyle name="Comma 3 6 2 3 2 4" xfId="11617"/>
    <cellStyle name="Comma 3 6 2 3 2 5" xfId="15823"/>
    <cellStyle name="Comma 3 6 2 3 2 5 2" xfId="32045"/>
    <cellStyle name="Comma 3 6 2 3 3" xfId="7520"/>
    <cellStyle name="Comma 3 6 2 3 3 2" xfId="11620"/>
    <cellStyle name="Comma 3 6 2 3 3 3" xfId="16616"/>
    <cellStyle name="Comma 3 6 2 3 3 3 2" xfId="32837"/>
    <cellStyle name="Comma 3 6 2 3 4" xfId="7521"/>
    <cellStyle name="Comma 3 6 2 3 4 2" xfId="11621"/>
    <cellStyle name="Comma 3 6 2 3 5" xfId="11616"/>
    <cellStyle name="Comma 3 6 2 3 6" xfId="15031"/>
    <cellStyle name="Comma 3 6 2 3 6 2" xfId="31253"/>
    <cellStyle name="Comma 3 6 2 4" xfId="7522"/>
    <cellStyle name="Comma 3 6 2 4 2" xfId="7523"/>
    <cellStyle name="Comma 3 6 2 4 2 2" xfId="11623"/>
    <cellStyle name="Comma 3 6 2 4 2 3" xfId="16880"/>
    <cellStyle name="Comma 3 6 2 4 2 3 2" xfId="33101"/>
    <cellStyle name="Comma 3 6 2 4 3" xfId="7524"/>
    <cellStyle name="Comma 3 6 2 4 3 2" xfId="11624"/>
    <cellStyle name="Comma 3 6 2 4 4" xfId="11622"/>
    <cellStyle name="Comma 3 6 2 4 5" xfId="15295"/>
    <cellStyle name="Comma 3 6 2 4 5 2" xfId="31517"/>
    <cellStyle name="Comma 3 6 2 5" xfId="7525"/>
    <cellStyle name="Comma 3 6 2 5 2" xfId="11625"/>
    <cellStyle name="Comma 3 6 2 5 3" xfId="16088"/>
    <cellStyle name="Comma 3 6 2 5 3 2" xfId="32309"/>
    <cellStyle name="Comma 3 6 2 6" xfId="7526"/>
    <cellStyle name="Comma 3 6 2 6 2" xfId="11626"/>
    <cellStyle name="Comma 3 6 2 7" xfId="11609"/>
    <cellStyle name="Comma 3 6 2 8" xfId="14503"/>
    <cellStyle name="Comma 3 6 2 8 2" xfId="30725"/>
    <cellStyle name="Comma 3 6 3" xfId="7527"/>
    <cellStyle name="Comma 3 6 3 2" xfId="7528"/>
    <cellStyle name="Comma 3 6 3 2 2" xfId="7529"/>
    <cellStyle name="Comma 3 6 3 2 2 2" xfId="11629"/>
    <cellStyle name="Comma 3 6 3 2 2 3" xfId="17012"/>
    <cellStyle name="Comma 3 6 3 2 2 3 2" xfId="33233"/>
    <cellStyle name="Comma 3 6 3 2 3" xfId="7530"/>
    <cellStyle name="Comma 3 6 3 2 3 2" xfId="11630"/>
    <cellStyle name="Comma 3 6 3 2 4" xfId="11628"/>
    <cellStyle name="Comma 3 6 3 2 5" xfId="15427"/>
    <cellStyle name="Comma 3 6 3 2 5 2" xfId="31649"/>
    <cellStyle name="Comma 3 6 3 3" xfId="7531"/>
    <cellStyle name="Comma 3 6 3 3 2" xfId="11631"/>
    <cellStyle name="Comma 3 6 3 3 3" xfId="16220"/>
    <cellStyle name="Comma 3 6 3 3 3 2" xfId="32441"/>
    <cellStyle name="Comma 3 6 3 4" xfId="7532"/>
    <cellStyle name="Comma 3 6 3 4 2" xfId="11632"/>
    <cellStyle name="Comma 3 6 3 5" xfId="11627"/>
    <cellStyle name="Comma 3 6 3 6" xfId="14635"/>
    <cellStyle name="Comma 3 6 3 6 2" xfId="30857"/>
    <cellStyle name="Comma 3 6 4" xfId="7533"/>
    <cellStyle name="Comma 3 6 4 2" xfId="7534"/>
    <cellStyle name="Comma 3 6 4 2 2" xfId="7535"/>
    <cellStyle name="Comma 3 6 4 2 2 2" xfId="11635"/>
    <cellStyle name="Comma 3 6 4 2 2 3" xfId="17276"/>
    <cellStyle name="Comma 3 6 4 2 2 3 2" xfId="33497"/>
    <cellStyle name="Comma 3 6 4 2 3" xfId="7536"/>
    <cellStyle name="Comma 3 6 4 2 3 2" xfId="11636"/>
    <cellStyle name="Comma 3 6 4 2 4" xfId="11634"/>
    <cellStyle name="Comma 3 6 4 2 5" xfId="15691"/>
    <cellStyle name="Comma 3 6 4 2 5 2" xfId="31913"/>
    <cellStyle name="Comma 3 6 4 3" xfId="7537"/>
    <cellStyle name="Comma 3 6 4 3 2" xfId="11637"/>
    <cellStyle name="Comma 3 6 4 3 3" xfId="16484"/>
    <cellStyle name="Comma 3 6 4 3 3 2" xfId="32705"/>
    <cellStyle name="Comma 3 6 4 4" xfId="7538"/>
    <cellStyle name="Comma 3 6 4 4 2" xfId="11638"/>
    <cellStyle name="Comma 3 6 4 5" xfId="11633"/>
    <cellStyle name="Comma 3 6 4 6" xfId="14899"/>
    <cellStyle name="Comma 3 6 4 6 2" xfId="31121"/>
    <cellStyle name="Comma 3 6 5" xfId="7539"/>
    <cellStyle name="Comma 3 6 5 2" xfId="7540"/>
    <cellStyle name="Comma 3 6 5 2 2" xfId="11640"/>
    <cellStyle name="Comma 3 6 5 2 3" xfId="16748"/>
    <cellStyle name="Comma 3 6 5 2 3 2" xfId="32969"/>
    <cellStyle name="Comma 3 6 5 3" xfId="7541"/>
    <cellStyle name="Comma 3 6 5 3 2" xfId="11641"/>
    <cellStyle name="Comma 3 6 5 4" xfId="11639"/>
    <cellStyle name="Comma 3 6 5 5" xfId="15163"/>
    <cellStyle name="Comma 3 6 5 5 2" xfId="31385"/>
    <cellStyle name="Comma 3 6 6" xfId="7542"/>
    <cellStyle name="Comma 3 6 6 2" xfId="11642"/>
    <cellStyle name="Comma 3 6 6 3" xfId="15956"/>
    <cellStyle name="Comma 3 6 6 3 2" xfId="32177"/>
    <cellStyle name="Comma 3 6 7" xfId="7543"/>
    <cellStyle name="Comma 3 6 7 2" xfId="11643"/>
    <cellStyle name="Comma 3 6 8" xfId="11608"/>
    <cellStyle name="Comma 3 6 9" xfId="14371"/>
    <cellStyle name="Comma 3 6 9 2" xfId="30593"/>
    <cellStyle name="Comma 3 7" xfId="3331"/>
    <cellStyle name="Comma 3 7 10" xfId="25498"/>
    <cellStyle name="Comma 3 7 11" xfId="39200"/>
    <cellStyle name="Comma 3 7 2" xfId="7545"/>
    <cellStyle name="Comma 3 7 2 2" xfId="7546"/>
    <cellStyle name="Comma 3 7 2 2 2" xfId="7547"/>
    <cellStyle name="Comma 3 7 2 2 2 2" xfId="11647"/>
    <cellStyle name="Comma 3 7 2 2 2 3" xfId="17078"/>
    <cellStyle name="Comma 3 7 2 2 2 3 2" xfId="33299"/>
    <cellStyle name="Comma 3 7 2 2 3" xfId="7548"/>
    <cellStyle name="Comma 3 7 2 2 3 2" xfId="11648"/>
    <cellStyle name="Comma 3 7 2 2 4" xfId="11646"/>
    <cellStyle name="Comma 3 7 2 2 5" xfId="15493"/>
    <cellStyle name="Comma 3 7 2 2 5 2" xfId="31715"/>
    <cellStyle name="Comma 3 7 2 3" xfId="7549"/>
    <cellStyle name="Comma 3 7 2 3 2" xfId="11649"/>
    <cellStyle name="Comma 3 7 2 3 3" xfId="16286"/>
    <cellStyle name="Comma 3 7 2 3 3 2" xfId="32507"/>
    <cellStyle name="Comma 3 7 2 4" xfId="7550"/>
    <cellStyle name="Comma 3 7 2 4 2" xfId="11650"/>
    <cellStyle name="Comma 3 7 2 5" xfId="11645"/>
    <cellStyle name="Comma 3 7 2 6" xfId="14701"/>
    <cellStyle name="Comma 3 7 2 6 2" xfId="30923"/>
    <cellStyle name="Comma 3 7 3" xfId="7551"/>
    <cellStyle name="Comma 3 7 3 2" xfId="7552"/>
    <cellStyle name="Comma 3 7 3 2 2" xfId="7553"/>
    <cellStyle name="Comma 3 7 3 2 2 2" xfId="11653"/>
    <cellStyle name="Comma 3 7 3 2 2 3" xfId="17342"/>
    <cellStyle name="Comma 3 7 3 2 2 3 2" xfId="33563"/>
    <cellStyle name="Comma 3 7 3 2 3" xfId="7554"/>
    <cellStyle name="Comma 3 7 3 2 3 2" xfId="11654"/>
    <cellStyle name="Comma 3 7 3 2 4" xfId="11652"/>
    <cellStyle name="Comma 3 7 3 2 5" xfId="15757"/>
    <cellStyle name="Comma 3 7 3 2 5 2" xfId="31979"/>
    <cellStyle name="Comma 3 7 3 3" xfId="7555"/>
    <cellStyle name="Comma 3 7 3 3 2" xfId="11655"/>
    <cellStyle name="Comma 3 7 3 3 3" xfId="16550"/>
    <cellStyle name="Comma 3 7 3 3 3 2" xfId="32771"/>
    <cellStyle name="Comma 3 7 3 4" xfId="7556"/>
    <cellStyle name="Comma 3 7 3 4 2" xfId="11656"/>
    <cellStyle name="Comma 3 7 3 5" xfId="11651"/>
    <cellStyle name="Comma 3 7 3 6" xfId="14965"/>
    <cellStyle name="Comma 3 7 3 6 2" xfId="31187"/>
    <cellStyle name="Comma 3 7 4" xfId="7557"/>
    <cellStyle name="Comma 3 7 4 2" xfId="7558"/>
    <cellStyle name="Comma 3 7 4 2 2" xfId="11658"/>
    <cellStyle name="Comma 3 7 4 2 3" xfId="16814"/>
    <cellStyle name="Comma 3 7 4 2 3 2" xfId="33035"/>
    <cellStyle name="Comma 3 7 4 3" xfId="7559"/>
    <cellStyle name="Comma 3 7 4 3 2" xfId="11659"/>
    <cellStyle name="Comma 3 7 4 4" xfId="11657"/>
    <cellStyle name="Comma 3 7 4 5" xfId="15229"/>
    <cellStyle name="Comma 3 7 4 5 2" xfId="31451"/>
    <cellStyle name="Comma 3 7 5" xfId="7560"/>
    <cellStyle name="Comma 3 7 5 2" xfId="11660"/>
    <cellStyle name="Comma 3 7 5 3" xfId="16022"/>
    <cellStyle name="Comma 3 7 5 3 2" xfId="32243"/>
    <cellStyle name="Comma 3 7 6" xfId="7561"/>
    <cellStyle name="Comma 3 7 6 2" xfId="11661"/>
    <cellStyle name="Comma 3 7 7" xfId="11644"/>
    <cellStyle name="Comma 3 7 8" xfId="14437"/>
    <cellStyle name="Comma 3 7 8 2" xfId="30659"/>
    <cellStyle name="Comma 3 7 9" xfId="7544"/>
    <cellStyle name="Comma 3 8" xfId="7562"/>
    <cellStyle name="Comma 3 8 2" xfId="7563"/>
    <cellStyle name="Comma 3 8 2 2" xfId="7564"/>
    <cellStyle name="Comma 3 8 2 2 2" xfId="11664"/>
    <cellStyle name="Comma 3 8 2 2 3" xfId="16946"/>
    <cellStyle name="Comma 3 8 2 2 3 2" xfId="33167"/>
    <cellStyle name="Comma 3 8 2 3" xfId="7565"/>
    <cellStyle name="Comma 3 8 2 3 2" xfId="11665"/>
    <cellStyle name="Comma 3 8 2 4" xfId="11663"/>
    <cellStyle name="Comma 3 8 2 5" xfId="15361"/>
    <cellStyle name="Comma 3 8 2 5 2" xfId="31583"/>
    <cellStyle name="Comma 3 8 3" xfId="7566"/>
    <cellStyle name="Comma 3 8 3 2" xfId="11666"/>
    <cellStyle name="Comma 3 8 3 3" xfId="16154"/>
    <cellStyle name="Comma 3 8 3 3 2" xfId="32375"/>
    <cellStyle name="Comma 3 8 4" xfId="7567"/>
    <cellStyle name="Comma 3 8 4 2" xfId="11667"/>
    <cellStyle name="Comma 3 8 5" xfId="11662"/>
    <cellStyle name="Comma 3 8 6" xfId="14569"/>
    <cellStyle name="Comma 3 8 6 2" xfId="30791"/>
    <cellStyle name="Comma 3 8 7" xfId="39349"/>
    <cellStyle name="Comma 3 9" xfId="7568"/>
    <cellStyle name="Comma 3 9 2" xfId="7569"/>
    <cellStyle name="Comma 3 9 2 2" xfId="7570"/>
    <cellStyle name="Comma 3 9 2 2 2" xfId="11670"/>
    <cellStyle name="Comma 3 9 2 2 3" xfId="17210"/>
    <cellStyle name="Comma 3 9 2 2 3 2" xfId="33431"/>
    <cellStyle name="Comma 3 9 2 3" xfId="7571"/>
    <cellStyle name="Comma 3 9 2 3 2" xfId="11671"/>
    <cellStyle name="Comma 3 9 2 4" xfId="11669"/>
    <cellStyle name="Comma 3 9 2 5" xfId="15625"/>
    <cellStyle name="Comma 3 9 2 5 2" xfId="31847"/>
    <cellStyle name="Comma 3 9 3" xfId="7572"/>
    <cellStyle name="Comma 3 9 3 2" xfId="11672"/>
    <cellStyle name="Comma 3 9 3 3" xfId="16418"/>
    <cellStyle name="Comma 3 9 3 3 2" xfId="32639"/>
    <cellStyle name="Comma 3 9 4" xfId="7573"/>
    <cellStyle name="Comma 3 9 4 2" xfId="11673"/>
    <cellStyle name="Comma 3 9 5" xfId="11668"/>
    <cellStyle name="Comma 3 9 6" xfId="14833"/>
    <cellStyle name="Comma 3 9 6 2" xfId="31055"/>
    <cellStyle name="Comma 31 2" xfId="5167"/>
    <cellStyle name="Comma 31 2 2" xfId="11674"/>
    <cellStyle name="Comma 32 2" xfId="5168"/>
    <cellStyle name="Comma 32 2 2" xfId="11675"/>
    <cellStyle name="Comma 33 2" xfId="5169"/>
    <cellStyle name="Comma 33 2 2" xfId="11676"/>
    <cellStyle name="Comma 33 3" xfId="5170"/>
    <cellStyle name="Comma 33 3 2" xfId="11677"/>
    <cellStyle name="Comma 33 4" xfId="5171"/>
    <cellStyle name="Comma 33 4 2" xfId="11678"/>
    <cellStyle name="Comma 33 5" xfId="5172"/>
    <cellStyle name="Comma 33 5 2" xfId="11679"/>
    <cellStyle name="Comma 33 6" xfId="5173"/>
    <cellStyle name="Comma 33 6 2" xfId="11680"/>
    <cellStyle name="Comma 33 7" xfId="5174"/>
    <cellStyle name="Comma 33 7 2" xfId="11681"/>
    <cellStyle name="Comma 33 8" xfId="5175"/>
    <cellStyle name="Comma 33 8 2" xfId="11682"/>
    <cellStyle name="Comma 34 2" xfId="5176"/>
    <cellStyle name="Comma 34 2 2" xfId="11683"/>
    <cellStyle name="Comma 34 3" xfId="5177"/>
    <cellStyle name="Comma 34 3 2" xfId="11684"/>
    <cellStyle name="Comma 34 4" xfId="5178"/>
    <cellStyle name="Comma 34 4 2" xfId="11685"/>
    <cellStyle name="Comma 34 5" xfId="5179"/>
    <cellStyle name="Comma 34 5 2" xfId="11686"/>
    <cellStyle name="Comma 35 2" xfId="5180"/>
    <cellStyle name="Comma 35 2 2" xfId="11687"/>
    <cellStyle name="Comma 35 3" xfId="5181"/>
    <cellStyle name="Comma 35 3 2" xfId="11688"/>
    <cellStyle name="Comma 36 2" xfId="5182"/>
    <cellStyle name="Comma 36 2 2" xfId="11689"/>
    <cellStyle name="Comma 36 3" xfId="5183"/>
    <cellStyle name="Comma 36 3 2" xfId="11690"/>
    <cellStyle name="Comma 37 2" xfId="5184"/>
    <cellStyle name="Comma 37 2 2" xfId="11691"/>
    <cellStyle name="Comma 37 3" xfId="5185"/>
    <cellStyle name="Comma 37 3 2" xfId="11692"/>
    <cellStyle name="Comma 38 2" xfId="5186"/>
    <cellStyle name="Comma 38 2 2" xfId="11693"/>
    <cellStyle name="Comma 38 3" xfId="5187"/>
    <cellStyle name="Comma 38 3 2" xfId="11694"/>
    <cellStyle name="Comma 39 2" xfId="5188"/>
    <cellStyle name="Comma 39 2 2" xfId="11695"/>
    <cellStyle name="Comma 39 3" xfId="5189"/>
    <cellStyle name="Comma 39 3 2" xfId="11696"/>
    <cellStyle name="Comma 4" xfId="83"/>
    <cellStyle name="Comma 4 10" xfId="38762"/>
    <cellStyle name="Comma 4 11" xfId="39554"/>
    <cellStyle name="Comma 4 12" xfId="298"/>
    <cellStyle name="Comma 4 2" xfId="84"/>
    <cellStyle name="Comma 4 2 2" xfId="11697"/>
    <cellStyle name="Comma 4 2 3" xfId="7574"/>
    <cellStyle name="Comma 4 2 4" xfId="4951"/>
    <cellStyle name="Comma 4 2 5" xfId="364"/>
    <cellStyle name="Comma 4 3" xfId="85"/>
    <cellStyle name="Comma 4 3 2" xfId="1862"/>
    <cellStyle name="Comma 4 3 2 2" xfId="11698"/>
    <cellStyle name="Comma 4 3 2 3" xfId="24030"/>
    <cellStyle name="Comma 4 3 3" xfId="3361"/>
    <cellStyle name="Comma 4 3 3 2" xfId="25528"/>
    <cellStyle name="Comma 4 3 4" xfId="7575"/>
    <cellStyle name="Comma 4 3 5" xfId="21034"/>
    <cellStyle name="Comma 4 3 5 2" xfId="37246"/>
    <cellStyle name="Comma 4 3 6" xfId="22532"/>
    <cellStyle name="Comma 4 3 7" xfId="327"/>
    <cellStyle name="Comma 4 4" xfId="1788"/>
    <cellStyle name="Comma 4 4 2" xfId="3287"/>
    <cellStyle name="Comma 4 4 2 2" xfId="25454"/>
    <cellStyle name="Comma 4 4 3" xfId="4785"/>
    <cellStyle name="Comma 4 4 3 2" xfId="26952"/>
    <cellStyle name="Comma 4 4 4" xfId="7576"/>
    <cellStyle name="Comma 4 4 5" xfId="22458"/>
    <cellStyle name="Comma 4 4 5 2" xfId="38670"/>
    <cellStyle name="Comma 4 4 6" xfId="23956"/>
    <cellStyle name="Comma 4 5" xfId="1834"/>
    <cellStyle name="Comma 4 5 2" xfId="14223"/>
    <cellStyle name="Comma 4 5 3" xfId="24002"/>
    <cellStyle name="Comma 4 6" xfId="3333"/>
    <cellStyle name="Comma 4 6 2" xfId="25500"/>
    <cellStyle name="Comma 4 7" xfId="4896"/>
    <cellStyle name="Comma 4 8" xfId="21006"/>
    <cellStyle name="Comma 4 8 2" xfId="37218"/>
    <cellStyle name="Comma 4 9" xfId="22504"/>
    <cellStyle name="Comma 40 2" xfId="5190"/>
    <cellStyle name="Comma 40 2 2" xfId="11699"/>
    <cellStyle name="Comma 40 3" xfId="5191"/>
    <cellStyle name="Comma 40 3 2" xfId="11700"/>
    <cellStyle name="Comma 40 4" xfId="5192"/>
    <cellStyle name="Comma 40 4 2" xfId="11701"/>
    <cellStyle name="Comma 40 5" xfId="5193"/>
    <cellStyle name="Comma 40 5 2" xfId="11702"/>
    <cellStyle name="Comma 40 6" xfId="5194"/>
    <cellStyle name="Comma 40 6 2" xfId="11703"/>
    <cellStyle name="Comma 40 7" xfId="5195"/>
    <cellStyle name="Comma 40 7 2" xfId="11704"/>
    <cellStyle name="Comma 41 2" xfId="5196"/>
    <cellStyle name="Comma 41 2 2" xfId="11705"/>
    <cellStyle name="Comma 41 3" xfId="5197"/>
    <cellStyle name="Comma 41 3 2" xfId="11706"/>
    <cellStyle name="Comma 43 2" xfId="5198"/>
    <cellStyle name="Comma 43 2 2" xfId="11707"/>
    <cellStyle name="Comma 43 3" xfId="5199"/>
    <cellStyle name="Comma 43 3 2" xfId="11708"/>
    <cellStyle name="Comma 44 2" xfId="5200"/>
    <cellStyle name="Comma 44 2 2" xfId="11709"/>
    <cellStyle name="Comma 44 3" xfId="5201"/>
    <cellStyle name="Comma 44 3 2" xfId="11710"/>
    <cellStyle name="Comma 45 2" xfId="5202"/>
    <cellStyle name="Comma 45 2 2" xfId="11711"/>
    <cellStyle name="Comma 45 3" xfId="5203"/>
    <cellStyle name="Comma 45 3 2" xfId="11712"/>
    <cellStyle name="Comma 47" xfId="5204"/>
    <cellStyle name="Comma 47 2" xfId="5205"/>
    <cellStyle name="Comma 47 2 2" xfId="5206"/>
    <cellStyle name="Comma 47 2 2 2" xfId="11714"/>
    <cellStyle name="Comma 47 2 3" xfId="5207"/>
    <cellStyle name="Comma 47 2 3 2" xfId="11715"/>
    <cellStyle name="Comma 47 2 4" xfId="11713"/>
    <cellStyle name="Comma 47 3" xfId="5208"/>
    <cellStyle name="Comma 47 3 2" xfId="5209"/>
    <cellStyle name="Comma 47 3 2 2" xfId="11717"/>
    <cellStyle name="Comma 47 3 3" xfId="5210"/>
    <cellStyle name="Comma 47 3 3 2" xfId="11718"/>
    <cellStyle name="Comma 47 3 4" xfId="11716"/>
    <cellStyle name="Comma 47 4" xfId="5211"/>
    <cellStyle name="Comma 47 4 2" xfId="11719"/>
    <cellStyle name="Comma 47 5" xfId="5212"/>
    <cellStyle name="Comma 47 5 2" xfId="5213"/>
    <cellStyle name="Comma 47 5 2 2" xfId="11721"/>
    <cellStyle name="Comma 47 5 3" xfId="11720"/>
    <cellStyle name="Comma 47 6" xfId="5214"/>
    <cellStyle name="Comma 47 6 2" xfId="11722"/>
    <cellStyle name="Comma 5" xfId="86"/>
    <cellStyle name="Comma 5 10" xfId="7577"/>
    <cellStyle name="Comma 5 10 2" xfId="7578"/>
    <cellStyle name="Comma 5 10 2 2" xfId="7579"/>
    <cellStyle name="Comma 5 10 2 2 2" xfId="11725"/>
    <cellStyle name="Comma 5 10 2 2 3" xfId="17212"/>
    <cellStyle name="Comma 5 10 2 2 3 2" xfId="33433"/>
    <cellStyle name="Comma 5 10 2 3" xfId="7580"/>
    <cellStyle name="Comma 5 10 2 3 2" xfId="11726"/>
    <cellStyle name="Comma 5 10 2 4" xfId="11724"/>
    <cellStyle name="Comma 5 10 2 5" xfId="15627"/>
    <cellStyle name="Comma 5 10 2 5 2" xfId="31849"/>
    <cellStyle name="Comma 5 10 3" xfId="7581"/>
    <cellStyle name="Comma 5 10 3 2" xfId="11727"/>
    <cellStyle name="Comma 5 10 3 3" xfId="16420"/>
    <cellStyle name="Comma 5 10 3 3 2" xfId="32641"/>
    <cellStyle name="Comma 5 10 4" xfId="7582"/>
    <cellStyle name="Comma 5 10 4 2" xfId="11728"/>
    <cellStyle name="Comma 5 10 5" xfId="11723"/>
    <cellStyle name="Comma 5 10 6" xfId="14835"/>
    <cellStyle name="Comma 5 10 6 2" xfId="31057"/>
    <cellStyle name="Comma 5 11" xfId="7583"/>
    <cellStyle name="Comma 5 11 2" xfId="7584"/>
    <cellStyle name="Comma 5 11 2 2" xfId="11730"/>
    <cellStyle name="Comma 5 11 2 3" xfId="16684"/>
    <cellStyle name="Comma 5 11 2 3 2" xfId="32905"/>
    <cellStyle name="Comma 5 11 3" xfId="7585"/>
    <cellStyle name="Comma 5 11 3 2" xfId="11731"/>
    <cellStyle name="Comma 5 11 4" xfId="11729"/>
    <cellStyle name="Comma 5 11 5" xfId="15099"/>
    <cellStyle name="Comma 5 11 5 2" xfId="31321"/>
    <cellStyle name="Comma 5 12" xfId="7586"/>
    <cellStyle name="Comma 5 12 2" xfId="7587"/>
    <cellStyle name="Comma 5 12 2 2" xfId="11733"/>
    <cellStyle name="Comma 5 12 3" xfId="11732"/>
    <cellStyle name="Comma 5 12 4" xfId="15892"/>
    <cellStyle name="Comma 5 12 4 2" xfId="32113"/>
    <cellStyle name="Comma 5 13" xfId="7588"/>
    <cellStyle name="Comma 5 13 2" xfId="11734"/>
    <cellStyle name="Comma 5 14" xfId="14245"/>
    <cellStyle name="Comma 5 14 2" xfId="30529"/>
    <cellStyle name="Comma 5 15" xfId="4893"/>
    <cellStyle name="Comma 5 16" xfId="21008"/>
    <cellStyle name="Comma 5 16 2" xfId="37220"/>
    <cellStyle name="Comma 5 17" xfId="22506"/>
    <cellStyle name="Comma 5 18" xfId="38767"/>
    <cellStyle name="Comma 5 19" xfId="39556"/>
    <cellStyle name="Comma 5 2" xfId="87"/>
    <cellStyle name="Comma 5 2 2" xfId="4953"/>
    <cellStyle name="Comma 5 2 2 2" xfId="11735"/>
    <cellStyle name="Comma 5 2 3" xfId="5215"/>
    <cellStyle name="Comma 5 2 4" xfId="4937"/>
    <cellStyle name="Comma 5 2 5" xfId="366"/>
    <cellStyle name="Comma 5 20" xfId="300"/>
    <cellStyle name="Comma 5 3" xfId="88"/>
    <cellStyle name="Comma 5 3 2" xfId="4957"/>
    <cellStyle name="Comma 5 3 2 2" xfId="11736"/>
    <cellStyle name="Comma 5 3 3" xfId="5216"/>
    <cellStyle name="Comma 5 3 4" xfId="4925"/>
    <cellStyle name="Comma 5 3 5" xfId="367"/>
    <cellStyle name="Comma 5 4" xfId="365"/>
    <cellStyle name="Comma 5 4 10" xfId="7589"/>
    <cellStyle name="Comma 5 4 10 2" xfId="11738"/>
    <cellStyle name="Comma 5 4 11" xfId="11737"/>
    <cellStyle name="Comma 5 4 12" xfId="14246"/>
    <cellStyle name="Comma 5 4 12 2" xfId="30530"/>
    <cellStyle name="Comma 5 4 2" xfId="7590"/>
    <cellStyle name="Comma 5 4 2 2" xfId="11739"/>
    <cellStyle name="Comma 5 4 3" xfId="7591"/>
    <cellStyle name="Comma 5 4 3 10" xfId="14341"/>
    <cellStyle name="Comma 5 4 3 10 2" xfId="30563"/>
    <cellStyle name="Comma 5 4 3 2" xfId="7592"/>
    <cellStyle name="Comma 5 4 3 2 2" xfId="7593"/>
    <cellStyle name="Comma 5 4 3 2 2 2" xfId="7594"/>
    <cellStyle name="Comma 5 4 3 2 2 2 2" xfId="7595"/>
    <cellStyle name="Comma 5 4 3 2 2 2 2 2" xfId="7596"/>
    <cellStyle name="Comma 5 4 3 2 2 2 2 2 2" xfId="11745"/>
    <cellStyle name="Comma 5 4 3 2 2 2 2 2 3" xfId="17180"/>
    <cellStyle name="Comma 5 4 3 2 2 2 2 2 3 2" xfId="33401"/>
    <cellStyle name="Comma 5 4 3 2 2 2 2 3" xfId="7597"/>
    <cellStyle name="Comma 5 4 3 2 2 2 2 3 2" xfId="11746"/>
    <cellStyle name="Comma 5 4 3 2 2 2 2 4" xfId="11744"/>
    <cellStyle name="Comma 5 4 3 2 2 2 2 5" xfId="15595"/>
    <cellStyle name="Comma 5 4 3 2 2 2 2 5 2" xfId="31817"/>
    <cellStyle name="Comma 5 4 3 2 2 2 3" xfId="7598"/>
    <cellStyle name="Comma 5 4 3 2 2 2 3 2" xfId="11747"/>
    <cellStyle name="Comma 5 4 3 2 2 2 3 3" xfId="16388"/>
    <cellStyle name="Comma 5 4 3 2 2 2 3 3 2" xfId="32609"/>
    <cellStyle name="Comma 5 4 3 2 2 2 4" xfId="7599"/>
    <cellStyle name="Comma 5 4 3 2 2 2 4 2" xfId="11748"/>
    <cellStyle name="Comma 5 4 3 2 2 2 5" xfId="11743"/>
    <cellStyle name="Comma 5 4 3 2 2 2 6" xfId="14803"/>
    <cellStyle name="Comma 5 4 3 2 2 2 6 2" xfId="31025"/>
    <cellStyle name="Comma 5 4 3 2 2 3" xfId="7600"/>
    <cellStyle name="Comma 5 4 3 2 2 3 2" xfId="7601"/>
    <cellStyle name="Comma 5 4 3 2 2 3 2 2" xfId="7602"/>
    <cellStyle name="Comma 5 4 3 2 2 3 2 2 2" xfId="11751"/>
    <cellStyle name="Comma 5 4 3 2 2 3 2 2 3" xfId="17444"/>
    <cellStyle name="Comma 5 4 3 2 2 3 2 2 3 2" xfId="33665"/>
    <cellStyle name="Comma 5 4 3 2 2 3 2 3" xfId="7603"/>
    <cellStyle name="Comma 5 4 3 2 2 3 2 3 2" xfId="11752"/>
    <cellStyle name="Comma 5 4 3 2 2 3 2 4" xfId="11750"/>
    <cellStyle name="Comma 5 4 3 2 2 3 2 5" xfId="15859"/>
    <cellStyle name="Comma 5 4 3 2 2 3 2 5 2" xfId="32081"/>
    <cellStyle name="Comma 5 4 3 2 2 3 3" xfId="7604"/>
    <cellStyle name="Comma 5 4 3 2 2 3 3 2" xfId="11753"/>
    <cellStyle name="Comma 5 4 3 2 2 3 3 3" xfId="16652"/>
    <cellStyle name="Comma 5 4 3 2 2 3 3 3 2" xfId="32873"/>
    <cellStyle name="Comma 5 4 3 2 2 3 4" xfId="7605"/>
    <cellStyle name="Comma 5 4 3 2 2 3 4 2" xfId="11754"/>
    <cellStyle name="Comma 5 4 3 2 2 3 5" xfId="11749"/>
    <cellStyle name="Comma 5 4 3 2 2 3 6" xfId="15067"/>
    <cellStyle name="Comma 5 4 3 2 2 3 6 2" xfId="31289"/>
    <cellStyle name="Comma 5 4 3 2 2 4" xfId="7606"/>
    <cellStyle name="Comma 5 4 3 2 2 4 2" xfId="7607"/>
    <cellStyle name="Comma 5 4 3 2 2 4 2 2" xfId="11756"/>
    <cellStyle name="Comma 5 4 3 2 2 4 2 3" xfId="16916"/>
    <cellStyle name="Comma 5 4 3 2 2 4 2 3 2" xfId="33137"/>
    <cellStyle name="Comma 5 4 3 2 2 4 3" xfId="7608"/>
    <cellStyle name="Comma 5 4 3 2 2 4 3 2" xfId="11757"/>
    <cellStyle name="Comma 5 4 3 2 2 4 4" xfId="11755"/>
    <cellStyle name="Comma 5 4 3 2 2 4 5" xfId="15331"/>
    <cellStyle name="Comma 5 4 3 2 2 4 5 2" xfId="31553"/>
    <cellStyle name="Comma 5 4 3 2 2 5" xfId="7609"/>
    <cellStyle name="Comma 5 4 3 2 2 5 2" xfId="11758"/>
    <cellStyle name="Comma 5 4 3 2 2 5 3" xfId="16124"/>
    <cellStyle name="Comma 5 4 3 2 2 5 3 2" xfId="32345"/>
    <cellStyle name="Comma 5 4 3 2 2 6" xfId="7610"/>
    <cellStyle name="Comma 5 4 3 2 2 6 2" xfId="11759"/>
    <cellStyle name="Comma 5 4 3 2 2 7" xfId="11742"/>
    <cellStyle name="Comma 5 4 3 2 2 8" xfId="14539"/>
    <cellStyle name="Comma 5 4 3 2 2 8 2" xfId="30761"/>
    <cellStyle name="Comma 5 4 3 2 3" xfId="7611"/>
    <cellStyle name="Comma 5 4 3 2 3 2" xfId="7612"/>
    <cellStyle name="Comma 5 4 3 2 3 2 2" xfId="7613"/>
    <cellStyle name="Comma 5 4 3 2 3 2 2 2" xfId="11762"/>
    <cellStyle name="Comma 5 4 3 2 3 2 2 3" xfId="17048"/>
    <cellStyle name="Comma 5 4 3 2 3 2 2 3 2" xfId="33269"/>
    <cellStyle name="Comma 5 4 3 2 3 2 3" xfId="7614"/>
    <cellStyle name="Comma 5 4 3 2 3 2 3 2" xfId="11763"/>
    <cellStyle name="Comma 5 4 3 2 3 2 4" xfId="11761"/>
    <cellStyle name="Comma 5 4 3 2 3 2 5" xfId="15463"/>
    <cellStyle name="Comma 5 4 3 2 3 2 5 2" xfId="31685"/>
    <cellStyle name="Comma 5 4 3 2 3 3" xfId="7615"/>
    <cellStyle name="Comma 5 4 3 2 3 3 2" xfId="11764"/>
    <cellStyle name="Comma 5 4 3 2 3 3 3" xfId="16256"/>
    <cellStyle name="Comma 5 4 3 2 3 3 3 2" xfId="32477"/>
    <cellStyle name="Comma 5 4 3 2 3 4" xfId="7616"/>
    <cellStyle name="Comma 5 4 3 2 3 4 2" xfId="11765"/>
    <cellStyle name="Comma 5 4 3 2 3 5" xfId="11760"/>
    <cellStyle name="Comma 5 4 3 2 3 6" xfId="14671"/>
    <cellStyle name="Comma 5 4 3 2 3 6 2" xfId="30893"/>
    <cellStyle name="Comma 5 4 3 2 4" xfId="7617"/>
    <cellStyle name="Comma 5 4 3 2 4 2" xfId="7618"/>
    <cellStyle name="Comma 5 4 3 2 4 2 2" xfId="7619"/>
    <cellStyle name="Comma 5 4 3 2 4 2 2 2" xfId="11768"/>
    <cellStyle name="Comma 5 4 3 2 4 2 2 3" xfId="17312"/>
    <cellStyle name="Comma 5 4 3 2 4 2 2 3 2" xfId="33533"/>
    <cellStyle name="Comma 5 4 3 2 4 2 3" xfId="7620"/>
    <cellStyle name="Comma 5 4 3 2 4 2 3 2" xfId="11769"/>
    <cellStyle name="Comma 5 4 3 2 4 2 4" xfId="11767"/>
    <cellStyle name="Comma 5 4 3 2 4 2 5" xfId="15727"/>
    <cellStyle name="Comma 5 4 3 2 4 2 5 2" xfId="31949"/>
    <cellStyle name="Comma 5 4 3 2 4 3" xfId="7621"/>
    <cellStyle name="Comma 5 4 3 2 4 3 2" xfId="11770"/>
    <cellStyle name="Comma 5 4 3 2 4 3 3" xfId="16520"/>
    <cellStyle name="Comma 5 4 3 2 4 3 3 2" xfId="32741"/>
    <cellStyle name="Comma 5 4 3 2 4 4" xfId="7622"/>
    <cellStyle name="Comma 5 4 3 2 4 4 2" xfId="11771"/>
    <cellStyle name="Comma 5 4 3 2 4 5" xfId="11766"/>
    <cellStyle name="Comma 5 4 3 2 4 6" xfId="14935"/>
    <cellStyle name="Comma 5 4 3 2 4 6 2" xfId="31157"/>
    <cellStyle name="Comma 5 4 3 2 5" xfId="7623"/>
    <cellStyle name="Comma 5 4 3 2 5 2" xfId="7624"/>
    <cellStyle name="Comma 5 4 3 2 5 2 2" xfId="11773"/>
    <cellStyle name="Comma 5 4 3 2 5 2 3" xfId="16784"/>
    <cellStyle name="Comma 5 4 3 2 5 2 3 2" xfId="33005"/>
    <cellStyle name="Comma 5 4 3 2 5 3" xfId="7625"/>
    <cellStyle name="Comma 5 4 3 2 5 3 2" xfId="11774"/>
    <cellStyle name="Comma 5 4 3 2 5 4" xfId="11772"/>
    <cellStyle name="Comma 5 4 3 2 5 5" xfId="15199"/>
    <cellStyle name="Comma 5 4 3 2 5 5 2" xfId="31421"/>
    <cellStyle name="Comma 5 4 3 2 6" xfId="7626"/>
    <cellStyle name="Comma 5 4 3 2 6 2" xfId="11775"/>
    <cellStyle name="Comma 5 4 3 2 6 3" xfId="15992"/>
    <cellStyle name="Comma 5 4 3 2 6 3 2" xfId="32213"/>
    <cellStyle name="Comma 5 4 3 2 7" xfId="7627"/>
    <cellStyle name="Comma 5 4 3 2 7 2" xfId="11776"/>
    <cellStyle name="Comma 5 4 3 2 8" xfId="11741"/>
    <cellStyle name="Comma 5 4 3 2 9" xfId="14407"/>
    <cellStyle name="Comma 5 4 3 2 9 2" xfId="30629"/>
    <cellStyle name="Comma 5 4 3 3" xfId="7628"/>
    <cellStyle name="Comma 5 4 3 3 2" xfId="7629"/>
    <cellStyle name="Comma 5 4 3 3 2 2" xfId="7630"/>
    <cellStyle name="Comma 5 4 3 3 2 2 2" xfId="7631"/>
    <cellStyle name="Comma 5 4 3 3 2 2 2 2" xfId="11780"/>
    <cellStyle name="Comma 5 4 3 3 2 2 2 3" xfId="17114"/>
    <cellStyle name="Comma 5 4 3 3 2 2 2 3 2" xfId="33335"/>
    <cellStyle name="Comma 5 4 3 3 2 2 3" xfId="7632"/>
    <cellStyle name="Comma 5 4 3 3 2 2 3 2" xfId="11781"/>
    <cellStyle name="Comma 5 4 3 3 2 2 4" xfId="11779"/>
    <cellStyle name="Comma 5 4 3 3 2 2 5" xfId="15529"/>
    <cellStyle name="Comma 5 4 3 3 2 2 5 2" xfId="31751"/>
    <cellStyle name="Comma 5 4 3 3 2 3" xfId="7633"/>
    <cellStyle name="Comma 5 4 3 3 2 3 2" xfId="11782"/>
    <cellStyle name="Comma 5 4 3 3 2 3 3" xfId="16322"/>
    <cellStyle name="Comma 5 4 3 3 2 3 3 2" xfId="32543"/>
    <cellStyle name="Comma 5 4 3 3 2 4" xfId="7634"/>
    <cellStyle name="Comma 5 4 3 3 2 4 2" xfId="11783"/>
    <cellStyle name="Comma 5 4 3 3 2 5" xfId="11778"/>
    <cellStyle name="Comma 5 4 3 3 2 6" xfId="14737"/>
    <cellStyle name="Comma 5 4 3 3 2 6 2" xfId="30959"/>
    <cellStyle name="Comma 5 4 3 3 3" xfId="7635"/>
    <cellStyle name="Comma 5 4 3 3 3 2" xfId="7636"/>
    <cellStyle name="Comma 5 4 3 3 3 2 2" xfId="7637"/>
    <cellStyle name="Comma 5 4 3 3 3 2 2 2" xfId="11786"/>
    <cellStyle name="Comma 5 4 3 3 3 2 2 3" xfId="17378"/>
    <cellStyle name="Comma 5 4 3 3 3 2 2 3 2" xfId="33599"/>
    <cellStyle name="Comma 5 4 3 3 3 2 3" xfId="7638"/>
    <cellStyle name="Comma 5 4 3 3 3 2 3 2" xfId="11787"/>
    <cellStyle name="Comma 5 4 3 3 3 2 4" xfId="11785"/>
    <cellStyle name="Comma 5 4 3 3 3 2 5" xfId="15793"/>
    <cellStyle name="Comma 5 4 3 3 3 2 5 2" xfId="32015"/>
    <cellStyle name="Comma 5 4 3 3 3 3" xfId="7639"/>
    <cellStyle name="Comma 5 4 3 3 3 3 2" xfId="11788"/>
    <cellStyle name="Comma 5 4 3 3 3 3 3" xfId="16586"/>
    <cellStyle name="Comma 5 4 3 3 3 3 3 2" xfId="32807"/>
    <cellStyle name="Comma 5 4 3 3 3 4" xfId="7640"/>
    <cellStyle name="Comma 5 4 3 3 3 4 2" xfId="11789"/>
    <cellStyle name="Comma 5 4 3 3 3 5" xfId="11784"/>
    <cellStyle name="Comma 5 4 3 3 3 6" xfId="15001"/>
    <cellStyle name="Comma 5 4 3 3 3 6 2" xfId="31223"/>
    <cellStyle name="Comma 5 4 3 3 4" xfId="7641"/>
    <cellStyle name="Comma 5 4 3 3 4 2" xfId="7642"/>
    <cellStyle name="Comma 5 4 3 3 4 2 2" xfId="11791"/>
    <cellStyle name="Comma 5 4 3 3 4 2 3" xfId="16850"/>
    <cellStyle name="Comma 5 4 3 3 4 2 3 2" xfId="33071"/>
    <cellStyle name="Comma 5 4 3 3 4 3" xfId="7643"/>
    <cellStyle name="Comma 5 4 3 3 4 3 2" xfId="11792"/>
    <cellStyle name="Comma 5 4 3 3 4 4" xfId="11790"/>
    <cellStyle name="Comma 5 4 3 3 4 5" xfId="15265"/>
    <cellStyle name="Comma 5 4 3 3 4 5 2" xfId="31487"/>
    <cellStyle name="Comma 5 4 3 3 5" xfId="7644"/>
    <cellStyle name="Comma 5 4 3 3 5 2" xfId="11793"/>
    <cellStyle name="Comma 5 4 3 3 5 3" xfId="16058"/>
    <cellStyle name="Comma 5 4 3 3 5 3 2" xfId="32279"/>
    <cellStyle name="Comma 5 4 3 3 6" xfId="7645"/>
    <cellStyle name="Comma 5 4 3 3 6 2" xfId="11794"/>
    <cellStyle name="Comma 5 4 3 3 7" xfId="11777"/>
    <cellStyle name="Comma 5 4 3 3 8" xfId="14473"/>
    <cellStyle name="Comma 5 4 3 3 8 2" xfId="30695"/>
    <cellStyle name="Comma 5 4 3 4" xfId="7646"/>
    <cellStyle name="Comma 5 4 3 4 2" xfId="7647"/>
    <cellStyle name="Comma 5 4 3 4 2 2" xfId="7648"/>
    <cellStyle name="Comma 5 4 3 4 2 2 2" xfId="11797"/>
    <cellStyle name="Comma 5 4 3 4 2 2 3" xfId="16982"/>
    <cellStyle name="Comma 5 4 3 4 2 2 3 2" xfId="33203"/>
    <cellStyle name="Comma 5 4 3 4 2 3" xfId="7649"/>
    <cellStyle name="Comma 5 4 3 4 2 3 2" xfId="11798"/>
    <cellStyle name="Comma 5 4 3 4 2 4" xfId="11796"/>
    <cellStyle name="Comma 5 4 3 4 2 5" xfId="15397"/>
    <cellStyle name="Comma 5 4 3 4 2 5 2" xfId="31619"/>
    <cellStyle name="Comma 5 4 3 4 3" xfId="7650"/>
    <cellStyle name="Comma 5 4 3 4 3 2" xfId="11799"/>
    <cellStyle name="Comma 5 4 3 4 3 3" xfId="16190"/>
    <cellStyle name="Comma 5 4 3 4 3 3 2" xfId="32411"/>
    <cellStyle name="Comma 5 4 3 4 4" xfId="7651"/>
    <cellStyle name="Comma 5 4 3 4 4 2" xfId="11800"/>
    <cellStyle name="Comma 5 4 3 4 5" xfId="11795"/>
    <cellStyle name="Comma 5 4 3 4 6" xfId="14605"/>
    <cellStyle name="Comma 5 4 3 4 6 2" xfId="30827"/>
    <cellStyle name="Comma 5 4 3 5" xfId="7652"/>
    <cellStyle name="Comma 5 4 3 5 2" xfId="7653"/>
    <cellStyle name="Comma 5 4 3 5 2 2" xfId="7654"/>
    <cellStyle name="Comma 5 4 3 5 2 2 2" xfId="11803"/>
    <cellStyle name="Comma 5 4 3 5 2 2 3" xfId="17246"/>
    <cellStyle name="Comma 5 4 3 5 2 2 3 2" xfId="33467"/>
    <cellStyle name="Comma 5 4 3 5 2 3" xfId="7655"/>
    <cellStyle name="Comma 5 4 3 5 2 3 2" xfId="11804"/>
    <cellStyle name="Comma 5 4 3 5 2 4" xfId="11802"/>
    <cellStyle name="Comma 5 4 3 5 2 5" xfId="15661"/>
    <cellStyle name="Comma 5 4 3 5 2 5 2" xfId="31883"/>
    <cellStyle name="Comma 5 4 3 5 3" xfId="7656"/>
    <cellStyle name="Comma 5 4 3 5 3 2" xfId="11805"/>
    <cellStyle name="Comma 5 4 3 5 3 3" xfId="16454"/>
    <cellStyle name="Comma 5 4 3 5 3 3 2" xfId="32675"/>
    <cellStyle name="Comma 5 4 3 5 4" xfId="7657"/>
    <cellStyle name="Comma 5 4 3 5 4 2" xfId="11806"/>
    <cellStyle name="Comma 5 4 3 5 5" xfId="11801"/>
    <cellStyle name="Comma 5 4 3 5 6" xfId="14869"/>
    <cellStyle name="Comma 5 4 3 5 6 2" xfId="31091"/>
    <cellStyle name="Comma 5 4 3 6" xfId="7658"/>
    <cellStyle name="Comma 5 4 3 6 2" xfId="7659"/>
    <cellStyle name="Comma 5 4 3 6 2 2" xfId="11808"/>
    <cellStyle name="Comma 5 4 3 6 2 3" xfId="16718"/>
    <cellStyle name="Comma 5 4 3 6 2 3 2" xfId="32939"/>
    <cellStyle name="Comma 5 4 3 6 3" xfId="7660"/>
    <cellStyle name="Comma 5 4 3 6 3 2" xfId="11809"/>
    <cellStyle name="Comma 5 4 3 6 4" xfId="11807"/>
    <cellStyle name="Comma 5 4 3 6 5" xfId="15133"/>
    <cellStyle name="Comma 5 4 3 6 5 2" xfId="31355"/>
    <cellStyle name="Comma 5 4 3 7" xfId="7661"/>
    <cellStyle name="Comma 5 4 3 7 2" xfId="11810"/>
    <cellStyle name="Comma 5 4 3 7 3" xfId="15926"/>
    <cellStyle name="Comma 5 4 3 7 3 2" xfId="32147"/>
    <cellStyle name="Comma 5 4 3 8" xfId="7662"/>
    <cellStyle name="Comma 5 4 3 8 2" xfId="11811"/>
    <cellStyle name="Comma 5 4 3 9" xfId="11740"/>
    <cellStyle name="Comma 5 4 4" xfId="7663"/>
    <cellStyle name="Comma 5 4 4 2" xfId="7664"/>
    <cellStyle name="Comma 5 4 4 2 2" xfId="7665"/>
    <cellStyle name="Comma 5 4 4 2 2 2" xfId="7666"/>
    <cellStyle name="Comma 5 4 4 2 2 2 2" xfId="7667"/>
    <cellStyle name="Comma 5 4 4 2 2 2 2 2" xfId="11816"/>
    <cellStyle name="Comma 5 4 4 2 2 2 2 3" xfId="17147"/>
    <cellStyle name="Comma 5 4 4 2 2 2 2 3 2" xfId="33368"/>
    <cellStyle name="Comma 5 4 4 2 2 2 3" xfId="7668"/>
    <cellStyle name="Comma 5 4 4 2 2 2 3 2" xfId="11817"/>
    <cellStyle name="Comma 5 4 4 2 2 2 4" xfId="11815"/>
    <cellStyle name="Comma 5 4 4 2 2 2 5" xfId="15562"/>
    <cellStyle name="Comma 5 4 4 2 2 2 5 2" xfId="31784"/>
    <cellStyle name="Comma 5 4 4 2 2 3" xfId="7669"/>
    <cellStyle name="Comma 5 4 4 2 2 3 2" xfId="11818"/>
    <cellStyle name="Comma 5 4 4 2 2 3 3" xfId="16355"/>
    <cellStyle name="Comma 5 4 4 2 2 3 3 2" xfId="32576"/>
    <cellStyle name="Comma 5 4 4 2 2 4" xfId="7670"/>
    <cellStyle name="Comma 5 4 4 2 2 4 2" xfId="11819"/>
    <cellStyle name="Comma 5 4 4 2 2 5" xfId="11814"/>
    <cellStyle name="Comma 5 4 4 2 2 6" xfId="14770"/>
    <cellStyle name="Comma 5 4 4 2 2 6 2" xfId="30992"/>
    <cellStyle name="Comma 5 4 4 2 3" xfId="7671"/>
    <cellStyle name="Comma 5 4 4 2 3 2" xfId="7672"/>
    <cellStyle name="Comma 5 4 4 2 3 2 2" xfId="7673"/>
    <cellStyle name="Comma 5 4 4 2 3 2 2 2" xfId="11822"/>
    <cellStyle name="Comma 5 4 4 2 3 2 2 3" xfId="17411"/>
    <cellStyle name="Comma 5 4 4 2 3 2 2 3 2" xfId="33632"/>
    <cellStyle name="Comma 5 4 4 2 3 2 3" xfId="7674"/>
    <cellStyle name="Comma 5 4 4 2 3 2 3 2" xfId="11823"/>
    <cellStyle name="Comma 5 4 4 2 3 2 4" xfId="11821"/>
    <cellStyle name="Comma 5 4 4 2 3 2 5" xfId="15826"/>
    <cellStyle name="Comma 5 4 4 2 3 2 5 2" xfId="32048"/>
    <cellStyle name="Comma 5 4 4 2 3 3" xfId="7675"/>
    <cellStyle name="Comma 5 4 4 2 3 3 2" xfId="11824"/>
    <cellStyle name="Comma 5 4 4 2 3 3 3" xfId="16619"/>
    <cellStyle name="Comma 5 4 4 2 3 3 3 2" xfId="32840"/>
    <cellStyle name="Comma 5 4 4 2 3 4" xfId="7676"/>
    <cellStyle name="Comma 5 4 4 2 3 4 2" xfId="11825"/>
    <cellStyle name="Comma 5 4 4 2 3 5" xfId="11820"/>
    <cellStyle name="Comma 5 4 4 2 3 6" xfId="15034"/>
    <cellStyle name="Comma 5 4 4 2 3 6 2" xfId="31256"/>
    <cellStyle name="Comma 5 4 4 2 4" xfId="7677"/>
    <cellStyle name="Comma 5 4 4 2 4 2" xfId="7678"/>
    <cellStyle name="Comma 5 4 4 2 4 2 2" xfId="11827"/>
    <cellStyle name="Comma 5 4 4 2 4 2 3" xfId="16883"/>
    <cellStyle name="Comma 5 4 4 2 4 2 3 2" xfId="33104"/>
    <cellStyle name="Comma 5 4 4 2 4 3" xfId="7679"/>
    <cellStyle name="Comma 5 4 4 2 4 3 2" xfId="11828"/>
    <cellStyle name="Comma 5 4 4 2 4 4" xfId="11826"/>
    <cellStyle name="Comma 5 4 4 2 4 5" xfId="15298"/>
    <cellStyle name="Comma 5 4 4 2 4 5 2" xfId="31520"/>
    <cellStyle name="Comma 5 4 4 2 5" xfId="7680"/>
    <cellStyle name="Comma 5 4 4 2 5 2" xfId="11829"/>
    <cellStyle name="Comma 5 4 4 2 5 3" xfId="16091"/>
    <cellStyle name="Comma 5 4 4 2 5 3 2" xfId="32312"/>
    <cellStyle name="Comma 5 4 4 2 6" xfId="7681"/>
    <cellStyle name="Comma 5 4 4 2 6 2" xfId="11830"/>
    <cellStyle name="Comma 5 4 4 2 7" xfId="11813"/>
    <cellStyle name="Comma 5 4 4 2 8" xfId="14506"/>
    <cellStyle name="Comma 5 4 4 2 8 2" xfId="30728"/>
    <cellStyle name="Comma 5 4 4 3" xfId="7682"/>
    <cellStyle name="Comma 5 4 4 3 2" xfId="7683"/>
    <cellStyle name="Comma 5 4 4 3 2 2" xfId="7684"/>
    <cellStyle name="Comma 5 4 4 3 2 2 2" xfId="11833"/>
    <cellStyle name="Comma 5 4 4 3 2 2 3" xfId="17015"/>
    <cellStyle name="Comma 5 4 4 3 2 2 3 2" xfId="33236"/>
    <cellStyle name="Comma 5 4 4 3 2 3" xfId="7685"/>
    <cellStyle name="Comma 5 4 4 3 2 3 2" xfId="11834"/>
    <cellStyle name="Comma 5 4 4 3 2 4" xfId="11832"/>
    <cellStyle name="Comma 5 4 4 3 2 5" xfId="15430"/>
    <cellStyle name="Comma 5 4 4 3 2 5 2" xfId="31652"/>
    <cellStyle name="Comma 5 4 4 3 3" xfId="7686"/>
    <cellStyle name="Comma 5 4 4 3 3 2" xfId="11835"/>
    <cellStyle name="Comma 5 4 4 3 3 3" xfId="16223"/>
    <cellStyle name="Comma 5 4 4 3 3 3 2" xfId="32444"/>
    <cellStyle name="Comma 5 4 4 3 4" xfId="7687"/>
    <cellStyle name="Comma 5 4 4 3 4 2" xfId="11836"/>
    <cellStyle name="Comma 5 4 4 3 5" xfId="11831"/>
    <cellStyle name="Comma 5 4 4 3 6" xfId="14638"/>
    <cellStyle name="Comma 5 4 4 3 6 2" xfId="30860"/>
    <cellStyle name="Comma 5 4 4 4" xfId="7688"/>
    <cellStyle name="Comma 5 4 4 4 2" xfId="7689"/>
    <cellStyle name="Comma 5 4 4 4 2 2" xfId="7690"/>
    <cellStyle name="Comma 5 4 4 4 2 2 2" xfId="11839"/>
    <cellStyle name="Comma 5 4 4 4 2 2 3" xfId="17279"/>
    <cellStyle name="Comma 5 4 4 4 2 2 3 2" xfId="33500"/>
    <cellStyle name="Comma 5 4 4 4 2 3" xfId="7691"/>
    <cellStyle name="Comma 5 4 4 4 2 3 2" xfId="11840"/>
    <cellStyle name="Comma 5 4 4 4 2 4" xfId="11838"/>
    <cellStyle name="Comma 5 4 4 4 2 5" xfId="15694"/>
    <cellStyle name="Comma 5 4 4 4 2 5 2" xfId="31916"/>
    <cellStyle name="Comma 5 4 4 4 3" xfId="7692"/>
    <cellStyle name="Comma 5 4 4 4 3 2" xfId="11841"/>
    <cellStyle name="Comma 5 4 4 4 3 3" xfId="16487"/>
    <cellStyle name="Comma 5 4 4 4 3 3 2" xfId="32708"/>
    <cellStyle name="Comma 5 4 4 4 4" xfId="7693"/>
    <cellStyle name="Comma 5 4 4 4 4 2" xfId="11842"/>
    <cellStyle name="Comma 5 4 4 4 5" xfId="11837"/>
    <cellStyle name="Comma 5 4 4 4 6" xfId="14902"/>
    <cellStyle name="Comma 5 4 4 4 6 2" xfId="31124"/>
    <cellStyle name="Comma 5 4 4 5" xfId="7694"/>
    <cellStyle name="Comma 5 4 4 5 2" xfId="7695"/>
    <cellStyle name="Comma 5 4 4 5 2 2" xfId="11844"/>
    <cellStyle name="Comma 5 4 4 5 2 3" xfId="16751"/>
    <cellStyle name="Comma 5 4 4 5 2 3 2" xfId="32972"/>
    <cellStyle name="Comma 5 4 4 5 3" xfId="7696"/>
    <cellStyle name="Comma 5 4 4 5 3 2" xfId="11845"/>
    <cellStyle name="Comma 5 4 4 5 4" xfId="11843"/>
    <cellStyle name="Comma 5 4 4 5 5" xfId="15166"/>
    <cellStyle name="Comma 5 4 4 5 5 2" xfId="31388"/>
    <cellStyle name="Comma 5 4 4 6" xfId="7697"/>
    <cellStyle name="Comma 5 4 4 6 2" xfId="11846"/>
    <cellStyle name="Comma 5 4 4 6 3" xfId="15959"/>
    <cellStyle name="Comma 5 4 4 6 3 2" xfId="32180"/>
    <cellStyle name="Comma 5 4 4 7" xfId="7698"/>
    <cellStyle name="Comma 5 4 4 7 2" xfId="11847"/>
    <cellStyle name="Comma 5 4 4 8" xfId="11812"/>
    <cellStyle name="Comma 5 4 4 9" xfId="14374"/>
    <cellStyle name="Comma 5 4 4 9 2" xfId="30596"/>
    <cellStyle name="Comma 5 4 5" xfId="7699"/>
    <cellStyle name="Comma 5 4 5 2" xfId="7700"/>
    <cellStyle name="Comma 5 4 5 2 2" xfId="7701"/>
    <cellStyle name="Comma 5 4 5 2 2 2" xfId="7702"/>
    <cellStyle name="Comma 5 4 5 2 2 2 2" xfId="11851"/>
    <cellStyle name="Comma 5 4 5 2 2 2 3" xfId="17081"/>
    <cellStyle name="Comma 5 4 5 2 2 2 3 2" xfId="33302"/>
    <cellStyle name="Comma 5 4 5 2 2 3" xfId="7703"/>
    <cellStyle name="Comma 5 4 5 2 2 3 2" xfId="11852"/>
    <cellStyle name="Comma 5 4 5 2 2 4" xfId="11850"/>
    <cellStyle name="Comma 5 4 5 2 2 5" xfId="15496"/>
    <cellStyle name="Comma 5 4 5 2 2 5 2" xfId="31718"/>
    <cellStyle name="Comma 5 4 5 2 3" xfId="7704"/>
    <cellStyle name="Comma 5 4 5 2 3 2" xfId="11853"/>
    <cellStyle name="Comma 5 4 5 2 3 3" xfId="16289"/>
    <cellStyle name="Comma 5 4 5 2 3 3 2" xfId="32510"/>
    <cellStyle name="Comma 5 4 5 2 4" xfId="7705"/>
    <cellStyle name="Comma 5 4 5 2 4 2" xfId="11854"/>
    <cellStyle name="Comma 5 4 5 2 5" xfId="11849"/>
    <cellStyle name="Comma 5 4 5 2 6" xfId="14704"/>
    <cellStyle name="Comma 5 4 5 2 6 2" xfId="30926"/>
    <cellStyle name="Comma 5 4 5 3" xfId="7706"/>
    <cellStyle name="Comma 5 4 5 3 2" xfId="7707"/>
    <cellStyle name="Comma 5 4 5 3 2 2" xfId="7708"/>
    <cellStyle name="Comma 5 4 5 3 2 2 2" xfId="11857"/>
    <cellStyle name="Comma 5 4 5 3 2 2 3" xfId="17345"/>
    <cellStyle name="Comma 5 4 5 3 2 2 3 2" xfId="33566"/>
    <cellStyle name="Comma 5 4 5 3 2 3" xfId="7709"/>
    <cellStyle name="Comma 5 4 5 3 2 3 2" xfId="11858"/>
    <cellStyle name="Comma 5 4 5 3 2 4" xfId="11856"/>
    <cellStyle name="Comma 5 4 5 3 2 5" xfId="15760"/>
    <cellStyle name="Comma 5 4 5 3 2 5 2" xfId="31982"/>
    <cellStyle name="Comma 5 4 5 3 3" xfId="7710"/>
    <cellStyle name="Comma 5 4 5 3 3 2" xfId="11859"/>
    <cellStyle name="Comma 5 4 5 3 3 3" xfId="16553"/>
    <cellStyle name="Comma 5 4 5 3 3 3 2" xfId="32774"/>
    <cellStyle name="Comma 5 4 5 3 4" xfId="7711"/>
    <cellStyle name="Comma 5 4 5 3 4 2" xfId="11860"/>
    <cellStyle name="Comma 5 4 5 3 5" xfId="11855"/>
    <cellStyle name="Comma 5 4 5 3 6" xfId="14968"/>
    <cellStyle name="Comma 5 4 5 3 6 2" xfId="31190"/>
    <cellStyle name="Comma 5 4 5 4" xfId="7712"/>
    <cellStyle name="Comma 5 4 5 4 2" xfId="7713"/>
    <cellStyle name="Comma 5 4 5 4 2 2" xfId="11862"/>
    <cellStyle name="Comma 5 4 5 4 2 3" xfId="16817"/>
    <cellStyle name="Comma 5 4 5 4 2 3 2" xfId="33038"/>
    <cellStyle name="Comma 5 4 5 4 3" xfId="7714"/>
    <cellStyle name="Comma 5 4 5 4 3 2" xfId="11863"/>
    <cellStyle name="Comma 5 4 5 4 4" xfId="11861"/>
    <cellStyle name="Comma 5 4 5 4 5" xfId="15232"/>
    <cellStyle name="Comma 5 4 5 4 5 2" xfId="31454"/>
    <cellStyle name="Comma 5 4 5 5" xfId="7715"/>
    <cellStyle name="Comma 5 4 5 5 2" xfId="11864"/>
    <cellStyle name="Comma 5 4 5 5 3" xfId="16025"/>
    <cellStyle name="Comma 5 4 5 5 3 2" xfId="32246"/>
    <cellStyle name="Comma 5 4 5 6" xfId="7716"/>
    <cellStyle name="Comma 5 4 5 6 2" xfId="11865"/>
    <cellStyle name="Comma 5 4 5 7" xfId="11848"/>
    <cellStyle name="Comma 5 4 5 8" xfId="14440"/>
    <cellStyle name="Comma 5 4 5 8 2" xfId="30662"/>
    <cellStyle name="Comma 5 4 6" xfId="7717"/>
    <cellStyle name="Comma 5 4 6 2" xfId="7718"/>
    <cellStyle name="Comma 5 4 6 2 2" xfId="7719"/>
    <cellStyle name="Comma 5 4 6 2 2 2" xfId="11868"/>
    <cellStyle name="Comma 5 4 6 2 2 3" xfId="16949"/>
    <cellStyle name="Comma 5 4 6 2 2 3 2" xfId="33170"/>
    <cellStyle name="Comma 5 4 6 2 3" xfId="7720"/>
    <cellStyle name="Comma 5 4 6 2 3 2" xfId="11869"/>
    <cellStyle name="Comma 5 4 6 2 4" xfId="11867"/>
    <cellStyle name="Comma 5 4 6 2 5" xfId="15364"/>
    <cellStyle name="Comma 5 4 6 2 5 2" xfId="31586"/>
    <cellStyle name="Comma 5 4 6 3" xfId="7721"/>
    <cellStyle name="Comma 5 4 6 3 2" xfId="11870"/>
    <cellStyle name="Comma 5 4 6 3 3" xfId="16157"/>
    <cellStyle name="Comma 5 4 6 3 3 2" xfId="32378"/>
    <cellStyle name="Comma 5 4 6 4" xfId="7722"/>
    <cellStyle name="Comma 5 4 6 4 2" xfId="11871"/>
    <cellStyle name="Comma 5 4 6 5" xfId="11866"/>
    <cellStyle name="Comma 5 4 6 6" xfId="14572"/>
    <cellStyle name="Comma 5 4 6 6 2" xfId="30794"/>
    <cellStyle name="Comma 5 4 7" xfId="7723"/>
    <cellStyle name="Comma 5 4 7 2" xfId="7724"/>
    <cellStyle name="Comma 5 4 7 2 2" xfId="7725"/>
    <cellStyle name="Comma 5 4 7 2 2 2" xfId="11874"/>
    <cellStyle name="Comma 5 4 7 2 2 3" xfId="17213"/>
    <cellStyle name="Comma 5 4 7 2 2 3 2" xfId="33434"/>
    <cellStyle name="Comma 5 4 7 2 3" xfId="7726"/>
    <cellStyle name="Comma 5 4 7 2 3 2" xfId="11875"/>
    <cellStyle name="Comma 5 4 7 2 4" xfId="11873"/>
    <cellStyle name="Comma 5 4 7 2 5" xfId="15628"/>
    <cellStyle name="Comma 5 4 7 2 5 2" xfId="31850"/>
    <cellStyle name="Comma 5 4 7 3" xfId="7727"/>
    <cellStyle name="Comma 5 4 7 3 2" xfId="11876"/>
    <cellStyle name="Comma 5 4 7 3 3" xfId="16421"/>
    <cellStyle name="Comma 5 4 7 3 3 2" xfId="32642"/>
    <cellStyle name="Comma 5 4 7 4" xfId="7728"/>
    <cellStyle name="Comma 5 4 7 4 2" xfId="11877"/>
    <cellStyle name="Comma 5 4 7 5" xfId="11872"/>
    <cellStyle name="Comma 5 4 7 6" xfId="14836"/>
    <cellStyle name="Comma 5 4 7 6 2" xfId="31058"/>
    <cellStyle name="Comma 5 4 8" xfId="7729"/>
    <cellStyle name="Comma 5 4 8 2" xfId="7730"/>
    <cellStyle name="Comma 5 4 8 2 2" xfId="11879"/>
    <cellStyle name="Comma 5 4 8 2 3" xfId="16685"/>
    <cellStyle name="Comma 5 4 8 2 3 2" xfId="32906"/>
    <cellStyle name="Comma 5 4 8 3" xfId="7731"/>
    <cellStyle name="Comma 5 4 8 3 2" xfId="11880"/>
    <cellStyle name="Comma 5 4 8 4" xfId="11878"/>
    <cellStyle name="Comma 5 4 8 5" xfId="15100"/>
    <cellStyle name="Comma 5 4 8 5 2" xfId="31322"/>
    <cellStyle name="Comma 5 4 9" xfId="7732"/>
    <cellStyle name="Comma 5 4 9 2" xfId="7733"/>
    <cellStyle name="Comma 5 4 9 2 2" xfId="11882"/>
    <cellStyle name="Comma 5 4 9 3" xfId="11881"/>
    <cellStyle name="Comma 5 4 9 4" xfId="15893"/>
    <cellStyle name="Comma 5 4 9 4 2" xfId="32114"/>
    <cellStyle name="Comma 5 5" xfId="329"/>
    <cellStyle name="Comma 5 5 2" xfId="1864"/>
    <cellStyle name="Comma 5 5 2 2" xfId="11883"/>
    <cellStyle name="Comma 5 5 2 3" xfId="24032"/>
    <cellStyle name="Comma 5 5 3" xfId="3363"/>
    <cellStyle name="Comma 5 5 3 2" xfId="25530"/>
    <cellStyle name="Comma 5 5 4" xfId="5217"/>
    <cellStyle name="Comma 5 5 5" xfId="21036"/>
    <cellStyle name="Comma 5 5 5 2" xfId="37248"/>
    <cellStyle name="Comma 5 5 6" xfId="22534"/>
    <cellStyle name="Comma 5 6" xfId="1790"/>
    <cellStyle name="Comma 5 6 10" xfId="14340"/>
    <cellStyle name="Comma 5 6 10 2" xfId="30562"/>
    <cellStyle name="Comma 5 6 11" xfId="7734"/>
    <cellStyle name="Comma 5 6 12" xfId="22460"/>
    <cellStyle name="Comma 5 6 12 2" xfId="38672"/>
    <cellStyle name="Comma 5 6 13" xfId="23958"/>
    <cellStyle name="Comma 5 6 2" xfId="3289"/>
    <cellStyle name="Comma 5 6 2 10" xfId="7735"/>
    <cellStyle name="Comma 5 6 2 11" xfId="25456"/>
    <cellStyle name="Comma 5 6 2 2" xfId="7736"/>
    <cellStyle name="Comma 5 6 2 2 2" xfId="7737"/>
    <cellStyle name="Comma 5 6 2 2 2 2" xfId="7738"/>
    <cellStyle name="Comma 5 6 2 2 2 2 2" xfId="7739"/>
    <cellStyle name="Comma 5 6 2 2 2 2 2 2" xfId="11889"/>
    <cellStyle name="Comma 5 6 2 2 2 2 2 3" xfId="17179"/>
    <cellStyle name="Comma 5 6 2 2 2 2 2 3 2" xfId="33400"/>
    <cellStyle name="Comma 5 6 2 2 2 2 3" xfId="7740"/>
    <cellStyle name="Comma 5 6 2 2 2 2 3 2" xfId="11890"/>
    <cellStyle name="Comma 5 6 2 2 2 2 4" xfId="11888"/>
    <cellStyle name="Comma 5 6 2 2 2 2 5" xfId="15594"/>
    <cellStyle name="Comma 5 6 2 2 2 2 5 2" xfId="31816"/>
    <cellStyle name="Comma 5 6 2 2 2 3" xfId="7741"/>
    <cellStyle name="Comma 5 6 2 2 2 3 2" xfId="11891"/>
    <cellStyle name="Comma 5 6 2 2 2 3 3" xfId="16387"/>
    <cellStyle name="Comma 5 6 2 2 2 3 3 2" xfId="32608"/>
    <cellStyle name="Comma 5 6 2 2 2 4" xfId="7742"/>
    <cellStyle name="Comma 5 6 2 2 2 4 2" xfId="11892"/>
    <cellStyle name="Comma 5 6 2 2 2 5" xfId="11887"/>
    <cellStyle name="Comma 5 6 2 2 2 6" xfId="14802"/>
    <cellStyle name="Comma 5 6 2 2 2 6 2" xfId="31024"/>
    <cellStyle name="Comma 5 6 2 2 3" xfId="7743"/>
    <cellStyle name="Comma 5 6 2 2 3 2" xfId="7744"/>
    <cellStyle name="Comma 5 6 2 2 3 2 2" xfId="7745"/>
    <cellStyle name="Comma 5 6 2 2 3 2 2 2" xfId="11895"/>
    <cellStyle name="Comma 5 6 2 2 3 2 2 3" xfId="17443"/>
    <cellStyle name="Comma 5 6 2 2 3 2 2 3 2" xfId="33664"/>
    <cellStyle name="Comma 5 6 2 2 3 2 3" xfId="7746"/>
    <cellStyle name="Comma 5 6 2 2 3 2 3 2" xfId="11896"/>
    <cellStyle name="Comma 5 6 2 2 3 2 4" xfId="11894"/>
    <cellStyle name="Comma 5 6 2 2 3 2 5" xfId="15858"/>
    <cellStyle name="Comma 5 6 2 2 3 2 5 2" xfId="32080"/>
    <cellStyle name="Comma 5 6 2 2 3 3" xfId="7747"/>
    <cellStyle name="Comma 5 6 2 2 3 3 2" xfId="11897"/>
    <cellStyle name="Comma 5 6 2 2 3 3 3" xfId="16651"/>
    <cellStyle name="Comma 5 6 2 2 3 3 3 2" xfId="32872"/>
    <cellStyle name="Comma 5 6 2 2 3 4" xfId="7748"/>
    <cellStyle name="Comma 5 6 2 2 3 4 2" xfId="11898"/>
    <cellStyle name="Comma 5 6 2 2 3 5" xfId="11893"/>
    <cellStyle name="Comma 5 6 2 2 3 6" xfId="15066"/>
    <cellStyle name="Comma 5 6 2 2 3 6 2" xfId="31288"/>
    <cellStyle name="Comma 5 6 2 2 4" xfId="7749"/>
    <cellStyle name="Comma 5 6 2 2 4 2" xfId="7750"/>
    <cellStyle name="Comma 5 6 2 2 4 2 2" xfId="11900"/>
    <cellStyle name="Comma 5 6 2 2 4 2 3" xfId="16915"/>
    <cellStyle name="Comma 5 6 2 2 4 2 3 2" xfId="33136"/>
    <cellStyle name="Comma 5 6 2 2 4 3" xfId="7751"/>
    <cellStyle name="Comma 5 6 2 2 4 3 2" xfId="11901"/>
    <cellStyle name="Comma 5 6 2 2 4 4" xfId="11899"/>
    <cellStyle name="Comma 5 6 2 2 4 5" xfId="15330"/>
    <cellStyle name="Comma 5 6 2 2 4 5 2" xfId="31552"/>
    <cellStyle name="Comma 5 6 2 2 5" xfId="7752"/>
    <cellStyle name="Comma 5 6 2 2 5 2" xfId="11902"/>
    <cellStyle name="Comma 5 6 2 2 5 3" xfId="16123"/>
    <cellStyle name="Comma 5 6 2 2 5 3 2" xfId="32344"/>
    <cellStyle name="Comma 5 6 2 2 6" xfId="7753"/>
    <cellStyle name="Comma 5 6 2 2 6 2" xfId="11903"/>
    <cellStyle name="Comma 5 6 2 2 7" xfId="11886"/>
    <cellStyle name="Comma 5 6 2 2 8" xfId="14538"/>
    <cellStyle name="Comma 5 6 2 2 8 2" xfId="30760"/>
    <cellStyle name="Comma 5 6 2 3" xfId="7754"/>
    <cellStyle name="Comma 5 6 2 3 2" xfId="7755"/>
    <cellStyle name="Comma 5 6 2 3 2 2" xfId="7756"/>
    <cellStyle name="Comma 5 6 2 3 2 2 2" xfId="11906"/>
    <cellStyle name="Comma 5 6 2 3 2 2 3" xfId="17047"/>
    <cellStyle name="Comma 5 6 2 3 2 2 3 2" xfId="33268"/>
    <cellStyle name="Comma 5 6 2 3 2 3" xfId="7757"/>
    <cellStyle name="Comma 5 6 2 3 2 3 2" xfId="11907"/>
    <cellStyle name="Comma 5 6 2 3 2 4" xfId="11905"/>
    <cellStyle name="Comma 5 6 2 3 2 5" xfId="15462"/>
    <cellStyle name="Comma 5 6 2 3 2 5 2" xfId="31684"/>
    <cellStyle name="Comma 5 6 2 3 3" xfId="7758"/>
    <cellStyle name="Comma 5 6 2 3 3 2" xfId="11908"/>
    <cellStyle name="Comma 5 6 2 3 3 3" xfId="16255"/>
    <cellStyle name="Comma 5 6 2 3 3 3 2" xfId="32476"/>
    <cellStyle name="Comma 5 6 2 3 4" xfId="7759"/>
    <cellStyle name="Comma 5 6 2 3 4 2" xfId="11909"/>
    <cellStyle name="Comma 5 6 2 3 5" xfId="11904"/>
    <cellStyle name="Comma 5 6 2 3 6" xfId="14670"/>
    <cellStyle name="Comma 5 6 2 3 6 2" xfId="30892"/>
    <cellStyle name="Comma 5 6 2 4" xfId="7760"/>
    <cellStyle name="Comma 5 6 2 4 2" xfId="7761"/>
    <cellStyle name="Comma 5 6 2 4 2 2" xfId="7762"/>
    <cellStyle name="Comma 5 6 2 4 2 2 2" xfId="11912"/>
    <cellStyle name="Comma 5 6 2 4 2 2 3" xfId="17311"/>
    <cellStyle name="Comma 5 6 2 4 2 2 3 2" xfId="33532"/>
    <cellStyle name="Comma 5 6 2 4 2 3" xfId="7763"/>
    <cellStyle name="Comma 5 6 2 4 2 3 2" xfId="11913"/>
    <cellStyle name="Comma 5 6 2 4 2 4" xfId="11911"/>
    <cellStyle name="Comma 5 6 2 4 2 5" xfId="15726"/>
    <cellStyle name="Comma 5 6 2 4 2 5 2" xfId="31948"/>
    <cellStyle name="Comma 5 6 2 4 3" xfId="7764"/>
    <cellStyle name="Comma 5 6 2 4 3 2" xfId="11914"/>
    <cellStyle name="Comma 5 6 2 4 3 3" xfId="16519"/>
    <cellStyle name="Comma 5 6 2 4 3 3 2" xfId="32740"/>
    <cellStyle name="Comma 5 6 2 4 4" xfId="7765"/>
    <cellStyle name="Comma 5 6 2 4 4 2" xfId="11915"/>
    <cellStyle name="Comma 5 6 2 4 5" xfId="11910"/>
    <cellStyle name="Comma 5 6 2 4 6" xfId="14934"/>
    <cellStyle name="Comma 5 6 2 4 6 2" xfId="31156"/>
    <cellStyle name="Comma 5 6 2 5" xfId="7766"/>
    <cellStyle name="Comma 5 6 2 5 2" xfId="7767"/>
    <cellStyle name="Comma 5 6 2 5 2 2" xfId="11917"/>
    <cellStyle name="Comma 5 6 2 5 2 3" xfId="16783"/>
    <cellStyle name="Comma 5 6 2 5 2 3 2" xfId="33004"/>
    <cellStyle name="Comma 5 6 2 5 3" xfId="7768"/>
    <cellStyle name="Comma 5 6 2 5 3 2" xfId="11918"/>
    <cellStyle name="Comma 5 6 2 5 4" xfId="11916"/>
    <cellStyle name="Comma 5 6 2 5 5" xfId="15198"/>
    <cellStyle name="Comma 5 6 2 5 5 2" xfId="31420"/>
    <cellStyle name="Comma 5 6 2 6" xfId="7769"/>
    <cellStyle name="Comma 5 6 2 6 2" xfId="11919"/>
    <cellStyle name="Comma 5 6 2 6 3" xfId="15991"/>
    <cellStyle name="Comma 5 6 2 6 3 2" xfId="32212"/>
    <cellStyle name="Comma 5 6 2 7" xfId="7770"/>
    <cellStyle name="Comma 5 6 2 7 2" xfId="11920"/>
    <cellStyle name="Comma 5 6 2 8" xfId="11885"/>
    <cellStyle name="Comma 5 6 2 9" xfId="14406"/>
    <cellStyle name="Comma 5 6 2 9 2" xfId="30628"/>
    <cellStyle name="Comma 5 6 3" xfId="4787"/>
    <cellStyle name="Comma 5 6 3 10" xfId="26954"/>
    <cellStyle name="Comma 5 6 3 2" xfId="7772"/>
    <cellStyle name="Comma 5 6 3 2 2" xfId="7773"/>
    <cellStyle name="Comma 5 6 3 2 2 2" xfId="7774"/>
    <cellStyle name="Comma 5 6 3 2 2 2 2" xfId="11924"/>
    <cellStyle name="Comma 5 6 3 2 2 2 3" xfId="17113"/>
    <cellStyle name="Comma 5 6 3 2 2 2 3 2" xfId="33334"/>
    <cellStyle name="Comma 5 6 3 2 2 3" xfId="7775"/>
    <cellStyle name="Comma 5 6 3 2 2 3 2" xfId="11925"/>
    <cellStyle name="Comma 5 6 3 2 2 4" xfId="11923"/>
    <cellStyle name="Comma 5 6 3 2 2 5" xfId="15528"/>
    <cellStyle name="Comma 5 6 3 2 2 5 2" xfId="31750"/>
    <cellStyle name="Comma 5 6 3 2 3" xfId="7776"/>
    <cellStyle name="Comma 5 6 3 2 3 2" xfId="11926"/>
    <cellStyle name="Comma 5 6 3 2 3 3" xfId="16321"/>
    <cellStyle name="Comma 5 6 3 2 3 3 2" xfId="32542"/>
    <cellStyle name="Comma 5 6 3 2 4" xfId="7777"/>
    <cellStyle name="Comma 5 6 3 2 4 2" xfId="11927"/>
    <cellStyle name="Comma 5 6 3 2 5" xfId="11922"/>
    <cellStyle name="Comma 5 6 3 2 6" xfId="14736"/>
    <cellStyle name="Comma 5 6 3 2 6 2" xfId="30958"/>
    <cellStyle name="Comma 5 6 3 3" xfId="7778"/>
    <cellStyle name="Comma 5 6 3 3 2" xfId="7779"/>
    <cellStyle name="Comma 5 6 3 3 2 2" xfId="7780"/>
    <cellStyle name="Comma 5 6 3 3 2 2 2" xfId="11930"/>
    <cellStyle name="Comma 5 6 3 3 2 2 3" xfId="17377"/>
    <cellStyle name="Comma 5 6 3 3 2 2 3 2" xfId="33598"/>
    <cellStyle name="Comma 5 6 3 3 2 3" xfId="7781"/>
    <cellStyle name="Comma 5 6 3 3 2 3 2" xfId="11931"/>
    <cellStyle name="Comma 5 6 3 3 2 4" xfId="11929"/>
    <cellStyle name="Comma 5 6 3 3 2 5" xfId="15792"/>
    <cellStyle name="Comma 5 6 3 3 2 5 2" xfId="32014"/>
    <cellStyle name="Comma 5 6 3 3 3" xfId="7782"/>
    <cellStyle name="Comma 5 6 3 3 3 2" xfId="11932"/>
    <cellStyle name="Comma 5 6 3 3 3 3" xfId="16585"/>
    <cellStyle name="Comma 5 6 3 3 3 3 2" xfId="32806"/>
    <cellStyle name="Comma 5 6 3 3 4" xfId="7783"/>
    <cellStyle name="Comma 5 6 3 3 4 2" xfId="11933"/>
    <cellStyle name="Comma 5 6 3 3 5" xfId="11928"/>
    <cellStyle name="Comma 5 6 3 3 6" xfId="15000"/>
    <cellStyle name="Comma 5 6 3 3 6 2" xfId="31222"/>
    <cellStyle name="Comma 5 6 3 4" xfId="7784"/>
    <cellStyle name="Comma 5 6 3 4 2" xfId="7785"/>
    <cellStyle name="Comma 5 6 3 4 2 2" xfId="11935"/>
    <cellStyle name="Comma 5 6 3 4 2 3" xfId="16849"/>
    <cellStyle name="Comma 5 6 3 4 2 3 2" xfId="33070"/>
    <cellStyle name="Comma 5 6 3 4 3" xfId="7786"/>
    <cellStyle name="Comma 5 6 3 4 3 2" xfId="11936"/>
    <cellStyle name="Comma 5 6 3 4 4" xfId="11934"/>
    <cellStyle name="Comma 5 6 3 4 5" xfId="15264"/>
    <cellStyle name="Comma 5 6 3 4 5 2" xfId="31486"/>
    <cellStyle name="Comma 5 6 3 5" xfId="7787"/>
    <cellStyle name="Comma 5 6 3 5 2" xfId="11937"/>
    <cellStyle name="Comma 5 6 3 5 3" xfId="16057"/>
    <cellStyle name="Comma 5 6 3 5 3 2" xfId="32278"/>
    <cellStyle name="Comma 5 6 3 6" xfId="7788"/>
    <cellStyle name="Comma 5 6 3 6 2" xfId="11938"/>
    <cellStyle name="Comma 5 6 3 7" xfId="11921"/>
    <cellStyle name="Comma 5 6 3 8" xfId="14472"/>
    <cellStyle name="Comma 5 6 3 8 2" xfId="30694"/>
    <cellStyle name="Comma 5 6 3 9" xfId="7771"/>
    <cellStyle name="Comma 5 6 4" xfId="7789"/>
    <cellStyle name="Comma 5 6 4 2" xfId="7790"/>
    <cellStyle name="Comma 5 6 4 2 2" xfId="7791"/>
    <cellStyle name="Comma 5 6 4 2 2 2" xfId="11941"/>
    <cellStyle name="Comma 5 6 4 2 2 3" xfId="16981"/>
    <cellStyle name="Comma 5 6 4 2 2 3 2" xfId="33202"/>
    <cellStyle name="Comma 5 6 4 2 3" xfId="7792"/>
    <cellStyle name="Comma 5 6 4 2 3 2" xfId="11942"/>
    <cellStyle name="Comma 5 6 4 2 4" xfId="11940"/>
    <cellStyle name="Comma 5 6 4 2 5" xfId="15396"/>
    <cellStyle name="Comma 5 6 4 2 5 2" xfId="31618"/>
    <cellStyle name="Comma 5 6 4 3" xfId="7793"/>
    <cellStyle name="Comma 5 6 4 3 2" xfId="11943"/>
    <cellStyle name="Comma 5 6 4 3 3" xfId="16189"/>
    <cellStyle name="Comma 5 6 4 3 3 2" xfId="32410"/>
    <cellStyle name="Comma 5 6 4 4" xfId="7794"/>
    <cellStyle name="Comma 5 6 4 4 2" xfId="11944"/>
    <cellStyle name="Comma 5 6 4 5" xfId="11939"/>
    <cellStyle name="Comma 5 6 4 6" xfId="14604"/>
    <cellStyle name="Comma 5 6 4 6 2" xfId="30826"/>
    <cellStyle name="Comma 5 6 5" xfId="7795"/>
    <cellStyle name="Comma 5 6 5 2" xfId="7796"/>
    <cellStyle name="Comma 5 6 5 2 2" xfId="7797"/>
    <cellStyle name="Comma 5 6 5 2 2 2" xfId="11947"/>
    <cellStyle name="Comma 5 6 5 2 2 3" xfId="17245"/>
    <cellStyle name="Comma 5 6 5 2 2 3 2" xfId="33466"/>
    <cellStyle name="Comma 5 6 5 2 3" xfId="7798"/>
    <cellStyle name="Comma 5 6 5 2 3 2" xfId="11948"/>
    <cellStyle name="Comma 5 6 5 2 4" xfId="11946"/>
    <cellStyle name="Comma 5 6 5 2 5" xfId="15660"/>
    <cellStyle name="Comma 5 6 5 2 5 2" xfId="31882"/>
    <cellStyle name="Comma 5 6 5 3" xfId="7799"/>
    <cellStyle name="Comma 5 6 5 3 2" xfId="11949"/>
    <cellStyle name="Comma 5 6 5 3 3" xfId="16453"/>
    <cellStyle name="Comma 5 6 5 3 3 2" xfId="32674"/>
    <cellStyle name="Comma 5 6 5 4" xfId="7800"/>
    <cellStyle name="Comma 5 6 5 4 2" xfId="11950"/>
    <cellStyle name="Comma 5 6 5 5" xfId="11945"/>
    <cellStyle name="Comma 5 6 5 6" xfId="14868"/>
    <cellStyle name="Comma 5 6 5 6 2" xfId="31090"/>
    <cellStyle name="Comma 5 6 6" xfId="7801"/>
    <cellStyle name="Comma 5 6 6 2" xfId="7802"/>
    <cellStyle name="Comma 5 6 6 2 2" xfId="11952"/>
    <cellStyle name="Comma 5 6 6 2 3" xfId="16717"/>
    <cellStyle name="Comma 5 6 6 2 3 2" xfId="32938"/>
    <cellStyle name="Comma 5 6 6 3" xfId="7803"/>
    <cellStyle name="Comma 5 6 6 3 2" xfId="11953"/>
    <cellStyle name="Comma 5 6 6 4" xfId="11951"/>
    <cellStyle name="Comma 5 6 6 5" xfId="15132"/>
    <cellStyle name="Comma 5 6 6 5 2" xfId="31354"/>
    <cellStyle name="Comma 5 6 7" xfId="7804"/>
    <cellStyle name="Comma 5 6 7 2" xfId="11954"/>
    <cellStyle name="Comma 5 6 7 3" xfId="15925"/>
    <cellStyle name="Comma 5 6 7 3 2" xfId="32146"/>
    <cellStyle name="Comma 5 6 8" xfId="7805"/>
    <cellStyle name="Comma 5 6 8 2" xfId="11955"/>
    <cellStyle name="Comma 5 6 9" xfId="11884"/>
    <cellStyle name="Comma 5 7" xfId="1836"/>
    <cellStyle name="Comma 5 7 10" xfId="7806"/>
    <cellStyle name="Comma 5 7 11" xfId="24004"/>
    <cellStyle name="Comma 5 7 2" xfId="7807"/>
    <cellStyle name="Comma 5 7 2 2" xfId="7808"/>
    <cellStyle name="Comma 5 7 2 2 2" xfId="7809"/>
    <cellStyle name="Comma 5 7 2 2 2 2" xfId="7810"/>
    <cellStyle name="Comma 5 7 2 2 2 2 2" xfId="11960"/>
    <cellStyle name="Comma 5 7 2 2 2 2 3" xfId="17146"/>
    <cellStyle name="Comma 5 7 2 2 2 2 3 2" xfId="33367"/>
    <cellStyle name="Comma 5 7 2 2 2 3" xfId="7811"/>
    <cellStyle name="Comma 5 7 2 2 2 3 2" xfId="11961"/>
    <cellStyle name="Comma 5 7 2 2 2 4" xfId="11959"/>
    <cellStyle name="Comma 5 7 2 2 2 5" xfId="15561"/>
    <cellStyle name="Comma 5 7 2 2 2 5 2" xfId="31783"/>
    <cellStyle name="Comma 5 7 2 2 3" xfId="7812"/>
    <cellStyle name="Comma 5 7 2 2 3 2" xfId="11962"/>
    <cellStyle name="Comma 5 7 2 2 3 3" xfId="16354"/>
    <cellStyle name="Comma 5 7 2 2 3 3 2" xfId="32575"/>
    <cellStyle name="Comma 5 7 2 2 4" xfId="7813"/>
    <cellStyle name="Comma 5 7 2 2 4 2" xfId="11963"/>
    <cellStyle name="Comma 5 7 2 2 5" xfId="11958"/>
    <cellStyle name="Comma 5 7 2 2 6" xfId="14769"/>
    <cellStyle name="Comma 5 7 2 2 6 2" xfId="30991"/>
    <cellStyle name="Comma 5 7 2 3" xfId="7814"/>
    <cellStyle name="Comma 5 7 2 3 2" xfId="7815"/>
    <cellStyle name="Comma 5 7 2 3 2 2" xfId="7816"/>
    <cellStyle name="Comma 5 7 2 3 2 2 2" xfId="11966"/>
    <cellStyle name="Comma 5 7 2 3 2 2 3" xfId="17410"/>
    <cellStyle name="Comma 5 7 2 3 2 2 3 2" xfId="33631"/>
    <cellStyle name="Comma 5 7 2 3 2 3" xfId="7817"/>
    <cellStyle name="Comma 5 7 2 3 2 3 2" xfId="11967"/>
    <cellStyle name="Comma 5 7 2 3 2 4" xfId="11965"/>
    <cellStyle name="Comma 5 7 2 3 2 5" xfId="15825"/>
    <cellStyle name="Comma 5 7 2 3 2 5 2" xfId="32047"/>
    <cellStyle name="Comma 5 7 2 3 3" xfId="7818"/>
    <cellStyle name="Comma 5 7 2 3 3 2" xfId="11968"/>
    <cellStyle name="Comma 5 7 2 3 3 3" xfId="16618"/>
    <cellStyle name="Comma 5 7 2 3 3 3 2" xfId="32839"/>
    <cellStyle name="Comma 5 7 2 3 4" xfId="7819"/>
    <cellStyle name="Comma 5 7 2 3 4 2" xfId="11969"/>
    <cellStyle name="Comma 5 7 2 3 5" xfId="11964"/>
    <cellStyle name="Comma 5 7 2 3 6" xfId="15033"/>
    <cellStyle name="Comma 5 7 2 3 6 2" xfId="31255"/>
    <cellStyle name="Comma 5 7 2 4" xfId="7820"/>
    <cellStyle name="Comma 5 7 2 4 2" xfId="7821"/>
    <cellStyle name="Comma 5 7 2 4 2 2" xfId="11971"/>
    <cellStyle name="Comma 5 7 2 4 2 3" xfId="16882"/>
    <cellStyle name="Comma 5 7 2 4 2 3 2" xfId="33103"/>
    <cellStyle name="Comma 5 7 2 4 3" xfId="7822"/>
    <cellStyle name="Comma 5 7 2 4 3 2" xfId="11972"/>
    <cellStyle name="Comma 5 7 2 4 4" xfId="11970"/>
    <cellStyle name="Comma 5 7 2 4 5" xfId="15297"/>
    <cellStyle name="Comma 5 7 2 4 5 2" xfId="31519"/>
    <cellStyle name="Comma 5 7 2 5" xfId="7823"/>
    <cellStyle name="Comma 5 7 2 5 2" xfId="11973"/>
    <cellStyle name="Comma 5 7 2 5 3" xfId="16090"/>
    <cellStyle name="Comma 5 7 2 5 3 2" xfId="32311"/>
    <cellStyle name="Comma 5 7 2 6" xfId="7824"/>
    <cellStyle name="Comma 5 7 2 6 2" xfId="11974"/>
    <cellStyle name="Comma 5 7 2 7" xfId="11957"/>
    <cellStyle name="Comma 5 7 2 8" xfId="14505"/>
    <cellStyle name="Comma 5 7 2 8 2" xfId="30727"/>
    <cellStyle name="Comma 5 7 3" xfId="7825"/>
    <cellStyle name="Comma 5 7 3 2" xfId="7826"/>
    <cellStyle name="Comma 5 7 3 2 2" xfId="7827"/>
    <cellStyle name="Comma 5 7 3 2 2 2" xfId="11977"/>
    <cellStyle name="Comma 5 7 3 2 2 3" xfId="17014"/>
    <cellStyle name="Comma 5 7 3 2 2 3 2" xfId="33235"/>
    <cellStyle name="Comma 5 7 3 2 3" xfId="7828"/>
    <cellStyle name="Comma 5 7 3 2 3 2" xfId="11978"/>
    <cellStyle name="Comma 5 7 3 2 4" xfId="11976"/>
    <cellStyle name="Comma 5 7 3 2 5" xfId="15429"/>
    <cellStyle name="Comma 5 7 3 2 5 2" xfId="31651"/>
    <cellStyle name="Comma 5 7 3 3" xfId="7829"/>
    <cellStyle name="Comma 5 7 3 3 2" xfId="11979"/>
    <cellStyle name="Comma 5 7 3 3 3" xfId="16222"/>
    <cellStyle name="Comma 5 7 3 3 3 2" xfId="32443"/>
    <cellStyle name="Comma 5 7 3 4" xfId="7830"/>
    <cellStyle name="Comma 5 7 3 4 2" xfId="11980"/>
    <cellStyle name="Comma 5 7 3 5" xfId="11975"/>
    <cellStyle name="Comma 5 7 3 6" xfId="14637"/>
    <cellStyle name="Comma 5 7 3 6 2" xfId="30859"/>
    <cellStyle name="Comma 5 7 4" xfId="7831"/>
    <cellStyle name="Comma 5 7 4 2" xfId="7832"/>
    <cellStyle name="Comma 5 7 4 2 2" xfId="7833"/>
    <cellStyle name="Comma 5 7 4 2 2 2" xfId="11983"/>
    <cellStyle name="Comma 5 7 4 2 2 3" xfId="17278"/>
    <cellStyle name="Comma 5 7 4 2 2 3 2" xfId="33499"/>
    <cellStyle name="Comma 5 7 4 2 3" xfId="7834"/>
    <cellStyle name="Comma 5 7 4 2 3 2" xfId="11984"/>
    <cellStyle name="Comma 5 7 4 2 4" xfId="11982"/>
    <cellStyle name="Comma 5 7 4 2 5" xfId="15693"/>
    <cellStyle name="Comma 5 7 4 2 5 2" xfId="31915"/>
    <cellStyle name="Comma 5 7 4 3" xfId="7835"/>
    <cellStyle name="Comma 5 7 4 3 2" xfId="11985"/>
    <cellStyle name="Comma 5 7 4 3 3" xfId="16486"/>
    <cellStyle name="Comma 5 7 4 3 3 2" xfId="32707"/>
    <cellStyle name="Comma 5 7 4 4" xfId="7836"/>
    <cellStyle name="Comma 5 7 4 4 2" xfId="11986"/>
    <cellStyle name="Comma 5 7 4 5" xfId="11981"/>
    <cellStyle name="Comma 5 7 4 6" xfId="14901"/>
    <cellStyle name="Comma 5 7 4 6 2" xfId="31123"/>
    <cellStyle name="Comma 5 7 5" xfId="7837"/>
    <cellStyle name="Comma 5 7 5 2" xfId="7838"/>
    <cellStyle name="Comma 5 7 5 2 2" xfId="11988"/>
    <cellStyle name="Comma 5 7 5 2 3" xfId="16750"/>
    <cellStyle name="Comma 5 7 5 2 3 2" xfId="32971"/>
    <cellStyle name="Comma 5 7 5 3" xfId="7839"/>
    <cellStyle name="Comma 5 7 5 3 2" xfId="11989"/>
    <cellStyle name="Comma 5 7 5 4" xfId="11987"/>
    <cellStyle name="Comma 5 7 5 5" xfId="15165"/>
    <cellStyle name="Comma 5 7 5 5 2" xfId="31387"/>
    <cellStyle name="Comma 5 7 6" xfId="7840"/>
    <cellStyle name="Comma 5 7 6 2" xfId="11990"/>
    <cellStyle name="Comma 5 7 6 3" xfId="15958"/>
    <cellStyle name="Comma 5 7 6 3 2" xfId="32179"/>
    <cellStyle name="Comma 5 7 7" xfId="7841"/>
    <cellStyle name="Comma 5 7 7 2" xfId="11991"/>
    <cellStyle name="Comma 5 7 8" xfId="11956"/>
    <cellStyle name="Comma 5 7 9" xfId="14373"/>
    <cellStyle name="Comma 5 7 9 2" xfId="30595"/>
    <cellStyle name="Comma 5 8" xfId="3335"/>
    <cellStyle name="Comma 5 8 10" xfId="25502"/>
    <cellStyle name="Comma 5 8 2" xfId="7843"/>
    <cellStyle name="Comma 5 8 2 2" xfId="7844"/>
    <cellStyle name="Comma 5 8 2 2 2" xfId="7845"/>
    <cellStyle name="Comma 5 8 2 2 2 2" xfId="11995"/>
    <cellStyle name="Comma 5 8 2 2 2 3" xfId="17080"/>
    <cellStyle name="Comma 5 8 2 2 2 3 2" xfId="33301"/>
    <cellStyle name="Comma 5 8 2 2 3" xfId="7846"/>
    <cellStyle name="Comma 5 8 2 2 3 2" xfId="11996"/>
    <cellStyle name="Comma 5 8 2 2 4" xfId="11994"/>
    <cellStyle name="Comma 5 8 2 2 5" xfId="15495"/>
    <cellStyle name="Comma 5 8 2 2 5 2" xfId="31717"/>
    <cellStyle name="Comma 5 8 2 3" xfId="7847"/>
    <cellStyle name="Comma 5 8 2 3 2" xfId="11997"/>
    <cellStyle name="Comma 5 8 2 3 3" xfId="16288"/>
    <cellStyle name="Comma 5 8 2 3 3 2" xfId="32509"/>
    <cellStyle name="Comma 5 8 2 4" xfId="7848"/>
    <cellStyle name="Comma 5 8 2 4 2" xfId="11998"/>
    <cellStyle name="Comma 5 8 2 5" xfId="11993"/>
    <cellStyle name="Comma 5 8 2 6" xfId="14703"/>
    <cellStyle name="Comma 5 8 2 6 2" xfId="30925"/>
    <cellStyle name="Comma 5 8 3" xfId="7849"/>
    <cellStyle name="Comma 5 8 3 2" xfId="7850"/>
    <cellStyle name="Comma 5 8 3 2 2" xfId="7851"/>
    <cellStyle name="Comma 5 8 3 2 2 2" xfId="12001"/>
    <cellStyle name="Comma 5 8 3 2 2 3" xfId="17344"/>
    <cellStyle name="Comma 5 8 3 2 2 3 2" xfId="33565"/>
    <cellStyle name="Comma 5 8 3 2 3" xfId="7852"/>
    <cellStyle name="Comma 5 8 3 2 3 2" xfId="12002"/>
    <cellStyle name="Comma 5 8 3 2 4" xfId="12000"/>
    <cellStyle name="Comma 5 8 3 2 5" xfId="15759"/>
    <cellStyle name="Comma 5 8 3 2 5 2" xfId="31981"/>
    <cellStyle name="Comma 5 8 3 3" xfId="7853"/>
    <cellStyle name="Comma 5 8 3 3 2" xfId="12003"/>
    <cellStyle name="Comma 5 8 3 3 3" xfId="16552"/>
    <cellStyle name="Comma 5 8 3 3 3 2" xfId="32773"/>
    <cellStyle name="Comma 5 8 3 4" xfId="7854"/>
    <cellStyle name="Comma 5 8 3 4 2" xfId="12004"/>
    <cellStyle name="Comma 5 8 3 5" xfId="11999"/>
    <cellStyle name="Comma 5 8 3 6" xfId="14967"/>
    <cellStyle name="Comma 5 8 3 6 2" xfId="31189"/>
    <cellStyle name="Comma 5 8 4" xfId="7855"/>
    <cellStyle name="Comma 5 8 4 2" xfId="7856"/>
    <cellStyle name="Comma 5 8 4 2 2" xfId="12006"/>
    <cellStyle name="Comma 5 8 4 2 3" xfId="16816"/>
    <cellStyle name="Comma 5 8 4 2 3 2" xfId="33037"/>
    <cellStyle name="Comma 5 8 4 3" xfId="7857"/>
    <cellStyle name="Comma 5 8 4 3 2" xfId="12007"/>
    <cellStyle name="Comma 5 8 4 4" xfId="12005"/>
    <cellStyle name="Comma 5 8 4 5" xfId="15231"/>
    <cellStyle name="Comma 5 8 4 5 2" xfId="31453"/>
    <cellStyle name="Comma 5 8 5" xfId="7858"/>
    <cellStyle name="Comma 5 8 5 2" xfId="12008"/>
    <cellStyle name="Comma 5 8 5 3" xfId="16024"/>
    <cellStyle name="Comma 5 8 5 3 2" xfId="32245"/>
    <cellStyle name="Comma 5 8 6" xfId="7859"/>
    <cellStyle name="Comma 5 8 6 2" xfId="12009"/>
    <cellStyle name="Comma 5 8 7" xfId="11992"/>
    <cellStyle name="Comma 5 8 8" xfId="14439"/>
    <cellStyle name="Comma 5 8 8 2" xfId="30661"/>
    <cellStyle name="Comma 5 8 9" xfId="7842"/>
    <cellStyle name="Comma 5 9" xfId="7860"/>
    <cellStyle name="Comma 5 9 2" xfId="7861"/>
    <cellStyle name="Comma 5 9 2 2" xfId="7862"/>
    <cellStyle name="Comma 5 9 2 2 2" xfId="12012"/>
    <cellStyle name="Comma 5 9 2 2 3" xfId="16948"/>
    <cellStyle name="Comma 5 9 2 2 3 2" xfId="33169"/>
    <cellStyle name="Comma 5 9 2 3" xfId="7863"/>
    <cellStyle name="Comma 5 9 2 3 2" xfId="12013"/>
    <cellStyle name="Comma 5 9 2 4" xfId="12011"/>
    <cellStyle name="Comma 5 9 2 5" xfId="15363"/>
    <cellStyle name="Comma 5 9 2 5 2" xfId="31585"/>
    <cellStyle name="Comma 5 9 3" xfId="7864"/>
    <cellStyle name="Comma 5 9 3 2" xfId="12014"/>
    <cellStyle name="Comma 5 9 3 3" xfId="16156"/>
    <cellStyle name="Comma 5 9 3 3 2" xfId="32377"/>
    <cellStyle name="Comma 5 9 4" xfId="7865"/>
    <cellStyle name="Comma 5 9 4 2" xfId="12015"/>
    <cellStyle name="Comma 5 9 5" xfId="12010"/>
    <cellStyle name="Comma 5 9 6" xfId="14571"/>
    <cellStyle name="Comma 5 9 6 2" xfId="30793"/>
    <cellStyle name="Comma 51 2" xfId="5218"/>
    <cellStyle name="Comma 51 2 2" xfId="12016"/>
    <cellStyle name="Comma 56" xfId="5219"/>
    <cellStyle name="Comma 57" xfId="5220"/>
    <cellStyle name="Comma 57 2" xfId="5221"/>
    <cellStyle name="Comma 57 2 2" xfId="12018"/>
    <cellStyle name="Comma 57 3" xfId="12017"/>
    <cellStyle name="Comma 58" xfId="5222"/>
    <cellStyle name="Comma 58 2" xfId="5223"/>
    <cellStyle name="Comma 58 2 2" xfId="12020"/>
    <cellStyle name="Comma 58 3" xfId="12019"/>
    <cellStyle name="Comma 59" xfId="5224"/>
    <cellStyle name="Comma 59 2" xfId="5225"/>
    <cellStyle name="Comma 6" xfId="89"/>
    <cellStyle name="Comma 6 10" xfId="7866"/>
    <cellStyle name="Comma 6 10 2" xfId="7867"/>
    <cellStyle name="Comma 6 10 2 2" xfId="7868"/>
    <cellStyle name="Comma 6 10 2 2 2" xfId="12023"/>
    <cellStyle name="Comma 6 10 2 2 3" xfId="17229"/>
    <cellStyle name="Comma 6 10 2 2 3 2" xfId="33450"/>
    <cellStyle name="Comma 6 10 2 3" xfId="7869"/>
    <cellStyle name="Comma 6 10 2 3 2" xfId="12024"/>
    <cellStyle name="Comma 6 10 2 4" xfId="12022"/>
    <cellStyle name="Comma 6 10 2 5" xfId="15644"/>
    <cellStyle name="Comma 6 10 2 5 2" xfId="31866"/>
    <cellStyle name="Comma 6 10 3" xfId="7870"/>
    <cellStyle name="Comma 6 10 3 2" xfId="12025"/>
    <cellStyle name="Comma 6 10 3 3" xfId="16437"/>
    <cellStyle name="Comma 6 10 3 3 2" xfId="32658"/>
    <cellStyle name="Comma 6 10 4" xfId="7871"/>
    <cellStyle name="Comma 6 10 4 2" xfId="12026"/>
    <cellStyle name="Comma 6 10 5" xfId="12021"/>
    <cellStyle name="Comma 6 10 6" xfId="14852"/>
    <cellStyle name="Comma 6 10 6 2" xfId="31074"/>
    <cellStyle name="Comma 6 11" xfId="7872"/>
    <cellStyle name="Comma 6 11 2" xfId="7873"/>
    <cellStyle name="Comma 6 11 2 2" xfId="12028"/>
    <cellStyle name="Comma 6 11 2 3" xfId="16701"/>
    <cellStyle name="Comma 6 11 2 3 2" xfId="32922"/>
    <cellStyle name="Comma 6 11 3" xfId="7874"/>
    <cellStyle name="Comma 6 11 3 2" xfId="12029"/>
    <cellStyle name="Comma 6 11 4" xfId="12027"/>
    <cellStyle name="Comma 6 11 5" xfId="15116"/>
    <cellStyle name="Comma 6 11 5 2" xfId="31338"/>
    <cellStyle name="Comma 6 12" xfId="7875"/>
    <cellStyle name="Comma 6 12 2" xfId="7876"/>
    <cellStyle name="Comma 6 12 2 2" xfId="12031"/>
    <cellStyle name="Comma 6 12 3" xfId="12030"/>
    <cellStyle name="Comma 6 12 4" xfId="15909"/>
    <cellStyle name="Comma 6 12 4 2" xfId="32130"/>
    <cellStyle name="Comma 6 13" xfId="7877"/>
    <cellStyle name="Comma 6 13 2" xfId="12032"/>
    <cellStyle name="Comma 6 14" xfId="14324"/>
    <cellStyle name="Comma 6 14 2" xfId="30546"/>
    <cellStyle name="Comma 6 15" xfId="21011"/>
    <cellStyle name="Comma 6 15 2" xfId="37223"/>
    <cellStyle name="Comma 6 16" xfId="22509"/>
    <cellStyle name="Comma 6 17" xfId="39559"/>
    <cellStyle name="Comma 6 18" xfId="303"/>
    <cellStyle name="Comma 6 2" xfId="90"/>
    <cellStyle name="Comma 6 2 2" xfId="12033"/>
    <cellStyle name="Comma 6 2 3" xfId="369"/>
    <cellStyle name="Comma 6 3" xfId="368"/>
    <cellStyle name="Comma 6 3 2" xfId="12034"/>
    <cellStyle name="Comma 6 4" xfId="332"/>
    <cellStyle name="Comma 6 4 2" xfId="1867"/>
    <cellStyle name="Comma 6 4 2 2" xfId="12035"/>
    <cellStyle name="Comma 6 4 2 3" xfId="24035"/>
    <cellStyle name="Comma 6 4 3" xfId="3366"/>
    <cellStyle name="Comma 6 4 3 2" xfId="25533"/>
    <cellStyle name="Comma 6 4 4" xfId="5226"/>
    <cellStyle name="Comma 6 4 5" xfId="21039"/>
    <cellStyle name="Comma 6 4 5 2" xfId="37251"/>
    <cellStyle name="Comma 6 4 6" xfId="22537"/>
    <cellStyle name="Comma 6 5" xfId="1793"/>
    <cellStyle name="Comma 6 5 2" xfId="3292"/>
    <cellStyle name="Comma 6 5 2 2" xfId="12036"/>
    <cellStyle name="Comma 6 5 2 3" xfId="25459"/>
    <cellStyle name="Comma 6 5 3" xfId="4790"/>
    <cellStyle name="Comma 6 5 3 2" xfId="26957"/>
    <cellStyle name="Comma 6 5 4" xfId="5227"/>
    <cellStyle name="Comma 6 5 5" xfId="22463"/>
    <cellStyle name="Comma 6 5 5 2" xfId="38675"/>
    <cellStyle name="Comma 6 5 6" xfId="23961"/>
    <cellStyle name="Comma 6 6" xfId="1839"/>
    <cellStyle name="Comma 6 6 10" xfId="14357"/>
    <cellStyle name="Comma 6 6 10 2" xfId="30579"/>
    <cellStyle name="Comma 6 6 11" xfId="7878"/>
    <cellStyle name="Comma 6 6 12" xfId="24007"/>
    <cellStyle name="Comma 6 6 2" xfId="7879"/>
    <cellStyle name="Comma 6 6 2 2" xfId="7880"/>
    <cellStyle name="Comma 6 6 2 2 2" xfId="7881"/>
    <cellStyle name="Comma 6 6 2 2 2 2" xfId="7882"/>
    <cellStyle name="Comma 6 6 2 2 2 2 2" xfId="7883"/>
    <cellStyle name="Comma 6 6 2 2 2 2 2 2" xfId="12042"/>
    <cellStyle name="Comma 6 6 2 2 2 2 2 3" xfId="17196"/>
    <cellStyle name="Comma 6 6 2 2 2 2 2 3 2" xfId="33417"/>
    <cellStyle name="Comma 6 6 2 2 2 2 3" xfId="7884"/>
    <cellStyle name="Comma 6 6 2 2 2 2 3 2" xfId="12043"/>
    <cellStyle name="Comma 6 6 2 2 2 2 4" xfId="12041"/>
    <cellStyle name="Comma 6 6 2 2 2 2 5" xfId="15611"/>
    <cellStyle name="Comma 6 6 2 2 2 2 5 2" xfId="31833"/>
    <cellStyle name="Comma 6 6 2 2 2 3" xfId="7885"/>
    <cellStyle name="Comma 6 6 2 2 2 3 2" xfId="12044"/>
    <cellStyle name="Comma 6 6 2 2 2 3 3" xfId="16404"/>
    <cellStyle name="Comma 6 6 2 2 2 3 3 2" xfId="32625"/>
    <cellStyle name="Comma 6 6 2 2 2 4" xfId="7886"/>
    <cellStyle name="Comma 6 6 2 2 2 4 2" xfId="12045"/>
    <cellStyle name="Comma 6 6 2 2 2 5" xfId="12040"/>
    <cellStyle name="Comma 6 6 2 2 2 6" xfId="14819"/>
    <cellStyle name="Comma 6 6 2 2 2 6 2" xfId="31041"/>
    <cellStyle name="Comma 6 6 2 2 3" xfId="7887"/>
    <cellStyle name="Comma 6 6 2 2 3 2" xfId="7888"/>
    <cellStyle name="Comma 6 6 2 2 3 2 2" xfId="7889"/>
    <cellStyle name="Comma 6 6 2 2 3 2 2 2" xfId="12048"/>
    <cellStyle name="Comma 6 6 2 2 3 2 2 3" xfId="17460"/>
    <cellStyle name="Comma 6 6 2 2 3 2 2 3 2" xfId="33681"/>
    <cellStyle name="Comma 6 6 2 2 3 2 3" xfId="7890"/>
    <cellStyle name="Comma 6 6 2 2 3 2 3 2" xfId="12049"/>
    <cellStyle name="Comma 6 6 2 2 3 2 4" xfId="12047"/>
    <cellStyle name="Comma 6 6 2 2 3 2 5" xfId="15875"/>
    <cellStyle name="Comma 6 6 2 2 3 2 5 2" xfId="32097"/>
    <cellStyle name="Comma 6 6 2 2 3 3" xfId="7891"/>
    <cellStyle name="Comma 6 6 2 2 3 3 2" xfId="12050"/>
    <cellStyle name="Comma 6 6 2 2 3 3 3" xfId="16668"/>
    <cellStyle name="Comma 6 6 2 2 3 3 3 2" xfId="32889"/>
    <cellStyle name="Comma 6 6 2 2 3 4" xfId="7892"/>
    <cellStyle name="Comma 6 6 2 2 3 4 2" xfId="12051"/>
    <cellStyle name="Comma 6 6 2 2 3 5" xfId="12046"/>
    <cellStyle name="Comma 6 6 2 2 3 6" xfId="15083"/>
    <cellStyle name="Comma 6 6 2 2 3 6 2" xfId="31305"/>
    <cellStyle name="Comma 6 6 2 2 4" xfId="7893"/>
    <cellStyle name="Comma 6 6 2 2 4 2" xfId="7894"/>
    <cellStyle name="Comma 6 6 2 2 4 2 2" xfId="12053"/>
    <cellStyle name="Comma 6 6 2 2 4 2 3" xfId="16932"/>
    <cellStyle name="Comma 6 6 2 2 4 2 3 2" xfId="33153"/>
    <cellStyle name="Comma 6 6 2 2 4 3" xfId="7895"/>
    <cellStyle name="Comma 6 6 2 2 4 3 2" xfId="12054"/>
    <cellStyle name="Comma 6 6 2 2 4 4" xfId="12052"/>
    <cellStyle name="Comma 6 6 2 2 4 5" xfId="15347"/>
    <cellStyle name="Comma 6 6 2 2 4 5 2" xfId="31569"/>
    <cellStyle name="Comma 6 6 2 2 5" xfId="7896"/>
    <cellStyle name="Comma 6 6 2 2 5 2" xfId="12055"/>
    <cellStyle name="Comma 6 6 2 2 5 3" xfId="16140"/>
    <cellStyle name="Comma 6 6 2 2 5 3 2" xfId="32361"/>
    <cellStyle name="Comma 6 6 2 2 6" xfId="7897"/>
    <cellStyle name="Comma 6 6 2 2 6 2" xfId="12056"/>
    <cellStyle name="Comma 6 6 2 2 7" xfId="12039"/>
    <cellStyle name="Comma 6 6 2 2 8" xfId="14555"/>
    <cellStyle name="Comma 6 6 2 2 8 2" xfId="30777"/>
    <cellStyle name="Comma 6 6 2 3" xfId="7898"/>
    <cellStyle name="Comma 6 6 2 3 2" xfId="7899"/>
    <cellStyle name="Comma 6 6 2 3 2 2" xfId="7900"/>
    <cellStyle name="Comma 6 6 2 3 2 2 2" xfId="12059"/>
    <cellStyle name="Comma 6 6 2 3 2 2 3" xfId="17064"/>
    <cellStyle name="Comma 6 6 2 3 2 2 3 2" xfId="33285"/>
    <cellStyle name="Comma 6 6 2 3 2 3" xfId="7901"/>
    <cellStyle name="Comma 6 6 2 3 2 3 2" xfId="12060"/>
    <cellStyle name="Comma 6 6 2 3 2 4" xfId="12058"/>
    <cellStyle name="Comma 6 6 2 3 2 5" xfId="15479"/>
    <cellStyle name="Comma 6 6 2 3 2 5 2" xfId="31701"/>
    <cellStyle name="Comma 6 6 2 3 3" xfId="7902"/>
    <cellStyle name="Comma 6 6 2 3 3 2" xfId="12061"/>
    <cellStyle name="Comma 6 6 2 3 3 3" xfId="16272"/>
    <cellStyle name="Comma 6 6 2 3 3 3 2" xfId="32493"/>
    <cellStyle name="Comma 6 6 2 3 4" xfId="7903"/>
    <cellStyle name="Comma 6 6 2 3 4 2" xfId="12062"/>
    <cellStyle name="Comma 6 6 2 3 5" xfId="12057"/>
    <cellStyle name="Comma 6 6 2 3 6" xfId="14687"/>
    <cellStyle name="Comma 6 6 2 3 6 2" xfId="30909"/>
    <cellStyle name="Comma 6 6 2 4" xfId="7904"/>
    <cellStyle name="Comma 6 6 2 4 2" xfId="7905"/>
    <cellStyle name="Comma 6 6 2 4 2 2" xfId="7906"/>
    <cellStyle name="Comma 6 6 2 4 2 2 2" xfId="12065"/>
    <cellStyle name="Comma 6 6 2 4 2 2 3" xfId="17328"/>
    <cellStyle name="Comma 6 6 2 4 2 2 3 2" xfId="33549"/>
    <cellStyle name="Comma 6 6 2 4 2 3" xfId="7907"/>
    <cellStyle name="Comma 6 6 2 4 2 3 2" xfId="12066"/>
    <cellStyle name="Comma 6 6 2 4 2 4" xfId="12064"/>
    <cellStyle name="Comma 6 6 2 4 2 5" xfId="15743"/>
    <cellStyle name="Comma 6 6 2 4 2 5 2" xfId="31965"/>
    <cellStyle name="Comma 6 6 2 4 3" xfId="7908"/>
    <cellStyle name="Comma 6 6 2 4 3 2" xfId="12067"/>
    <cellStyle name="Comma 6 6 2 4 3 3" xfId="16536"/>
    <cellStyle name="Comma 6 6 2 4 3 3 2" xfId="32757"/>
    <cellStyle name="Comma 6 6 2 4 4" xfId="7909"/>
    <cellStyle name="Comma 6 6 2 4 4 2" xfId="12068"/>
    <cellStyle name="Comma 6 6 2 4 5" xfId="12063"/>
    <cellStyle name="Comma 6 6 2 4 6" xfId="14951"/>
    <cellStyle name="Comma 6 6 2 4 6 2" xfId="31173"/>
    <cellStyle name="Comma 6 6 2 5" xfId="7910"/>
    <cellStyle name="Comma 6 6 2 5 2" xfId="7911"/>
    <cellStyle name="Comma 6 6 2 5 2 2" xfId="12070"/>
    <cellStyle name="Comma 6 6 2 5 2 3" xfId="16800"/>
    <cellStyle name="Comma 6 6 2 5 2 3 2" xfId="33021"/>
    <cellStyle name="Comma 6 6 2 5 3" xfId="7912"/>
    <cellStyle name="Comma 6 6 2 5 3 2" xfId="12071"/>
    <cellStyle name="Comma 6 6 2 5 4" xfId="12069"/>
    <cellStyle name="Comma 6 6 2 5 5" xfId="15215"/>
    <cellStyle name="Comma 6 6 2 5 5 2" xfId="31437"/>
    <cellStyle name="Comma 6 6 2 6" xfId="7913"/>
    <cellStyle name="Comma 6 6 2 6 2" xfId="12072"/>
    <cellStyle name="Comma 6 6 2 6 3" xfId="16008"/>
    <cellStyle name="Comma 6 6 2 6 3 2" xfId="32229"/>
    <cellStyle name="Comma 6 6 2 7" xfId="7914"/>
    <cellStyle name="Comma 6 6 2 7 2" xfId="12073"/>
    <cellStyle name="Comma 6 6 2 8" xfId="12038"/>
    <cellStyle name="Comma 6 6 2 9" xfId="14423"/>
    <cellStyle name="Comma 6 6 2 9 2" xfId="30645"/>
    <cellStyle name="Comma 6 6 3" xfId="7915"/>
    <cellStyle name="Comma 6 6 3 2" xfId="7916"/>
    <cellStyle name="Comma 6 6 3 2 2" xfId="7917"/>
    <cellStyle name="Comma 6 6 3 2 2 2" xfId="7918"/>
    <cellStyle name="Comma 6 6 3 2 2 2 2" xfId="12077"/>
    <cellStyle name="Comma 6 6 3 2 2 2 3" xfId="17130"/>
    <cellStyle name="Comma 6 6 3 2 2 2 3 2" xfId="33351"/>
    <cellStyle name="Comma 6 6 3 2 2 3" xfId="7919"/>
    <cellStyle name="Comma 6 6 3 2 2 3 2" xfId="12078"/>
    <cellStyle name="Comma 6 6 3 2 2 4" xfId="12076"/>
    <cellStyle name="Comma 6 6 3 2 2 5" xfId="15545"/>
    <cellStyle name="Comma 6 6 3 2 2 5 2" xfId="31767"/>
    <cellStyle name="Comma 6 6 3 2 3" xfId="7920"/>
    <cellStyle name="Comma 6 6 3 2 3 2" xfId="12079"/>
    <cellStyle name="Comma 6 6 3 2 3 3" xfId="16338"/>
    <cellStyle name="Comma 6 6 3 2 3 3 2" xfId="32559"/>
    <cellStyle name="Comma 6 6 3 2 4" xfId="7921"/>
    <cellStyle name="Comma 6 6 3 2 4 2" xfId="12080"/>
    <cellStyle name="Comma 6 6 3 2 5" xfId="12075"/>
    <cellStyle name="Comma 6 6 3 2 6" xfId="14753"/>
    <cellStyle name="Comma 6 6 3 2 6 2" xfId="30975"/>
    <cellStyle name="Comma 6 6 3 3" xfId="7922"/>
    <cellStyle name="Comma 6 6 3 3 2" xfId="7923"/>
    <cellStyle name="Comma 6 6 3 3 2 2" xfId="7924"/>
    <cellStyle name="Comma 6 6 3 3 2 2 2" xfId="12083"/>
    <cellStyle name="Comma 6 6 3 3 2 2 3" xfId="17394"/>
    <cellStyle name="Comma 6 6 3 3 2 2 3 2" xfId="33615"/>
    <cellStyle name="Comma 6 6 3 3 2 3" xfId="7925"/>
    <cellStyle name="Comma 6 6 3 3 2 3 2" xfId="12084"/>
    <cellStyle name="Comma 6 6 3 3 2 4" xfId="12082"/>
    <cellStyle name="Comma 6 6 3 3 2 5" xfId="15809"/>
    <cellStyle name="Comma 6 6 3 3 2 5 2" xfId="32031"/>
    <cellStyle name="Comma 6 6 3 3 3" xfId="7926"/>
    <cellStyle name="Comma 6 6 3 3 3 2" xfId="12085"/>
    <cellStyle name="Comma 6 6 3 3 3 3" xfId="16602"/>
    <cellStyle name="Comma 6 6 3 3 3 3 2" xfId="32823"/>
    <cellStyle name="Comma 6 6 3 3 4" xfId="7927"/>
    <cellStyle name="Comma 6 6 3 3 4 2" xfId="12086"/>
    <cellStyle name="Comma 6 6 3 3 5" xfId="12081"/>
    <cellStyle name="Comma 6 6 3 3 6" xfId="15017"/>
    <cellStyle name="Comma 6 6 3 3 6 2" xfId="31239"/>
    <cellStyle name="Comma 6 6 3 4" xfId="7928"/>
    <cellStyle name="Comma 6 6 3 4 2" xfId="7929"/>
    <cellStyle name="Comma 6 6 3 4 2 2" xfId="12088"/>
    <cellStyle name="Comma 6 6 3 4 2 3" xfId="16866"/>
    <cellStyle name="Comma 6 6 3 4 2 3 2" xfId="33087"/>
    <cellStyle name="Comma 6 6 3 4 3" xfId="7930"/>
    <cellStyle name="Comma 6 6 3 4 3 2" xfId="12089"/>
    <cellStyle name="Comma 6 6 3 4 4" xfId="12087"/>
    <cellStyle name="Comma 6 6 3 4 5" xfId="15281"/>
    <cellStyle name="Comma 6 6 3 4 5 2" xfId="31503"/>
    <cellStyle name="Comma 6 6 3 5" xfId="7931"/>
    <cellStyle name="Comma 6 6 3 5 2" xfId="12090"/>
    <cellStyle name="Comma 6 6 3 5 3" xfId="16074"/>
    <cellStyle name="Comma 6 6 3 5 3 2" xfId="32295"/>
    <cellStyle name="Comma 6 6 3 6" xfId="7932"/>
    <cellStyle name="Comma 6 6 3 6 2" xfId="12091"/>
    <cellStyle name="Comma 6 6 3 7" xfId="12074"/>
    <cellStyle name="Comma 6 6 3 8" xfId="14489"/>
    <cellStyle name="Comma 6 6 3 8 2" xfId="30711"/>
    <cellStyle name="Comma 6 6 4" xfId="7933"/>
    <cellStyle name="Comma 6 6 4 2" xfId="7934"/>
    <cellStyle name="Comma 6 6 4 2 2" xfId="7935"/>
    <cellStyle name="Comma 6 6 4 2 2 2" xfId="12094"/>
    <cellStyle name="Comma 6 6 4 2 2 3" xfId="16998"/>
    <cellStyle name="Comma 6 6 4 2 2 3 2" xfId="33219"/>
    <cellStyle name="Comma 6 6 4 2 3" xfId="7936"/>
    <cellStyle name="Comma 6 6 4 2 3 2" xfId="12095"/>
    <cellStyle name="Comma 6 6 4 2 4" xfId="12093"/>
    <cellStyle name="Comma 6 6 4 2 5" xfId="15413"/>
    <cellStyle name="Comma 6 6 4 2 5 2" xfId="31635"/>
    <cellStyle name="Comma 6 6 4 3" xfId="7937"/>
    <cellStyle name="Comma 6 6 4 3 2" xfId="12096"/>
    <cellStyle name="Comma 6 6 4 3 3" xfId="16206"/>
    <cellStyle name="Comma 6 6 4 3 3 2" xfId="32427"/>
    <cellStyle name="Comma 6 6 4 4" xfId="7938"/>
    <cellStyle name="Comma 6 6 4 4 2" xfId="12097"/>
    <cellStyle name="Comma 6 6 4 5" xfId="12092"/>
    <cellStyle name="Comma 6 6 4 6" xfId="14621"/>
    <cellStyle name="Comma 6 6 4 6 2" xfId="30843"/>
    <cellStyle name="Comma 6 6 5" xfId="7939"/>
    <cellStyle name="Comma 6 6 5 2" xfId="7940"/>
    <cellStyle name="Comma 6 6 5 2 2" xfId="7941"/>
    <cellStyle name="Comma 6 6 5 2 2 2" xfId="12100"/>
    <cellStyle name="Comma 6 6 5 2 2 3" xfId="17262"/>
    <cellStyle name="Comma 6 6 5 2 2 3 2" xfId="33483"/>
    <cellStyle name="Comma 6 6 5 2 3" xfId="7942"/>
    <cellStyle name="Comma 6 6 5 2 3 2" xfId="12101"/>
    <cellStyle name="Comma 6 6 5 2 4" xfId="12099"/>
    <cellStyle name="Comma 6 6 5 2 5" xfId="15677"/>
    <cellStyle name="Comma 6 6 5 2 5 2" xfId="31899"/>
    <cellStyle name="Comma 6 6 5 3" xfId="7943"/>
    <cellStyle name="Comma 6 6 5 3 2" xfId="12102"/>
    <cellStyle name="Comma 6 6 5 3 3" xfId="16470"/>
    <cellStyle name="Comma 6 6 5 3 3 2" xfId="32691"/>
    <cellStyle name="Comma 6 6 5 4" xfId="7944"/>
    <cellStyle name="Comma 6 6 5 4 2" xfId="12103"/>
    <cellStyle name="Comma 6 6 5 5" xfId="12098"/>
    <cellStyle name="Comma 6 6 5 6" xfId="14885"/>
    <cellStyle name="Comma 6 6 5 6 2" xfId="31107"/>
    <cellStyle name="Comma 6 6 6" xfId="7945"/>
    <cellStyle name="Comma 6 6 6 2" xfId="7946"/>
    <cellStyle name="Comma 6 6 6 2 2" xfId="12105"/>
    <cellStyle name="Comma 6 6 6 2 3" xfId="16734"/>
    <cellStyle name="Comma 6 6 6 2 3 2" xfId="32955"/>
    <cellStyle name="Comma 6 6 6 3" xfId="7947"/>
    <cellStyle name="Comma 6 6 6 3 2" xfId="12106"/>
    <cellStyle name="Comma 6 6 6 4" xfId="12104"/>
    <cellStyle name="Comma 6 6 6 5" xfId="15149"/>
    <cellStyle name="Comma 6 6 6 5 2" xfId="31371"/>
    <cellStyle name="Comma 6 6 7" xfId="7948"/>
    <cellStyle name="Comma 6 6 7 2" xfId="12107"/>
    <cellStyle name="Comma 6 6 7 3" xfId="15942"/>
    <cellStyle name="Comma 6 6 7 3 2" xfId="32163"/>
    <cellStyle name="Comma 6 6 8" xfId="7949"/>
    <cellStyle name="Comma 6 6 8 2" xfId="12108"/>
    <cellStyle name="Comma 6 6 9" xfId="12037"/>
    <cellStyle name="Comma 6 7" xfId="3338"/>
    <cellStyle name="Comma 6 7 10" xfId="7950"/>
    <cellStyle name="Comma 6 7 11" xfId="25505"/>
    <cellStyle name="Comma 6 7 2" xfId="7951"/>
    <cellStyle name="Comma 6 7 2 2" xfId="7952"/>
    <cellStyle name="Comma 6 7 2 2 2" xfId="7953"/>
    <cellStyle name="Comma 6 7 2 2 2 2" xfId="7954"/>
    <cellStyle name="Comma 6 7 2 2 2 2 2" xfId="12113"/>
    <cellStyle name="Comma 6 7 2 2 2 2 3" xfId="17163"/>
    <cellStyle name="Comma 6 7 2 2 2 2 3 2" xfId="33384"/>
    <cellStyle name="Comma 6 7 2 2 2 3" xfId="7955"/>
    <cellStyle name="Comma 6 7 2 2 2 3 2" xfId="12114"/>
    <cellStyle name="Comma 6 7 2 2 2 4" xfId="12112"/>
    <cellStyle name="Comma 6 7 2 2 2 5" xfId="15578"/>
    <cellStyle name="Comma 6 7 2 2 2 5 2" xfId="31800"/>
    <cellStyle name="Comma 6 7 2 2 3" xfId="7956"/>
    <cellStyle name="Comma 6 7 2 2 3 2" xfId="12115"/>
    <cellStyle name="Comma 6 7 2 2 3 3" xfId="16371"/>
    <cellStyle name="Comma 6 7 2 2 3 3 2" xfId="32592"/>
    <cellStyle name="Comma 6 7 2 2 4" xfId="7957"/>
    <cellStyle name="Comma 6 7 2 2 4 2" xfId="12116"/>
    <cellStyle name="Comma 6 7 2 2 5" xfId="12111"/>
    <cellStyle name="Comma 6 7 2 2 6" xfId="14786"/>
    <cellStyle name="Comma 6 7 2 2 6 2" xfId="31008"/>
    <cellStyle name="Comma 6 7 2 3" xfId="7958"/>
    <cellStyle name="Comma 6 7 2 3 2" xfId="7959"/>
    <cellStyle name="Comma 6 7 2 3 2 2" xfId="7960"/>
    <cellStyle name="Comma 6 7 2 3 2 2 2" xfId="12119"/>
    <cellStyle name="Comma 6 7 2 3 2 2 3" xfId="17427"/>
    <cellStyle name="Comma 6 7 2 3 2 2 3 2" xfId="33648"/>
    <cellStyle name="Comma 6 7 2 3 2 3" xfId="7961"/>
    <cellStyle name="Comma 6 7 2 3 2 3 2" xfId="12120"/>
    <cellStyle name="Comma 6 7 2 3 2 4" xfId="12118"/>
    <cellStyle name="Comma 6 7 2 3 2 5" xfId="15842"/>
    <cellStyle name="Comma 6 7 2 3 2 5 2" xfId="32064"/>
    <cellStyle name="Comma 6 7 2 3 3" xfId="7962"/>
    <cellStyle name="Comma 6 7 2 3 3 2" xfId="12121"/>
    <cellStyle name="Comma 6 7 2 3 3 3" xfId="16635"/>
    <cellStyle name="Comma 6 7 2 3 3 3 2" xfId="32856"/>
    <cellStyle name="Comma 6 7 2 3 4" xfId="7963"/>
    <cellStyle name="Comma 6 7 2 3 4 2" xfId="12122"/>
    <cellStyle name="Comma 6 7 2 3 5" xfId="12117"/>
    <cellStyle name="Comma 6 7 2 3 6" xfId="15050"/>
    <cellStyle name="Comma 6 7 2 3 6 2" xfId="31272"/>
    <cellStyle name="Comma 6 7 2 4" xfId="7964"/>
    <cellStyle name="Comma 6 7 2 4 2" xfId="7965"/>
    <cellStyle name="Comma 6 7 2 4 2 2" xfId="12124"/>
    <cellStyle name="Comma 6 7 2 4 2 3" xfId="16899"/>
    <cellStyle name="Comma 6 7 2 4 2 3 2" xfId="33120"/>
    <cellStyle name="Comma 6 7 2 4 3" xfId="7966"/>
    <cellStyle name="Comma 6 7 2 4 3 2" xfId="12125"/>
    <cellStyle name="Comma 6 7 2 4 4" xfId="12123"/>
    <cellStyle name="Comma 6 7 2 4 5" xfId="15314"/>
    <cellStyle name="Comma 6 7 2 4 5 2" xfId="31536"/>
    <cellStyle name="Comma 6 7 2 5" xfId="7967"/>
    <cellStyle name="Comma 6 7 2 5 2" xfId="12126"/>
    <cellStyle name="Comma 6 7 2 5 3" xfId="16107"/>
    <cellStyle name="Comma 6 7 2 5 3 2" xfId="32328"/>
    <cellStyle name="Comma 6 7 2 6" xfId="7968"/>
    <cellStyle name="Comma 6 7 2 6 2" xfId="12127"/>
    <cellStyle name="Comma 6 7 2 7" xfId="12110"/>
    <cellStyle name="Comma 6 7 2 8" xfId="14522"/>
    <cellStyle name="Comma 6 7 2 8 2" xfId="30744"/>
    <cellStyle name="Comma 6 7 3" xfId="7969"/>
    <cellStyle name="Comma 6 7 3 2" xfId="7970"/>
    <cellStyle name="Comma 6 7 3 2 2" xfId="7971"/>
    <cellStyle name="Comma 6 7 3 2 2 2" xfId="12130"/>
    <cellStyle name="Comma 6 7 3 2 2 3" xfId="17031"/>
    <cellStyle name="Comma 6 7 3 2 2 3 2" xfId="33252"/>
    <cellStyle name="Comma 6 7 3 2 3" xfId="7972"/>
    <cellStyle name="Comma 6 7 3 2 3 2" xfId="12131"/>
    <cellStyle name="Comma 6 7 3 2 4" xfId="12129"/>
    <cellStyle name="Comma 6 7 3 2 5" xfId="15446"/>
    <cellStyle name="Comma 6 7 3 2 5 2" xfId="31668"/>
    <cellStyle name="Comma 6 7 3 3" xfId="7973"/>
    <cellStyle name="Comma 6 7 3 3 2" xfId="12132"/>
    <cellStyle name="Comma 6 7 3 3 3" xfId="16239"/>
    <cellStyle name="Comma 6 7 3 3 3 2" xfId="32460"/>
    <cellStyle name="Comma 6 7 3 4" xfId="7974"/>
    <cellStyle name="Comma 6 7 3 4 2" xfId="12133"/>
    <cellStyle name="Comma 6 7 3 5" xfId="12128"/>
    <cellStyle name="Comma 6 7 3 6" xfId="14654"/>
    <cellStyle name="Comma 6 7 3 6 2" xfId="30876"/>
    <cellStyle name="Comma 6 7 4" xfId="7975"/>
    <cellStyle name="Comma 6 7 4 2" xfId="7976"/>
    <cellStyle name="Comma 6 7 4 2 2" xfId="7977"/>
    <cellStyle name="Comma 6 7 4 2 2 2" xfId="12136"/>
    <cellStyle name="Comma 6 7 4 2 2 3" xfId="17295"/>
    <cellStyle name="Comma 6 7 4 2 2 3 2" xfId="33516"/>
    <cellStyle name="Comma 6 7 4 2 3" xfId="7978"/>
    <cellStyle name="Comma 6 7 4 2 3 2" xfId="12137"/>
    <cellStyle name="Comma 6 7 4 2 4" xfId="12135"/>
    <cellStyle name="Comma 6 7 4 2 5" xfId="15710"/>
    <cellStyle name="Comma 6 7 4 2 5 2" xfId="31932"/>
    <cellStyle name="Comma 6 7 4 3" xfId="7979"/>
    <cellStyle name="Comma 6 7 4 3 2" xfId="12138"/>
    <cellStyle name="Comma 6 7 4 3 3" xfId="16503"/>
    <cellStyle name="Comma 6 7 4 3 3 2" xfId="32724"/>
    <cellStyle name="Comma 6 7 4 4" xfId="7980"/>
    <cellStyle name="Comma 6 7 4 4 2" xfId="12139"/>
    <cellStyle name="Comma 6 7 4 5" xfId="12134"/>
    <cellStyle name="Comma 6 7 4 6" xfId="14918"/>
    <cellStyle name="Comma 6 7 4 6 2" xfId="31140"/>
    <cellStyle name="Comma 6 7 5" xfId="7981"/>
    <cellStyle name="Comma 6 7 5 2" xfId="7982"/>
    <cellStyle name="Comma 6 7 5 2 2" xfId="12141"/>
    <cellStyle name="Comma 6 7 5 2 3" xfId="16767"/>
    <cellStyle name="Comma 6 7 5 2 3 2" xfId="32988"/>
    <cellStyle name="Comma 6 7 5 3" xfId="7983"/>
    <cellStyle name="Comma 6 7 5 3 2" xfId="12142"/>
    <cellStyle name="Comma 6 7 5 4" xfId="12140"/>
    <cellStyle name="Comma 6 7 5 5" xfId="15182"/>
    <cellStyle name="Comma 6 7 5 5 2" xfId="31404"/>
    <cellStyle name="Comma 6 7 6" xfId="7984"/>
    <cellStyle name="Comma 6 7 6 2" xfId="12143"/>
    <cellStyle name="Comma 6 7 6 3" xfId="15975"/>
    <cellStyle name="Comma 6 7 6 3 2" xfId="32196"/>
    <cellStyle name="Comma 6 7 7" xfId="7985"/>
    <cellStyle name="Comma 6 7 7 2" xfId="12144"/>
    <cellStyle name="Comma 6 7 8" xfId="12109"/>
    <cellStyle name="Comma 6 7 9" xfId="14390"/>
    <cellStyle name="Comma 6 7 9 2" xfId="30612"/>
    <cellStyle name="Comma 6 8" xfId="7986"/>
    <cellStyle name="Comma 6 8 2" xfId="7987"/>
    <cellStyle name="Comma 6 8 2 2" xfId="7988"/>
    <cellStyle name="Comma 6 8 2 2 2" xfId="7989"/>
    <cellStyle name="Comma 6 8 2 2 2 2" xfId="12148"/>
    <cellStyle name="Comma 6 8 2 2 2 3" xfId="17097"/>
    <cellStyle name="Comma 6 8 2 2 2 3 2" xfId="33318"/>
    <cellStyle name="Comma 6 8 2 2 3" xfId="7990"/>
    <cellStyle name="Comma 6 8 2 2 3 2" xfId="12149"/>
    <cellStyle name="Comma 6 8 2 2 4" xfId="12147"/>
    <cellStyle name="Comma 6 8 2 2 5" xfId="15512"/>
    <cellStyle name="Comma 6 8 2 2 5 2" xfId="31734"/>
    <cellStyle name="Comma 6 8 2 3" xfId="7991"/>
    <cellStyle name="Comma 6 8 2 3 2" xfId="12150"/>
    <cellStyle name="Comma 6 8 2 3 3" xfId="16305"/>
    <cellStyle name="Comma 6 8 2 3 3 2" xfId="32526"/>
    <cellStyle name="Comma 6 8 2 4" xfId="7992"/>
    <cellStyle name="Comma 6 8 2 4 2" xfId="12151"/>
    <cellStyle name="Comma 6 8 2 5" xfId="12146"/>
    <cellStyle name="Comma 6 8 2 6" xfId="14720"/>
    <cellStyle name="Comma 6 8 2 6 2" xfId="30942"/>
    <cellStyle name="Comma 6 8 3" xfId="7993"/>
    <cellStyle name="Comma 6 8 3 2" xfId="7994"/>
    <cellStyle name="Comma 6 8 3 2 2" xfId="7995"/>
    <cellStyle name="Comma 6 8 3 2 2 2" xfId="12154"/>
    <cellStyle name="Comma 6 8 3 2 2 3" xfId="17361"/>
    <cellStyle name="Comma 6 8 3 2 2 3 2" xfId="33582"/>
    <cellStyle name="Comma 6 8 3 2 3" xfId="7996"/>
    <cellStyle name="Comma 6 8 3 2 3 2" xfId="12155"/>
    <cellStyle name="Comma 6 8 3 2 4" xfId="12153"/>
    <cellStyle name="Comma 6 8 3 2 5" xfId="15776"/>
    <cellStyle name="Comma 6 8 3 2 5 2" xfId="31998"/>
    <cellStyle name="Comma 6 8 3 3" xfId="7997"/>
    <cellStyle name="Comma 6 8 3 3 2" xfId="12156"/>
    <cellStyle name="Comma 6 8 3 3 3" xfId="16569"/>
    <cellStyle name="Comma 6 8 3 3 3 2" xfId="32790"/>
    <cellStyle name="Comma 6 8 3 4" xfId="7998"/>
    <cellStyle name="Comma 6 8 3 4 2" xfId="12157"/>
    <cellStyle name="Comma 6 8 3 5" xfId="12152"/>
    <cellStyle name="Comma 6 8 3 6" xfId="14984"/>
    <cellStyle name="Comma 6 8 3 6 2" xfId="31206"/>
    <cellStyle name="Comma 6 8 4" xfId="7999"/>
    <cellStyle name="Comma 6 8 4 2" xfId="8000"/>
    <cellStyle name="Comma 6 8 4 2 2" xfId="12159"/>
    <cellStyle name="Comma 6 8 4 2 3" xfId="16833"/>
    <cellStyle name="Comma 6 8 4 2 3 2" xfId="33054"/>
    <cellStyle name="Comma 6 8 4 3" xfId="8001"/>
    <cellStyle name="Comma 6 8 4 3 2" xfId="12160"/>
    <cellStyle name="Comma 6 8 4 4" xfId="12158"/>
    <cellStyle name="Comma 6 8 4 5" xfId="15248"/>
    <cellStyle name="Comma 6 8 4 5 2" xfId="31470"/>
    <cellStyle name="Comma 6 8 5" xfId="8002"/>
    <cellStyle name="Comma 6 8 5 2" xfId="12161"/>
    <cellStyle name="Comma 6 8 5 3" xfId="16041"/>
    <cellStyle name="Comma 6 8 5 3 2" xfId="32262"/>
    <cellStyle name="Comma 6 8 6" xfId="8003"/>
    <cellStyle name="Comma 6 8 6 2" xfId="12162"/>
    <cellStyle name="Comma 6 8 7" xfId="12145"/>
    <cellStyle name="Comma 6 8 8" xfId="14456"/>
    <cellStyle name="Comma 6 8 8 2" xfId="30678"/>
    <cellStyle name="Comma 6 9" xfId="8004"/>
    <cellStyle name="Comma 6 9 2" xfId="8005"/>
    <cellStyle name="Comma 6 9 2 2" xfId="8006"/>
    <cellStyle name="Comma 6 9 2 2 2" xfId="12165"/>
    <cellStyle name="Comma 6 9 2 2 3" xfId="16965"/>
    <cellStyle name="Comma 6 9 2 2 3 2" xfId="33186"/>
    <cellStyle name="Comma 6 9 2 3" xfId="8007"/>
    <cellStyle name="Comma 6 9 2 3 2" xfId="12166"/>
    <cellStyle name="Comma 6 9 2 4" xfId="12164"/>
    <cellStyle name="Comma 6 9 2 5" xfId="15380"/>
    <cellStyle name="Comma 6 9 2 5 2" xfId="31602"/>
    <cellStyle name="Comma 6 9 3" xfId="8008"/>
    <cellStyle name="Comma 6 9 3 2" xfId="12167"/>
    <cellStyle name="Comma 6 9 3 3" xfId="16173"/>
    <cellStyle name="Comma 6 9 3 3 2" xfId="32394"/>
    <cellStyle name="Comma 6 9 4" xfId="8009"/>
    <cellStyle name="Comma 6 9 4 2" xfId="12168"/>
    <cellStyle name="Comma 6 9 5" xfId="12163"/>
    <cellStyle name="Comma 6 9 6" xfId="14588"/>
    <cellStyle name="Comma 6 9 6 2" xfId="30810"/>
    <cellStyle name="Comma 60" xfId="5228"/>
    <cellStyle name="Comma 60 2" xfId="5229"/>
    <cellStyle name="Comma 60 2 2" xfId="12170"/>
    <cellStyle name="Comma 60 3" xfId="12169"/>
    <cellStyle name="Comma 61" xfId="5230"/>
    <cellStyle name="Comma 61 2" xfId="5231"/>
    <cellStyle name="Comma 61 2 2" xfId="12172"/>
    <cellStyle name="Comma 61 3" xfId="12171"/>
    <cellStyle name="Comma 62" xfId="5232"/>
    <cellStyle name="Comma 62 2" xfId="5233"/>
    <cellStyle name="Comma 62 2 2" xfId="12174"/>
    <cellStyle name="Comma 62 3" xfId="12173"/>
    <cellStyle name="Comma 63" xfId="5234"/>
    <cellStyle name="Comma 63 2" xfId="5235"/>
    <cellStyle name="Comma 63 2 2" xfId="12176"/>
    <cellStyle name="Comma 63 3" xfId="12175"/>
    <cellStyle name="Comma 64" xfId="5236"/>
    <cellStyle name="Comma 64 2" xfId="5237"/>
    <cellStyle name="Comma 64 2 2" xfId="12178"/>
    <cellStyle name="Comma 64 3" xfId="5238"/>
    <cellStyle name="Comma 64 3 2" xfId="5239"/>
    <cellStyle name="Comma 64 3 2 2" xfId="12180"/>
    <cellStyle name="Comma 64 3 3" xfId="12179"/>
    <cellStyle name="Comma 64 4" xfId="12177"/>
    <cellStyle name="Comma 65" xfId="5240"/>
    <cellStyle name="Comma 65 2" xfId="12181"/>
    <cellStyle name="Comma 66" xfId="5241"/>
    <cellStyle name="Comma 66 2" xfId="5242"/>
    <cellStyle name="Comma 66 2 2" xfId="12183"/>
    <cellStyle name="Comma 66 3" xfId="12182"/>
    <cellStyle name="Comma 67" xfId="8010"/>
    <cellStyle name="Comma 67 2" xfId="12184"/>
    <cellStyle name="Comma 68" xfId="8011"/>
    <cellStyle name="Comma 68 2" xfId="12185"/>
    <cellStyle name="Comma 7" xfId="91"/>
    <cellStyle name="Comma 7 10" xfId="307"/>
    <cellStyle name="Comma 7 2" xfId="370"/>
    <cellStyle name="Comma 7 2 10" xfId="5243"/>
    <cellStyle name="Comma 7 2 10 2" xfId="12187"/>
    <cellStyle name="Comma 7 2 11" xfId="5244"/>
    <cellStyle name="Comma 7 2 11 2" xfId="12188"/>
    <cellStyle name="Comma 7 2 12" xfId="5245"/>
    <cellStyle name="Comma 7 2 12 2" xfId="12189"/>
    <cellStyle name="Comma 7 2 13" xfId="5246"/>
    <cellStyle name="Comma 7 2 13 2" xfId="12190"/>
    <cellStyle name="Comma 7 2 14" xfId="5247"/>
    <cellStyle name="Comma 7 2 14 2" xfId="12191"/>
    <cellStyle name="Comma 7 2 15" xfId="5248"/>
    <cellStyle name="Comma 7 2 15 2" xfId="12192"/>
    <cellStyle name="Comma 7 2 16" xfId="5249"/>
    <cellStyle name="Comma 7 2 16 2" xfId="12193"/>
    <cellStyle name="Comma 7 2 17" xfId="5250"/>
    <cellStyle name="Comma 7 2 17 2" xfId="12194"/>
    <cellStyle name="Comma 7 2 18" xfId="5251"/>
    <cellStyle name="Comma 7 2 18 2" xfId="12195"/>
    <cellStyle name="Comma 7 2 19" xfId="5252"/>
    <cellStyle name="Comma 7 2 19 2" xfId="12196"/>
    <cellStyle name="Comma 7 2 2" xfId="5253"/>
    <cellStyle name="Comma 7 2 2 2" xfId="12197"/>
    <cellStyle name="Comma 7 2 20" xfId="5254"/>
    <cellStyle name="Comma 7 2 20 2" xfId="12198"/>
    <cellStyle name="Comma 7 2 21" xfId="5255"/>
    <cellStyle name="Comma 7 2 21 2" xfId="12199"/>
    <cellStyle name="Comma 7 2 22" xfId="5256"/>
    <cellStyle name="Comma 7 2 22 2" xfId="12200"/>
    <cellStyle name="Comma 7 2 23" xfId="5257"/>
    <cellStyle name="Comma 7 2 23 2" xfId="12201"/>
    <cellStyle name="Comma 7 2 24" xfId="5258"/>
    <cellStyle name="Comma 7 2 24 2" xfId="12202"/>
    <cellStyle name="Comma 7 2 25" xfId="5259"/>
    <cellStyle name="Comma 7 2 25 2" xfId="12203"/>
    <cellStyle name="Comma 7 2 26" xfId="5260"/>
    <cellStyle name="Comma 7 2 26 2" xfId="12204"/>
    <cellStyle name="Comma 7 2 27" xfId="5261"/>
    <cellStyle name="Comma 7 2 27 2" xfId="12205"/>
    <cellStyle name="Comma 7 2 28" xfId="5262"/>
    <cellStyle name="Comma 7 2 28 2" xfId="12206"/>
    <cellStyle name="Comma 7 2 29" xfId="5263"/>
    <cellStyle name="Comma 7 2 29 2" xfId="12207"/>
    <cellStyle name="Comma 7 2 3" xfId="5264"/>
    <cellStyle name="Comma 7 2 3 2" xfId="12208"/>
    <cellStyle name="Comma 7 2 30" xfId="5265"/>
    <cellStyle name="Comma 7 2 30 2" xfId="12209"/>
    <cellStyle name="Comma 7 2 31" xfId="5266"/>
    <cellStyle name="Comma 7 2 31 2" xfId="12210"/>
    <cellStyle name="Comma 7 2 32" xfId="5267"/>
    <cellStyle name="Comma 7 2 32 2" xfId="12211"/>
    <cellStyle name="Comma 7 2 33" xfId="5268"/>
    <cellStyle name="Comma 7 2 33 2" xfId="12212"/>
    <cellStyle name="Comma 7 2 34" xfId="5269"/>
    <cellStyle name="Comma 7 2 34 2" xfId="12213"/>
    <cellStyle name="Comma 7 2 35" xfId="5270"/>
    <cellStyle name="Comma 7 2 35 2" xfId="12214"/>
    <cellStyle name="Comma 7 2 36" xfId="5271"/>
    <cellStyle name="Comma 7 2 36 2" xfId="12215"/>
    <cellStyle name="Comma 7 2 37" xfId="5272"/>
    <cellStyle name="Comma 7 2 37 2" xfId="12216"/>
    <cellStyle name="Comma 7 2 38" xfId="12186"/>
    <cellStyle name="Comma 7 2 4" xfId="5273"/>
    <cellStyle name="Comma 7 2 4 2" xfId="12217"/>
    <cellStyle name="Comma 7 2 5" xfId="5274"/>
    <cellStyle name="Comma 7 2 5 2" xfId="12218"/>
    <cellStyle name="Comma 7 2 6" xfId="5275"/>
    <cellStyle name="Comma 7 2 6 2" xfId="12219"/>
    <cellStyle name="Comma 7 2 7" xfId="5276"/>
    <cellStyle name="Comma 7 2 7 2" xfId="12220"/>
    <cellStyle name="Comma 7 2 8" xfId="5277"/>
    <cellStyle name="Comma 7 2 8 2" xfId="12221"/>
    <cellStyle name="Comma 7 2 9" xfId="5278"/>
    <cellStyle name="Comma 7 2 9 2" xfId="12222"/>
    <cellStyle name="Comma 7 3" xfId="336"/>
    <cellStyle name="Comma 7 3 2" xfId="1871"/>
    <cellStyle name="Comma 7 3 2 2" xfId="24039"/>
    <cellStyle name="Comma 7 3 3" xfId="3370"/>
    <cellStyle name="Comma 7 3 3 2" xfId="25537"/>
    <cellStyle name="Comma 7 3 4" xfId="21043"/>
    <cellStyle name="Comma 7 3 4 2" xfId="37255"/>
    <cellStyle name="Comma 7 3 5" xfId="22541"/>
    <cellStyle name="Comma 7 4" xfId="1797"/>
    <cellStyle name="Comma 7 4 2" xfId="3296"/>
    <cellStyle name="Comma 7 4 2 2" xfId="25463"/>
    <cellStyle name="Comma 7 4 3" xfId="4794"/>
    <cellStyle name="Comma 7 4 3 2" xfId="26961"/>
    <cellStyle name="Comma 7 4 4" xfId="22467"/>
    <cellStyle name="Comma 7 4 4 2" xfId="38679"/>
    <cellStyle name="Comma 7 4 5" xfId="23965"/>
    <cellStyle name="Comma 7 5" xfId="1843"/>
    <cellStyle name="Comma 7 5 2" xfId="24011"/>
    <cellStyle name="Comma 7 6" xfId="3342"/>
    <cellStyle name="Comma 7 6 2" xfId="25509"/>
    <cellStyle name="Comma 7 7" xfId="21015"/>
    <cellStyle name="Comma 7 7 2" xfId="37227"/>
    <cellStyle name="Comma 7 8" xfId="22513"/>
    <cellStyle name="Comma 7 9" xfId="39563"/>
    <cellStyle name="Comma 71 10 2" xfId="4947"/>
    <cellStyle name="Comma 8" xfId="92"/>
    <cellStyle name="Comma 8 10" xfId="39566"/>
    <cellStyle name="Comma 8 11" xfId="310"/>
    <cellStyle name="Comma 8 2" xfId="339"/>
    <cellStyle name="Comma 8 2 2" xfId="1874"/>
    <cellStyle name="Comma 8 2 2 2" xfId="12223"/>
    <cellStyle name="Comma 8 2 2 3" xfId="24042"/>
    <cellStyle name="Comma 8 2 3" xfId="3373"/>
    <cellStyle name="Comma 8 2 3 2" xfId="25540"/>
    <cellStyle name="Comma 8 2 4" xfId="5279"/>
    <cellStyle name="Comma 8 2 5" xfId="21046"/>
    <cellStyle name="Comma 8 2 5 2" xfId="37258"/>
    <cellStyle name="Comma 8 2 6" xfId="22544"/>
    <cellStyle name="Comma 8 3" xfId="1800"/>
    <cellStyle name="Comma 8 3 2" xfId="3299"/>
    <cellStyle name="Comma 8 3 2 2" xfId="12224"/>
    <cellStyle name="Comma 8 3 2 3" xfId="25466"/>
    <cellStyle name="Comma 8 3 3" xfId="4797"/>
    <cellStyle name="Comma 8 3 3 2" xfId="26964"/>
    <cellStyle name="Comma 8 3 4" xfId="5280"/>
    <cellStyle name="Comma 8 3 5" xfId="22470"/>
    <cellStyle name="Comma 8 3 5 2" xfId="38682"/>
    <cellStyle name="Comma 8 3 6" xfId="23968"/>
    <cellStyle name="Comma 8 4" xfId="1846"/>
    <cellStyle name="Comma 8 4 2" xfId="24014"/>
    <cellStyle name="Comma 8 5" xfId="3345"/>
    <cellStyle name="Comma 8 5 2" xfId="25512"/>
    <cellStyle name="Comma 8 6" xfId="14247"/>
    <cellStyle name="Comma 8 7" xfId="21018"/>
    <cellStyle name="Comma 8 7 2" xfId="37230"/>
    <cellStyle name="Comma 8 8" xfId="22516"/>
    <cellStyle name="Comma 8 9" xfId="38820"/>
    <cellStyle name="Comma 83" xfId="4933"/>
    <cellStyle name="Comma 83 2 2" xfId="4943"/>
    <cellStyle name="Comma 89 3 2 2" xfId="4935"/>
    <cellStyle name="Comma 9" xfId="93"/>
    <cellStyle name="Comma 9 10" xfId="5281"/>
    <cellStyle name="Comma 9 10 2" xfId="12225"/>
    <cellStyle name="Comma 9 11" xfId="5282"/>
    <cellStyle name="Comma 9 11 2" xfId="12226"/>
    <cellStyle name="Comma 9 12" xfId="5283"/>
    <cellStyle name="Comma 9 12 2" xfId="12227"/>
    <cellStyle name="Comma 9 13" xfId="5284"/>
    <cellStyle name="Comma 9 13 2" xfId="12228"/>
    <cellStyle name="Comma 9 14" xfId="5285"/>
    <cellStyle name="Comma 9 14 2" xfId="12229"/>
    <cellStyle name="Comma 9 15" xfId="14248"/>
    <cellStyle name="Comma 9 16" xfId="22473"/>
    <cellStyle name="Comma 9 16 2" xfId="38685"/>
    <cellStyle name="Comma 9 17" xfId="23971"/>
    <cellStyle name="Comma 9 18" xfId="39569"/>
    <cellStyle name="Comma 9 19" xfId="1803"/>
    <cellStyle name="Comma 9 2" xfId="94"/>
    <cellStyle name="Comma 9 2 2" xfId="12230"/>
    <cellStyle name="Comma 9 2 3" xfId="5286"/>
    <cellStyle name="Comma 9 2 4" xfId="25469"/>
    <cellStyle name="Comma 9 2 5" xfId="3302"/>
    <cellStyle name="Comma 9 3" xfId="4800"/>
    <cellStyle name="Comma 9 3 2" xfId="12231"/>
    <cellStyle name="Comma 9 3 3" xfId="5287"/>
    <cellStyle name="Comma 9 3 4" xfId="26967"/>
    <cellStyle name="Comma 9 4" xfId="5288"/>
    <cellStyle name="Comma 9 4 2" xfId="12232"/>
    <cellStyle name="Comma 9 5" xfId="5289"/>
    <cellStyle name="Comma 9 5 2" xfId="12233"/>
    <cellStyle name="Comma 9 6" xfId="5290"/>
    <cellStyle name="Comma 9 6 2" xfId="12234"/>
    <cellStyle name="Comma 9 7" xfId="5291"/>
    <cellStyle name="Comma 9 7 2" xfId="12235"/>
    <cellStyle name="Comma 9 8" xfId="5292"/>
    <cellStyle name="Comma 9 8 2" xfId="12236"/>
    <cellStyle name="Comma 9 9" xfId="5293"/>
    <cellStyle name="Comma 9 9 2" xfId="12237"/>
    <cellStyle name="Comma0" xfId="95"/>
    <cellStyle name="Comma0 2" xfId="272"/>
    <cellStyle name="Currency" xfId="96" builtinId="4"/>
    <cellStyle name="Currency 10" xfId="4928"/>
    <cellStyle name="Currency 10 10" xfId="5294"/>
    <cellStyle name="Currency 10 10 2" xfId="12239"/>
    <cellStyle name="Currency 10 11" xfId="5295"/>
    <cellStyle name="Currency 10 11 2" xfId="12240"/>
    <cellStyle name="Currency 10 12" xfId="5296"/>
    <cellStyle name="Currency 10 12 2" xfId="12241"/>
    <cellStyle name="Currency 10 13" xfId="5297"/>
    <cellStyle name="Currency 10 13 2" xfId="12242"/>
    <cellStyle name="Currency 10 14" xfId="5298"/>
    <cellStyle name="Currency 10 14 2" xfId="12243"/>
    <cellStyle name="Currency 10 15" xfId="5299"/>
    <cellStyle name="Currency 10 15 2" xfId="12244"/>
    <cellStyle name="Currency 10 16" xfId="5300"/>
    <cellStyle name="Currency 10 16 2" xfId="12245"/>
    <cellStyle name="Currency 10 17" xfId="5301"/>
    <cellStyle name="Currency 10 17 2" xfId="12246"/>
    <cellStyle name="Currency 10 18" xfId="5302"/>
    <cellStyle name="Currency 10 18 2" xfId="12247"/>
    <cellStyle name="Currency 10 19" xfId="5303"/>
    <cellStyle name="Currency 10 19 2" xfId="12248"/>
    <cellStyle name="Currency 10 2" xfId="5304"/>
    <cellStyle name="Currency 10 2 2" xfId="12249"/>
    <cellStyle name="Currency 10 20" xfId="5305"/>
    <cellStyle name="Currency 10 20 2" xfId="12250"/>
    <cellStyle name="Currency 10 21" xfId="5306"/>
    <cellStyle name="Currency 10 21 2" xfId="12251"/>
    <cellStyle name="Currency 10 22" xfId="5307"/>
    <cellStyle name="Currency 10 22 2" xfId="12252"/>
    <cellStyle name="Currency 10 23" xfId="5308"/>
    <cellStyle name="Currency 10 23 2" xfId="12253"/>
    <cellStyle name="Currency 10 24" xfId="5309"/>
    <cellStyle name="Currency 10 24 2" xfId="12254"/>
    <cellStyle name="Currency 10 25" xfId="5310"/>
    <cellStyle name="Currency 10 25 2" xfId="12255"/>
    <cellStyle name="Currency 10 26" xfId="5311"/>
    <cellStyle name="Currency 10 26 2" xfId="12256"/>
    <cellStyle name="Currency 10 27" xfId="5312"/>
    <cellStyle name="Currency 10 27 2" xfId="12257"/>
    <cellStyle name="Currency 10 28" xfId="12238"/>
    <cellStyle name="Currency 10 3" xfId="5313"/>
    <cellStyle name="Currency 10 3 2" xfId="12258"/>
    <cellStyle name="Currency 10 4" xfId="5314"/>
    <cellStyle name="Currency 10 4 2" xfId="12259"/>
    <cellStyle name="Currency 10 5" xfId="5315"/>
    <cellStyle name="Currency 10 5 2" xfId="12260"/>
    <cellStyle name="Currency 10 6" xfId="5316"/>
    <cellStyle name="Currency 10 6 2" xfId="12261"/>
    <cellStyle name="Currency 10 7" xfId="5317"/>
    <cellStyle name="Currency 10 7 2" xfId="12262"/>
    <cellStyle name="Currency 10 8" xfId="5318"/>
    <cellStyle name="Currency 10 8 2" xfId="12263"/>
    <cellStyle name="Currency 10 9" xfId="5319"/>
    <cellStyle name="Currency 10 9 2" xfId="12264"/>
    <cellStyle name="Currency 11" xfId="14249"/>
    <cellStyle name="Currency 11 2" xfId="8012"/>
    <cellStyle name="Currency 11 2 2" xfId="12265"/>
    <cellStyle name="Currency 12" xfId="14250"/>
    <cellStyle name="Currency 12 2" xfId="5320"/>
    <cellStyle name="Currency 12 2 2" xfId="12266"/>
    <cellStyle name="Currency 12 3" xfId="5321"/>
    <cellStyle name="Currency 12 3 2" xfId="12267"/>
    <cellStyle name="Currency 12 4" xfId="5322"/>
    <cellStyle name="Currency 12 4 2" xfId="12268"/>
    <cellStyle name="Currency 12 5" xfId="5323"/>
    <cellStyle name="Currency 12 5 2" xfId="12269"/>
    <cellStyle name="Currency 12 6" xfId="5324"/>
    <cellStyle name="Currency 12 6 2" xfId="12270"/>
    <cellStyle name="Currency 12 7" xfId="5325"/>
    <cellStyle name="Currency 12 7 2" xfId="12271"/>
    <cellStyle name="Currency 13" xfId="14251"/>
    <cellStyle name="Currency 13 2" xfId="5326"/>
    <cellStyle name="Currency 13 2 2" xfId="12272"/>
    <cellStyle name="Currency 13 3" xfId="5327"/>
    <cellStyle name="Currency 13 3 2" xfId="12273"/>
    <cellStyle name="Currency 13 4" xfId="5328"/>
    <cellStyle name="Currency 13 4 2" xfId="12274"/>
    <cellStyle name="Currency 13 5" xfId="5329"/>
    <cellStyle name="Currency 13 5 2" xfId="12275"/>
    <cellStyle name="Currency 13 6" xfId="5330"/>
    <cellStyle name="Currency 13 6 2" xfId="12276"/>
    <cellStyle name="Currency 14" xfId="14252"/>
    <cellStyle name="Currency 14 2" xfId="5331"/>
    <cellStyle name="Currency 14 2 2" xfId="12277"/>
    <cellStyle name="Currency 15" xfId="14253"/>
    <cellStyle name="Currency 15 2" xfId="5332"/>
    <cellStyle name="Currency 15 2 2" xfId="5333"/>
    <cellStyle name="Currency 15 2 2 2" xfId="12279"/>
    <cellStyle name="Currency 15 2 3" xfId="12278"/>
    <cellStyle name="Currency 15 3" xfId="5334"/>
    <cellStyle name="Currency 15 3 2" xfId="12280"/>
    <cellStyle name="Currency 16" xfId="14254"/>
    <cellStyle name="Currency 16 2" xfId="8013"/>
    <cellStyle name="Currency 16 2 2" xfId="12281"/>
    <cellStyle name="Currency 17" xfId="14255"/>
    <cellStyle name="Currency 17 2" xfId="8014"/>
    <cellStyle name="Currency 17 2 2" xfId="12282"/>
    <cellStyle name="Currency 18" xfId="14256"/>
    <cellStyle name="Currency 18 2" xfId="5335"/>
    <cellStyle name="Currency 18 2 2" xfId="12283"/>
    <cellStyle name="Currency 18 3" xfId="5336"/>
    <cellStyle name="Currency 18 3 2" xfId="12284"/>
    <cellStyle name="Currency 18 4" xfId="5337"/>
    <cellStyle name="Currency 18 4 2" xfId="12285"/>
    <cellStyle name="Currency 18 5" xfId="5338"/>
    <cellStyle name="Currency 18 5 2" xfId="12286"/>
    <cellStyle name="Currency 18 6" xfId="5339"/>
    <cellStyle name="Currency 18 6 2" xfId="12287"/>
    <cellStyle name="Currency 19" xfId="14257"/>
    <cellStyle name="Currency 19 2" xfId="8015"/>
    <cellStyle name="Currency 19 2 2" xfId="12288"/>
    <cellStyle name="Currency 2" xfId="97"/>
    <cellStyle name="Currency 2 2" xfId="98"/>
    <cellStyle name="Currency 2 2 2" xfId="99"/>
    <cellStyle name="Currency 2 2 2 2" xfId="39492"/>
    <cellStyle name="Currency 2 2 2 3" xfId="38861"/>
    <cellStyle name="Currency 2 2 2 4" xfId="12289"/>
    <cellStyle name="Currency 2 2 3" xfId="5340"/>
    <cellStyle name="Currency 2 2 3 2" xfId="38901"/>
    <cellStyle name="Currency 2 2 4" xfId="371"/>
    <cellStyle name="Currency 2 3" xfId="100"/>
    <cellStyle name="Currency 2 3 2" xfId="101"/>
    <cellStyle name="Currency 2 3 2 2" xfId="39488"/>
    <cellStyle name="Currency 2 3 2 3" xfId="12290"/>
    <cellStyle name="Currency 2 3 3" xfId="102"/>
    <cellStyle name="Currency 2 3 3 2" xfId="5341"/>
    <cellStyle name="Currency 2 3 4" xfId="38857"/>
    <cellStyle name="Currency 2 3 5" xfId="372"/>
    <cellStyle name="Currency 2 4" xfId="103"/>
    <cellStyle name="Currency 2 4 10" xfId="508"/>
    <cellStyle name="Currency 2 4 10 2" xfId="860"/>
    <cellStyle name="Currency 2 4 10 2 2" xfId="2359"/>
    <cellStyle name="Currency 2 4 10 2 2 2" xfId="24527"/>
    <cellStyle name="Currency 2 4 10 2 3" xfId="3858"/>
    <cellStyle name="Currency 2 4 10 2 3 2" xfId="26025"/>
    <cellStyle name="Currency 2 4 10 2 4" xfId="21531"/>
    <cellStyle name="Currency 2 4 10 2 4 2" xfId="37743"/>
    <cellStyle name="Currency 2 4 10 2 5" xfId="23029"/>
    <cellStyle name="Currency 2 4 10 3" xfId="1211"/>
    <cellStyle name="Currency 2 4 10 3 2" xfId="2710"/>
    <cellStyle name="Currency 2 4 10 3 2 2" xfId="24878"/>
    <cellStyle name="Currency 2 4 10 3 3" xfId="4209"/>
    <cellStyle name="Currency 2 4 10 3 3 2" xfId="26376"/>
    <cellStyle name="Currency 2 4 10 3 4" xfId="21882"/>
    <cellStyle name="Currency 2 4 10 3 4 2" xfId="38094"/>
    <cellStyle name="Currency 2 4 10 3 5" xfId="23380"/>
    <cellStyle name="Currency 2 4 10 4" xfId="1562"/>
    <cellStyle name="Currency 2 4 10 4 2" xfId="3061"/>
    <cellStyle name="Currency 2 4 10 4 2 2" xfId="25229"/>
    <cellStyle name="Currency 2 4 10 4 3" xfId="4560"/>
    <cellStyle name="Currency 2 4 10 4 3 2" xfId="26727"/>
    <cellStyle name="Currency 2 4 10 4 4" xfId="22233"/>
    <cellStyle name="Currency 2 4 10 4 4 2" xfId="38445"/>
    <cellStyle name="Currency 2 4 10 4 5" xfId="23731"/>
    <cellStyle name="Currency 2 4 10 5" xfId="2008"/>
    <cellStyle name="Currency 2 4 10 5 2" xfId="24176"/>
    <cellStyle name="Currency 2 4 10 6" xfId="3507"/>
    <cellStyle name="Currency 2 4 10 6 2" xfId="25674"/>
    <cellStyle name="Currency 2 4 10 7" xfId="21180"/>
    <cellStyle name="Currency 2 4 10 7 2" xfId="37392"/>
    <cellStyle name="Currency 2 4 10 8" xfId="22678"/>
    <cellStyle name="Currency 2 4 11" xfId="626"/>
    <cellStyle name="Currency 2 4 11 2" xfId="977"/>
    <cellStyle name="Currency 2 4 11 2 2" xfId="2476"/>
    <cellStyle name="Currency 2 4 11 2 2 2" xfId="24644"/>
    <cellStyle name="Currency 2 4 11 2 3" xfId="3975"/>
    <cellStyle name="Currency 2 4 11 2 3 2" xfId="26142"/>
    <cellStyle name="Currency 2 4 11 2 4" xfId="21648"/>
    <cellStyle name="Currency 2 4 11 2 4 2" xfId="37860"/>
    <cellStyle name="Currency 2 4 11 2 5" xfId="23146"/>
    <cellStyle name="Currency 2 4 11 3" xfId="1328"/>
    <cellStyle name="Currency 2 4 11 3 2" xfId="2827"/>
    <cellStyle name="Currency 2 4 11 3 2 2" xfId="24995"/>
    <cellStyle name="Currency 2 4 11 3 3" xfId="4326"/>
    <cellStyle name="Currency 2 4 11 3 3 2" xfId="26493"/>
    <cellStyle name="Currency 2 4 11 3 4" xfId="21999"/>
    <cellStyle name="Currency 2 4 11 3 4 2" xfId="38211"/>
    <cellStyle name="Currency 2 4 11 3 5" xfId="23497"/>
    <cellStyle name="Currency 2 4 11 4" xfId="1679"/>
    <cellStyle name="Currency 2 4 11 4 2" xfId="3178"/>
    <cellStyle name="Currency 2 4 11 4 2 2" xfId="25346"/>
    <cellStyle name="Currency 2 4 11 4 3" xfId="4677"/>
    <cellStyle name="Currency 2 4 11 4 3 2" xfId="26844"/>
    <cellStyle name="Currency 2 4 11 4 4" xfId="22350"/>
    <cellStyle name="Currency 2 4 11 4 4 2" xfId="38562"/>
    <cellStyle name="Currency 2 4 11 4 5" xfId="23848"/>
    <cellStyle name="Currency 2 4 11 5" xfId="2125"/>
    <cellStyle name="Currency 2 4 11 5 2" xfId="24293"/>
    <cellStyle name="Currency 2 4 11 6" xfId="3624"/>
    <cellStyle name="Currency 2 4 11 6 2" xfId="25791"/>
    <cellStyle name="Currency 2 4 11 7" xfId="21297"/>
    <cellStyle name="Currency 2 4 11 7 2" xfId="37509"/>
    <cellStyle name="Currency 2 4 11 8" xfId="22795"/>
    <cellStyle name="Currency 2 4 12" xfId="743"/>
    <cellStyle name="Currency 2 4 12 2" xfId="2242"/>
    <cellStyle name="Currency 2 4 12 2 2" xfId="24410"/>
    <cellStyle name="Currency 2 4 12 3" xfId="3741"/>
    <cellStyle name="Currency 2 4 12 3 2" xfId="25908"/>
    <cellStyle name="Currency 2 4 12 4" xfId="21414"/>
    <cellStyle name="Currency 2 4 12 4 2" xfId="37626"/>
    <cellStyle name="Currency 2 4 12 5" xfId="22912"/>
    <cellStyle name="Currency 2 4 13" xfId="1094"/>
    <cellStyle name="Currency 2 4 13 2" xfId="2593"/>
    <cellStyle name="Currency 2 4 13 2 2" xfId="24761"/>
    <cellStyle name="Currency 2 4 13 3" xfId="4092"/>
    <cellStyle name="Currency 2 4 13 3 2" xfId="26259"/>
    <cellStyle name="Currency 2 4 13 4" xfId="21765"/>
    <cellStyle name="Currency 2 4 13 4 2" xfId="37977"/>
    <cellStyle name="Currency 2 4 13 5" xfId="23263"/>
    <cellStyle name="Currency 2 4 14" xfId="1445"/>
    <cellStyle name="Currency 2 4 14 2" xfId="2944"/>
    <cellStyle name="Currency 2 4 14 2 2" xfId="25112"/>
    <cellStyle name="Currency 2 4 14 3" xfId="4443"/>
    <cellStyle name="Currency 2 4 14 3 2" xfId="26610"/>
    <cellStyle name="Currency 2 4 14 4" xfId="22116"/>
    <cellStyle name="Currency 2 4 14 4 2" xfId="38328"/>
    <cellStyle name="Currency 2 4 14 5" xfId="23614"/>
    <cellStyle name="Currency 2 4 15" xfId="1891"/>
    <cellStyle name="Currency 2 4 15 2" xfId="24059"/>
    <cellStyle name="Currency 2 4 16" xfId="3390"/>
    <cellStyle name="Currency 2 4 16 2" xfId="25557"/>
    <cellStyle name="Currency 2 4 17" xfId="8016"/>
    <cellStyle name="Currency 2 4 18" xfId="21063"/>
    <cellStyle name="Currency 2 4 18 2" xfId="37275"/>
    <cellStyle name="Currency 2 4 19" xfId="22561"/>
    <cellStyle name="Currency 2 4 2" xfId="391"/>
    <cellStyle name="Currency 2 4 2 10" xfId="748"/>
    <cellStyle name="Currency 2 4 2 10 2" xfId="2247"/>
    <cellStyle name="Currency 2 4 2 10 2 2" xfId="24415"/>
    <cellStyle name="Currency 2 4 2 10 3" xfId="3746"/>
    <cellStyle name="Currency 2 4 2 10 3 2" xfId="25913"/>
    <cellStyle name="Currency 2 4 2 10 4" xfId="21419"/>
    <cellStyle name="Currency 2 4 2 10 4 2" xfId="37631"/>
    <cellStyle name="Currency 2 4 2 10 5" xfId="22917"/>
    <cellStyle name="Currency 2 4 2 11" xfId="1099"/>
    <cellStyle name="Currency 2 4 2 11 2" xfId="2598"/>
    <cellStyle name="Currency 2 4 2 11 2 2" xfId="24766"/>
    <cellStyle name="Currency 2 4 2 11 3" xfId="4097"/>
    <cellStyle name="Currency 2 4 2 11 3 2" xfId="26264"/>
    <cellStyle name="Currency 2 4 2 11 4" xfId="21770"/>
    <cellStyle name="Currency 2 4 2 11 4 2" xfId="37982"/>
    <cellStyle name="Currency 2 4 2 11 5" xfId="23268"/>
    <cellStyle name="Currency 2 4 2 12" xfId="1450"/>
    <cellStyle name="Currency 2 4 2 12 2" xfId="2949"/>
    <cellStyle name="Currency 2 4 2 12 2 2" xfId="25117"/>
    <cellStyle name="Currency 2 4 2 12 3" xfId="4448"/>
    <cellStyle name="Currency 2 4 2 12 3 2" xfId="26615"/>
    <cellStyle name="Currency 2 4 2 12 4" xfId="22121"/>
    <cellStyle name="Currency 2 4 2 12 4 2" xfId="38333"/>
    <cellStyle name="Currency 2 4 2 12 5" xfId="23619"/>
    <cellStyle name="Currency 2 4 2 13" xfId="1896"/>
    <cellStyle name="Currency 2 4 2 13 2" xfId="24064"/>
    <cellStyle name="Currency 2 4 2 14" xfId="3395"/>
    <cellStyle name="Currency 2 4 2 14 2" xfId="25562"/>
    <cellStyle name="Currency 2 4 2 15" xfId="12291"/>
    <cellStyle name="Currency 2 4 2 16" xfId="21068"/>
    <cellStyle name="Currency 2 4 2 16 2" xfId="37280"/>
    <cellStyle name="Currency 2 4 2 17" xfId="22566"/>
    <cellStyle name="Currency 2 4 2 2" xfId="404"/>
    <cellStyle name="Currency 2 4 2 2 10" xfId="21077"/>
    <cellStyle name="Currency 2 4 2 2 10 2" xfId="37289"/>
    <cellStyle name="Currency 2 4 2 2 11" xfId="22575"/>
    <cellStyle name="Currency 2 4 2 2 2" xfId="456"/>
    <cellStyle name="Currency 2 4 2 2 2 10" xfId="22627"/>
    <cellStyle name="Currency 2 4 2 2 2 2" xfId="574"/>
    <cellStyle name="Currency 2 4 2 2 2 2 2" xfId="926"/>
    <cellStyle name="Currency 2 4 2 2 2 2 2 2" xfId="2425"/>
    <cellStyle name="Currency 2 4 2 2 2 2 2 2 2" xfId="24593"/>
    <cellStyle name="Currency 2 4 2 2 2 2 2 3" xfId="3924"/>
    <cellStyle name="Currency 2 4 2 2 2 2 2 3 2" xfId="26091"/>
    <cellStyle name="Currency 2 4 2 2 2 2 2 4" xfId="21597"/>
    <cellStyle name="Currency 2 4 2 2 2 2 2 4 2" xfId="37809"/>
    <cellStyle name="Currency 2 4 2 2 2 2 2 5" xfId="23095"/>
    <cellStyle name="Currency 2 4 2 2 2 2 3" xfId="1277"/>
    <cellStyle name="Currency 2 4 2 2 2 2 3 2" xfId="2776"/>
    <cellStyle name="Currency 2 4 2 2 2 2 3 2 2" xfId="24944"/>
    <cellStyle name="Currency 2 4 2 2 2 2 3 3" xfId="4275"/>
    <cellStyle name="Currency 2 4 2 2 2 2 3 3 2" xfId="26442"/>
    <cellStyle name="Currency 2 4 2 2 2 2 3 4" xfId="21948"/>
    <cellStyle name="Currency 2 4 2 2 2 2 3 4 2" xfId="38160"/>
    <cellStyle name="Currency 2 4 2 2 2 2 3 5" xfId="23446"/>
    <cellStyle name="Currency 2 4 2 2 2 2 4" xfId="1628"/>
    <cellStyle name="Currency 2 4 2 2 2 2 4 2" xfId="3127"/>
    <cellStyle name="Currency 2 4 2 2 2 2 4 2 2" xfId="25295"/>
    <cellStyle name="Currency 2 4 2 2 2 2 4 3" xfId="4626"/>
    <cellStyle name="Currency 2 4 2 2 2 2 4 3 2" xfId="26793"/>
    <cellStyle name="Currency 2 4 2 2 2 2 4 4" xfId="22299"/>
    <cellStyle name="Currency 2 4 2 2 2 2 4 4 2" xfId="38511"/>
    <cellStyle name="Currency 2 4 2 2 2 2 4 5" xfId="23797"/>
    <cellStyle name="Currency 2 4 2 2 2 2 5" xfId="2074"/>
    <cellStyle name="Currency 2 4 2 2 2 2 5 2" xfId="24242"/>
    <cellStyle name="Currency 2 4 2 2 2 2 6" xfId="3573"/>
    <cellStyle name="Currency 2 4 2 2 2 2 6 2" xfId="25740"/>
    <cellStyle name="Currency 2 4 2 2 2 2 7" xfId="21246"/>
    <cellStyle name="Currency 2 4 2 2 2 2 7 2" xfId="37458"/>
    <cellStyle name="Currency 2 4 2 2 2 2 8" xfId="22744"/>
    <cellStyle name="Currency 2 4 2 2 2 3" xfId="692"/>
    <cellStyle name="Currency 2 4 2 2 2 3 2" xfId="1043"/>
    <cellStyle name="Currency 2 4 2 2 2 3 2 2" xfId="2542"/>
    <cellStyle name="Currency 2 4 2 2 2 3 2 2 2" xfId="24710"/>
    <cellStyle name="Currency 2 4 2 2 2 3 2 3" xfId="4041"/>
    <cellStyle name="Currency 2 4 2 2 2 3 2 3 2" xfId="26208"/>
    <cellStyle name="Currency 2 4 2 2 2 3 2 4" xfId="21714"/>
    <cellStyle name="Currency 2 4 2 2 2 3 2 4 2" xfId="37926"/>
    <cellStyle name="Currency 2 4 2 2 2 3 2 5" xfId="23212"/>
    <cellStyle name="Currency 2 4 2 2 2 3 3" xfId="1394"/>
    <cellStyle name="Currency 2 4 2 2 2 3 3 2" xfId="2893"/>
    <cellStyle name="Currency 2 4 2 2 2 3 3 2 2" xfId="25061"/>
    <cellStyle name="Currency 2 4 2 2 2 3 3 3" xfId="4392"/>
    <cellStyle name="Currency 2 4 2 2 2 3 3 3 2" xfId="26559"/>
    <cellStyle name="Currency 2 4 2 2 2 3 3 4" xfId="22065"/>
    <cellStyle name="Currency 2 4 2 2 2 3 3 4 2" xfId="38277"/>
    <cellStyle name="Currency 2 4 2 2 2 3 3 5" xfId="23563"/>
    <cellStyle name="Currency 2 4 2 2 2 3 4" xfId="1745"/>
    <cellStyle name="Currency 2 4 2 2 2 3 4 2" xfId="3244"/>
    <cellStyle name="Currency 2 4 2 2 2 3 4 2 2" xfId="25412"/>
    <cellStyle name="Currency 2 4 2 2 2 3 4 3" xfId="4743"/>
    <cellStyle name="Currency 2 4 2 2 2 3 4 3 2" xfId="26910"/>
    <cellStyle name="Currency 2 4 2 2 2 3 4 4" xfId="22416"/>
    <cellStyle name="Currency 2 4 2 2 2 3 4 4 2" xfId="38628"/>
    <cellStyle name="Currency 2 4 2 2 2 3 4 5" xfId="23914"/>
    <cellStyle name="Currency 2 4 2 2 2 3 5" xfId="2191"/>
    <cellStyle name="Currency 2 4 2 2 2 3 5 2" xfId="24359"/>
    <cellStyle name="Currency 2 4 2 2 2 3 6" xfId="3690"/>
    <cellStyle name="Currency 2 4 2 2 2 3 6 2" xfId="25857"/>
    <cellStyle name="Currency 2 4 2 2 2 3 7" xfId="21363"/>
    <cellStyle name="Currency 2 4 2 2 2 3 7 2" xfId="37575"/>
    <cellStyle name="Currency 2 4 2 2 2 3 8" xfId="22861"/>
    <cellStyle name="Currency 2 4 2 2 2 4" xfId="809"/>
    <cellStyle name="Currency 2 4 2 2 2 4 2" xfId="2308"/>
    <cellStyle name="Currency 2 4 2 2 2 4 2 2" xfId="24476"/>
    <cellStyle name="Currency 2 4 2 2 2 4 3" xfId="3807"/>
    <cellStyle name="Currency 2 4 2 2 2 4 3 2" xfId="25974"/>
    <cellStyle name="Currency 2 4 2 2 2 4 4" xfId="21480"/>
    <cellStyle name="Currency 2 4 2 2 2 4 4 2" xfId="37692"/>
    <cellStyle name="Currency 2 4 2 2 2 4 5" xfId="22978"/>
    <cellStyle name="Currency 2 4 2 2 2 5" xfId="1160"/>
    <cellStyle name="Currency 2 4 2 2 2 5 2" xfId="2659"/>
    <cellStyle name="Currency 2 4 2 2 2 5 2 2" xfId="24827"/>
    <cellStyle name="Currency 2 4 2 2 2 5 3" xfId="4158"/>
    <cellStyle name="Currency 2 4 2 2 2 5 3 2" xfId="26325"/>
    <cellStyle name="Currency 2 4 2 2 2 5 4" xfId="21831"/>
    <cellStyle name="Currency 2 4 2 2 2 5 4 2" xfId="38043"/>
    <cellStyle name="Currency 2 4 2 2 2 5 5" xfId="23329"/>
    <cellStyle name="Currency 2 4 2 2 2 6" xfId="1511"/>
    <cellStyle name="Currency 2 4 2 2 2 6 2" xfId="3010"/>
    <cellStyle name="Currency 2 4 2 2 2 6 2 2" xfId="25178"/>
    <cellStyle name="Currency 2 4 2 2 2 6 3" xfId="4509"/>
    <cellStyle name="Currency 2 4 2 2 2 6 3 2" xfId="26676"/>
    <cellStyle name="Currency 2 4 2 2 2 6 4" xfId="22182"/>
    <cellStyle name="Currency 2 4 2 2 2 6 4 2" xfId="38394"/>
    <cellStyle name="Currency 2 4 2 2 2 6 5" xfId="23680"/>
    <cellStyle name="Currency 2 4 2 2 2 7" xfId="1957"/>
    <cellStyle name="Currency 2 4 2 2 2 7 2" xfId="24125"/>
    <cellStyle name="Currency 2 4 2 2 2 8" xfId="3456"/>
    <cellStyle name="Currency 2 4 2 2 2 8 2" xfId="25623"/>
    <cellStyle name="Currency 2 4 2 2 2 9" xfId="21129"/>
    <cellStyle name="Currency 2 4 2 2 2 9 2" xfId="37341"/>
    <cellStyle name="Currency 2 4 2 2 3" xfId="522"/>
    <cellStyle name="Currency 2 4 2 2 3 2" xfId="874"/>
    <cellStyle name="Currency 2 4 2 2 3 2 2" xfId="2373"/>
    <cellStyle name="Currency 2 4 2 2 3 2 2 2" xfId="24541"/>
    <cellStyle name="Currency 2 4 2 2 3 2 3" xfId="3872"/>
    <cellStyle name="Currency 2 4 2 2 3 2 3 2" xfId="26039"/>
    <cellStyle name="Currency 2 4 2 2 3 2 4" xfId="21545"/>
    <cellStyle name="Currency 2 4 2 2 3 2 4 2" xfId="37757"/>
    <cellStyle name="Currency 2 4 2 2 3 2 5" xfId="23043"/>
    <cellStyle name="Currency 2 4 2 2 3 3" xfId="1225"/>
    <cellStyle name="Currency 2 4 2 2 3 3 2" xfId="2724"/>
    <cellStyle name="Currency 2 4 2 2 3 3 2 2" xfId="24892"/>
    <cellStyle name="Currency 2 4 2 2 3 3 3" xfId="4223"/>
    <cellStyle name="Currency 2 4 2 2 3 3 3 2" xfId="26390"/>
    <cellStyle name="Currency 2 4 2 2 3 3 4" xfId="21896"/>
    <cellStyle name="Currency 2 4 2 2 3 3 4 2" xfId="38108"/>
    <cellStyle name="Currency 2 4 2 2 3 3 5" xfId="23394"/>
    <cellStyle name="Currency 2 4 2 2 3 4" xfId="1576"/>
    <cellStyle name="Currency 2 4 2 2 3 4 2" xfId="3075"/>
    <cellStyle name="Currency 2 4 2 2 3 4 2 2" xfId="25243"/>
    <cellStyle name="Currency 2 4 2 2 3 4 3" xfId="4574"/>
    <cellStyle name="Currency 2 4 2 2 3 4 3 2" xfId="26741"/>
    <cellStyle name="Currency 2 4 2 2 3 4 4" xfId="22247"/>
    <cellStyle name="Currency 2 4 2 2 3 4 4 2" xfId="38459"/>
    <cellStyle name="Currency 2 4 2 2 3 4 5" xfId="23745"/>
    <cellStyle name="Currency 2 4 2 2 3 5" xfId="2022"/>
    <cellStyle name="Currency 2 4 2 2 3 5 2" xfId="24190"/>
    <cellStyle name="Currency 2 4 2 2 3 6" xfId="3521"/>
    <cellStyle name="Currency 2 4 2 2 3 6 2" xfId="25688"/>
    <cellStyle name="Currency 2 4 2 2 3 7" xfId="21194"/>
    <cellStyle name="Currency 2 4 2 2 3 7 2" xfId="37406"/>
    <cellStyle name="Currency 2 4 2 2 3 8" xfId="22692"/>
    <cellStyle name="Currency 2 4 2 2 4" xfId="640"/>
    <cellStyle name="Currency 2 4 2 2 4 2" xfId="991"/>
    <cellStyle name="Currency 2 4 2 2 4 2 2" xfId="2490"/>
    <cellStyle name="Currency 2 4 2 2 4 2 2 2" xfId="24658"/>
    <cellStyle name="Currency 2 4 2 2 4 2 3" xfId="3989"/>
    <cellStyle name="Currency 2 4 2 2 4 2 3 2" xfId="26156"/>
    <cellStyle name="Currency 2 4 2 2 4 2 4" xfId="21662"/>
    <cellStyle name="Currency 2 4 2 2 4 2 4 2" xfId="37874"/>
    <cellStyle name="Currency 2 4 2 2 4 2 5" xfId="23160"/>
    <cellStyle name="Currency 2 4 2 2 4 3" xfId="1342"/>
    <cellStyle name="Currency 2 4 2 2 4 3 2" xfId="2841"/>
    <cellStyle name="Currency 2 4 2 2 4 3 2 2" xfId="25009"/>
    <cellStyle name="Currency 2 4 2 2 4 3 3" xfId="4340"/>
    <cellStyle name="Currency 2 4 2 2 4 3 3 2" xfId="26507"/>
    <cellStyle name="Currency 2 4 2 2 4 3 4" xfId="22013"/>
    <cellStyle name="Currency 2 4 2 2 4 3 4 2" xfId="38225"/>
    <cellStyle name="Currency 2 4 2 2 4 3 5" xfId="23511"/>
    <cellStyle name="Currency 2 4 2 2 4 4" xfId="1693"/>
    <cellStyle name="Currency 2 4 2 2 4 4 2" xfId="3192"/>
    <cellStyle name="Currency 2 4 2 2 4 4 2 2" xfId="25360"/>
    <cellStyle name="Currency 2 4 2 2 4 4 3" xfId="4691"/>
    <cellStyle name="Currency 2 4 2 2 4 4 3 2" xfId="26858"/>
    <cellStyle name="Currency 2 4 2 2 4 4 4" xfId="22364"/>
    <cellStyle name="Currency 2 4 2 2 4 4 4 2" xfId="38576"/>
    <cellStyle name="Currency 2 4 2 2 4 4 5" xfId="23862"/>
    <cellStyle name="Currency 2 4 2 2 4 5" xfId="2139"/>
    <cellStyle name="Currency 2 4 2 2 4 5 2" xfId="24307"/>
    <cellStyle name="Currency 2 4 2 2 4 6" xfId="3638"/>
    <cellStyle name="Currency 2 4 2 2 4 6 2" xfId="25805"/>
    <cellStyle name="Currency 2 4 2 2 4 7" xfId="21311"/>
    <cellStyle name="Currency 2 4 2 2 4 7 2" xfId="37523"/>
    <cellStyle name="Currency 2 4 2 2 4 8" xfId="22809"/>
    <cellStyle name="Currency 2 4 2 2 5" xfId="757"/>
    <cellStyle name="Currency 2 4 2 2 5 2" xfId="2256"/>
    <cellStyle name="Currency 2 4 2 2 5 2 2" xfId="24424"/>
    <cellStyle name="Currency 2 4 2 2 5 3" xfId="3755"/>
    <cellStyle name="Currency 2 4 2 2 5 3 2" xfId="25922"/>
    <cellStyle name="Currency 2 4 2 2 5 4" xfId="21428"/>
    <cellStyle name="Currency 2 4 2 2 5 4 2" xfId="37640"/>
    <cellStyle name="Currency 2 4 2 2 5 5" xfId="22926"/>
    <cellStyle name="Currency 2 4 2 2 6" xfId="1108"/>
    <cellStyle name="Currency 2 4 2 2 6 2" xfId="2607"/>
    <cellStyle name="Currency 2 4 2 2 6 2 2" xfId="24775"/>
    <cellStyle name="Currency 2 4 2 2 6 3" xfId="4106"/>
    <cellStyle name="Currency 2 4 2 2 6 3 2" xfId="26273"/>
    <cellStyle name="Currency 2 4 2 2 6 4" xfId="21779"/>
    <cellStyle name="Currency 2 4 2 2 6 4 2" xfId="37991"/>
    <cellStyle name="Currency 2 4 2 2 6 5" xfId="23277"/>
    <cellStyle name="Currency 2 4 2 2 7" xfId="1459"/>
    <cellStyle name="Currency 2 4 2 2 7 2" xfId="2958"/>
    <cellStyle name="Currency 2 4 2 2 7 2 2" xfId="25126"/>
    <cellStyle name="Currency 2 4 2 2 7 3" xfId="4457"/>
    <cellStyle name="Currency 2 4 2 2 7 3 2" xfId="26624"/>
    <cellStyle name="Currency 2 4 2 2 7 4" xfId="22130"/>
    <cellStyle name="Currency 2 4 2 2 7 4 2" xfId="38342"/>
    <cellStyle name="Currency 2 4 2 2 7 5" xfId="23628"/>
    <cellStyle name="Currency 2 4 2 2 8" xfId="1905"/>
    <cellStyle name="Currency 2 4 2 2 8 2" xfId="24073"/>
    <cellStyle name="Currency 2 4 2 2 9" xfId="3404"/>
    <cellStyle name="Currency 2 4 2 2 9 2" xfId="25571"/>
    <cellStyle name="Currency 2 4 2 3" xfId="416"/>
    <cellStyle name="Currency 2 4 2 3 10" xfId="22587"/>
    <cellStyle name="Currency 2 4 2 3 2" xfId="534"/>
    <cellStyle name="Currency 2 4 2 3 2 2" xfId="886"/>
    <cellStyle name="Currency 2 4 2 3 2 2 2" xfId="2385"/>
    <cellStyle name="Currency 2 4 2 3 2 2 2 2" xfId="24553"/>
    <cellStyle name="Currency 2 4 2 3 2 2 3" xfId="3884"/>
    <cellStyle name="Currency 2 4 2 3 2 2 3 2" xfId="26051"/>
    <cellStyle name="Currency 2 4 2 3 2 2 4" xfId="21557"/>
    <cellStyle name="Currency 2 4 2 3 2 2 4 2" xfId="37769"/>
    <cellStyle name="Currency 2 4 2 3 2 2 5" xfId="23055"/>
    <cellStyle name="Currency 2 4 2 3 2 3" xfId="1237"/>
    <cellStyle name="Currency 2 4 2 3 2 3 2" xfId="2736"/>
    <cellStyle name="Currency 2 4 2 3 2 3 2 2" xfId="24904"/>
    <cellStyle name="Currency 2 4 2 3 2 3 3" xfId="4235"/>
    <cellStyle name="Currency 2 4 2 3 2 3 3 2" xfId="26402"/>
    <cellStyle name="Currency 2 4 2 3 2 3 4" xfId="21908"/>
    <cellStyle name="Currency 2 4 2 3 2 3 4 2" xfId="38120"/>
    <cellStyle name="Currency 2 4 2 3 2 3 5" xfId="23406"/>
    <cellStyle name="Currency 2 4 2 3 2 4" xfId="1588"/>
    <cellStyle name="Currency 2 4 2 3 2 4 2" xfId="3087"/>
    <cellStyle name="Currency 2 4 2 3 2 4 2 2" xfId="25255"/>
    <cellStyle name="Currency 2 4 2 3 2 4 3" xfId="4586"/>
    <cellStyle name="Currency 2 4 2 3 2 4 3 2" xfId="26753"/>
    <cellStyle name="Currency 2 4 2 3 2 4 4" xfId="22259"/>
    <cellStyle name="Currency 2 4 2 3 2 4 4 2" xfId="38471"/>
    <cellStyle name="Currency 2 4 2 3 2 4 5" xfId="23757"/>
    <cellStyle name="Currency 2 4 2 3 2 5" xfId="2034"/>
    <cellStyle name="Currency 2 4 2 3 2 5 2" xfId="24202"/>
    <cellStyle name="Currency 2 4 2 3 2 6" xfId="3533"/>
    <cellStyle name="Currency 2 4 2 3 2 6 2" xfId="25700"/>
    <cellStyle name="Currency 2 4 2 3 2 7" xfId="21206"/>
    <cellStyle name="Currency 2 4 2 3 2 7 2" xfId="37418"/>
    <cellStyle name="Currency 2 4 2 3 2 8" xfId="22704"/>
    <cellStyle name="Currency 2 4 2 3 3" xfId="652"/>
    <cellStyle name="Currency 2 4 2 3 3 2" xfId="1003"/>
    <cellStyle name="Currency 2 4 2 3 3 2 2" xfId="2502"/>
    <cellStyle name="Currency 2 4 2 3 3 2 2 2" xfId="24670"/>
    <cellStyle name="Currency 2 4 2 3 3 2 3" xfId="4001"/>
    <cellStyle name="Currency 2 4 2 3 3 2 3 2" xfId="26168"/>
    <cellStyle name="Currency 2 4 2 3 3 2 4" xfId="21674"/>
    <cellStyle name="Currency 2 4 2 3 3 2 4 2" xfId="37886"/>
    <cellStyle name="Currency 2 4 2 3 3 2 5" xfId="23172"/>
    <cellStyle name="Currency 2 4 2 3 3 3" xfId="1354"/>
    <cellStyle name="Currency 2 4 2 3 3 3 2" xfId="2853"/>
    <cellStyle name="Currency 2 4 2 3 3 3 2 2" xfId="25021"/>
    <cellStyle name="Currency 2 4 2 3 3 3 3" xfId="4352"/>
    <cellStyle name="Currency 2 4 2 3 3 3 3 2" xfId="26519"/>
    <cellStyle name="Currency 2 4 2 3 3 3 4" xfId="22025"/>
    <cellStyle name="Currency 2 4 2 3 3 3 4 2" xfId="38237"/>
    <cellStyle name="Currency 2 4 2 3 3 3 5" xfId="23523"/>
    <cellStyle name="Currency 2 4 2 3 3 4" xfId="1705"/>
    <cellStyle name="Currency 2 4 2 3 3 4 2" xfId="3204"/>
    <cellStyle name="Currency 2 4 2 3 3 4 2 2" xfId="25372"/>
    <cellStyle name="Currency 2 4 2 3 3 4 3" xfId="4703"/>
    <cellStyle name="Currency 2 4 2 3 3 4 3 2" xfId="26870"/>
    <cellStyle name="Currency 2 4 2 3 3 4 4" xfId="22376"/>
    <cellStyle name="Currency 2 4 2 3 3 4 4 2" xfId="38588"/>
    <cellStyle name="Currency 2 4 2 3 3 4 5" xfId="23874"/>
    <cellStyle name="Currency 2 4 2 3 3 5" xfId="2151"/>
    <cellStyle name="Currency 2 4 2 3 3 5 2" xfId="24319"/>
    <cellStyle name="Currency 2 4 2 3 3 6" xfId="3650"/>
    <cellStyle name="Currency 2 4 2 3 3 6 2" xfId="25817"/>
    <cellStyle name="Currency 2 4 2 3 3 7" xfId="21323"/>
    <cellStyle name="Currency 2 4 2 3 3 7 2" xfId="37535"/>
    <cellStyle name="Currency 2 4 2 3 3 8" xfId="22821"/>
    <cellStyle name="Currency 2 4 2 3 4" xfId="769"/>
    <cellStyle name="Currency 2 4 2 3 4 2" xfId="2268"/>
    <cellStyle name="Currency 2 4 2 3 4 2 2" xfId="24436"/>
    <cellStyle name="Currency 2 4 2 3 4 3" xfId="3767"/>
    <cellStyle name="Currency 2 4 2 3 4 3 2" xfId="25934"/>
    <cellStyle name="Currency 2 4 2 3 4 4" xfId="21440"/>
    <cellStyle name="Currency 2 4 2 3 4 4 2" xfId="37652"/>
    <cellStyle name="Currency 2 4 2 3 4 5" xfId="22938"/>
    <cellStyle name="Currency 2 4 2 3 5" xfId="1120"/>
    <cellStyle name="Currency 2 4 2 3 5 2" xfId="2619"/>
    <cellStyle name="Currency 2 4 2 3 5 2 2" xfId="24787"/>
    <cellStyle name="Currency 2 4 2 3 5 3" xfId="4118"/>
    <cellStyle name="Currency 2 4 2 3 5 3 2" xfId="26285"/>
    <cellStyle name="Currency 2 4 2 3 5 4" xfId="21791"/>
    <cellStyle name="Currency 2 4 2 3 5 4 2" xfId="38003"/>
    <cellStyle name="Currency 2 4 2 3 5 5" xfId="23289"/>
    <cellStyle name="Currency 2 4 2 3 6" xfId="1471"/>
    <cellStyle name="Currency 2 4 2 3 6 2" xfId="2970"/>
    <cellStyle name="Currency 2 4 2 3 6 2 2" xfId="25138"/>
    <cellStyle name="Currency 2 4 2 3 6 3" xfId="4469"/>
    <cellStyle name="Currency 2 4 2 3 6 3 2" xfId="26636"/>
    <cellStyle name="Currency 2 4 2 3 6 4" xfId="22142"/>
    <cellStyle name="Currency 2 4 2 3 6 4 2" xfId="38354"/>
    <cellStyle name="Currency 2 4 2 3 6 5" xfId="23640"/>
    <cellStyle name="Currency 2 4 2 3 7" xfId="1917"/>
    <cellStyle name="Currency 2 4 2 3 7 2" xfId="24085"/>
    <cellStyle name="Currency 2 4 2 3 8" xfId="3416"/>
    <cellStyle name="Currency 2 4 2 3 8 2" xfId="25583"/>
    <cellStyle name="Currency 2 4 2 3 9" xfId="21089"/>
    <cellStyle name="Currency 2 4 2 3 9 2" xfId="37301"/>
    <cellStyle name="Currency 2 4 2 4" xfId="429"/>
    <cellStyle name="Currency 2 4 2 4 10" xfId="22600"/>
    <cellStyle name="Currency 2 4 2 4 2" xfId="547"/>
    <cellStyle name="Currency 2 4 2 4 2 2" xfId="899"/>
    <cellStyle name="Currency 2 4 2 4 2 2 2" xfId="2398"/>
    <cellStyle name="Currency 2 4 2 4 2 2 2 2" xfId="24566"/>
    <cellStyle name="Currency 2 4 2 4 2 2 3" xfId="3897"/>
    <cellStyle name="Currency 2 4 2 4 2 2 3 2" xfId="26064"/>
    <cellStyle name="Currency 2 4 2 4 2 2 4" xfId="21570"/>
    <cellStyle name="Currency 2 4 2 4 2 2 4 2" xfId="37782"/>
    <cellStyle name="Currency 2 4 2 4 2 2 5" xfId="23068"/>
    <cellStyle name="Currency 2 4 2 4 2 3" xfId="1250"/>
    <cellStyle name="Currency 2 4 2 4 2 3 2" xfId="2749"/>
    <cellStyle name="Currency 2 4 2 4 2 3 2 2" xfId="24917"/>
    <cellStyle name="Currency 2 4 2 4 2 3 3" xfId="4248"/>
    <cellStyle name="Currency 2 4 2 4 2 3 3 2" xfId="26415"/>
    <cellStyle name="Currency 2 4 2 4 2 3 4" xfId="21921"/>
    <cellStyle name="Currency 2 4 2 4 2 3 4 2" xfId="38133"/>
    <cellStyle name="Currency 2 4 2 4 2 3 5" xfId="23419"/>
    <cellStyle name="Currency 2 4 2 4 2 4" xfId="1601"/>
    <cellStyle name="Currency 2 4 2 4 2 4 2" xfId="3100"/>
    <cellStyle name="Currency 2 4 2 4 2 4 2 2" xfId="25268"/>
    <cellStyle name="Currency 2 4 2 4 2 4 3" xfId="4599"/>
    <cellStyle name="Currency 2 4 2 4 2 4 3 2" xfId="26766"/>
    <cellStyle name="Currency 2 4 2 4 2 4 4" xfId="22272"/>
    <cellStyle name="Currency 2 4 2 4 2 4 4 2" xfId="38484"/>
    <cellStyle name="Currency 2 4 2 4 2 4 5" xfId="23770"/>
    <cellStyle name="Currency 2 4 2 4 2 5" xfId="2047"/>
    <cellStyle name="Currency 2 4 2 4 2 5 2" xfId="24215"/>
    <cellStyle name="Currency 2 4 2 4 2 6" xfId="3546"/>
    <cellStyle name="Currency 2 4 2 4 2 6 2" xfId="25713"/>
    <cellStyle name="Currency 2 4 2 4 2 7" xfId="21219"/>
    <cellStyle name="Currency 2 4 2 4 2 7 2" xfId="37431"/>
    <cellStyle name="Currency 2 4 2 4 2 8" xfId="22717"/>
    <cellStyle name="Currency 2 4 2 4 3" xfId="665"/>
    <cellStyle name="Currency 2 4 2 4 3 2" xfId="1016"/>
    <cellStyle name="Currency 2 4 2 4 3 2 2" xfId="2515"/>
    <cellStyle name="Currency 2 4 2 4 3 2 2 2" xfId="24683"/>
    <cellStyle name="Currency 2 4 2 4 3 2 3" xfId="4014"/>
    <cellStyle name="Currency 2 4 2 4 3 2 3 2" xfId="26181"/>
    <cellStyle name="Currency 2 4 2 4 3 2 4" xfId="21687"/>
    <cellStyle name="Currency 2 4 2 4 3 2 4 2" xfId="37899"/>
    <cellStyle name="Currency 2 4 2 4 3 2 5" xfId="23185"/>
    <cellStyle name="Currency 2 4 2 4 3 3" xfId="1367"/>
    <cellStyle name="Currency 2 4 2 4 3 3 2" xfId="2866"/>
    <cellStyle name="Currency 2 4 2 4 3 3 2 2" xfId="25034"/>
    <cellStyle name="Currency 2 4 2 4 3 3 3" xfId="4365"/>
    <cellStyle name="Currency 2 4 2 4 3 3 3 2" xfId="26532"/>
    <cellStyle name="Currency 2 4 2 4 3 3 4" xfId="22038"/>
    <cellStyle name="Currency 2 4 2 4 3 3 4 2" xfId="38250"/>
    <cellStyle name="Currency 2 4 2 4 3 3 5" xfId="23536"/>
    <cellStyle name="Currency 2 4 2 4 3 4" xfId="1718"/>
    <cellStyle name="Currency 2 4 2 4 3 4 2" xfId="3217"/>
    <cellStyle name="Currency 2 4 2 4 3 4 2 2" xfId="25385"/>
    <cellStyle name="Currency 2 4 2 4 3 4 3" xfId="4716"/>
    <cellStyle name="Currency 2 4 2 4 3 4 3 2" xfId="26883"/>
    <cellStyle name="Currency 2 4 2 4 3 4 4" xfId="22389"/>
    <cellStyle name="Currency 2 4 2 4 3 4 4 2" xfId="38601"/>
    <cellStyle name="Currency 2 4 2 4 3 4 5" xfId="23887"/>
    <cellStyle name="Currency 2 4 2 4 3 5" xfId="2164"/>
    <cellStyle name="Currency 2 4 2 4 3 5 2" xfId="24332"/>
    <cellStyle name="Currency 2 4 2 4 3 6" xfId="3663"/>
    <cellStyle name="Currency 2 4 2 4 3 6 2" xfId="25830"/>
    <cellStyle name="Currency 2 4 2 4 3 7" xfId="21336"/>
    <cellStyle name="Currency 2 4 2 4 3 7 2" xfId="37548"/>
    <cellStyle name="Currency 2 4 2 4 3 8" xfId="22834"/>
    <cellStyle name="Currency 2 4 2 4 4" xfId="782"/>
    <cellStyle name="Currency 2 4 2 4 4 2" xfId="2281"/>
    <cellStyle name="Currency 2 4 2 4 4 2 2" xfId="24449"/>
    <cellStyle name="Currency 2 4 2 4 4 3" xfId="3780"/>
    <cellStyle name="Currency 2 4 2 4 4 3 2" xfId="25947"/>
    <cellStyle name="Currency 2 4 2 4 4 4" xfId="21453"/>
    <cellStyle name="Currency 2 4 2 4 4 4 2" xfId="37665"/>
    <cellStyle name="Currency 2 4 2 4 4 5" xfId="22951"/>
    <cellStyle name="Currency 2 4 2 4 5" xfId="1133"/>
    <cellStyle name="Currency 2 4 2 4 5 2" xfId="2632"/>
    <cellStyle name="Currency 2 4 2 4 5 2 2" xfId="24800"/>
    <cellStyle name="Currency 2 4 2 4 5 3" xfId="4131"/>
    <cellStyle name="Currency 2 4 2 4 5 3 2" xfId="26298"/>
    <cellStyle name="Currency 2 4 2 4 5 4" xfId="21804"/>
    <cellStyle name="Currency 2 4 2 4 5 4 2" xfId="38016"/>
    <cellStyle name="Currency 2 4 2 4 5 5" xfId="23302"/>
    <cellStyle name="Currency 2 4 2 4 6" xfId="1484"/>
    <cellStyle name="Currency 2 4 2 4 6 2" xfId="2983"/>
    <cellStyle name="Currency 2 4 2 4 6 2 2" xfId="25151"/>
    <cellStyle name="Currency 2 4 2 4 6 3" xfId="4482"/>
    <cellStyle name="Currency 2 4 2 4 6 3 2" xfId="26649"/>
    <cellStyle name="Currency 2 4 2 4 6 4" xfId="22155"/>
    <cellStyle name="Currency 2 4 2 4 6 4 2" xfId="38367"/>
    <cellStyle name="Currency 2 4 2 4 6 5" xfId="23653"/>
    <cellStyle name="Currency 2 4 2 4 7" xfId="1930"/>
    <cellStyle name="Currency 2 4 2 4 7 2" xfId="24098"/>
    <cellStyle name="Currency 2 4 2 4 8" xfId="3429"/>
    <cellStyle name="Currency 2 4 2 4 8 2" xfId="25596"/>
    <cellStyle name="Currency 2 4 2 4 9" xfId="21102"/>
    <cellStyle name="Currency 2 4 2 4 9 2" xfId="37314"/>
    <cellStyle name="Currency 2 4 2 5" xfId="447"/>
    <cellStyle name="Currency 2 4 2 5 10" xfId="22618"/>
    <cellStyle name="Currency 2 4 2 5 2" xfId="565"/>
    <cellStyle name="Currency 2 4 2 5 2 2" xfId="917"/>
    <cellStyle name="Currency 2 4 2 5 2 2 2" xfId="2416"/>
    <cellStyle name="Currency 2 4 2 5 2 2 2 2" xfId="24584"/>
    <cellStyle name="Currency 2 4 2 5 2 2 3" xfId="3915"/>
    <cellStyle name="Currency 2 4 2 5 2 2 3 2" xfId="26082"/>
    <cellStyle name="Currency 2 4 2 5 2 2 4" xfId="21588"/>
    <cellStyle name="Currency 2 4 2 5 2 2 4 2" xfId="37800"/>
    <cellStyle name="Currency 2 4 2 5 2 2 5" xfId="23086"/>
    <cellStyle name="Currency 2 4 2 5 2 3" xfId="1268"/>
    <cellStyle name="Currency 2 4 2 5 2 3 2" xfId="2767"/>
    <cellStyle name="Currency 2 4 2 5 2 3 2 2" xfId="24935"/>
    <cellStyle name="Currency 2 4 2 5 2 3 3" xfId="4266"/>
    <cellStyle name="Currency 2 4 2 5 2 3 3 2" xfId="26433"/>
    <cellStyle name="Currency 2 4 2 5 2 3 4" xfId="21939"/>
    <cellStyle name="Currency 2 4 2 5 2 3 4 2" xfId="38151"/>
    <cellStyle name="Currency 2 4 2 5 2 3 5" xfId="23437"/>
    <cellStyle name="Currency 2 4 2 5 2 4" xfId="1619"/>
    <cellStyle name="Currency 2 4 2 5 2 4 2" xfId="3118"/>
    <cellStyle name="Currency 2 4 2 5 2 4 2 2" xfId="25286"/>
    <cellStyle name="Currency 2 4 2 5 2 4 3" xfId="4617"/>
    <cellStyle name="Currency 2 4 2 5 2 4 3 2" xfId="26784"/>
    <cellStyle name="Currency 2 4 2 5 2 4 4" xfId="22290"/>
    <cellStyle name="Currency 2 4 2 5 2 4 4 2" xfId="38502"/>
    <cellStyle name="Currency 2 4 2 5 2 4 5" xfId="23788"/>
    <cellStyle name="Currency 2 4 2 5 2 5" xfId="2065"/>
    <cellStyle name="Currency 2 4 2 5 2 5 2" xfId="24233"/>
    <cellStyle name="Currency 2 4 2 5 2 6" xfId="3564"/>
    <cellStyle name="Currency 2 4 2 5 2 6 2" xfId="25731"/>
    <cellStyle name="Currency 2 4 2 5 2 7" xfId="21237"/>
    <cellStyle name="Currency 2 4 2 5 2 7 2" xfId="37449"/>
    <cellStyle name="Currency 2 4 2 5 2 8" xfId="22735"/>
    <cellStyle name="Currency 2 4 2 5 3" xfId="683"/>
    <cellStyle name="Currency 2 4 2 5 3 2" xfId="1034"/>
    <cellStyle name="Currency 2 4 2 5 3 2 2" xfId="2533"/>
    <cellStyle name="Currency 2 4 2 5 3 2 2 2" xfId="24701"/>
    <cellStyle name="Currency 2 4 2 5 3 2 3" xfId="4032"/>
    <cellStyle name="Currency 2 4 2 5 3 2 3 2" xfId="26199"/>
    <cellStyle name="Currency 2 4 2 5 3 2 4" xfId="21705"/>
    <cellStyle name="Currency 2 4 2 5 3 2 4 2" xfId="37917"/>
    <cellStyle name="Currency 2 4 2 5 3 2 5" xfId="23203"/>
    <cellStyle name="Currency 2 4 2 5 3 3" xfId="1385"/>
    <cellStyle name="Currency 2 4 2 5 3 3 2" xfId="2884"/>
    <cellStyle name="Currency 2 4 2 5 3 3 2 2" xfId="25052"/>
    <cellStyle name="Currency 2 4 2 5 3 3 3" xfId="4383"/>
    <cellStyle name="Currency 2 4 2 5 3 3 3 2" xfId="26550"/>
    <cellStyle name="Currency 2 4 2 5 3 3 4" xfId="22056"/>
    <cellStyle name="Currency 2 4 2 5 3 3 4 2" xfId="38268"/>
    <cellStyle name="Currency 2 4 2 5 3 3 5" xfId="23554"/>
    <cellStyle name="Currency 2 4 2 5 3 4" xfId="1736"/>
    <cellStyle name="Currency 2 4 2 5 3 4 2" xfId="3235"/>
    <cellStyle name="Currency 2 4 2 5 3 4 2 2" xfId="25403"/>
    <cellStyle name="Currency 2 4 2 5 3 4 3" xfId="4734"/>
    <cellStyle name="Currency 2 4 2 5 3 4 3 2" xfId="26901"/>
    <cellStyle name="Currency 2 4 2 5 3 4 4" xfId="22407"/>
    <cellStyle name="Currency 2 4 2 5 3 4 4 2" xfId="38619"/>
    <cellStyle name="Currency 2 4 2 5 3 4 5" xfId="23905"/>
    <cellStyle name="Currency 2 4 2 5 3 5" xfId="2182"/>
    <cellStyle name="Currency 2 4 2 5 3 5 2" xfId="24350"/>
    <cellStyle name="Currency 2 4 2 5 3 6" xfId="3681"/>
    <cellStyle name="Currency 2 4 2 5 3 6 2" xfId="25848"/>
    <cellStyle name="Currency 2 4 2 5 3 7" xfId="21354"/>
    <cellStyle name="Currency 2 4 2 5 3 7 2" xfId="37566"/>
    <cellStyle name="Currency 2 4 2 5 3 8" xfId="22852"/>
    <cellStyle name="Currency 2 4 2 5 4" xfId="800"/>
    <cellStyle name="Currency 2 4 2 5 4 2" xfId="2299"/>
    <cellStyle name="Currency 2 4 2 5 4 2 2" xfId="24467"/>
    <cellStyle name="Currency 2 4 2 5 4 3" xfId="3798"/>
    <cellStyle name="Currency 2 4 2 5 4 3 2" xfId="25965"/>
    <cellStyle name="Currency 2 4 2 5 4 4" xfId="21471"/>
    <cellStyle name="Currency 2 4 2 5 4 4 2" xfId="37683"/>
    <cellStyle name="Currency 2 4 2 5 4 5" xfId="22969"/>
    <cellStyle name="Currency 2 4 2 5 5" xfId="1151"/>
    <cellStyle name="Currency 2 4 2 5 5 2" xfId="2650"/>
    <cellStyle name="Currency 2 4 2 5 5 2 2" xfId="24818"/>
    <cellStyle name="Currency 2 4 2 5 5 3" xfId="4149"/>
    <cellStyle name="Currency 2 4 2 5 5 3 2" xfId="26316"/>
    <cellStyle name="Currency 2 4 2 5 5 4" xfId="21822"/>
    <cellStyle name="Currency 2 4 2 5 5 4 2" xfId="38034"/>
    <cellStyle name="Currency 2 4 2 5 5 5" xfId="23320"/>
    <cellStyle name="Currency 2 4 2 5 6" xfId="1502"/>
    <cellStyle name="Currency 2 4 2 5 6 2" xfId="3001"/>
    <cellStyle name="Currency 2 4 2 5 6 2 2" xfId="25169"/>
    <cellStyle name="Currency 2 4 2 5 6 3" xfId="4500"/>
    <cellStyle name="Currency 2 4 2 5 6 3 2" xfId="26667"/>
    <cellStyle name="Currency 2 4 2 5 6 4" xfId="22173"/>
    <cellStyle name="Currency 2 4 2 5 6 4 2" xfId="38385"/>
    <cellStyle name="Currency 2 4 2 5 6 5" xfId="23671"/>
    <cellStyle name="Currency 2 4 2 5 7" xfId="1948"/>
    <cellStyle name="Currency 2 4 2 5 7 2" xfId="24116"/>
    <cellStyle name="Currency 2 4 2 5 8" xfId="3447"/>
    <cellStyle name="Currency 2 4 2 5 8 2" xfId="25614"/>
    <cellStyle name="Currency 2 4 2 5 9" xfId="21120"/>
    <cellStyle name="Currency 2 4 2 5 9 2" xfId="37332"/>
    <cellStyle name="Currency 2 4 2 6" xfId="472"/>
    <cellStyle name="Currency 2 4 2 6 10" xfId="22643"/>
    <cellStyle name="Currency 2 4 2 6 2" xfId="590"/>
    <cellStyle name="Currency 2 4 2 6 2 2" xfId="942"/>
    <cellStyle name="Currency 2 4 2 6 2 2 2" xfId="2441"/>
    <cellStyle name="Currency 2 4 2 6 2 2 2 2" xfId="24609"/>
    <cellStyle name="Currency 2 4 2 6 2 2 3" xfId="3940"/>
    <cellStyle name="Currency 2 4 2 6 2 2 3 2" xfId="26107"/>
    <cellStyle name="Currency 2 4 2 6 2 2 4" xfId="21613"/>
    <cellStyle name="Currency 2 4 2 6 2 2 4 2" xfId="37825"/>
    <cellStyle name="Currency 2 4 2 6 2 2 5" xfId="23111"/>
    <cellStyle name="Currency 2 4 2 6 2 3" xfId="1293"/>
    <cellStyle name="Currency 2 4 2 6 2 3 2" xfId="2792"/>
    <cellStyle name="Currency 2 4 2 6 2 3 2 2" xfId="24960"/>
    <cellStyle name="Currency 2 4 2 6 2 3 3" xfId="4291"/>
    <cellStyle name="Currency 2 4 2 6 2 3 3 2" xfId="26458"/>
    <cellStyle name="Currency 2 4 2 6 2 3 4" xfId="21964"/>
    <cellStyle name="Currency 2 4 2 6 2 3 4 2" xfId="38176"/>
    <cellStyle name="Currency 2 4 2 6 2 3 5" xfId="23462"/>
    <cellStyle name="Currency 2 4 2 6 2 4" xfId="1644"/>
    <cellStyle name="Currency 2 4 2 6 2 4 2" xfId="3143"/>
    <cellStyle name="Currency 2 4 2 6 2 4 2 2" xfId="25311"/>
    <cellStyle name="Currency 2 4 2 6 2 4 3" xfId="4642"/>
    <cellStyle name="Currency 2 4 2 6 2 4 3 2" xfId="26809"/>
    <cellStyle name="Currency 2 4 2 6 2 4 4" xfId="22315"/>
    <cellStyle name="Currency 2 4 2 6 2 4 4 2" xfId="38527"/>
    <cellStyle name="Currency 2 4 2 6 2 4 5" xfId="23813"/>
    <cellStyle name="Currency 2 4 2 6 2 5" xfId="2090"/>
    <cellStyle name="Currency 2 4 2 6 2 5 2" xfId="24258"/>
    <cellStyle name="Currency 2 4 2 6 2 6" xfId="3589"/>
    <cellStyle name="Currency 2 4 2 6 2 6 2" xfId="25756"/>
    <cellStyle name="Currency 2 4 2 6 2 7" xfId="21262"/>
    <cellStyle name="Currency 2 4 2 6 2 7 2" xfId="37474"/>
    <cellStyle name="Currency 2 4 2 6 2 8" xfId="22760"/>
    <cellStyle name="Currency 2 4 2 6 3" xfId="708"/>
    <cellStyle name="Currency 2 4 2 6 3 2" xfId="1059"/>
    <cellStyle name="Currency 2 4 2 6 3 2 2" xfId="2558"/>
    <cellStyle name="Currency 2 4 2 6 3 2 2 2" xfId="24726"/>
    <cellStyle name="Currency 2 4 2 6 3 2 3" xfId="4057"/>
    <cellStyle name="Currency 2 4 2 6 3 2 3 2" xfId="26224"/>
    <cellStyle name="Currency 2 4 2 6 3 2 4" xfId="21730"/>
    <cellStyle name="Currency 2 4 2 6 3 2 4 2" xfId="37942"/>
    <cellStyle name="Currency 2 4 2 6 3 2 5" xfId="23228"/>
    <cellStyle name="Currency 2 4 2 6 3 3" xfId="1410"/>
    <cellStyle name="Currency 2 4 2 6 3 3 2" xfId="2909"/>
    <cellStyle name="Currency 2 4 2 6 3 3 2 2" xfId="25077"/>
    <cellStyle name="Currency 2 4 2 6 3 3 3" xfId="4408"/>
    <cellStyle name="Currency 2 4 2 6 3 3 3 2" xfId="26575"/>
    <cellStyle name="Currency 2 4 2 6 3 3 4" xfId="22081"/>
    <cellStyle name="Currency 2 4 2 6 3 3 4 2" xfId="38293"/>
    <cellStyle name="Currency 2 4 2 6 3 3 5" xfId="23579"/>
    <cellStyle name="Currency 2 4 2 6 3 4" xfId="1761"/>
    <cellStyle name="Currency 2 4 2 6 3 4 2" xfId="3260"/>
    <cellStyle name="Currency 2 4 2 6 3 4 2 2" xfId="25428"/>
    <cellStyle name="Currency 2 4 2 6 3 4 3" xfId="4759"/>
    <cellStyle name="Currency 2 4 2 6 3 4 3 2" xfId="26926"/>
    <cellStyle name="Currency 2 4 2 6 3 4 4" xfId="22432"/>
    <cellStyle name="Currency 2 4 2 6 3 4 4 2" xfId="38644"/>
    <cellStyle name="Currency 2 4 2 6 3 4 5" xfId="23930"/>
    <cellStyle name="Currency 2 4 2 6 3 5" xfId="2207"/>
    <cellStyle name="Currency 2 4 2 6 3 5 2" xfId="24375"/>
    <cellStyle name="Currency 2 4 2 6 3 6" xfId="3706"/>
    <cellStyle name="Currency 2 4 2 6 3 6 2" xfId="25873"/>
    <cellStyle name="Currency 2 4 2 6 3 7" xfId="21379"/>
    <cellStyle name="Currency 2 4 2 6 3 7 2" xfId="37591"/>
    <cellStyle name="Currency 2 4 2 6 3 8" xfId="22877"/>
    <cellStyle name="Currency 2 4 2 6 4" xfId="825"/>
    <cellStyle name="Currency 2 4 2 6 4 2" xfId="2324"/>
    <cellStyle name="Currency 2 4 2 6 4 2 2" xfId="24492"/>
    <cellStyle name="Currency 2 4 2 6 4 3" xfId="3823"/>
    <cellStyle name="Currency 2 4 2 6 4 3 2" xfId="25990"/>
    <cellStyle name="Currency 2 4 2 6 4 4" xfId="21496"/>
    <cellStyle name="Currency 2 4 2 6 4 4 2" xfId="37708"/>
    <cellStyle name="Currency 2 4 2 6 4 5" xfId="22994"/>
    <cellStyle name="Currency 2 4 2 6 5" xfId="1176"/>
    <cellStyle name="Currency 2 4 2 6 5 2" xfId="2675"/>
    <cellStyle name="Currency 2 4 2 6 5 2 2" xfId="24843"/>
    <cellStyle name="Currency 2 4 2 6 5 3" xfId="4174"/>
    <cellStyle name="Currency 2 4 2 6 5 3 2" xfId="26341"/>
    <cellStyle name="Currency 2 4 2 6 5 4" xfId="21847"/>
    <cellStyle name="Currency 2 4 2 6 5 4 2" xfId="38059"/>
    <cellStyle name="Currency 2 4 2 6 5 5" xfId="23345"/>
    <cellStyle name="Currency 2 4 2 6 6" xfId="1527"/>
    <cellStyle name="Currency 2 4 2 6 6 2" xfId="3026"/>
    <cellStyle name="Currency 2 4 2 6 6 2 2" xfId="25194"/>
    <cellStyle name="Currency 2 4 2 6 6 3" xfId="4525"/>
    <cellStyle name="Currency 2 4 2 6 6 3 2" xfId="26692"/>
    <cellStyle name="Currency 2 4 2 6 6 4" xfId="22198"/>
    <cellStyle name="Currency 2 4 2 6 6 4 2" xfId="38410"/>
    <cellStyle name="Currency 2 4 2 6 6 5" xfId="23696"/>
    <cellStyle name="Currency 2 4 2 6 7" xfId="1973"/>
    <cellStyle name="Currency 2 4 2 6 7 2" xfId="24141"/>
    <cellStyle name="Currency 2 4 2 6 8" xfId="3472"/>
    <cellStyle name="Currency 2 4 2 6 8 2" xfId="25639"/>
    <cellStyle name="Currency 2 4 2 6 9" xfId="21145"/>
    <cellStyle name="Currency 2 4 2 6 9 2" xfId="37357"/>
    <cellStyle name="Currency 2 4 2 7" xfId="485"/>
    <cellStyle name="Currency 2 4 2 7 10" xfId="22656"/>
    <cellStyle name="Currency 2 4 2 7 2" xfId="603"/>
    <cellStyle name="Currency 2 4 2 7 2 2" xfId="955"/>
    <cellStyle name="Currency 2 4 2 7 2 2 2" xfId="2454"/>
    <cellStyle name="Currency 2 4 2 7 2 2 2 2" xfId="24622"/>
    <cellStyle name="Currency 2 4 2 7 2 2 3" xfId="3953"/>
    <cellStyle name="Currency 2 4 2 7 2 2 3 2" xfId="26120"/>
    <cellStyle name="Currency 2 4 2 7 2 2 4" xfId="21626"/>
    <cellStyle name="Currency 2 4 2 7 2 2 4 2" xfId="37838"/>
    <cellStyle name="Currency 2 4 2 7 2 2 5" xfId="23124"/>
    <cellStyle name="Currency 2 4 2 7 2 3" xfId="1306"/>
    <cellStyle name="Currency 2 4 2 7 2 3 2" xfId="2805"/>
    <cellStyle name="Currency 2 4 2 7 2 3 2 2" xfId="24973"/>
    <cellStyle name="Currency 2 4 2 7 2 3 3" xfId="4304"/>
    <cellStyle name="Currency 2 4 2 7 2 3 3 2" xfId="26471"/>
    <cellStyle name="Currency 2 4 2 7 2 3 4" xfId="21977"/>
    <cellStyle name="Currency 2 4 2 7 2 3 4 2" xfId="38189"/>
    <cellStyle name="Currency 2 4 2 7 2 3 5" xfId="23475"/>
    <cellStyle name="Currency 2 4 2 7 2 4" xfId="1657"/>
    <cellStyle name="Currency 2 4 2 7 2 4 2" xfId="3156"/>
    <cellStyle name="Currency 2 4 2 7 2 4 2 2" xfId="25324"/>
    <cellStyle name="Currency 2 4 2 7 2 4 3" xfId="4655"/>
    <cellStyle name="Currency 2 4 2 7 2 4 3 2" xfId="26822"/>
    <cellStyle name="Currency 2 4 2 7 2 4 4" xfId="22328"/>
    <cellStyle name="Currency 2 4 2 7 2 4 4 2" xfId="38540"/>
    <cellStyle name="Currency 2 4 2 7 2 4 5" xfId="23826"/>
    <cellStyle name="Currency 2 4 2 7 2 5" xfId="2103"/>
    <cellStyle name="Currency 2 4 2 7 2 5 2" xfId="24271"/>
    <cellStyle name="Currency 2 4 2 7 2 6" xfId="3602"/>
    <cellStyle name="Currency 2 4 2 7 2 6 2" xfId="25769"/>
    <cellStyle name="Currency 2 4 2 7 2 7" xfId="21275"/>
    <cellStyle name="Currency 2 4 2 7 2 7 2" xfId="37487"/>
    <cellStyle name="Currency 2 4 2 7 2 8" xfId="22773"/>
    <cellStyle name="Currency 2 4 2 7 3" xfId="721"/>
    <cellStyle name="Currency 2 4 2 7 3 2" xfId="1072"/>
    <cellStyle name="Currency 2 4 2 7 3 2 2" xfId="2571"/>
    <cellStyle name="Currency 2 4 2 7 3 2 2 2" xfId="24739"/>
    <cellStyle name="Currency 2 4 2 7 3 2 3" xfId="4070"/>
    <cellStyle name="Currency 2 4 2 7 3 2 3 2" xfId="26237"/>
    <cellStyle name="Currency 2 4 2 7 3 2 4" xfId="21743"/>
    <cellStyle name="Currency 2 4 2 7 3 2 4 2" xfId="37955"/>
    <cellStyle name="Currency 2 4 2 7 3 2 5" xfId="23241"/>
    <cellStyle name="Currency 2 4 2 7 3 3" xfId="1423"/>
    <cellStyle name="Currency 2 4 2 7 3 3 2" xfId="2922"/>
    <cellStyle name="Currency 2 4 2 7 3 3 2 2" xfId="25090"/>
    <cellStyle name="Currency 2 4 2 7 3 3 3" xfId="4421"/>
    <cellStyle name="Currency 2 4 2 7 3 3 3 2" xfId="26588"/>
    <cellStyle name="Currency 2 4 2 7 3 3 4" xfId="22094"/>
    <cellStyle name="Currency 2 4 2 7 3 3 4 2" xfId="38306"/>
    <cellStyle name="Currency 2 4 2 7 3 3 5" xfId="23592"/>
    <cellStyle name="Currency 2 4 2 7 3 4" xfId="1774"/>
    <cellStyle name="Currency 2 4 2 7 3 4 2" xfId="3273"/>
    <cellStyle name="Currency 2 4 2 7 3 4 2 2" xfId="25441"/>
    <cellStyle name="Currency 2 4 2 7 3 4 3" xfId="4772"/>
    <cellStyle name="Currency 2 4 2 7 3 4 3 2" xfId="26939"/>
    <cellStyle name="Currency 2 4 2 7 3 4 4" xfId="22445"/>
    <cellStyle name="Currency 2 4 2 7 3 4 4 2" xfId="38657"/>
    <cellStyle name="Currency 2 4 2 7 3 4 5" xfId="23943"/>
    <cellStyle name="Currency 2 4 2 7 3 5" xfId="2220"/>
    <cellStyle name="Currency 2 4 2 7 3 5 2" xfId="24388"/>
    <cellStyle name="Currency 2 4 2 7 3 6" xfId="3719"/>
    <cellStyle name="Currency 2 4 2 7 3 6 2" xfId="25886"/>
    <cellStyle name="Currency 2 4 2 7 3 7" xfId="21392"/>
    <cellStyle name="Currency 2 4 2 7 3 7 2" xfId="37604"/>
    <cellStyle name="Currency 2 4 2 7 3 8" xfId="22890"/>
    <cellStyle name="Currency 2 4 2 7 4" xfId="838"/>
    <cellStyle name="Currency 2 4 2 7 4 2" xfId="2337"/>
    <cellStyle name="Currency 2 4 2 7 4 2 2" xfId="24505"/>
    <cellStyle name="Currency 2 4 2 7 4 3" xfId="3836"/>
    <cellStyle name="Currency 2 4 2 7 4 3 2" xfId="26003"/>
    <cellStyle name="Currency 2 4 2 7 4 4" xfId="21509"/>
    <cellStyle name="Currency 2 4 2 7 4 4 2" xfId="37721"/>
    <cellStyle name="Currency 2 4 2 7 4 5" xfId="23007"/>
    <cellStyle name="Currency 2 4 2 7 5" xfId="1189"/>
    <cellStyle name="Currency 2 4 2 7 5 2" xfId="2688"/>
    <cellStyle name="Currency 2 4 2 7 5 2 2" xfId="24856"/>
    <cellStyle name="Currency 2 4 2 7 5 3" xfId="4187"/>
    <cellStyle name="Currency 2 4 2 7 5 3 2" xfId="26354"/>
    <cellStyle name="Currency 2 4 2 7 5 4" xfId="21860"/>
    <cellStyle name="Currency 2 4 2 7 5 4 2" xfId="38072"/>
    <cellStyle name="Currency 2 4 2 7 5 5" xfId="23358"/>
    <cellStyle name="Currency 2 4 2 7 6" xfId="1540"/>
    <cellStyle name="Currency 2 4 2 7 6 2" xfId="3039"/>
    <cellStyle name="Currency 2 4 2 7 6 2 2" xfId="25207"/>
    <cellStyle name="Currency 2 4 2 7 6 3" xfId="4538"/>
    <cellStyle name="Currency 2 4 2 7 6 3 2" xfId="26705"/>
    <cellStyle name="Currency 2 4 2 7 6 4" xfId="22211"/>
    <cellStyle name="Currency 2 4 2 7 6 4 2" xfId="38423"/>
    <cellStyle name="Currency 2 4 2 7 6 5" xfId="23709"/>
    <cellStyle name="Currency 2 4 2 7 7" xfId="1986"/>
    <cellStyle name="Currency 2 4 2 7 7 2" xfId="24154"/>
    <cellStyle name="Currency 2 4 2 7 8" xfId="3485"/>
    <cellStyle name="Currency 2 4 2 7 8 2" xfId="25652"/>
    <cellStyle name="Currency 2 4 2 7 9" xfId="21158"/>
    <cellStyle name="Currency 2 4 2 7 9 2" xfId="37370"/>
    <cellStyle name="Currency 2 4 2 8" xfId="513"/>
    <cellStyle name="Currency 2 4 2 8 2" xfId="865"/>
    <cellStyle name="Currency 2 4 2 8 2 2" xfId="2364"/>
    <cellStyle name="Currency 2 4 2 8 2 2 2" xfId="24532"/>
    <cellStyle name="Currency 2 4 2 8 2 3" xfId="3863"/>
    <cellStyle name="Currency 2 4 2 8 2 3 2" xfId="26030"/>
    <cellStyle name="Currency 2 4 2 8 2 4" xfId="21536"/>
    <cellStyle name="Currency 2 4 2 8 2 4 2" xfId="37748"/>
    <cellStyle name="Currency 2 4 2 8 2 5" xfId="23034"/>
    <cellStyle name="Currency 2 4 2 8 3" xfId="1216"/>
    <cellStyle name="Currency 2 4 2 8 3 2" xfId="2715"/>
    <cellStyle name="Currency 2 4 2 8 3 2 2" xfId="24883"/>
    <cellStyle name="Currency 2 4 2 8 3 3" xfId="4214"/>
    <cellStyle name="Currency 2 4 2 8 3 3 2" xfId="26381"/>
    <cellStyle name="Currency 2 4 2 8 3 4" xfId="21887"/>
    <cellStyle name="Currency 2 4 2 8 3 4 2" xfId="38099"/>
    <cellStyle name="Currency 2 4 2 8 3 5" xfId="23385"/>
    <cellStyle name="Currency 2 4 2 8 4" xfId="1567"/>
    <cellStyle name="Currency 2 4 2 8 4 2" xfId="3066"/>
    <cellStyle name="Currency 2 4 2 8 4 2 2" xfId="25234"/>
    <cellStyle name="Currency 2 4 2 8 4 3" xfId="4565"/>
    <cellStyle name="Currency 2 4 2 8 4 3 2" xfId="26732"/>
    <cellStyle name="Currency 2 4 2 8 4 4" xfId="22238"/>
    <cellStyle name="Currency 2 4 2 8 4 4 2" xfId="38450"/>
    <cellStyle name="Currency 2 4 2 8 4 5" xfId="23736"/>
    <cellStyle name="Currency 2 4 2 8 5" xfId="2013"/>
    <cellStyle name="Currency 2 4 2 8 5 2" xfId="24181"/>
    <cellStyle name="Currency 2 4 2 8 6" xfId="3512"/>
    <cellStyle name="Currency 2 4 2 8 6 2" xfId="25679"/>
    <cellStyle name="Currency 2 4 2 8 7" xfId="21185"/>
    <cellStyle name="Currency 2 4 2 8 7 2" xfId="37397"/>
    <cellStyle name="Currency 2 4 2 8 8" xfId="22683"/>
    <cellStyle name="Currency 2 4 2 9" xfId="631"/>
    <cellStyle name="Currency 2 4 2 9 2" xfId="982"/>
    <cellStyle name="Currency 2 4 2 9 2 2" xfId="2481"/>
    <cellStyle name="Currency 2 4 2 9 2 2 2" xfId="24649"/>
    <cellStyle name="Currency 2 4 2 9 2 3" xfId="3980"/>
    <cellStyle name="Currency 2 4 2 9 2 3 2" xfId="26147"/>
    <cellStyle name="Currency 2 4 2 9 2 4" xfId="21653"/>
    <cellStyle name="Currency 2 4 2 9 2 4 2" xfId="37865"/>
    <cellStyle name="Currency 2 4 2 9 2 5" xfId="23151"/>
    <cellStyle name="Currency 2 4 2 9 3" xfId="1333"/>
    <cellStyle name="Currency 2 4 2 9 3 2" xfId="2832"/>
    <cellStyle name="Currency 2 4 2 9 3 2 2" xfId="25000"/>
    <cellStyle name="Currency 2 4 2 9 3 3" xfId="4331"/>
    <cellStyle name="Currency 2 4 2 9 3 3 2" xfId="26498"/>
    <cellStyle name="Currency 2 4 2 9 3 4" xfId="22004"/>
    <cellStyle name="Currency 2 4 2 9 3 4 2" xfId="38216"/>
    <cellStyle name="Currency 2 4 2 9 3 5" xfId="23502"/>
    <cellStyle name="Currency 2 4 2 9 4" xfId="1684"/>
    <cellStyle name="Currency 2 4 2 9 4 2" xfId="3183"/>
    <cellStyle name="Currency 2 4 2 9 4 2 2" xfId="25351"/>
    <cellStyle name="Currency 2 4 2 9 4 3" xfId="4682"/>
    <cellStyle name="Currency 2 4 2 9 4 3 2" xfId="26849"/>
    <cellStyle name="Currency 2 4 2 9 4 4" xfId="22355"/>
    <cellStyle name="Currency 2 4 2 9 4 4 2" xfId="38567"/>
    <cellStyle name="Currency 2 4 2 9 4 5" xfId="23853"/>
    <cellStyle name="Currency 2 4 2 9 5" xfId="2130"/>
    <cellStyle name="Currency 2 4 2 9 5 2" xfId="24298"/>
    <cellStyle name="Currency 2 4 2 9 6" xfId="3629"/>
    <cellStyle name="Currency 2 4 2 9 6 2" xfId="25796"/>
    <cellStyle name="Currency 2 4 2 9 7" xfId="21302"/>
    <cellStyle name="Currency 2 4 2 9 7 2" xfId="37514"/>
    <cellStyle name="Currency 2 4 2 9 8" xfId="22800"/>
    <cellStyle name="Currency 2 4 20" xfId="38897"/>
    <cellStyle name="Currency 2 4 21" xfId="373"/>
    <cellStyle name="Currency 2 4 3" xfId="403"/>
    <cellStyle name="Currency 2 4 3 10" xfId="21076"/>
    <cellStyle name="Currency 2 4 3 10 2" xfId="37288"/>
    <cellStyle name="Currency 2 4 3 11" xfId="22574"/>
    <cellStyle name="Currency 2 4 3 2" xfId="455"/>
    <cellStyle name="Currency 2 4 3 2 10" xfId="22626"/>
    <cellStyle name="Currency 2 4 3 2 2" xfId="573"/>
    <cellStyle name="Currency 2 4 3 2 2 2" xfId="925"/>
    <cellStyle name="Currency 2 4 3 2 2 2 2" xfId="2424"/>
    <cellStyle name="Currency 2 4 3 2 2 2 2 2" xfId="24592"/>
    <cellStyle name="Currency 2 4 3 2 2 2 3" xfId="3923"/>
    <cellStyle name="Currency 2 4 3 2 2 2 3 2" xfId="26090"/>
    <cellStyle name="Currency 2 4 3 2 2 2 4" xfId="21596"/>
    <cellStyle name="Currency 2 4 3 2 2 2 4 2" xfId="37808"/>
    <cellStyle name="Currency 2 4 3 2 2 2 5" xfId="23094"/>
    <cellStyle name="Currency 2 4 3 2 2 3" xfId="1276"/>
    <cellStyle name="Currency 2 4 3 2 2 3 2" xfId="2775"/>
    <cellStyle name="Currency 2 4 3 2 2 3 2 2" xfId="24943"/>
    <cellStyle name="Currency 2 4 3 2 2 3 3" xfId="4274"/>
    <cellStyle name="Currency 2 4 3 2 2 3 3 2" xfId="26441"/>
    <cellStyle name="Currency 2 4 3 2 2 3 4" xfId="21947"/>
    <cellStyle name="Currency 2 4 3 2 2 3 4 2" xfId="38159"/>
    <cellStyle name="Currency 2 4 3 2 2 3 5" xfId="23445"/>
    <cellStyle name="Currency 2 4 3 2 2 4" xfId="1627"/>
    <cellStyle name="Currency 2 4 3 2 2 4 2" xfId="3126"/>
    <cellStyle name="Currency 2 4 3 2 2 4 2 2" xfId="25294"/>
    <cellStyle name="Currency 2 4 3 2 2 4 3" xfId="4625"/>
    <cellStyle name="Currency 2 4 3 2 2 4 3 2" xfId="26792"/>
    <cellStyle name="Currency 2 4 3 2 2 4 4" xfId="22298"/>
    <cellStyle name="Currency 2 4 3 2 2 4 4 2" xfId="38510"/>
    <cellStyle name="Currency 2 4 3 2 2 4 5" xfId="23796"/>
    <cellStyle name="Currency 2 4 3 2 2 5" xfId="2073"/>
    <cellStyle name="Currency 2 4 3 2 2 5 2" xfId="24241"/>
    <cellStyle name="Currency 2 4 3 2 2 6" xfId="3572"/>
    <cellStyle name="Currency 2 4 3 2 2 6 2" xfId="25739"/>
    <cellStyle name="Currency 2 4 3 2 2 7" xfId="21245"/>
    <cellStyle name="Currency 2 4 3 2 2 7 2" xfId="37457"/>
    <cellStyle name="Currency 2 4 3 2 2 8" xfId="22743"/>
    <cellStyle name="Currency 2 4 3 2 3" xfId="691"/>
    <cellStyle name="Currency 2 4 3 2 3 2" xfId="1042"/>
    <cellStyle name="Currency 2 4 3 2 3 2 2" xfId="2541"/>
    <cellStyle name="Currency 2 4 3 2 3 2 2 2" xfId="24709"/>
    <cellStyle name="Currency 2 4 3 2 3 2 3" xfId="4040"/>
    <cellStyle name="Currency 2 4 3 2 3 2 3 2" xfId="26207"/>
    <cellStyle name="Currency 2 4 3 2 3 2 4" xfId="21713"/>
    <cellStyle name="Currency 2 4 3 2 3 2 4 2" xfId="37925"/>
    <cellStyle name="Currency 2 4 3 2 3 2 5" xfId="23211"/>
    <cellStyle name="Currency 2 4 3 2 3 3" xfId="1393"/>
    <cellStyle name="Currency 2 4 3 2 3 3 2" xfId="2892"/>
    <cellStyle name="Currency 2 4 3 2 3 3 2 2" xfId="25060"/>
    <cellStyle name="Currency 2 4 3 2 3 3 3" xfId="4391"/>
    <cellStyle name="Currency 2 4 3 2 3 3 3 2" xfId="26558"/>
    <cellStyle name="Currency 2 4 3 2 3 3 4" xfId="22064"/>
    <cellStyle name="Currency 2 4 3 2 3 3 4 2" xfId="38276"/>
    <cellStyle name="Currency 2 4 3 2 3 3 5" xfId="23562"/>
    <cellStyle name="Currency 2 4 3 2 3 4" xfId="1744"/>
    <cellStyle name="Currency 2 4 3 2 3 4 2" xfId="3243"/>
    <cellStyle name="Currency 2 4 3 2 3 4 2 2" xfId="25411"/>
    <cellStyle name="Currency 2 4 3 2 3 4 3" xfId="4742"/>
    <cellStyle name="Currency 2 4 3 2 3 4 3 2" xfId="26909"/>
    <cellStyle name="Currency 2 4 3 2 3 4 4" xfId="22415"/>
    <cellStyle name="Currency 2 4 3 2 3 4 4 2" xfId="38627"/>
    <cellStyle name="Currency 2 4 3 2 3 4 5" xfId="23913"/>
    <cellStyle name="Currency 2 4 3 2 3 5" xfId="2190"/>
    <cellStyle name="Currency 2 4 3 2 3 5 2" xfId="24358"/>
    <cellStyle name="Currency 2 4 3 2 3 6" xfId="3689"/>
    <cellStyle name="Currency 2 4 3 2 3 6 2" xfId="25856"/>
    <cellStyle name="Currency 2 4 3 2 3 7" xfId="21362"/>
    <cellStyle name="Currency 2 4 3 2 3 7 2" xfId="37574"/>
    <cellStyle name="Currency 2 4 3 2 3 8" xfId="22860"/>
    <cellStyle name="Currency 2 4 3 2 4" xfId="808"/>
    <cellStyle name="Currency 2 4 3 2 4 2" xfId="2307"/>
    <cellStyle name="Currency 2 4 3 2 4 2 2" xfId="24475"/>
    <cellStyle name="Currency 2 4 3 2 4 3" xfId="3806"/>
    <cellStyle name="Currency 2 4 3 2 4 3 2" xfId="25973"/>
    <cellStyle name="Currency 2 4 3 2 4 4" xfId="21479"/>
    <cellStyle name="Currency 2 4 3 2 4 4 2" xfId="37691"/>
    <cellStyle name="Currency 2 4 3 2 4 5" xfId="22977"/>
    <cellStyle name="Currency 2 4 3 2 5" xfId="1159"/>
    <cellStyle name="Currency 2 4 3 2 5 2" xfId="2658"/>
    <cellStyle name="Currency 2 4 3 2 5 2 2" xfId="24826"/>
    <cellStyle name="Currency 2 4 3 2 5 3" xfId="4157"/>
    <cellStyle name="Currency 2 4 3 2 5 3 2" xfId="26324"/>
    <cellStyle name="Currency 2 4 3 2 5 4" xfId="21830"/>
    <cellStyle name="Currency 2 4 3 2 5 4 2" xfId="38042"/>
    <cellStyle name="Currency 2 4 3 2 5 5" xfId="23328"/>
    <cellStyle name="Currency 2 4 3 2 6" xfId="1510"/>
    <cellStyle name="Currency 2 4 3 2 6 2" xfId="3009"/>
    <cellStyle name="Currency 2 4 3 2 6 2 2" xfId="25177"/>
    <cellStyle name="Currency 2 4 3 2 6 3" xfId="4508"/>
    <cellStyle name="Currency 2 4 3 2 6 3 2" xfId="26675"/>
    <cellStyle name="Currency 2 4 3 2 6 4" xfId="22181"/>
    <cellStyle name="Currency 2 4 3 2 6 4 2" xfId="38393"/>
    <cellStyle name="Currency 2 4 3 2 6 5" xfId="23679"/>
    <cellStyle name="Currency 2 4 3 2 7" xfId="1956"/>
    <cellStyle name="Currency 2 4 3 2 7 2" xfId="24124"/>
    <cellStyle name="Currency 2 4 3 2 8" xfId="3455"/>
    <cellStyle name="Currency 2 4 3 2 8 2" xfId="25622"/>
    <cellStyle name="Currency 2 4 3 2 9" xfId="21128"/>
    <cellStyle name="Currency 2 4 3 2 9 2" xfId="37340"/>
    <cellStyle name="Currency 2 4 3 3" xfId="521"/>
    <cellStyle name="Currency 2 4 3 3 2" xfId="873"/>
    <cellStyle name="Currency 2 4 3 3 2 2" xfId="2372"/>
    <cellStyle name="Currency 2 4 3 3 2 2 2" xfId="24540"/>
    <cellStyle name="Currency 2 4 3 3 2 3" xfId="3871"/>
    <cellStyle name="Currency 2 4 3 3 2 3 2" xfId="26038"/>
    <cellStyle name="Currency 2 4 3 3 2 4" xfId="21544"/>
    <cellStyle name="Currency 2 4 3 3 2 4 2" xfId="37756"/>
    <cellStyle name="Currency 2 4 3 3 2 5" xfId="23042"/>
    <cellStyle name="Currency 2 4 3 3 3" xfId="1224"/>
    <cellStyle name="Currency 2 4 3 3 3 2" xfId="2723"/>
    <cellStyle name="Currency 2 4 3 3 3 2 2" xfId="24891"/>
    <cellStyle name="Currency 2 4 3 3 3 3" xfId="4222"/>
    <cellStyle name="Currency 2 4 3 3 3 3 2" xfId="26389"/>
    <cellStyle name="Currency 2 4 3 3 3 4" xfId="21895"/>
    <cellStyle name="Currency 2 4 3 3 3 4 2" xfId="38107"/>
    <cellStyle name="Currency 2 4 3 3 3 5" xfId="23393"/>
    <cellStyle name="Currency 2 4 3 3 4" xfId="1575"/>
    <cellStyle name="Currency 2 4 3 3 4 2" xfId="3074"/>
    <cellStyle name="Currency 2 4 3 3 4 2 2" xfId="25242"/>
    <cellStyle name="Currency 2 4 3 3 4 3" xfId="4573"/>
    <cellStyle name="Currency 2 4 3 3 4 3 2" xfId="26740"/>
    <cellStyle name="Currency 2 4 3 3 4 4" xfId="22246"/>
    <cellStyle name="Currency 2 4 3 3 4 4 2" xfId="38458"/>
    <cellStyle name="Currency 2 4 3 3 4 5" xfId="23744"/>
    <cellStyle name="Currency 2 4 3 3 5" xfId="2021"/>
    <cellStyle name="Currency 2 4 3 3 5 2" xfId="24189"/>
    <cellStyle name="Currency 2 4 3 3 6" xfId="3520"/>
    <cellStyle name="Currency 2 4 3 3 6 2" xfId="25687"/>
    <cellStyle name="Currency 2 4 3 3 7" xfId="21193"/>
    <cellStyle name="Currency 2 4 3 3 7 2" xfId="37405"/>
    <cellStyle name="Currency 2 4 3 3 8" xfId="22691"/>
    <cellStyle name="Currency 2 4 3 4" xfId="639"/>
    <cellStyle name="Currency 2 4 3 4 2" xfId="990"/>
    <cellStyle name="Currency 2 4 3 4 2 2" xfId="2489"/>
    <cellStyle name="Currency 2 4 3 4 2 2 2" xfId="24657"/>
    <cellStyle name="Currency 2 4 3 4 2 3" xfId="3988"/>
    <cellStyle name="Currency 2 4 3 4 2 3 2" xfId="26155"/>
    <cellStyle name="Currency 2 4 3 4 2 4" xfId="21661"/>
    <cellStyle name="Currency 2 4 3 4 2 4 2" xfId="37873"/>
    <cellStyle name="Currency 2 4 3 4 2 5" xfId="23159"/>
    <cellStyle name="Currency 2 4 3 4 3" xfId="1341"/>
    <cellStyle name="Currency 2 4 3 4 3 2" xfId="2840"/>
    <cellStyle name="Currency 2 4 3 4 3 2 2" xfId="25008"/>
    <cellStyle name="Currency 2 4 3 4 3 3" xfId="4339"/>
    <cellStyle name="Currency 2 4 3 4 3 3 2" xfId="26506"/>
    <cellStyle name="Currency 2 4 3 4 3 4" xfId="22012"/>
    <cellStyle name="Currency 2 4 3 4 3 4 2" xfId="38224"/>
    <cellStyle name="Currency 2 4 3 4 3 5" xfId="23510"/>
    <cellStyle name="Currency 2 4 3 4 4" xfId="1692"/>
    <cellStyle name="Currency 2 4 3 4 4 2" xfId="3191"/>
    <cellStyle name="Currency 2 4 3 4 4 2 2" xfId="25359"/>
    <cellStyle name="Currency 2 4 3 4 4 3" xfId="4690"/>
    <cellStyle name="Currency 2 4 3 4 4 3 2" xfId="26857"/>
    <cellStyle name="Currency 2 4 3 4 4 4" xfId="22363"/>
    <cellStyle name="Currency 2 4 3 4 4 4 2" xfId="38575"/>
    <cellStyle name="Currency 2 4 3 4 4 5" xfId="23861"/>
    <cellStyle name="Currency 2 4 3 4 5" xfId="2138"/>
    <cellStyle name="Currency 2 4 3 4 5 2" xfId="24306"/>
    <cellStyle name="Currency 2 4 3 4 6" xfId="3637"/>
    <cellStyle name="Currency 2 4 3 4 6 2" xfId="25804"/>
    <cellStyle name="Currency 2 4 3 4 7" xfId="21310"/>
    <cellStyle name="Currency 2 4 3 4 7 2" xfId="37522"/>
    <cellStyle name="Currency 2 4 3 4 8" xfId="22808"/>
    <cellStyle name="Currency 2 4 3 5" xfId="756"/>
    <cellStyle name="Currency 2 4 3 5 2" xfId="2255"/>
    <cellStyle name="Currency 2 4 3 5 2 2" xfId="24423"/>
    <cellStyle name="Currency 2 4 3 5 3" xfId="3754"/>
    <cellStyle name="Currency 2 4 3 5 3 2" xfId="25921"/>
    <cellStyle name="Currency 2 4 3 5 4" xfId="21427"/>
    <cellStyle name="Currency 2 4 3 5 4 2" xfId="37639"/>
    <cellStyle name="Currency 2 4 3 5 5" xfId="22925"/>
    <cellStyle name="Currency 2 4 3 6" xfId="1107"/>
    <cellStyle name="Currency 2 4 3 6 2" xfId="2606"/>
    <cellStyle name="Currency 2 4 3 6 2 2" xfId="24774"/>
    <cellStyle name="Currency 2 4 3 6 3" xfId="4105"/>
    <cellStyle name="Currency 2 4 3 6 3 2" xfId="26272"/>
    <cellStyle name="Currency 2 4 3 6 4" xfId="21778"/>
    <cellStyle name="Currency 2 4 3 6 4 2" xfId="37990"/>
    <cellStyle name="Currency 2 4 3 6 5" xfId="23276"/>
    <cellStyle name="Currency 2 4 3 7" xfId="1458"/>
    <cellStyle name="Currency 2 4 3 7 2" xfId="2957"/>
    <cellStyle name="Currency 2 4 3 7 2 2" xfId="25125"/>
    <cellStyle name="Currency 2 4 3 7 3" xfId="4456"/>
    <cellStyle name="Currency 2 4 3 7 3 2" xfId="26623"/>
    <cellStyle name="Currency 2 4 3 7 4" xfId="22129"/>
    <cellStyle name="Currency 2 4 3 7 4 2" xfId="38341"/>
    <cellStyle name="Currency 2 4 3 7 5" xfId="23627"/>
    <cellStyle name="Currency 2 4 3 8" xfId="1904"/>
    <cellStyle name="Currency 2 4 3 8 2" xfId="24072"/>
    <cellStyle name="Currency 2 4 3 9" xfId="3403"/>
    <cellStyle name="Currency 2 4 3 9 2" xfId="25570"/>
    <cellStyle name="Currency 2 4 4" xfId="415"/>
    <cellStyle name="Currency 2 4 4 10" xfId="22586"/>
    <cellStyle name="Currency 2 4 4 2" xfId="533"/>
    <cellStyle name="Currency 2 4 4 2 2" xfId="885"/>
    <cellStyle name="Currency 2 4 4 2 2 2" xfId="2384"/>
    <cellStyle name="Currency 2 4 4 2 2 2 2" xfId="24552"/>
    <cellStyle name="Currency 2 4 4 2 2 3" xfId="3883"/>
    <cellStyle name="Currency 2 4 4 2 2 3 2" xfId="26050"/>
    <cellStyle name="Currency 2 4 4 2 2 4" xfId="21556"/>
    <cellStyle name="Currency 2 4 4 2 2 4 2" xfId="37768"/>
    <cellStyle name="Currency 2 4 4 2 2 5" xfId="23054"/>
    <cellStyle name="Currency 2 4 4 2 3" xfId="1236"/>
    <cellStyle name="Currency 2 4 4 2 3 2" xfId="2735"/>
    <cellStyle name="Currency 2 4 4 2 3 2 2" xfId="24903"/>
    <cellStyle name="Currency 2 4 4 2 3 3" xfId="4234"/>
    <cellStyle name="Currency 2 4 4 2 3 3 2" xfId="26401"/>
    <cellStyle name="Currency 2 4 4 2 3 4" xfId="21907"/>
    <cellStyle name="Currency 2 4 4 2 3 4 2" xfId="38119"/>
    <cellStyle name="Currency 2 4 4 2 3 5" xfId="23405"/>
    <cellStyle name="Currency 2 4 4 2 4" xfId="1587"/>
    <cellStyle name="Currency 2 4 4 2 4 2" xfId="3086"/>
    <cellStyle name="Currency 2 4 4 2 4 2 2" xfId="25254"/>
    <cellStyle name="Currency 2 4 4 2 4 3" xfId="4585"/>
    <cellStyle name="Currency 2 4 4 2 4 3 2" xfId="26752"/>
    <cellStyle name="Currency 2 4 4 2 4 4" xfId="22258"/>
    <cellStyle name="Currency 2 4 4 2 4 4 2" xfId="38470"/>
    <cellStyle name="Currency 2 4 4 2 4 5" xfId="23756"/>
    <cellStyle name="Currency 2 4 4 2 5" xfId="2033"/>
    <cellStyle name="Currency 2 4 4 2 5 2" xfId="24201"/>
    <cellStyle name="Currency 2 4 4 2 6" xfId="3532"/>
    <cellStyle name="Currency 2 4 4 2 6 2" xfId="25699"/>
    <cellStyle name="Currency 2 4 4 2 7" xfId="21205"/>
    <cellStyle name="Currency 2 4 4 2 7 2" xfId="37417"/>
    <cellStyle name="Currency 2 4 4 2 8" xfId="22703"/>
    <cellStyle name="Currency 2 4 4 3" xfId="651"/>
    <cellStyle name="Currency 2 4 4 3 2" xfId="1002"/>
    <cellStyle name="Currency 2 4 4 3 2 2" xfId="2501"/>
    <cellStyle name="Currency 2 4 4 3 2 2 2" xfId="24669"/>
    <cellStyle name="Currency 2 4 4 3 2 3" xfId="4000"/>
    <cellStyle name="Currency 2 4 4 3 2 3 2" xfId="26167"/>
    <cellStyle name="Currency 2 4 4 3 2 4" xfId="21673"/>
    <cellStyle name="Currency 2 4 4 3 2 4 2" xfId="37885"/>
    <cellStyle name="Currency 2 4 4 3 2 5" xfId="23171"/>
    <cellStyle name="Currency 2 4 4 3 3" xfId="1353"/>
    <cellStyle name="Currency 2 4 4 3 3 2" xfId="2852"/>
    <cellStyle name="Currency 2 4 4 3 3 2 2" xfId="25020"/>
    <cellStyle name="Currency 2 4 4 3 3 3" xfId="4351"/>
    <cellStyle name="Currency 2 4 4 3 3 3 2" xfId="26518"/>
    <cellStyle name="Currency 2 4 4 3 3 4" xfId="22024"/>
    <cellStyle name="Currency 2 4 4 3 3 4 2" xfId="38236"/>
    <cellStyle name="Currency 2 4 4 3 3 5" xfId="23522"/>
    <cellStyle name="Currency 2 4 4 3 4" xfId="1704"/>
    <cellStyle name="Currency 2 4 4 3 4 2" xfId="3203"/>
    <cellStyle name="Currency 2 4 4 3 4 2 2" xfId="25371"/>
    <cellStyle name="Currency 2 4 4 3 4 3" xfId="4702"/>
    <cellStyle name="Currency 2 4 4 3 4 3 2" xfId="26869"/>
    <cellStyle name="Currency 2 4 4 3 4 4" xfId="22375"/>
    <cellStyle name="Currency 2 4 4 3 4 4 2" xfId="38587"/>
    <cellStyle name="Currency 2 4 4 3 4 5" xfId="23873"/>
    <cellStyle name="Currency 2 4 4 3 5" xfId="2150"/>
    <cellStyle name="Currency 2 4 4 3 5 2" xfId="24318"/>
    <cellStyle name="Currency 2 4 4 3 6" xfId="3649"/>
    <cellStyle name="Currency 2 4 4 3 6 2" xfId="25816"/>
    <cellStyle name="Currency 2 4 4 3 7" xfId="21322"/>
    <cellStyle name="Currency 2 4 4 3 7 2" xfId="37534"/>
    <cellStyle name="Currency 2 4 4 3 8" xfId="22820"/>
    <cellStyle name="Currency 2 4 4 4" xfId="768"/>
    <cellStyle name="Currency 2 4 4 4 2" xfId="2267"/>
    <cellStyle name="Currency 2 4 4 4 2 2" xfId="24435"/>
    <cellStyle name="Currency 2 4 4 4 3" xfId="3766"/>
    <cellStyle name="Currency 2 4 4 4 3 2" xfId="25933"/>
    <cellStyle name="Currency 2 4 4 4 4" xfId="21439"/>
    <cellStyle name="Currency 2 4 4 4 4 2" xfId="37651"/>
    <cellStyle name="Currency 2 4 4 4 5" xfId="22937"/>
    <cellStyle name="Currency 2 4 4 5" xfId="1119"/>
    <cellStyle name="Currency 2 4 4 5 2" xfId="2618"/>
    <cellStyle name="Currency 2 4 4 5 2 2" xfId="24786"/>
    <cellStyle name="Currency 2 4 4 5 3" xfId="4117"/>
    <cellStyle name="Currency 2 4 4 5 3 2" xfId="26284"/>
    <cellStyle name="Currency 2 4 4 5 4" xfId="21790"/>
    <cellStyle name="Currency 2 4 4 5 4 2" xfId="38002"/>
    <cellStyle name="Currency 2 4 4 5 5" xfId="23288"/>
    <cellStyle name="Currency 2 4 4 6" xfId="1470"/>
    <cellStyle name="Currency 2 4 4 6 2" xfId="2969"/>
    <cellStyle name="Currency 2 4 4 6 2 2" xfId="25137"/>
    <cellStyle name="Currency 2 4 4 6 3" xfId="4468"/>
    <cellStyle name="Currency 2 4 4 6 3 2" xfId="26635"/>
    <cellStyle name="Currency 2 4 4 6 4" xfId="22141"/>
    <cellStyle name="Currency 2 4 4 6 4 2" xfId="38353"/>
    <cellStyle name="Currency 2 4 4 6 5" xfId="23639"/>
    <cellStyle name="Currency 2 4 4 7" xfId="1916"/>
    <cellStyle name="Currency 2 4 4 7 2" xfId="24084"/>
    <cellStyle name="Currency 2 4 4 8" xfId="3415"/>
    <cellStyle name="Currency 2 4 4 8 2" xfId="25582"/>
    <cellStyle name="Currency 2 4 4 9" xfId="21088"/>
    <cellStyle name="Currency 2 4 4 9 2" xfId="37300"/>
    <cellStyle name="Currency 2 4 5" xfId="428"/>
    <cellStyle name="Currency 2 4 5 10" xfId="22599"/>
    <cellStyle name="Currency 2 4 5 2" xfId="546"/>
    <cellStyle name="Currency 2 4 5 2 2" xfId="898"/>
    <cellStyle name="Currency 2 4 5 2 2 2" xfId="2397"/>
    <cellStyle name="Currency 2 4 5 2 2 2 2" xfId="24565"/>
    <cellStyle name="Currency 2 4 5 2 2 3" xfId="3896"/>
    <cellStyle name="Currency 2 4 5 2 2 3 2" xfId="26063"/>
    <cellStyle name="Currency 2 4 5 2 2 4" xfId="21569"/>
    <cellStyle name="Currency 2 4 5 2 2 4 2" xfId="37781"/>
    <cellStyle name="Currency 2 4 5 2 2 5" xfId="23067"/>
    <cellStyle name="Currency 2 4 5 2 3" xfId="1249"/>
    <cellStyle name="Currency 2 4 5 2 3 2" xfId="2748"/>
    <cellStyle name="Currency 2 4 5 2 3 2 2" xfId="24916"/>
    <cellStyle name="Currency 2 4 5 2 3 3" xfId="4247"/>
    <cellStyle name="Currency 2 4 5 2 3 3 2" xfId="26414"/>
    <cellStyle name="Currency 2 4 5 2 3 4" xfId="21920"/>
    <cellStyle name="Currency 2 4 5 2 3 4 2" xfId="38132"/>
    <cellStyle name="Currency 2 4 5 2 3 5" xfId="23418"/>
    <cellStyle name="Currency 2 4 5 2 4" xfId="1600"/>
    <cellStyle name="Currency 2 4 5 2 4 2" xfId="3099"/>
    <cellStyle name="Currency 2 4 5 2 4 2 2" xfId="25267"/>
    <cellStyle name="Currency 2 4 5 2 4 3" xfId="4598"/>
    <cellStyle name="Currency 2 4 5 2 4 3 2" xfId="26765"/>
    <cellStyle name="Currency 2 4 5 2 4 4" xfId="22271"/>
    <cellStyle name="Currency 2 4 5 2 4 4 2" xfId="38483"/>
    <cellStyle name="Currency 2 4 5 2 4 5" xfId="23769"/>
    <cellStyle name="Currency 2 4 5 2 5" xfId="2046"/>
    <cellStyle name="Currency 2 4 5 2 5 2" xfId="24214"/>
    <cellStyle name="Currency 2 4 5 2 6" xfId="3545"/>
    <cellStyle name="Currency 2 4 5 2 6 2" xfId="25712"/>
    <cellStyle name="Currency 2 4 5 2 7" xfId="21218"/>
    <cellStyle name="Currency 2 4 5 2 7 2" xfId="37430"/>
    <cellStyle name="Currency 2 4 5 2 8" xfId="22716"/>
    <cellStyle name="Currency 2 4 5 3" xfId="664"/>
    <cellStyle name="Currency 2 4 5 3 2" xfId="1015"/>
    <cellStyle name="Currency 2 4 5 3 2 2" xfId="2514"/>
    <cellStyle name="Currency 2 4 5 3 2 2 2" xfId="24682"/>
    <cellStyle name="Currency 2 4 5 3 2 3" xfId="4013"/>
    <cellStyle name="Currency 2 4 5 3 2 3 2" xfId="26180"/>
    <cellStyle name="Currency 2 4 5 3 2 4" xfId="21686"/>
    <cellStyle name="Currency 2 4 5 3 2 4 2" xfId="37898"/>
    <cellStyle name="Currency 2 4 5 3 2 5" xfId="23184"/>
    <cellStyle name="Currency 2 4 5 3 3" xfId="1366"/>
    <cellStyle name="Currency 2 4 5 3 3 2" xfId="2865"/>
    <cellStyle name="Currency 2 4 5 3 3 2 2" xfId="25033"/>
    <cellStyle name="Currency 2 4 5 3 3 3" xfId="4364"/>
    <cellStyle name="Currency 2 4 5 3 3 3 2" xfId="26531"/>
    <cellStyle name="Currency 2 4 5 3 3 4" xfId="22037"/>
    <cellStyle name="Currency 2 4 5 3 3 4 2" xfId="38249"/>
    <cellStyle name="Currency 2 4 5 3 3 5" xfId="23535"/>
    <cellStyle name="Currency 2 4 5 3 4" xfId="1717"/>
    <cellStyle name="Currency 2 4 5 3 4 2" xfId="3216"/>
    <cellStyle name="Currency 2 4 5 3 4 2 2" xfId="25384"/>
    <cellStyle name="Currency 2 4 5 3 4 3" xfId="4715"/>
    <cellStyle name="Currency 2 4 5 3 4 3 2" xfId="26882"/>
    <cellStyle name="Currency 2 4 5 3 4 4" xfId="22388"/>
    <cellStyle name="Currency 2 4 5 3 4 4 2" xfId="38600"/>
    <cellStyle name="Currency 2 4 5 3 4 5" xfId="23886"/>
    <cellStyle name="Currency 2 4 5 3 5" xfId="2163"/>
    <cellStyle name="Currency 2 4 5 3 5 2" xfId="24331"/>
    <cellStyle name="Currency 2 4 5 3 6" xfId="3662"/>
    <cellStyle name="Currency 2 4 5 3 6 2" xfId="25829"/>
    <cellStyle name="Currency 2 4 5 3 7" xfId="21335"/>
    <cellStyle name="Currency 2 4 5 3 7 2" xfId="37547"/>
    <cellStyle name="Currency 2 4 5 3 8" xfId="22833"/>
    <cellStyle name="Currency 2 4 5 4" xfId="781"/>
    <cellStyle name="Currency 2 4 5 4 2" xfId="2280"/>
    <cellStyle name="Currency 2 4 5 4 2 2" xfId="24448"/>
    <cellStyle name="Currency 2 4 5 4 3" xfId="3779"/>
    <cellStyle name="Currency 2 4 5 4 3 2" xfId="25946"/>
    <cellStyle name="Currency 2 4 5 4 4" xfId="21452"/>
    <cellStyle name="Currency 2 4 5 4 4 2" xfId="37664"/>
    <cellStyle name="Currency 2 4 5 4 5" xfId="22950"/>
    <cellStyle name="Currency 2 4 5 5" xfId="1132"/>
    <cellStyle name="Currency 2 4 5 5 2" xfId="2631"/>
    <cellStyle name="Currency 2 4 5 5 2 2" xfId="24799"/>
    <cellStyle name="Currency 2 4 5 5 3" xfId="4130"/>
    <cellStyle name="Currency 2 4 5 5 3 2" xfId="26297"/>
    <cellStyle name="Currency 2 4 5 5 4" xfId="21803"/>
    <cellStyle name="Currency 2 4 5 5 4 2" xfId="38015"/>
    <cellStyle name="Currency 2 4 5 5 5" xfId="23301"/>
    <cellStyle name="Currency 2 4 5 6" xfId="1483"/>
    <cellStyle name="Currency 2 4 5 6 2" xfId="2982"/>
    <cellStyle name="Currency 2 4 5 6 2 2" xfId="25150"/>
    <cellStyle name="Currency 2 4 5 6 3" xfId="4481"/>
    <cellStyle name="Currency 2 4 5 6 3 2" xfId="26648"/>
    <cellStyle name="Currency 2 4 5 6 4" xfId="22154"/>
    <cellStyle name="Currency 2 4 5 6 4 2" xfId="38366"/>
    <cellStyle name="Currency 2 4 5 6 5" xfId="23652"/>
    <cellStyle name="Currency 2 4 5 7" xfId="1929"/>
    <cellStyle name="Currency 2 4 5 7 2" xfId="24097"/>
    <cellStyle name="Currency 2 4 5 8" xfId="3428"/>
    <cellStyle name="Currency 2 4 5 8 2" xfId="25595"/>
    <cellStyle name="Currency 2 4 5 9" xfId="21101"/>
    <cellStyle name="Currency 2 4 5 9 2" xfId="37313"/>
    <cellStyle name="Currency 2 4 6" xfId="437"/>
    <cellStyle name="Currency 2 4 6 10" xfId="22608"/>
    <cellStyle name="Currency 2 4 6 2" xfId="555"/>
    <cellStyle name="Currency 2 4 6 2 2" xfId="907"/>
    <cellStyle name="Currency 2 4 6 2 2 2" xfId="2406"/>
    <cellStyle name="Currency 2 4 6 2 2 2 2" xfId="24574"/>
    <cellStyle name="Currency 2 4 6 2 2 3" xfId="3905"/>
    <cellStyle name="Currency 2 4 6 2 2 3 2" xfId="26072"/>
    <cellStyle name="Currency 2 4 6 2 2 4" xfId="21578"/>
    <cellStyle name="Currency 2 4 6 2 2 4 2" xfId="37790"/>
    <cellStyle name="Currency 2 4 6 2 2 5" xfId="23076"/>
    <cellStyle name="Currency 2 4 6 2 3" xfId="1258"/>
    <cellStyle name="Currency 2 4 6 2 3 2" xfId="2757"/>
    <cellStyle name="Currency 2 4 6 2 3 2 2" xfId="24925"/>
    <cellStyle name="Currency 2 4 6 2 3 3" xfId="4256"/>
    <cellStyle name="Currency 2 4 6 2 3 3 2" xfId="26423"/>
    <cellStyle name="Currency 2 4 6 2 3 4" xfId="21929"/>
    <cellStyle name="Currency 2 4 6 2 3 4 2" xfId="38141"/>
    <cellStyle name="Currency 2 4 6 2 3 5" xfId="23427"/>
    <cellStyle name="Currency 2 4 6 2 4" xfId="1609"/>
    <cellStyle name="Currency 2 4 6 2 4 2" xfId="3108"/>
    <cellStyle name="Currency 2 4 6 2 4 2 2" xfId="25276"/>
    <cellStyle name="Currency 2 4 6 2 4 3" xfId="4607"/>
    <cellStyle name="Currency 2 4 6 2 4 3 2" xfId="26774"/>
    <cellStyle name="Currency 2 4 6 2 4 4" xfId="22280"/>
    <cellStyle name="Currency 2 4 6 2 4 4 2" xfId="38492"/>
    <cellStyle name="Currency 2 4 6 2 4 5" xfId="23778"/>
    <cellStyle name="Currency 2 4 6 2 5" xfId="2055"/>
    <cellStyle name="Currency 2 4 6 2 5 2" xfId="24223"/>
    <cellStyle name="Currency 2 4 6 2 6" xfId="3554"/>
    <cellStyle name="Currency 2 4 6 2 6 2" xfId="25721"/>
    <cellStyle name="Currency 2 4 6 2 7" xfId="21227"/>
    <cellStyle name="Currency 2 4 6 2 7 2" xfId="37439"/>
    <cellStyle name="Currency 2 4 6 2 8" xfId="22725"/>
    <cellStyle name="Currency 2 4 6 3" xfId="673"/>
    <cellStyle name="Currency 2 4 6 3 2" xfId="1024"/>
    <cellStyle name="Currency 2 4 6 3 2 2" xfId="2523"/>
    <cellStyle name="Currency 2 4 6 3 2 2 2" xfId="24691"/>
    <cellStyle name="Currency 2 4 6 3 2 3" xfId="4022"/>
    <cellStyle name="Currency 2 4 6 3 2 3 2" xfId="26189"/>
    <cellStyle name="Currency 2 4 6 3 2 4" xfId="21695"/>
    <cellStyle name="Currency 2 4 6 3 2 4 2" xfId="37907"/>
    <cellStyle name="Currency 2 4 6 3 2 5" xfId="23193"/>
    <cellStyle name="Currency 2 4 6 3 3" xfId="1375"/>
    <cellStyle name="Currency 2 4 6 3 3 2" xfId="2874"/>
    <cellStyle name="Currency 2 4 6 3 3 2 2" xfId="25042"/>
    <cellStyle name="Currency 2 4 6 3 3 3" xfId="4373"/>
    <cellStyle name="Currency 2 4 6 3 3 3 2" xfId="26540"/>
    <cellStyle name="Currency 2 4 6 3 3 4" xfId="22046"/>
    <cellStyle name="Currency 2 4 6 3 3 4 2" xfId="38258"/>
    <cellStyle name="Currency 2 4 6 3 3 5" xfId="23544"/>
    <cellStyle name="Currency 2 4 6 3 4" xfId="1726"/>
    <cellStyle name="Currency 2 4 6 3 4 2" xfId="3225"/>
    <cellStyle name="Currency 2 4 6 3 4 2 2" xfId="25393"/>
    <cellStyle name="Currency 2 4 6 3 4 3" xfId="4724"/>
    <cellStyle name="Currency 2 4 6 3 4 3 2" xfId="26891"/>
    <cellStyle name="Currency 2 4 6 3 4 4" xfId="22397"/>
    <cellStyle name="Currency 2 4 6 3 4 4 2" xfId="38609"/>
    <cellStyle name="Currency 2 4 6 3 4 5" xfId="23895"/>
    <cellStyle name="Currency 2 4 6 3 5" xfId="2172"/>
    <cellStyle name="Currency 2 4 6 3 5 2" xfId="24340"/>
    <cellStyle name="Currency 2 4 6 3 6" xfId="3671"/>
    <cellStyle name="Currency 2 4 6 3 6 2" xfId="25838"/>
    <cellStyle name="Currency 2 4 6 3 7" xfId="21344"/>
    <cellStyle name="Currency 2 4 6 3 7 2" xfId="37556"/>
    <cellStyle name="Currency 2 4 6 3 8" xfId="22842"/>
    <cellStyle name="Currency 2 4 6 4" xfId="790"/>
    <cellStyle name="Currency 2 4 6 4 2" xfId="2289"/>
    <cellStyle name="Currency 2 4 6 4 2 2" xfId="24457"/>
    <cellStyle name="Currency 2 4 6 4 3" xfId="3788"/>
    <cellStyle name="Currency 2 4 6 4 3 2" xfId="25955"/>
    <cellStyle name="Currency 2 4 6 4 4" xfId="21461"/>
    <cellStyle name="Currency 2 4 6 4 4 2" xfId="37673"/>
    <cellStyle name="Currency 2 4 6 4 5" xfId="22959"/>
    <cellStyle name="Currency 2 4 6 5" xfId="1141"/>
    <cellStyle name="Currency 2 4 6 5 2" xfId="2640"/>
    <cellStyle name="Currency 2 4 6 5 2 2" xfId="24808"/>
    <cellStyle name="Currency 2 4 6 5 3" xfId="4139"/>
    <cellStyle name="Currency 2 4 6 5 3 2" xfId="26306"/>
    <cellStyle name="Currency 2 4 6 5 4" xfId="21812"/>
    <cellStyle name="Currency 2 4 6 5 4 2" xfId="38024"/>
    <cellStyle name="Currency 2 4 6 5 5" xfId="23310"/>
    <cellStyle name="Currency 2 4 6 6" xfId="1492"/>
    <cellStyle name="Currency 2 4 6 6 2" xfId="2991"/>
    <cellStyle name="Currency 2 4 6 6 2 2" xfId="25159"/>
    <cellStyle name="Currency 2 4 6 6 3" xfId="4490"/>
    <cellStyle name="Currency 2 4 6 6 3 2" xfId="26657"/>
    <cellStyle name="Currency 2 4 6 6 4" xfId="22163"/>
    <cellStyle name="Currency 2 4 6 6 4 2" xfId="38375"/>
    <cellStyle name="Currency 2 4 6 6 5" xfId="23661"/>
    <cellStyle name="Currency 2 4 6 7" xfId="1938"/>
    <cellStyle name="Currency 2 4 6 7 2" xfId="24106"/>
    <cellStyle name="Currency 2 4 6 8" xfId="3437"/>
    <cellStyle name="Currency 2 4 6 8 2" xfId="25604"/>
    <cellStyle name="Currency 2 4 6 9" xfId="21110"/>
    <cellStyle name="Currency 2 4 6 9 2" xfId="37322"/>
    <cellStyle name="Currency 2 4 7" xfId="442"/>
    <cellStyle name="Currency 2 4 7 10" xfId="22613"/>
    <cellStyle name="Currency 2 4 7 2" xfId="560"/>
    <cellStyle name="Currency 2 4 7 2 2" xfId="912"/>
    <cellStyle name="Currency 2 4 7 2 2 2" xfId="2411"/>
    <cellStyle name="Currency 2 4 7 2 2 2 2" xfId="24579"/>
    <cellStyle name="Currency 2 4 7 2 2 3" xfId="3910"/>
    <cellStyle name="Currency 2 4 7 2 2 3 2" xfId="26077"/>
    <cellStyle name="Currency 2 4 7 2 2 4" xfId="21583"/>
    <cellStyle name="Currency 2 4 7 2 2 4 2" xfId="37795"/>
    <cellStyle name="Currency 2 4 7 2 2 5" xfId="23081"/>
    <cellStyle name="Currency 2 4 7 2 3" xfId="1263"/>
    <cellStyle name="Currency 2 4 7 2 3 2" xfId="2762"/>
    <cellStyle name="Currency 2 4 7 2 3 2 2" xfId="24930"/>
    <cellStyle name="Currency 2 4 7 2 3 3" xfId="4261"/>
    <cellStyle name="Currency 2 4 7 2 3 3 2" xfId="26428"/>
    <cellStyle name="Currency 2 4 7 2 3 4" xfId="21934"/>
    <cellStyle name="Currency 2 4 7 2 3 4 2" xfId="38146"/>
    <cellStyle name="Currency 2 4 7 2 3 5" xfId="23432"/>
    <cellStyle name="Currency 2 4 7 2 4" xfId="1614"/>
    <cellStyle name="Currency 2 4 7 2 4 2" xfId="3113"/>
    <cellStyle name="Currency 2 4 7 2 4 2 2" xfId="25281"/>
    <cellStyle name="Currency 2 4 7 2 4 3" xfId="4612"/>
    <cellStyle name="Currency 2 4 7 2 4 3 2" xfId="26779"/>
    <cellStyle name="Currency 2 4 7 2 4 4" xfId="22285"/>
    <cellStyle name="Currency 2 4 7 2 4 4 2" xfId="38497"/>
    <cellStyle name="Currency 2 4 7 2 4 5" xfId="23783"/>
    <cellStyle name="Currency 2 4 7 2 5" xfId="2060"/>
    <cellStyle name="Currency 2 4 7 2 5 2" xfId="24228"/>
    <cellStyle name="Currency 2 4 7 2 6" xfId="3559"/>
    <cellStyle name="Currency 2 4 7 2 6 2" xfId="25726"/>
    <cellStyle name="Currency 2 4 7 2 7" xfId="21232"/>
    <cellStyle name="Currency 2 4 7 2 7 2" xfId="37444"/>
    <cellStyle name="Currency 2 4 7 2 8" xfId="22730"/>
    <cellStyle name="Currency 2 4 7 3" xfId="678"/>
    <cellStyle name="Currency 2 4 7 3 2" xfId="1029"/>
    <cellStyle name="Currency 2 4 7 3 2 2" xfId="2528"/>
    <cellStyle name="Currency 2 4 7 3 2 2 2" xfId="24696"/>
    <cellStyle name="Currency 2 4 7 3 2 3" xfId="4027"/>
    <cellStyle name="Currency 2 4 7 3 2 3 2" xfId="26194"/>
    <cellStyle name="Currency 2 4 7 3 2 4" xfId="21700"/>
    <cellStyle name="Currency 2 4 7 3 2 4 2" xfId="37912"/>
    <cellStyle name="Currency 2 4 7 3 2 5" xfId="23198"/>
    <cellStyle name="Currency 2 4 7 3 3" xfId="1380"/>
    <cellStyle name="Currency 2 4 7 3 3 2" xfId="2879"/>
    <cellStyle name="Currency 2 4 7 3 3 2 2" xfId="25047"/>
    <cellStyle name="Currency 2 4 7 3 3 3" xfId="4378"/>
    <cellStyle name="Currency 2 4 7 3 3 3 2" xfId="26545"/>
    <cellStyle name="Currency 2 4 7 3 3 4" xfId="22051"/>
    <cellStyle name="Currency 2 4 7 3 3 4 2" xfId="38263"/>
    <cellStyle name="Currency 2 4 7 3 3 5" xfId="23549"/>
    <cellStyle name="Currency 2 4 7 3 4" xfId="1731"/>
    <cellStyle name="Currency 2 4 7 3 4 2" xfId="3230"/>
    <cellStyle name="Currency 2 4 7 3 4 2 2" xfId="25398"/>
    <cellStyle name="Currency 2 4 7 3 4 3" xfId="4729"/>
    <cellStyle name="Currency 2 4 7 3 4 3 2" xfId="26896"/>
    <cellStyle name="Currency 2 4 7 3 4 4" xfId="22402"/>
    <cellStyle name="Currency 2 4 7 3 4 4 2" xfId="38614"/>
    <cellStyle name="Currency 2 4 7 3 4 5" xfId="23900"/>
    <cellStyle name="Currency 2 4 7 3 5" xfId="2177"/>
    <cellStyle name="Currency 2 4 7 3 5 2" xfId="24345"/>
    <cellStyle name="Currency 2 4 7 3 6" xfId="3676"/>
    <cellStyle name="Currency 2 4 7 3 6 2" xfId="25843"/>
    <cellStyle name="Currency 2 4 7 3 7" xfId="21349"/>
    <cellStyle name="Currency 2 4 7 3 7 2" xfId="37561"/>
    <cellStyle name="Currency 2 4 7 3 8" xfId="22847"/>
    <cellStyle name="Currency 2 4 7 4" xfId="795"/>
    <cellStyle name="Currency 2 4 7 4 2" xfId="2294"/>
    <cellStyle name="Currency 2 4 7 4 2 2" xfId="24462"/>
    <cellStyle name="Currency 2 4 7 4 3" xfId="3793"/>
    <cellStyle name="Currency 2 4 7 4 3 2" xfId="25960"/>
    <cellStyle name="Currency 2 4 7 4 4" xfId="21466"/>
    <cellStyle name="Currency 2 4 7 4 4 2" xfId="37678"/>
    <cellStyle name="Currency 2 4 7 4 5" xfId="22964"/>
    <cellStyle name="Currency 2 4 7 5" xfId="1146"/>
    <cellStyle name="Currency 2 4 7 5 2" xfId="2645"/>
    <cellStyle name="Currency 2 4 7 5 2 2" xfId="24813"/>
    <cellStyle name="Currency 2 4 7 5 3" xfId="4144"/>
    <cellStyle name="Currency 2 4 7 5 3 2" xfId="26311"/>
    <cellStyle name="Currency 2 4 7 5 4" xfId="21817"/>
    <cellStyle name="Currency 2 4 7 5 4 2" xfId="38029"/>
    <cellStyle name="Currency 2 4 7 5 5" xfId="23315"/>
    <cellStyle name="Currency 2 4 7 6" xfId="1497"/>
    <cellStyle name="Currency 2 4 7 6 2" xfId="2996"/>
    <cellStyle name="Currency 2 4 7 6 2 2" xfId="25164"/>
    <cellStyle name="Currency 2 4 7 6 3" xfId="4495"/>
    <cellStyle name="Currency 2 4 7 6 3 2" xfId="26662"/>
    <cellStyle name="Currency 2 4 7 6 4" xfId="22168"/>
    <cellStyle name="Currency 2 4 7 6 4 2" xfId="38380"/>
    <cellStyle name="Currency 2 4 7 6 5" xfId="23666"/>
    <cellStyle name="Currency 2 4 7 7" xfId="1943"/>
    <cellStyle name="Currency 2 4 7 7 2" xfId="24111"/>
    <cellStyle name="Currency 2 4 7 8" xfId="3442"/>
    <cellStyle name="Currency 2 4 7 8 2" xfId="25609"/>
    <cellStyle name="Currency 2 4 7 9" xfId="21115"/>
    <cellStyle name="Currency 2 4 7 9 2" xfId="37327"/>
    <cellStyle name="Currency 2 4 8" xfId="467"/>
    <cellStyle name="Currency 2 4 8 10" xfId="22638"/>
    <cellStyle name="Currency 2 4 8 2" xfId="585"/>
    <cellStyle name="Currency 2 4 8 2 2" xfId="937"/>
    <cellStyle name="Currency 2 4 8 2 2 2" xfId="2436"/>
    <cellStyle name="Currency 2 4 8 2 2 2 2" xfId="24604"/>
    <cellStyle name="Currency 2 4 8 2 2 3" xfId="3935"/>
    <cellStyle name="Currency 2 4 8 2 2 3 2" xfId="26102"/>
    <cellStyle name="Currency 2 4 8 2 2 4" xfId="21608"/>
    <cellStyle name="Currency 2 4 8 2 2 4 2" xfId="37820"/>
    <cellStyle name="Currency 2 4 8 2 2 5" xfId="23106"/>
    <cellStyle name="Currency 2 4 8 2 3" xfId="1288"/>
    <cellStyle name="Currency 2 4 8 2 3 2" xfId="2787"/>
    <cellStyle name="Currency 2 4 8 2 3 2 2" xfId="24955"/>
    <cellStyle name="Currency 2 4 8 2 3 3" xfId="4286"/>
    <cellStyle name="Currency 2 4 8 2 3 3 2" xfId="26453"/>
    <cellStyle name="Currency 2 4 8 2 3 4" xfId="21959"/>
    <cellStyle name="Currency 2 4 8 2 3 4 2" xfId="38171"/>
    <cellStyle name="Currency 2 4 8 2 3 5" xfId="23457"/>
    <cellStyle name="Currency 2 4 8 2 4" xfId="1639"/>
    <cellStyle name="Currency 2 4 8 2 4 2" xfId="3138"/>
    <cellStyle name="Currency 2 4 8 2 4 2 2" xfId="25306"/>
    <cellStyle name="Currency 2 4 8 2 4 3" xfId="4637"/>
    <cellStyle name="Currency 2 4 8 2 4 3 2" xfId="26804"/>
    <cellStyle name="Currency 2 4 8 2 4 4" xfId="22310"/>
    <cellStyle name="Currency 2 4 8 2 4 4 2" xfId="38522"/>
    <cellStyle name="Currency 2 4 8 2 4 5" xfId="23808"/>
    <cellStyle name="Currency 2 4 8 2 5" xfId="2085"/>
    <cellStyle name="Currency 2 4 8 2 5 2" xfId="24253"/>
    <cellStyle name="Currency 2 4 8 2 6" xfId="3584"/>
    <cellStyle name="Currency 2 4 8 2 6 2" xfId="25751"/>
    <cellStyle name="Currency 2 4 8 2 7" xfId="21257"/>
    <cellStyle name="Currency 2 4 8 2 7 2" xfId="37469"/>
    <cellStyle name="Currency 2 4 8 2 8" xfId="22755"/>
    <cellStyle name="Currency 2 4 8 3" xfId="703"/>
    <cellStyle name="Currency 2 4 8 3 2" xfId="1054"/>
    <cellStyle name="Currency 2 4 8 3 2 2" xfId="2553"/>
    <cellStyle name="Currency 2 4 8 3 2 2 2" xfId="24721"/>
    <cellStyle name="Currency 2 4 8 3 2 3" xfId="4052"/>
    <cellStyle name="Currency 2 4 8 3 2 3 2" xfId="26219"/>
    <cellStyle name="Currency 2 4 8 3 2 4" xfId="21725"/>
    <cellStyle name="Currency 2 4 8 3 2 4 2" xfId="37937"/>
    <cellStyle name="Currency 2 4 8 3 2 5" xfId="23223"/>
    <cellStyle name="Currency 2 4 8 3 3" xfId="1405"/>
    <cellStyle name="Currency 2 4 8 3 3 2" xfId="2904"/>
    <cellStyle name="Currency 2 4 8 3 3 2 2" xfId="25072"/>
    <cellStyle name="Currency 2 4 8 3 3 3" xfId="4403"/>
    <cellStyle name="Currency 2 4 8 3 3 3 2" xfId="26570"/>
    <cellStyle name="Currency 2 4 8 3 3 4" xfId="22076"/>
    <cellStyle name="Currency 2 4 8 3 3 4 2" xfId="38288"/>
    <cellStyle name="Currency 2 4 8 3 3 5" xfId="23574"/>
    <cellStyle name="Currency 2 4 8 3 4" xfId="1756"/>
    <cellStyle name="Currency 2 4 8 3 4 2" xfId="3255"/>
    <cellStyle name="Currency 2 4 8 3 4 2 2" xfId="25423"/>
    <cellStyle name="Currency 2 4 8 3 4 3" xfId="4754"/>
    <cellStyle name="Currency 2 4 8 3 4 3 2" xfId="26921"/>
    <cellStyle name="Currency 2 4 8 3 4 4" xfId="22427"/>
    <cellStyle name="Currency 2 4 8 3 4 4 2" xfId="38639"/>
    <cellStyle name="Currency 2 4 8 3 4 5" xfId="23925"/>
    <cellStyle name="Currency 2 4 8 3 5" xfId="2202"/>
    <cellStyle name="Currency 2 4 8 3 5 2" xfId="24370"/>
    <cellStyle name="Currency 2 4 8 3 6" xfId="3701"/>
    <cellStyle name="Currency 2 4 8 3 6 2" xfId="25868"/>
    <cellStyle name="Currency 2 4 8 3 7" xfId="21374"/>
    <cellStyle name="Currency 2 4 8 3 7 2" xfId="37586"/>
    <cellStyle name="Currency 2 4 8 3 8" xfId="22872"/>
    <cellStyle name="Currency 2 4 8 4" xfId="820"/>
    <cellStyle name="Currency 2 4 8 4 2" xfId="2319"/>
    <cellStyle name="Currency 2 4 8 4 2 2" xfId="24487"/>
    <cellStyle name="Currency 2 4 8 4 3" xfId="3818"/>
    <cellStyle name="Currency 2 4 8 4 3 2" xfId="25985"/>
    <cellStyle name="Currency 2 4 8 4 4" xfId="21491"/>
    <cellStyle name="Currency 2 4 8 4 4 2" xfId="37703"/>
    <cellStyle name="Currency 2 4 8 4 5" xfId="22989"/>
    <cellStyle name="Currency 2 4 8 5" xfId="1171"/>
    <cellStyle name="Currency 2 4 8 5 2" xfId="2670"/>
    <cellStyle name="Currency 2 4 8 5 2 2" xfId="24838"/>
    <cellStyle name="Currency 2 4 8 5 3" xfId="4169"/>
    <cellStyle name="Currency 2 4 8 5 3 2" xfId="26336"/>
    <cellStyle name="Currency 2 4 8 5 4" xfId="21842"/>
    <cellStyle name="Currency 2 4 8 5 4 2" xfId="38054"/>
    <cellStyle name="Currency 2 4 8 5 5" xfId="23340"/>
    <cellStyle name="Currency 2 4 8 6" xfId="1522"/>
    <cellStyle name="Currency 2 4 8 6 2" xfId="3021"/>
    <cellStyle name="Currency 2 4 8 6 2 2" xfId="25189"/>
    <cellStyle name="Currency 2 4 8 6 3" xfId="4520"/>
    <cellStyle name="Currency 2 4 8 6 3 2" xfId="26687"/>
    <cellStyle name="Currency 2 4 8 6 4" xfId="22193"/>
    <cellStyle name="Currency 2 4 8 6 4 2" xfId="38405"/>
    <cellStyle name="Currency 2 4 8 6 5" xfId="23691"/>
    <cellStyle name="Currency 2 4 8 7" xfId="1968"/>
    <cellStyle name="Currency 2 4 8 7 2" xfId="24136"/>
    <cellStyle name="Currency 2 4 8 8" xfId="3467"/>
    <cellStyle name="Currency 2 4 8 8 2" xfId="25634"/>
    <cellStyle name="Currency 2 4 8 9" xfId="21140"/>
    <cellStyle name="Currency 2 4 8 9 2" xfId="37352"/>
    <cellStyle name="Currency 2 4 9" xfId="480"/>
    <cellStyle name="Currency 2 4 9 10" xfId="22651"/>
    <cellStyle name="Currency 2 4 9 2" xfId="598"/>
    <cellStyle name="Currency 2 4 9 2 2" xfId="950"/>
    <cellStyle name="Currency 2 4 9 2 2 2" xfId="2449"/>
    <cellStyle name="Currency 2 4 9 2 2 2 2" xfId="24617"/>
    <cellStyle name="Currency 2 4 9 2 2 3" xfId="3948"/>
    <cellStyle name="Currency 2 4 9 2 2 3 2" xfId="26115"/>
    <cellStyle name="Currency 2 4 9 2 2 4" xfId="21621"/>
    <cellStyle name="Currency 2 4 9 2 2 4 2" xfId="37833"/>
    <cellStyle name="Currency 2 4 9 2 2 5" xfId="23119"/>
    <cellStyle name="Currency 2 4 9 2 3" xfId="1301"/>
    <cellStyle name="Currency 2 4 9 2 3 2" xfId="2800"/>
    <cellStyle name="Currency 2 4 9 2 3 2 2" xfId="24968"/>
    <cellStyle name="Currency 2 4 9 2 3 3" xfId="4299"/>
    <cellStyle name="Currency 2 4 9 2 3 3 2" xfId="26466"/>
    <cellStyle name="Currency 2 4 9 2 3 4" xfId="21972"/>
    <cellStyle name="Currency 2 4 9 2 3 4 2" xfId="38184"/>
    <cellStyle name="Currency 2 4 9 2 3 5" xfId="23470"/>
    <cellStyle name="Currency 2 4 9 2 4" xfId="1652"/>
    <cellStyle name="Currency 2 4 9 2 4 2" xfId="3151"/>
    <cellStyle name="Currency 2 4 9 2 4 2 2" xfId="25319"/>
    <cellStyle name="Currency 2 4 9 2 4 3" xfId="4650"/>
    <cellStyle name="Currency 2 4 9 2 4 3 2" xfId="26817"/>
    <cellStyle name="Currency 2 4 9 2 4 4" xfId="22323"/>
    <cellStyle name="Currency 2 4 9 2 4 4 2" xfId="38535"/>
    <cellStyle name="Currency 2 4 9 2 4 5" xfId="23821"/>
    <cellStyle name="Currency 2 4 9 2 5" xfId="2098"/>
    <cellStyle name="Currency 2 4 9 2 5 2" xfId="24266"/>
    <cellStyle name="Currency 2 4 9 2 6" xfId="3597"/>
    <cellStyle name="Currency 2 4 9 2 6 2" xfId="25764"/>
    <cellStyle name="Currency 2 4 9 2 7" xfId="21270"/>
    <cellStyle name="Currency 2 4 9 2 7 2" xfId="37482"/>
    <cellStyle name="Currency 2 4 9 2 8" xfId="22768"/>
    <cellStyle name="Currency 2 4 9 3" xfId="716"/>
    <cellStyle name="Currency 2 4 9 3 2" xfId="1067"/>
    <cellStyle name="Currency 2 4 9 3 2 2" xfId="2566"/>
    <cellStyle name="Currency 2 4 9 3 2 2 2" xfId="24734"/>
    <cellStyle name="Currency 2 4 9 3 2 3" xfId="4065"/>
    <cellStyle name="Currency 2 4 9 3 2 3 2" xfId="26232"/>
    <cellStyle name="Currency 2 4 9 3 2 4" xfId="21738"/>
    <cellStyle name="Currency 2 4 9 3 2 4 2" xfId="37950"/>
    <cellStyle name="Currency 2 4 9 3 2 5" xfId="23236"/>
    <cellStyle name="Currency 2 4 9 3 3" xfId="1418"/>
    <cellStyle name="Currency 2 4 9 3 3 2" xfId="2917"/>
    <cellStyle name="Currency 2 4 9 3 3 2 2" xfId="25085"/>
    <cellStyle name="Currency 2 4 9 3 3 3" xfId="4416"/>
    <cellStyle name="Currency 2 4 9 3 3 3 2" xfId="26583"/>
    <cellStyle name="Currency 2 4 9 3 3 4" xfId="22089"/>
    <cellStyle name="Currency 2 4 9 3 3 4 2" xfId="38301"/>
    <cellStyle name="Currency 2 4 9 3 3 5" xfId="23587"/>
    <cellStyle name="Currency 2 4 9 3 4" xfId="1769"/>
    <cellStyle name="Currency 2 4 9 3 4 2" xfId="3268"/>
    <cellStyle name="Currency 2 4 9 3 4 2 2" xfId="25436"/>
    <cellStyle name="Currency 2 4 9 3 4 3" xfId="4767"/>
    <cellStyle name="Currency 2 4 9 3 4 3 2" xfId="26934"/>
    <cellStyle name="Currency 2 4 9 3 4 4" xfId="22440"/>
    <cellStyle name="Currency 2 4 9 3 4 4 2" xfId="38652"/>
    <cellStyle name="Currency 2 4 9 3 4 5" xfId="23938"/>
    <cellStyle name="Currency 2 4 9 3 5" xfId="2215"/>
    <cellStyle name="Currency 2 4 9 3 5 2" xfId="24383"/>
    <cellStyle name="Currency 2 4 9 3 6" xfId="3714"/>
    <cellStyle name="Currency 2 4 9 3 6 2" xfId="25881"/>
    <cellStyle name="Currency 2 4 9 3 7" xfId="21387"/>
    <cellStyle name="Currency 2 4 9 3 7 2" xfId="37599"/>
    <cellStyle name="Currency 2 4 9 3 8" xfId="22885"/>
    <cellStyle name="Currency 2 4 9 4" xfId="833"/>
    <cellStyle name="Currency 2 4 9 4 2" xfId="2332"/>
    <cellStyle name="Currency 2 4 9 4 2 2" xfId="24500"/>
    <cellStyle name="Currency 2 4 9 4 3" xfId="3831"/>
    <cellStyle name="Currency 2 4 9 4 3 2" xfId="25998"/>
    <cellStyle name="Currency 2 4 9 4 4" xfId="21504"/>
    <cellStyle name="Currency 2 4 9 4 4 2" xfId="37716"/>
    <cellStyle name="Currency 2 4 9 4 5" xfId="23002"/>
    <cellStyle name="Currency 2 4 9 5" xfId="1184"/>
    <cellStyle name="Currency 2 4 9 5 2" xfId="2683"/>
    <cellStyle name="Currency 2 4 9 5 2 2" xfId="24851"/>
    <cellStyle name="Currency 2 4 9 5 3" xfId="4182"/>
    <cellStyle name="Currency 2 4 9 5 3 2" xfId="26349"/>
    <cellStyle name="Currency 2 4 9 5 4" xfId="21855"/>
    <cellStyle name="Currency 2 4 9 5 4 2" xfId="38067"/>
    <cellStyle name="Currency 2 4 9 5 5" xfId="23353"/>
    <cellStyle name="Currency 2 4 9 6" xfId="1535"/>
    <cellStyle name="Currency 2 4 9 6 2" xfId="3034"/>
    <cellStyle name="Currency 2 4 9 6 2 2" xfId="25202"/>
    <cellStyle name="Currency 2 4 9 6 3" xfId="4533"/>
    <cellStyle name="Currency 2 4 9 6 3 2" xfId="26700"/>
    <cellStyle name="Currency 2 4 9 6 4" xfId="22206"/>
    <cellStyle name="Currency 2 4 9 6 4 2" xfId="38418"/>
    <cellStyle name="Currency 2 4 9 6 5" xfId="23704"/>
    <cellStyle name="Currency 2 4 9 7" xfId="1981"/>
    <cellStyle name="Currency 2 4 9 7 2" xfId="24149"/>
    <cellStyle name="Currency 2 4 9 8" xfId="3480"/>
    <cellStyle name="Currency 2 4 9 8 2" xfId="25647"/>
    <cellStyle name="Currency 2 4 9 9" xfId="21153"/>
    <cellStyle name="Currency 2 4 9 9 2" xfId="37365"/>
    <cellStyle name="Currency 2 5" xfId="104"/>
    <cellStyle name="Currency 2 5 2" xfId="105"/>
    <cellStyle name="Currency 2 5 2 2" xfId="30513"/>
    <cellStyle name="Currency 2 5 3" xfId="38949"/>
    <cellStyle name="Currency 2 5 4" xfId="14226"/>
    <cellStyle name="Currency 2 6" xfId="106"/>
    <cellStyle name="Currency 2 6 2" xfId="107"/>
    <cellStyle name="Currency 2 6 2 2" xfId="37198"/>
    <cellStyle name="Currency 2 6 3" xfId="39075"/>
    <cellStyle name="Currency 2 6 4" xfId="20980"/>
    <cellStyle name="Currency 2 7" xfId="108"/>
    <cellStyle name="Currency 2 7 2" xfId="37201"/>
    <cellStyle name="Currency 2 7 3" xfId="39223"/>
    <cellStyle name="Currency 2 7 4" xfId="20986"/>
    <cellStyle name="Currency 2 8" xfId="14204"/>
    <cellStyle name="Currency 2 8 2" xfId="30510"/>
    <cellStyle name="Currency 2 8 3" xfId="39372"/>
    <cellStyle name="Currency 20" xfId="14258"/>
    <cellStyle name="Currency 20 2" xfId="8017"/>
    <cellStyle name="Currency 20 2 2" xfId="12292"/>
    <cellStyle name="Currency 21" xfId="14259"/>
    <cellStyle name="Currency 21 2" xfId="8018"/>
    <cellStyle name="Currency 21 2 2" xfId="12293"/>
    <cellStyle name="Currency 22" xfId="14260"/>
    <cellStyle name="Currency 22 2" xfId="8019"/>
    <cellStyle name="Currency 22 2 2" xfId="12294"/>
    <cellStyle name="Currency 23" xfId="14261"/>
    <cellStyle name="Currency 23 2" xfId="5342"/>
    <cellStyle name="Currency 23 2 2" xfId="12295"/>
    <cellStyle name="Currency 23 3" xfId="5343"/>
    <cellStyle name="Currency 23 3 2" xfId="12296"/>
    <cellStyle name="Currency 23 4" xfId="5344"/>
    <cellStyle name="Currency 23 4 2" xfId="12297"/>
    <cellStyle name="Currency 23 5" xfId="5345"/>
    <cellStyle name="Currency 23 5 2" xfId="12298"/>
    <cellStyle name="Currency 24" xfId="14262"/>
    <cellStyle name="Currency 24 2" xfId="5346"/>
    <cellStyle name="Currency 24 2 2" xfId="12299"/>
    <cellStyle name="Currency 24 3" xfId="5347"/>
    <cellStyle name="Currency 24 3 2" xfId="12300"/>
    <cellStyle name="Currency 25" xfId="14263"/>
    <cellStyle name="Currency 25 2" xfId="5348"/>
    <cellStyle name="Currency 25 2 2" xfId="12301"/>
    <cellStyle name="Currency 25 3" xfId="5349"/>
    <cellStyle name="Currency 25 3 2" xfId="12302"/>
    <cellStyle name="Currency 26" xfId="14264"/>
    <cellStyle name="Currency 26 2" xfId="4942"/>
    <cellStyle name="Currency 26 2 10" xfId="5350"/>
    <cellStyle name="Currency 26 2 10 2" xfId="4941"/>
    <cellStyle name="Currency 26 2 11" xfId="5351"/>
    <cellStyle name="Currency 26 2 11 2" xfId="12304"/>
    <cellStyle name="Currency 26 2 12" xfId="5352"/>
    <cellStyle name="Currency 26 2 12 2" xfId="12305"/>
    <cellStyle name="Currency 26 2 13" xfId="5353"/>
    <cellStyle name="Currency 26 2 13 2" xfId="12306"/>
    <cellStyle name="Currency 26 2 14" xfId="5354"/>
    <cellStyle name="Currency 26 2 14 2" xfId="12307"/>
    <cellStyle name="Currency 26 2 15" xfId="5355"/>
    <cellStyle name="Currency 26 2 15 2" xfId="12308"/>
    <cellStyle name="Currency 26 2 16" xfId="5356"/>
    <cellStyle name="Currency 26 2 16 2" xfId="12309"/>
    <cellStyle name="Currency 26 2 17" xfId="5357"/>
    <cellStyle name="Currency 26 2 17 2" xfId="12310"/>
    <cellStyle name="Currency 26 2 18" xfId="5358"/>
    <cellStyle name="Currency 26 2 18 2" xfId="12311"/>
    <cellStyle name="Currency 26 2 19" xfId="12303"/>
    <cellStyle name="Currency 26 2 2" xfId="5359"/>
    <cellStyle name="Currency 26 2 2 2" xfId="12312"/>
    <cellStyle name="Currency 26 2 3" xfId="5360"/>
    <cellStyle name="Currency 26 2 3 2" xfId="12313"/>
    <cellStyle name="Currency 26 2 4" xfId="5361"/>
    <cellStyle name="Currency 26 2 4 2" xfId="12314"/>
    <cellStyle name="Currency 26 2 5" xfId="5362"/>
    <cellStyle name="Currency 26 2 5 2" xfId="12315"/>
    <cellStyle name="Currency 26 2 6" xfId="5363"/>
    <cellStyle name="Currency 26 2 6 2" xfId="12316"/>
    <cellStyle name="Currency 26 2 7" xfId="5364"/>
    <cellStyle name="Currency 26 2 7 2" xfId="12317"/>
    <cellStyle name="Currency 26 2 8" xfId="5365"/>
    <cellStyle name="Currency 26 2 8 2" xfId="12318"/>
    <cellStyle name="Currency 26 2 9" xfId="5366"/>
    <cellStyle name="Currency 26 2 9 2" xfId="12319"/>
    <cellStyle name="Currency 26 3" xfId="5367"/>
    <cellStyle name="Currency 26 3 10" xfId="5368"/>
    <cellStyle name="Currency 26 3 10 2" xfId="12321"/>
    <cellStyle name="Currency 26 3 11" xfId="5369"/>
    <cellStyle name="Currency 26 3 11 2" xfId="12322"/>
    <cellStyle name="Currency 26 3 12" xfId="5370"/>
    <cellStyle name="Currency 26 3 12 2" xfId="12323"/>
    <cellStyle name="Currency 26 3 13" xfId="5371"/>
    <cellStyle name="Currency 26 3 13 2" xfId="12324"/>
    <cellStyle name="Currency 26 3 14" xfId="5372"/>
    <cellStyle name="Currency 26 3 14 2" xfId="12325"/>
    <cellStyle name="Currency 26 3 15" xfId="5373"/>
    <cellStyle name="Currency 26 3 15 2" xfId="12326"/>
    <cellStyle name="Currency 26 3 16" xfId="5374"/>
    <cellStyle name="Currency 26 3 16 2" xfId="12327"/>
    <cellStyle name="Currency 26 3 17" xfId="5375"/>
    <cellStyle name="Currency 26 3 17 2" xfId="12328"/>
    <cellStyle name="Currency 26 3 18" xfId="5376"/>
    <cellStyle name="Currency 26 3 18 2" xfId="12329"/>
    <cellStyle name="Currency 26 3 19" xfId="12320"/>
    <cellStyle name="Currency 26 3 2" xfId="5377"/>
    <cellStyle name="Currency 26 3 2 2" xfId="12330"/>
    <cellStyle name="Currency 26 3 3" xfId="5378"/>
    <cellStyle name="Currency 26 3 3 2" xfId="12331"/>
    <cellStyle name="Currency 26 3 4" xfId="5379"/>
    <cellStyle name="Currency 26 3 4 2" xfId="12332"/>
    <cellStyle name="Currency 26 3 5" xfId="5380"/>
    <cellStyle name="Currency 26 3 5 2" xfId="12333"/>
    <cellStyle name="Currency 26 3 6" xfId="5381"/>
    <cellStyle name="Currency 26 3 6 2" xfId="12334"/>
    <cellStyle name="Currency 26 3 7" xfId="5382"/>
    <cellStyle name="Currency 26 3 7 2" xfId="12335"/>
    <cellStyle name="Currency 26 3 8" xfId="5383"/>
    <cellStyle name="Currency 26 3 8 2" xfId="12336"/>
    <cellStyle name="Currency 26 3 9" xfId="5384"/>
    <cellStyle name="Currency 26 3 9 2" xfId="12337"/>
    <cellStyle name="Currency 26 4" xfId="5385"/>
    <cellStyle name="Currency 26 4 2" xfId="12338"/>
    <cellStyle name="Currency 27" xfId="14265"/>
    <cellStyle name="Currency 27 2" xfId="5386"/>
    <cellStyle name="Currency 27 2 10" xfId="5387"/>
    <cellStyle name="Currency 27 2 10 2" xfId="12340"/>
    <cellStyle name="Currency 27 2 11" xfId="5388"/>
    <cellStyle name="Currency 27 2 11 2" xfId="12341"/>
    <cellStyle name="Currency 27 2 12" xfId="5389"/>
    <cellStyle name="Currency 27 2 12 2" xfId="12342"/>
    <cellStyle name="Currency 27 2 13" xfId="5390"/>
    <cellStyle name="Currency 27 2 13 2" xfId="12343"/>
    <cellStyle name="Currency 27 2 14" xfId="5391"/>
    <cellStyle name="Currency 27 2 14 2" xfId="12344"/>
    <cellStyle name="Currency 27 2 15" xfId="5392"/>
    <cellStyle name="Currency 27 2 15 2" xfId="12345"/>
    <cellStyle name="Currency 27 2 16" xfId="5393"/>
    <cellStyle name="Currency 27 2 16 2" xfId="12346"/>
    <cellStyle name="Currency 27 2 17" xfId="5394"/>
    <cellStyle name="Currency 27 2 17 2" xfId="12347"/>
    <cellStyle name="Currency 27 2 18" xfId="5395"/>
    <cellStyle name="Currency 27 2 18 2" xfId="12348"/>
    <cellStyle name="Currency 27 2 19" xfId="12339"/>
    <cellStyle name="Currency 27 2 2" xfId="5396"/>
    <cellStyle name="Currency 27 2 2 2" xfId="12349"/>
    <cellStyle name="Currency 27 2 3" xfId="5397"/>
    <cellStyle name="Currency 27 2 3 2" xfId="12350"/>
    <cellStyle name="Currency 27 2 4" xfId="5398"/>
    <cellStyle name="Currency 27 2 4 2" xfId="12351"/>
    <cellStyle name="Currency 27 2 5" xfId="5399"/>
    <cellStyle name="Currency 27 2 5 2" xfId="12352"/>
    <cellStyle name="Currency 27 2 6" xfId="5400"/>
    <cellStyle name="Currency 27 2 6 2" xfId="12353"/>
    <cellStyle name="Currency 27 2 7" xfId="5401"/>
    <cellStyle name="Currency 27 2 7 2" xfId="12354"/>
    <cellStyle name="Currency 27 2 8" xfId="5402"/>
    <cellStyle name="Currency 27 2 8 2" xfId="12355"/>
    <cellStyle name="Currency 27 2 9" xfId="5403"/>
    <cellStyle name="Currency 27 2 9 2" xfId="12356"/>
    <cellStyle name="Currency 27 3" xfId="5404"/>
    <cellStyle name="Currency 27 3 10" xfId="5405"/>
    <cellStyle name="Currency 27 3 10 2" xfId="12358"/>
    <cellStyle name="Currency 27 3 11" xfId="5406"/>
    <cellStyle name="Currency 27 3 11 2" xfId="12359"/>
    <cellStyle name="Currency 27 3 12" xfId="5407"/>
    <cellStyle name="Currency 27 3 12 2" xfId="12360"/>
    <cellStyle name="Currency 27 3 13" xfId="5408"/>
    <cellStyle name="Currency 27 3 13 2" xfId="12361"/>
    <cellStyle name="Currency 27 3 14" xfId="5409"/>
    <cellStyle name="Currency 27 3 14 2" xfId="12362"/>
    <cellStyle name="Currency 27 3 15" xfId="5410"/>
    <cellStyle name="Currency 27 3 15 2" xfId="12363"/>
    <cellStyle name="Currency 27 3 16" xfId="5411"/>
    <cellStyle name="Currency 27 3 16 2" xfId="12364"/>
    <cellStyle name="Currency 27 3 17" xfId="5412"/>
    <cellStyle name="Currency 27 3 17 2" xfId="12365"/>
    <cellStyle name="Currency 27 3 18" xfId="5413"/>
    <cellStyle name="Currency 27 3 18 2" xfId="12366"/>
    <cellStyle name="Currency 27 3 19" xfId="12357"/>
    <cellStyle name="Currency 27 3 2" xfId="5414"/>
    <cellStyle name="Currency 27 3 2 2" xfId="12367"/>
    <cellStyle name="Currency 27 3 3" xfId="5415"/>
    <cellStyle name="Currency 27 3 3 2" xfId="12368"/>
    <cellStyle name="Currency 27 3 4" xfId="5416"/>
    <cellStyle name="Currency 27 3 4 2" xfId="12369"/>
    <cellStyle name="Currency 27 3 5" xfId="5417"/>
    <cellStyle name="Currency 27 3 5 2" xfId="12370"/>
    <cellStyle name="Currency 27 3 6" xfId="5418"/>
    <cellStyle name="Currency 27 3 6 2" xfId="12371"/>
    <cellStyle name="Currency 27 3 7" xfId="5419"/>
    <cellStyle name="Currency 27 3 7 2" xfId="12372"/>
    <cellStyle name="Currency 27 3 8" xfId="5420"/>
    <cellStyle name="Currency 27 3 8 2" xfId="12373"/>
    <cellStyle name="Currency 27 3 9" xfId="5421"/>
    <cellStyle name="Currency 27 3 9 2" xfId="12374"/>
    <cellStyle name="Currency 28" xfId="14266"/>
    <cellStyle name="Currency 28 2" xfId="8020"/>
    <cellStyle name="Currency 28 2 2" xfId="12375"/>
    <cellStyle name="Currency 29" xfId="14267"/>
    <cellStyle name="Currency 29 2" xfId="5422"/>
    <cellStyle name="Currency 29 2 2" xfId="12376"/>
    <cellStyle name="Currency 29 3" xfId="5423"/>
    <cellStyle name="Currency 29 3 2" xfId="12377"/>
    <cellStyle name="Currency 29 4" xfId="5424"/>
    <cellStyle name="Currency 29 4 2" xfId="12378"/>
    <cellStyle name="Currency 29 5" xfId="5425"/>
    <cellStyle name="Currency 29 5 2" xfId="12379"/>
    <cellStyle name="Currency 29 6" xfId="5426"/>
    <cellStyle name="Currency 29 6 2" xfId="12380"/>
    <cellStyle name="Currency 29 7" xfId="5427"/>
    <cellStyle name="Currency 29 7 2" xfId="12381"/>
    <cellStyle name="Currency 29 8" xfId="5428"/>
    <cellStyle name="Currency 29 8 2" xfId="12382"/>
    <cellStyle name="Currency 29 9" xfId="5429"/>
    <cellStyle name="Currency 29 9 2" xfId="12383"/>
    <cellStyle name="Currency 3" xfId="109"/>
    <cellStyle name="Currency 3 2" xfId="110"/>
    <cellStyle name="Currency 3 2 2" xfId="12384"/>
    <cellStyle name="Currency 3 2 3" xfId="8021"/>
    <cellStyle name="Currency 3 3" xfId="111"/>
    <cellStyle name="Currency 3 3 2" xfId="20979"/>
    <cellStyle name="Currency 3 4" xfId="14203"/>
    <cellStyle name="Currency 3 5" xfId="4898"/>
    <cellStyle name="Currency 3 5 2" xfId="27015"/>
    <cellStyle name="Currency 3 6" xfId="374"/>
    <cellStyle name="Currency 30" xfId="14268"/>
    <cellStyle name="Currency 30 2" xfId="8022"/>
    <cellStyle name="Currency 30 2 2" xfId="12385"/>
    <cellStyle name="Currency 31" xfId="14269"/>
    <cellStyle name="Currency 31 2" xfId="8023"/>
    <cellStyle name="Currency 31 2 2" xfId="12386"/>
    <cellStyle name="Currency 32" xfId="14270"/>
    <cellStyle name="Currency 32 2" xfId="5430"/>
    <cellStyle name="Currency 32 2 2" xfId="12387"/>
    <cellStyle name="Currency 33" xfId="14271"/>
    <cellStyle name="Currency 33 2" xfId="5431"/>
    <cellStyle name="Currency 33 2 2" xfId="12388"/>
    <cellStyle name="Currency 34" xfId="14272"/>
    <cellStyle name="Currency 34 2" xfId="8024"/>
    <cellStyle name="Currency 34 2 2" xfId="12389"/>
    <cellStyle name="Currency 35" xfId="14273"/>
    <cellStyle name="Currency 35 2" xfId="5432"/>
    <cellStyle name="Currency 35 2 2" xfId="12390"/>
    <cellStyle name="Currency 35 3" xfId="5433"/>
    <cellStyle name="Currency 35 3 2" xfId="12391"/>
    <cellStyle name="Currency 35 4" xfId="5434"/>
    <cellStyle name="Currency 35 4 2" xfId="12392"/>
    <cellStyle name="Currency 35 5" xfId="5435"/>
    <cellStyle name="Currency 35 5 2" xfId="12393"/>
    <cellStyle name="Currency 36" xfId="14274"/>
    <cellStyle name="Currency 36 2" xfId="8025"/>
    <cellStyle name="Currency 36 2 2" xfId="12394"/>
    <cellStyle name="Currency 37" xfId="14275"/>
    <cellStyle name="Currency 37 2" xfId="8026"/>
    <cellStyle name="Currency 37 2 2" xfId="12395"/>
    <cellStyle name="Currency 38" xfId="14276"/>
    <cellStyle name="Currency 38 2" xfId="8027"/>
    <cellStyle name="Currency 38 2 2" xfId="12396"/>
    <cellStyle name="Currency 39" xfId="14277"/>
    <cellStyle name="Currency 39 2" xfId="8028"/>
    <cellStyle name="Currency 39 2 2" xfId="12397"/>
    <cellStyle name="Currency 4" xfId="112"/>
    <cellStyle name="Currency 4 10" xfId="375"/>
    <cellStyle name="Currency 4 2" xfId="113"/>
    <cellStyle name="Currency 4 2 10" xfId="5437"/>
    <cellStyle name="Currency 4 2 10 2" xfId="12398"/>
    <cellStyle name="Currency 4 2 11" xfId="5438"/>
    <cellStyle name="Currency 4 2 11 2" xfId="12399"/>
    <cellStyle name="Currency 4 2 12" xfId="5439"/>
    <cellStyle name="Currency 4 2 12 2" xfId="12400"/>
    <cellStyle name="Currency 4 2 13" xfId="5440"/>
    <cellStyle name="Currency 4 2 13 2" xfId="12401"/>
    <cellStyle name="Currency 4 2 14" xfId="5441"/>
    <cellStyle name="Currency 4 2 14 2" xfId="12402"/>
    <cellStyle name="Currency 4 2 15" xfId="5442"/>
    <cellStyle name="Currency 4 2 15 2" xfId="12403"/>
    <cellStyle name="Currency 4 2 16" xfId="5443"/>
    <cellStyle name="Currency 4 2 16 2" xfId="12404"/>
    <cellStyle name="Currency 4 2 17" xfId="5444"/>
    <cellStyle name="Currency 4 2 17 2" xfId="12405"/>
    <cellStyle name="Currency 4 2 18" xfId="5445"/>
    <cellStyle name="Currency 4 2 18 2" xfId="12406"/>
    <cellStyle name="Currency 4 2 19" xfId="5446"/>
    <cellStyle name="Currency 4 2 19 2" xfId="12407"/>
    <cellStyle name="Currency 4 2 2" xfId="4954"/>
    <cellStyle name="Currency 4 2 2 2" xfId="5447"/>
    <cellStyle name="Currency 4 2 20" xfId="5448"/>
    <cellStyle name="Currency 4 2 20 2" xfId="12408"/>
    <cellStyle name="Currency 4 2 21" xfId="5449"/>
    <cellStyle name="Currency 4 2 21 2" xfId="12409"/>
    <cellStyle name="Currency 4 2 22" xfId="5450"/>
    <cellStyle name="Currency 4 2 22 2" xfId="12410"/>
    <cellStyle name="Currency 4 2 23" xfId="5451"/>
    <cellStyle name="Currency 4 2 23 2" xfId="12411"/>
    <cellStyle name="Currency 4 2 24" xfId="5452"/>
    <cellStyle name="Currency 4 2 24 2" xfId="12412"/>
    <cellStyle name="Currency 4 2 25" xfId="5453"/>
    <cellStyle name="Currency 4 2 25 2" xfId="12413"/>
    <cellStyle name="Currency 4 2 26" xfId="5454"/>
    <cellStyle name="Currency 4 2 26 2" xfId="12414"/>
    <cellStyle name="Currency 4 2 27" xfId="5455"/>
    <cellStyle name="Currency 4 2 27 2" xfId="12415"/>
    <cellStyle name="Currency 4 2 28" xfId="5456"/>
    <cellStyle name="Currency 4 2 28 2" xfId="12416"/>
    <cellStyle name="Currency 4 2 29" xfId="5457"/>
    <cellStyle name="Currency 4 2 29 2" xfId="12417"/>
    <cellStyle name="Currency 4 2 3" xfId="5458"/>
    <cellStyle name="Currency 4 2 3 2" xfId="12418"/>
    <cellStyle name="Currency 4 2 30" xfId="5459"/>
    <cellStyle name="Currency 4 2 30 2" xfId="12419"/>
    <cellStyle name="Currency 4 2 31" xfId="5460"/>
    <cellStyle name="Currency 4 2 31 2" xfId="12420"/>
    <cellStyle name="Currency 4 2 32" xfId="5461"/>
    <cellStyle name="Currency 4 2 32 2" xfId="12421"/>
    <cellStyle name="Currency 4 2 33" xfId="5462"/>
    <cellStyle name="Currency 4 2 33 2" xfId="12422"/>
    <cellStyle name="Currency 4 2 34" xfId="5463"/>
    <cellStyle name="Currency 4 2 34 2" xfId="12423"/>
    <cellStyle name="Currency 4 2 35" xfId="5464"/>
    <cellStyle name="Currency 4 2 35 2" xfId="12424"/>
    <cellStyle name="Currency 4 2 36" xfId="5465"/>
    <cellStyle name="Currency 4 2 36 2" xfId="12425"/>
    <cellStyle name="Currency 4 2 37" xfId="5466"/>
    <cellStyle name="Currency 4 2 37 2" xfId="12426"/>
    <cellStyle name="Currency 4 2 38" xfId="5467"/>
    <cellStyle name="Currency 4 2 38 2" xfId="12427"/>
    <cellStyle name="Currency 4 2 39" xfId="5468"/>
    <cellStyle name="Currency 4 2 39 2" xfId="12428"/>
    <cellStyle name="Currency 4 2 4" xfId="5469"/>
    <cellStyle name="Currency 4 2 4 2" xfId="12429"/>
    <cellStyle name="Currency 4 2 40" xfId="5436"/>
    <cellStyle name="Currency 4 2 41" xfId="4938"/>
    <cellStyle name="Currency 4 2 42" xfId="376"/>
    <cellStyle name="Currency 4 2 5" xfId="5470"/>
    <cellStyle name="Currency 4 2 5 2" xfId="12430"/>
    <cellStyle name="Currency 4 2 6" xfId="5471"/>
    <cellStyle name="Currency 4 2 6 2" xfId="12431"/>
    <cellStyle name="Currency 4 2 7" xfId="5472"/>
    <cellStyle name="Currency 4 2 7 2" xfId="12432"/>
    <cellStyle name="Currency 4 2 8" xfId="5473"/>
    <cellStyle name="Currency 4 2 8 2" xfId="12433"/>
    <cellStyle name="Currency 4 2 9" xfId="5474"/>
    <cellStyle name="Currency 4 2 9 2" xfId="12434"/>
    <cellStyle name="Currency 4 3" xfId="4926"/>
    <cellStyle name="Currency 4 3 10" xfId="5476"/>
    <cellStyle name="Currency 4 3 10 2" xfId="12435"/>
    <cellStyle name="Currency 4 3 11" xfId="5477"/>
    <cellStyle name="Currency 4 3 11 2" xfId="12436"/>
    <cellStyle name="Currency 4 3 12" xfId="5478"/>
    <cellStyle name="Currency 4 3 12 2" xfId="12437"/>
    <cellStyle name="Currency 4 3 13" xfId="5479"/>
    <cellStyle name="Currency 4 3 13 2" xfId="12438"/>
    <cellStyle name="Currency 4 3 14" xfId="5480"/>
    <cellStyle name="Currency 4 3 14 2" xfId="12439"/>
    <cellStyle name="Currency 4 3 15" xfId="5481"/>
    <cellStyle name="Currency 4 3 15 2" xfId="12440"/>
    <cellStyle name="Currency 4 3 16" xfId="5482"/>
    <cellStyle name="Currency 4 3 16 2" xfId="12441"/>
    <cellStyle name="Currency 4 3 17" xfId="5483"/>
    <cellStyle name="Currency 4 3 17 2" xfId="12442"/>
    <cellStyle name="Currency 4 3 18" xfId="5484"/>
    <cellStyle name="Currency 4 3 18 2" xfId="12443"/>
    <cellStyle name="Currency 4 3 19" xfId="5485"/>
    <cellStyle name="Currency 4 3 19 2" xfId="12444"/>
    <cellStyle name="Currency 4 3 2" xfId="4958"/>
    <cellStyle name="Currency 4 3 2 2" xfId="5486"/>
    <cellStyle name="Currency 4 3 20" xfId="5487"/>
    <cellStyle name="Currency 4 3 20 2" xfId="12445"/>
    <cellStyle name="Currency 4 3 21" xfId="5488"/>
    <cellStyle name="Currency 4 3 21 2" xfId="12446"/>
    <cellStyle name="Currency 4 3 22" xfId="5489"/>
    <cellStyle name="Currency 4 3 22 2" xfId="12447"/>
    <cellStyle name="Currency 4 3 23" xfId="5490"/>
    <cellStyle name="Currency 4 3 23 2" xfId="12448"/>
    <cellStyle name="Currency 4 3 24" xfId="5491"/>
    <cellStyle name="Currency 4 3 24 2" xfId="12449"/>
    <cellStyle name="Currency 4 3 25" xfId="5492"/>
    <cellStyle name="Currency 4 3 25 2" xfId="12450"/>
    <cellStyle name="Currency 4 3 26" xfId="5493"/>
    <cellStyle name="Currency 4 3 26 2" xfId="12451"/>
    <cellStyle name="Currency 4 3 27" xfId="5494"/>
    <cellStyle name="Currency 4 3 27 2" xfId="12452"/>
    <cellStyle name="Currency 4 3 28" xfId="5495"/>
    <cellStyle name="Currency 4 3 28 2" xfId="12453"/>
    <cellStyle name="Currency 4 3 29" xfId="5496"/>
    <cellStyle name="Currency 4 3 29 2" xfId="12454"/>
    <cellStyle name="Currency 4 3 3" xfId="5497"/>
    <cellStyle name="Currency 4 3 3 2" xfId="12455"/>
    <cellStyle name="Currency 4 3 30" xfId="5498"/>
    <cellStyle name="Currency 4 3 30 2" xfId="12456"/>
    <cellStyle name="Currency 4 3 31" xfId="5499"/>
    <cellStyle name="Currency 4 3 31 2" xfId="12457"/>
    <cellStyle name="Currency 4 3 32" xfId="5500"/>
    <cellStyle name="Currency 4 3 32 2" xfId="12458"/>
    <cellStyle name="Currency 4 3 33" xfId="5501"/>
    <cellStyle name="Currency 4 3 33 2" xfId="12459"/>
    <cellStyle name="Currency 4 3 34" xfId="5502"/>
    <cellStyle name="Currency 4 3 34 2" xfId="12460"/>
    <cellStyle name="Currency 4 3 35" xfId="5503"/>
    <cellStyle name="Currency 4 3 35 2" xfId="12461"/>
    <cellStyle name="Currency 4 3 36" xfId="5504"/>
    <cellStyle name="Currency 4 3 36 2" xfId="12462"/>
    <cellStyle name="Currency 4 3 37" xfId="5505"/>
    <cellStyle name="Currency 4 3 37 2" xfId="12463"/>
    <cellStyle name="Currency 4 3 38" xfId="5506"/>
    <cellStyle name="Currency 4 3 38 2" xfId="12464"/>
    <cellStyle name="Currency 4 3 39" xfId="5507"/>
    <cellStyle name="Currency 4 3 39 2" xfId="12465"/>
    <cellStyle name="Currency 4 3 4" xfId="5508"/>
    <cellStyle name="Currency 4 3 4 2" xfId="12466"/>
    <cellStyle name="Currency 4 3 40" xfId="5475"/>
    <cellStyle name="Currency 4 3 5" xfId="5509"/>
    <cellStyle name="Currency 4 3 5 2" xfId="12467"/>
    <cellStyle name="Currency 4 3 6" xfId="5510"/>
    <cellStyle name="Currency 4 3 6 2" xfId="12468"/>
    <cellStyle name="Currency 4 3 7" xfId="5511"/>
    <cellStyle name="Currency 4 3 7 2" xfId="12469"/>
    <cellStyle name="Currency 4 3 8" xfId="5512"/>
    <cellStyle name="Currency 4 3 8 2" xfId="12470"/>
    <cellStyle name="Currency 4 3 9" xfId="5513"/>
    <cellStyle name="Currency 4 3 9 2" xfId="12471"/>
    <cellStyle name="Currency 4 4" xfId="5514"/>
    <cellStyle name="Currency 4 4 2" xfId="12472"/>
    <cellStyle name="Currency 4 5" xfId="5515"/>
    <cellStyle name="Currency 4 5 2" xfId="12473"/>
    <cellStyle name="Currency 4 6" xfId="5516"/>
    <cellStyle name="Currency 4 6 2" xfId="12474"/>
    <cellStyle name="Currency 4 7" xfId="5517"/>
    <cellStyle name="Currency 4 7 2" xfId="12475"/>
    <cellStyle name="Currency 4 8" xfId="14225"/>
    <cellStyle name="Currency 4 9" xfId="4897"/>
    <cellStyle name="Currency 40" xfId="14278"/>
    <cellStyle name="Currency 40 2" xfId="8029"/>
    <cellStyle name="Currency 40 2 2" xfId="12476"/>
    <cellStyle name="Currency 41" xfId="14279"/>
    <cellStyle name="Currency 41 2" xfId="8030"/>
    <cellStyle name="Currency 41 2 2" xfId="12477"/>
    <cellStyle name="Currency 42" xfId="14280"/>
    <cellStyle name="Currency 42 2" xfId="8031"/>
    <cellStyle name="Currency 42 2 2" xfId="12478"/>
    <cellStyle name="Currency 43" xfId="14281"/>
    <cellStyle name="Currency 43 10 2" xfId="4929"/>
    <cellStyle name="Currency 43 2" xfId="5518"/>
    <cellStyle name="Currency 43 2 2" xfId="12479"/>
    <cellStyle name="Currency 43 3" xfId="5519"/>
    <cellStyle name="Currency 43 3 2" xfId="12480"/>
    <cellStyle name="Currency 44" xfId="14282"/>
    <cellStyle name="Currency 44 2" xfId="5520"/>
    <cellStyle name="Currency 44 2 2" xfId="12481"/>
    <cellStyle name="Currency 44 3" xfId="5521"/>
    <cellStyle name="Currency 44 3 2" xfId="12482"/>
    <cellStyle name="Currency 45" xfId="14283"/>
    <cellStyle name="Currency 45 2" xfId="5522"/>
    <cellStyle name="Currency 45 2 2" xfId="12483"/>
    <cellStyle name="Currency 45 3" xfId="5523"/>
    <cellStyle name="Currency 45 3 2" xfId="12484"/>
    <cellStyle name="Currency 46" xfId="14284"/>
    <cellStyle name="Currency 46 2" xfId="8032"/>
    <cellStyle name="Currency 46 2 2" xfId="12485"/>
    <cellStyle name="Currency 47" xfId="14285"/>
    <cellStyle name="Currency 47 2" xfId="5524"/>
    <cellStyle name="Currency 47 2 2" xfId="12486"/>
    <cellStyle name="Currency 47 3" xfId="5525"/>
    <cellStyle name="Currency 47 3 2" xfId="12487"/>
    <cellStyle name="Currency 48" xfId="5526"/>
    <cellStyle name="Currency 48 2" xfId="5527"/>
    <cellStyle name="Currency 48 2 2" xfId="5528"/>
    <cellStyle name="Currency 48 2 2 2" xfId="12489"/>
    <cellStyle name="Currency 48 2 3" xfId="5529"/>
    <cellStyle name="Currency 48 2 3 2" xfId="12490"/>
    <cellStyle name="Currency 48 2 4" xfId="12488"/>
    <cellStyle name="Currency 48 3" xfId="5530"/>
    <cellStyle name="Currency 48 3 2" xfId="5531"/>
    <cellStyle name="Currency 48 3 2 2" xfId="12492"/>
    <cellStyle name="Currency 48 3 3" xfId="5532"/>
    <cellStyle name="Currency 48 3 3 2" xfId="12493"/>
    <cellStyle name="Currency 48 3 4" xfId="12491"/>
    <cellStyle name="Currency 48 4" xfId="5533"/>
    <cellStyle name="Currency 48 4 2" xfId="12494"/>
    <cellStyle name="Currency 48 5" xfId="5534"/>
    <cellStyle name="Currency 48 5 2" xfId="5535"/>
    <cellStyle name="Currency 48 5 2 2" xfId="12496"/>
    <cellStyle name="Currency 48 5 3" xfId="12495"/>
    <cellStyle name="Currency 48 6" xfId="5536"/>
    <cellStyle name="Currency 48 6 2" xfId="12497"/>
    <cellStyle name="Currency 49" xfId="4944"/>
    <cellStyle name="Currency 49 2" xfId="8033"/>
    <cellStyle name="Currency 49 2 2" xfId="12498"/>
    <cellStyle name="Currency 5" xfId="114"/>
    <cellStyle name="Currency 5 2" xfId="115"/>
    <cellStyle name="Currency 5 2 2" xfId="12499"/>
    <cellStyle name="Currency 5 2 3" xfId="8034"/>
    <cellStyle name="Currency 5 3" xfId="116"/>
    <cellStyle name="Currency 5 3 2" xfId="4899"/>
    <cellStyle name="Currency 5 4" xfId="377"/>
    <cellStyle name="Currency 50" xfId="14286"/>
    <cellStyle name="Currency 50 2" xfId="8035"/>
    <cellStyle name="Currency 50 2 2" xfId="12500"/>
    <cellStyle name="Currency 51" xfId="14287"/>
    <cellStyle name="Currency 51 2" xfId="8036"/>
    <cellStyle name="Currency 51 2 2" xfId="12501"/>
    <cellStyle name="Currency 52" xfId="14288"/>
    <cellStyle name="Currency 52 2" xfId="5537"/>
    <cellStyle name="Currency 52 2 2" xfId="12502"/>
    <cellStyle name="Currency 53" xfId="14289"/>
    <cellStyle name="Currency 53 2" xfId="8037"/>
    <cellStyle name="Currency 53 2 2" xfId="12503"/>
    <cellStyle name="Currency 54" xfId="14290"/>
    <cellStyle name="Currency 54 2" xfId="8038"/>
    <cellStyle name="Currency 54 2 2" xfId="12504"/>
    <cellStyle name="Currency 55" xfId="14291"/>
    <cellStyle name="Currency 55 2" xfId="8039"/>
    <cellStyle name="Currency 55 2 2" xfId="12505"/>
    <cellStyle name="Currency 56" xfId="14292"/>
    <cellStyle name="Currency 56 2" xfId="8040"/>
    <cellStyle name="Currency 56 2 2" xfId="12506"/>
    <cellStyle name="Currency 57" xfId="5538"/>
    <cellStyle name="Currency 57 2" xfId="8041"/>
    <cellStyle name="Currency 57 3" xfId="8042"/>
    <cellStyle name="Currency 57 3 2" xfId="12507"/>
    <cellStyle name="Currency 58" xfId="5539"/>
    <cellStyle name="Currency 58 2" xfId="5540"/>
    <cellStyle name="Currency 58 2 2" xfId="12509"/>
    <cellStyle name="Currency 58 3" xfId="12508"/>
    <cellStyle name="Currency 59" xfId="5541"/>
    <cellStyle name="Currency 59 2" xfId="5542"/>
    <cellStyle name="Currency 59 2 2" xfId="12511"/>
    <cellStyle name="Currency 59 3" xfId="12510"/>
    <cellStyle name="Currency 6" xfId="117"/>
    <cellStyle name="Currency 6 2" xfId="118"/>
    <cellStyle name="Currency 6 2 2" xfId="12512"/>
    <cellStyle name="Currency 6 2 3" xfId="8043"/>
    <cellStyle name="Currency 6 3" xfId="4900"/>
    <cellStyle name="Currency 60" xfId="5543"/>
    <cellStyle name="Currency 60 2" xfId="5544"/>
    <cellStyle name="Currency 60 3" xfId="8044"/>
    <cellStyle name="Currency 60 3 2" xfId="12513"/>
    <cellStyle name="Currency 61" xfId="5545"/>
    <cellStyle name="Currency 61 2" xfId="5546"/>
    <cellStyle name="Currency 61 2 2" xfId="12515"/>
    <cellStyle name="Currency 61 3" xfId="12514"/>
    <cellStyle name="Currency 62" xfId="5547"/>
    <cellStyle name="Currency 62 2" xfId="5548"/>
    <cellStyle name="Currency 62 2 2" xfId="12517"/>
    <cellStyle name="Currency 62 3" xfId="12516"/>
    <cellStyle name="Currency 63" xfId="4934"/>
    <cellStyle name="Currency 63 2" xfId="5549"/>
    <cellStyle name="Currency 63 2 2" xfId="12519"/>
    <cellStyle name="Currency 63 3" xfId="12518"/>
    <cellStyle name="Currency 64" xfId="5550"/>
    <cellStyle name="Currency 64 2" xfId="5551"/>
    <cellStyle name="Currency 64 2 2" xfId="12521"/>
    <cellStyle name="Currency 64 3" xfId="12520"/>
    <cellStyle name="Currency 65" xfId="5552"/>
    <cellStyle name="Currency 65 2" xfId="5553"/>
    <cellStyle name="Currency 65 2 2" xfId="12523"/>
    <cellStyle name="Currency 65 3" xfId="5554"/>
    <cellStyle name="Currency 65 3 2" xfId="5555"/>
    <cellStyle name="Currency 65 3 2 2" xfId="12525"/>
    <cellStyle name="Currency 65 3 3" xfId="12524"/>
    <cellStyle name="Currency 65 4" xfId="12522"/>
    <cellStyle name="Currency 66" xfId="5556"/>
    <cellStyle name="Currency 66 2" xfId="12526"/>
    <cellStyle name="Currency 67" xfId="5557"/>
    <cellStyle name="Currency 67 2" xfId="5558"/>
    <cellStyle name="Currency 67 2 2" xfId="12528"/>
    <cellStyle name="Currency 67 3" xfId="12527"/>
    <cellStyle name="Currency 68" xfId="8045"/>
    <cellStyle name="Currency 68 2" xfId="12529"/>
    <cellStyle name="Currency 69" xfId="8046"/>
    <cellStyle name="Currency 69 2" xfId="12530"/>
    <cellStyle name="Currency 7" xfId="119"/>
    <cellStyle name="Currency 7 2" xfId="120"/>
    <cellStyle name="Currency 7 2 2" xfId="12531"/>
    <cellStyle name="Currency 7 2 3" xfId="8047"/>
    <cellStyle name="Currency 7 3" xfId="14293"/>
    <cellStyle name="Currency 70" xfId="8048"/>
    <cellStyle name="Currency 70 2" xfId="12532"/>
    <cellStyle name="Currency 71" xfId="8049"/>
    <cellStyle name="Currency 71 2" xfId="12533"/>
    <cellStyle name="Currency 72" xfId="8050"/>
    <cellStyle name="Currency 72 2" xfId="12534"/>
    <cellStyle name="Currency 73" xfId="8051"/>
    <cellStyle name="Currency 73 10 2" xfId="4949"/>
    <cellStyle name="Currency 73 2" xfId="12535"/>
    <cellStyle name="Currency 74" xfId="8052"/>
    <cellStyle name="Currency 74 2" xfId="8053"/>
    <cellStyle name="Currency 74 2 2" xfId="12537"/>
    <cellStyle name="Currency 74 3" xfId="8054"/>
    <cellStyle name="Currency 74 3 2" xfId="12538"/>
    <cellStyle name="Currency 74 4" xfId="12536"/>
    <cellStyle name="Currency 75" xfId="8055"/>
    <cellStyle name="Currency 75 2" xfId="8056"/>
    <cellStyle name="Currency 75 2 2" xfId="12540"/>
    <cellStyle name="Currency 75 3" xfId="8057"/>
    <cellStyle name="Currency 75 3 2" xfId="12541"/>
    <cellStyle name="Currency 75 4" xfId="12539"/>
    <cellStyle name="Currency 76" xfId="8058"/>
    <cellStyle name="Currency 76 2" xfId="8059"/>
    <cellStyle name="Currency 76 2 2" xfId="12543"/>
    <cellStyle name="Currency 76 3" xfId="8060"/>
    <cellStyle name="Currency 76 3 2" xfId="12544"/>
    <cellStyle name="Currency 76 4" xfId="12542"/>
    <cellStyle name="Currency 77" xfId="8061"/>
    <cellStyle name="Currency 77 2" xfId="8062"/>
    <cellStyle name="Currency 77 2 2" xfId="12546"/>
    <cellStyle name="Currency 77 3" xfId="8063"/>
    <cellStyle name="Currency 77 3 2" xfId="12547"/>
    <cellStyle name="Currency 77 4" xfId="12545"/>
    <cellStyle name="Currency 78" xfId="8064"/>
    <cellStyle name="Currency 78 2" xfId="12548"/>
    <cellStyle name="Currency 79" xfId="8065"/>
    <cellStyle name="Currency 79 2" xfId="12549"/>
    <cellStyle name="Currency 8" xfId="121"/>
    <cellStyle name="Currency 8 10" xfId="5560"/>
    <cellStyle name="Currency 8 10 2" xfId="12551"/>
    <cellStyle name="Currency 8 11" xfId="5561"/>
    <cellStyle name="Currency 8 11 2" xfId="12552"/>
    <cellStyle name="Currency 8 12" xfId="5562"/>
    <cellStyle name="Currency 8 12 2" xfId="12553"/>
    <cellStyle name="Currency 8 13" xfId="5563"/>
    <cellStyle name="Currency 8 13 2" xfId="12554"/>
    <cellStyle name="Currency 8 14" xfId="5564"/>
    <cellStyle name="Currency 8 14 2" xfId="12555"/>
    <cellStyle name="Currency 8 15" xfId="5565"/>
    <cellStyle name="Currency 8 15 2" xfId="12556"/>
    <cellStyle name="Currency 8 16" xfId="5566"/>
    <cellStyle name="Currency 8 16 2" xfId="12557"/>
    <cellStyle name="Currency 8 17" xfId="5567"/>
    <cellStyle name="Currency 8 17 2" xfId="12558"/>
    <cellStyle name="Currency 8 18" xfId="5568"/>
    <cellStyle name="Currency 8 18 2" xfId="12559"/>
    <cellStyle name="Currency 8 19" xfId="5569"/>
    <cellStyle name="Currency 8 19 2" xfId="12560"/>
    <cellStyle name="Currency 8 2" xfId="5570"/>
    <cellStyle name="Currency 8 2 2" xfId="12561"/>
    <cellStyle name="Currency 8 20" xfId="5571"/>
    <cellStyle name="Currency 8 20 2" xfId="12562"/>
    <cellStyle name="Currency 8 21" xfId="5572"/>
    <cellStyle name="Currency 8 21 2" xfId="12563"/>
    <cellStyle name="Currency 8 22" xfId="5573"/>
    <cellStyle name="Currency 8 22 2" xfId="12564"/>
    <cellStyle name="Currency 8 23" xfId="5574"/>
    <cellStyle name="Currency 8 23 2" xfId="12565"/>
    <cellStyle name="Currency 8 24" xfId="5575"/>
    <cellStyle name="Currency 8 24 2" xfId="12566"/>
    <cellStyle name="Currency 8 25" xfId="5576"/>
    <cellStyle name="Currency 8 25 2" xfId="12567"/>
    <cellStyle name="Currency 8 26" xfId="5577"/>
    <cellStyle name="Currency 8 26 2" xfId="12568"/>
    <cellStyle name="Currency 8 27" xfId="5578"/>
    <cellStyle name="Currency 8 27 2" xfId="12569"/>
    <cellStyle name="Currency 8 28" xfId="5579"/>
    <cellStyle name="Currency 8 28 2" xfId="12570"/>
    <cellStyle name="Currency 8 29" xfId="5580"/>
    <cellStyle name="Currency 8 29 2" xfId="12571"/>
    <cellStyle name="Currency 8 3" xfId="5581"/>
    <cellStyle name="Currency 8 3 2" xfId="12572"/>
    <cellStyle name="Currency 8 30" xfId="5582"/>
    <cellStyle name="Currency 8 30 2" xfId="12573"/>
    <cellStyle name="Currency 8 31" xfId="5583"/>
    <cellStyle name="Currency 8 31 2" xfId="12574"/>
    <cellStyle name="Currency 8 32" xfId="5584"/>
    <cellStyle name="Currency 8 32 2" xfId="12575"/>
    <cellStyle name="Currency 8 33" xfId="5585"/>
    <cellStyle name="Currency 8 33 2" xfId="12576"/>
    <cellStyle name="Currency 8 34" xfId="5586"/>
    <cellStyle name="Currency 8 34 2" xfId="12577"/>
    <cellStyle name="Currency 8 35" xfId="5587"/>
    <cellStyle name="Currency 8 35 2" xfId="12578"/>
    <cellStyle name="Currency 8 36" xfId="5588"/>
    <cellStyle name="Currency 8 36 2" xfId="12579"/>
    <cellStyle name="Currency 8 37" xfId="5589"/>
    <cellStyle name="Currency 8 37 2" xfId="12580"/>
    <cellStyle name="Currency 8 38" xfId="12550"/>
    <cellStyle name="Currency 8 39" xfId="5559"/>
    <cellStyle name="Currency 8 4" xfId="5590"/>
    <cellStyle name="Currency 8 4 2" xfId="12581"/>
    <cellStyle name="Currency 8 5" xfId="5591"/>
    <cellStyle name="Currency 8 5 2" xfId="12582"/>
    <cellStyle name="Currency 8 6" xfId="5592"/>
    <cellStyle name="Currency 8 6 2" xfId="12583"/>
    <cellStyle name="Currency 8 7" xfId="5593"/>
    <cellStyle name="Currency 8 7 2" xfId="12584"/>
    <cellStyle name="Currency 8 8" xfId="5594"/>
    <cellStyle name="Currency 8 8 2" xfId="12585"/>
    <cellStyle name="Currency 8 9" xfId="5595"/>
    <cellStyle name="Currency 8 9 2" xfId="12586"/>
    <cellStyle name="Currency 80" xfId="8066"/>
    <cellStyle name="Currency 80 2" xfId="12587"/>
    <cellStyle name="Currency 81" xfId="8067"/>
    <cellStyle name="Currency 81 2" xfId="12588"/>
    <cellStyle name="Currency 82" xfId="8068"/>
    <cellStyle name="Currency 82 2" xfId="12589"/>
    <cellStyle name="Currency 83" xfId="8069"/>
    <cellStyle name="Currency 83 2" xfId="12590"/>
    <cellStyle name="Currency 84" xfId="4931"/>
    <cellStyle name="Currency 84 2" xfId="12591"/>
    <cellStyle name="Currency 85" xfId="8070"/>
    <cellStyle name="Currency 85 10" xfId="12592"/>
    <cellStyle name="Currency 85 11" xfId="14325"/>
    <cellStyle name="Currency 85 11 2" xfId="30547"/>
    <cellStyle name="Currency 85 2" xfId="8071"/>
    <cellStyle name="Currency 85 2 10" xfId="14358"/>
    <cellStyle name="Currency 85 2 10 2" xfId="30580"/>
    <cellStyle name="Currency 85 2 2" xfId="8072"/>
    <cellStyle name="Currency 85 2 2 2" xfId="8073"/>
    <cellStyle name="Currency 85 2 2 2 2" xfId="8074"/>
    <cellStyle name="Currency 85 2 2 2 2 2" xfId="8075"/>
    <cellStyle name="Currency 85 2 2 2 2 2 2" xfId="8076"/>
    <cellStyle name="Currency 85 2 2 2 2 2 2 2" xfId="12598"/>
    <cellStyle name="Currency 85 2 2 2 2 2 2 3" xfId="17197"/>
    <cellStyle name="Currency 85 2 2 2 2 2 2 3 2" xfId="33418"/>
    <cellStyle name="Currency 85 2 2 2 2 2 3" xfId="8077"/>
    <cellStyle name="Currency 85 2 2 2 2 2 3 2" xfId="12599"/>
    <cellStyle name="Currency 85 2 2 2 2 2 4" xfId="12597"/>
    <cellStyle name="Currency 85 2 2 2 2 2 5" xfId="15612"/>
    <cellStyle name="Currency 85 2 2 2 2 2 5 2" xfId="31834"/>
    <cellStyle name="Currency 85 2 2 2 2 3" xfId="8078"/>
    <cellStyle name="Currency 85 2 2 2 2 3 2" xfId="12600"/>
    <cellStyle name="Currency 85 2 2 2 2 3 3" xfId="16405"/>
    <cellStyle name="Currency 85 2 2 2 2 3 3 2" xfId="32626"/>
    <cellStyle name="Currency 85 2 2 2 2 4" xfId="8079"/>
    <cellStyle name="Currency 85 2 2 2 2 4 2" xfId="12601"/>
    <cellStyle name="Currency 85 2 2 2 2 5" xfId="12596"/>
    <cellStyle name="Currency 85 2 2 2 2 6" xfId="14820"/>
    <cellStyle name="Currency 85 2 2 2 2 6 2" xfId="31042"/>
    <cellStyle name="Currency 85 2 2 2 3" xfId="8080"/>
    <cellStyle name="Currency 85 2 2 2 3 2" xfId="8081"/>
    <cellStyle name="Currency 85 2 2 2 3 2 2" xfId="8082"/>
    <cellStyle name="Currency 85 2 2 2 3 2 2 2" xfId="12604"/>
    <cellStyle name="Currency 85 2 2 2 3 2 2 3" xfId="17461"/>
    <cellStyle name="Currency 85 2 2 2 3 2 2 3 2" xfId="33682"/>
    <cellStyle name="Currency 85 2 2 2 3 2 3" xfId="8083"/>
    <cellStyle name="Currency 85 2 2 2 3 2 3 2" xfId="12605"/>
    <cellStyle name="Currency 85 2 2 2 3 2 4" xfId="12603"/>
    <cellStyle name="Currency 85 2 2 2 3 2 5" xfId="15876"/>
    <cellStyle name="Currency 85 2 2 2 3 2 5 2" xfId="32098"/>
    <cellStyle name="Currency 85 2 2 2 3 3" xfId="8084"/>
    <cellStyle name="Currency 85 2 2 2 3 3 2" xfId="12606"/>
    <cellStyle name="Currency 85 2 2 2 3 3 3" xfId="16669"/>
    <cellStyle name="Currency 85 2 2 2 3 3 3 2" xfId="32890"/>
    <cellStyle name="Currency 85 2 2 2 3 4" xfId="8085"/>
    <cellStyle name="Currency 85 2 2 2 3 4 2" xfId="12607"/>
    <cellStyle name="Currency 85 2 2 2 3 5" xfId="12602"/>
    <cellStyle name="Currency 85 2 2 2 3 6" xfId="15084"/>
    <cellStyle name="Currency 85 2 2 2 3 6 2" xfId="31306"/>
    <cellStyle name="Currency 85 2 2 2 4" xfId="8086"/>
    <cellStyle name="Currency 85 2 2 2 4 2" xfId="8087"/>
    <cellStyle name="Currency 85 2 2 2 4 2 2" xfId="12609"/>
    <cellStyle name="Currency 85 2 2 2 4 2 3" xfId="16933"/>
    <cellStyle name="Currency 85 2 2 2 4 2 3 2" xfId="33154"/>
    <cellStyle name="Currency 85 2 2 2 4 3" xfId="8088"/>
    <cellStyle name="Currency 85 2 2 2 4 3 2" xfId="12610"/>
    <cellStyle name="Currency 85 2 2 2 4 4" xfId="12608"/>
    <cellStyle name="Currency 85 2 2 2 4 5" xfId="15348"/>
    <cellStyle name="Currency 85 2 2 2 4 5 2" xfId="31570"/>
    <cellStyle name="Currency 85 2 2 2 5" xfId="8089"/>
    <cellStyle name="Currency 85 2 2 2 5 2" xfId="12611"/>
    <cellStyle name="Currency 85 2 2 2 5 3" xfId="16141"/>
    <cellStyle name="Currency 85 2 2 2 5 3 2" xfId="32362"/>
    <cellStyle name="Currency 85 2 2 2 6" xfId="8090"/>
    <cellStyle name="Currency 85 2 2 2 6 2" xfId="12612"/>
    <cellStyle name="Currency 85 2 2 2 7" xfId="12595"/>
    <cellStyle name="Currency 85 2 2 2 8" xfId="14556"/>
    <cellStyle name="Currency 85 2 2 2 8 2" xfId="30778"/>
    <cellStyle name="Currency 85 2 2 3" xfId="8091"/>
    <cellStyle name="Currency 85 2 2 3 2" xfId="8092"/>
    <cellStyle name="Currency 85 2 2 3 2 2" xfId="8093"/>
    <cellStyle name="Currency 85 2 2 3 2 2 2" xfId="12615"/>
    <cellStyle name="Currency 85 2 2 3 2 2 3" xfId="17065"/>
    <cellStyle name="Currency 85 2 2 3 2 2 3 2" xfId="33286"/>
    <cellStyle name="Currency 85 2 2 3 2 3" xfId="8094"/>
    <cellStyle name="Currency 85 2 2 3 2 3 2" xfId="12616"/>
    <cellStyle name="Currency 85 2 2 3 2 4" xfId="12614"/>
    <cellStyle name="Currency 85 2 2 3 2 5" xfId="15480"/>
    <cellStyle name="Currency 85 2 2 3 2 5 2" xfId="31702"/>
    <cellStyle name="Currency 85 2 2 3 3" xfId="8095"/>
    <cellStyle name="Currency 85 2 2 3 3 2" xfId="12617"/>
    <cellStyle name="Currency 85 2 2 3 3 3" xfId="16273"/>
    <cellStyle name="Currency 85 2 2 3 3 3 2" xfId="32494"/>
    <cellStyle name="Currency 85 2 2 3 4" xfId="8096"/>
    <cellStyle name="Currency 85 2 2 3 4 2" xfId="12618"/>
    <cellStyle name="Currency 85 2 2 3 5" xfId="12613"/>
    <cellStyle name="Currency 85 2 2 3 6" xfId="14688"/>
    <cellStyle name="Currency 85 2 2 3 6 2" xfId="30910"/>
    <cellStyle name="Currency 85 2 2 4" xfId="8097"/>
    <cellStyle name="Currency 85 2 2 4 2" xfId="8098"/>
    <cellStyle name="Currency 85 2 2 4 2 2" xfId="8099"/>
    <cellStyle name="Currency 85 2 2 4 2 2 2" xfId="12621"/>
    <cellStyle name="Currency 85 2 2 4 2 2 3" xfId="17329"/>
    <cellStyle name="Currency 85 2 2 4 2 2 3 2" xfId="33550"/>
    <cellStyle name="Currency 85 2 2 4 2 3" xfId="8100"/>
    <cellStyle name="Currency 85 2 2 4 2 3 2" xfId="12622"/>
    <cellStyle name="Currency 85 2 2 4 2 4" xfId="12620"/>
    <cellStyle name="Currency 85 2 2 4 2 5" xfId="15744"/>
    <cellStyle name="Currency 85 2 2 4 2 5 2" xfId="31966"/>
    <cellStyle name="Currency 85 2 2 4 3" xfId="8101"/>
    <cellStyle name="Currency 85 2 2 4 3 2" xfId="12623"/>
    <cellStyle name="Currency 85 2 2 4 3 3" xfId="16537"/>
    <cellStyle name="Currency 85 2 2 4 3 3 2" xfId="32758"/>
    <cellStyle name="Currency 85 2 2 4 4" xfId="8102"/>
    <cellStyle name="Currency 85 2 2 4 4 2" xfId="12624"/>
    <cellStyle name="Currency 85 2 2 4 5" xfId="12619"/>
    <cellStyle name="Currency 85 2 2 4 6" xfId="14952"/>
    <cellStyle name="Currency 85 2 2 4 6 2" xfId="31174"/>
    <cellStyle name="Currency 85 2 2 5" xfId="8103"/>
    <cellStyle name="Currency 85 2 2 5 2" xfId="8104"/>
    <cellStyle name="Currency 85 2 2 5 2 2" xfId="12626"/>
    <cellStyle name="Currency 85 2 2 5 2 3" xfId="16801"/>
    <cellStyle name="Currency 85 2 2 5 2 3 2" xfId="33022"/>
    <cellStyle name="Currency 85 2 2 5 3" xfId="8105"/>
    <cellStyle name="Currency 85 2 2 5 3 2" xfId="12627"/>
    <cellStyle name="Currency 85 2 2 5 4" xfId="12625"/>
    <cellStyle name="Currency 85 2 2 5 5" xfId="15216"/>
    <cellStyle name="Currency 85 2 2 5 5 2" xfId="31438"/>
    <cellStyle name="Currency 85 2 2 6" xfId="8106"/>
    <cellStyle name="Currency 85 2 2 6 2" xfId="12628"/>
    <cellStyle name="Currency 85 2 2 6 3" xfId="16009"/>
    <cellStyle name="Currency 85 2 2 6 3 2" xfId="32230"/>
    <cellStyle name="Currency 85 2 2 7" xfId="8107"/>
    <cellStyle name="Currency 85 2 2 7 2" xfId="12629"/>
    <cellStyle name="Currency 85 2 2 8" xfId="12594"/>
    <cellStyle name="Currency 85 2 2 9" xfId="14424"/>
    <cellStyle name="Currency 85 2 2 9 2" xfId="30646"/>
    <cellStyle name="Currency 85 2 3" xfId="8108"/>
    <cellStyle name="Currency 85 2 3 2" xfId="8109"/>
    <cellStyle name="Currency 85 2 3 2 2" xfId="8110"/>
    <cellStyle name="Currency 85 2 3 2 2 2" xfId="8111"/>
    <cellStyle name="Currency 85 2 3 2 2 2 2" xfId="12633"/>
    <cellStyle name="Currency 85 2 3 2 2 2 3" xfId="17131"/>
    <cellStyle name="Currency 85 2 3 2 2 2 3 2" xfId="33352"/>
    <cellStyle name="Currency 85 2 3 2 2 3" xfId="8112"/>
    <cellStyle name="Currency 85 2 3 2 2 3 2" xfId="12634"/>
    <cellStyle name="Currency 85 2 3 2 2 4" xfId="12632"/>
    <cellStyle name="Currency 85 2 3 2 2 5" xfId="15546"/>
    <cellStyle name="Currency 85 2 3 2 2 5 2" xfId="31768"/>
    <cellStyle name="Currency 85 2 3 2 3" xfId="8113"/>
    <cellStyle name="Currency 85 2 3 2 3 2" xfId="12635"/>
    <cellStyle name="Currency 85 2 3 2 3 3" xfId="16339"/>
    <cellStyle name="Currency 85 2 3 2 3 3 2" xfId="32560"/>
    <cellStyle name="Currency 85 2 3 2 4" xfId="8114"/>
    <cellStyle name="Currency 85 2 3 2 4 2" xfId="12636"/>
    <cellStyle name="Currency 85 2 3 2 5" xfId="12631"/>
    <cellStyle name="Currency 85 2 3 2 6" xfId="14754"/>
    <cellStyle name="Currency 85 2 3 2 6 2" xfId="30976"/>
    <cellStyle name="Currency 85 2 3 3" xfId="8115"/>
    <cellStyle name="Currency 85 2 3 3 2" xfId="8116"/>
    <cellStyle name="Currency 85 2 3 3 2 2" xfId="8117"/>
    <cellStyle name="Currency 85 2 3 3 2 2 2" xfId="12639"/>
    <cellStyle name="Currency 85 2 3 3 2 2 3" xfId="17395"/>
    <cellStyle name="Currency 85 2 3 3 2 2 3 2" xfId="33616"/>
    <cellStyle name="Currency 85 2 3 3 2 3" xfId="8118"/>
    <cellStyle name="Currency 85 2 3 3 2 3 2" xfId="12640"/>
    <cellStyle name="Currency 85 2 3 3 2 4" xfId="12638"/>
    <cellStyle name="Currency 85 2 3 3 2 5" xfId="15810"/>
    <cellStyle name="Currency 85 2 3 3 2 5 2" xfId="32032"/>
    <cellStyle name="Currency 85 2 3 3 3" xfId="8119"/>
    <cellStyle name="Currency 85 2 3 3 3 2" xfId="12641"/>
    <cellStyle name="Currency 85 2 3 3 3 3" xfId="16603"/>
    <cellStyle name="Currency 85 2 3 3 3 3 2" xfId="32824"/>
    <cellStyle name="Currency 85 2 3 3 4" xfId="8120"/>
    <cellStyle name="Currency 85 2 3 3 4 2" xfId="12642"/>
    <cellStyle name="Currency 85 2 3 3 5" xfId="12637"/>
    <cellStyle name="Currency 85 2 3 3 6" xfId="15018"/>
    <cellStyle name="Currency 85 2 3 3 6 2" xfId="31240"/>
    <cellStyle name="Currency 85 2 3 4" xfId="8121"/>
    <cellStyle name="Currency 85 2 3 4 2" xfId="8122"/>
    <cellStyle name="Currency 85 2 3 4 2 2" xfId="12644"/>
    <cellStyle name="Currency 85 2 3 4 2 3" xfId="16867"/>
    <cellStyle name="Currency 85 2 3 4 2 3 2" xfId="33088"/>
    <cellStyle name="Currency 85 2 3 4 3" xfId="8123"/>
    <cellStyle name="Currency 85 2 3 4 3 2" xfId="12645"/>
    <cellStyle name="Currency 85 2 3 4 4" xfId="12643"/>
    <cellStyle name="Currency 85 2 3 4 5" xfId="15282"/>
    <cellStyle name="Currency 85 2 3 4 5 2" xfId="31504"/>
    <cellStyle name="Currency 85 2 3 5" xfId="8124"/>
    <cellStyle name="Currency 85 2 3 5 2" xfId="12646"/>
    <cellStyle name="Currency 85 2 3 5 3" xfId="16075"/>
    <cellStyle name="Currency 85 2 3 5 3 2" xfId="32296"/>
    <cellStyle name="Currency 85 2 3 6" xfId="8125"/>
    <cellStyle name="Currency 85 2 3 6 2" xfId="12647"/>
    <cellStyle name="Currency 85 2 3 7" xfId="12630"/>
    <cellStyle name="Currency 85 2 3 8" xfId="14490"/>
    <cellStyle name="Currency 85 2 3 8 2" xfId="30712"/>
    <cellStyle name="Currency 85 2 4" xfId="8126"/>
    <cellStyle name="Currency 85 2 4 2" xfId="8127"/>
    <cellStyle name="Currency 85 2 4 2 2" xfId="8128"/>
    <cellStyle name="Currency 85 2 4 2 2 2" xfId="12650"/>
    <cellStyle name="Currency 85 2 4 2 2 3" xfId="16999"/>
    <cellStyle name="Currency 85 2 4 2 2 3 2" xfId="33220"/>
    <cellStyle name="Currency 85 2 4 2 3" xfId="8129"/>
    <cellStyle name="Currency 85 2 4 2 3 2" xfId="12651"/>
    <cellStyle name="Currency 85 2 4 2 4" xfId="12649"/>
    <cellStyle name="Currency 85 2 4 2 5" xfId="15414"/>
    <cellStyle name="Currency 85 2 4 2 5 2" xfId="31636"/>
    <cellStyle name="Currency 85 2 4 3" xfId="8130"/>
    <cellStyle name="Currency 85 2 4 3 2" xfId="12652"/>
    <cellStyle name="Currency 85 2 4 3 3" xfId="16207"/>
    <cellStyle name="Currency 85 2 4 3 3 2" xfId="32428"/>
    <cellStyle name="Currency 85 2 4 4" xfId="8131"/>
    <cellStyle name="Currency 85 2 4 4 2" xfId="12653"/>
    <cellStyle name="Currency 85 2 4 5" xfId="12648"/>
    <cellStyle name="Currency 85 2 4 6" xfId="14622"/>
    <cellStyle name="Currency 85 2 4 6 2" xfId="30844"/>
    <cellStyle name="Currency 85 2 5" xfId="8132"/>
    <cellStyle name="Currency 85 2 5 2" xfId="8133"/>
    <cellStyle name="Currency 85 2 5 2 2" xfId="8134"/>
    <cellStyle name="Currency 85 2 5 2 2 2" xfId="12656"/>
    <cellStyle name="Currency 85 2 5 2 2 3" xfId="17263"/>
    <cellStyle name="Currency 85 2 5 2 2 3 2" xfId="33484"/>
    <cellStyle name="Currency 85 2 5 2 3" xfId="8135"/>
    <cellStyle name="Currency 85 2 5 2 3 2" xfId="12657"/>
    <cellStyle name="Currency 85 2 5 2 4" xfId="12655"/>
    <cellStyle name="Currency 85 2 5 2 5" xfId="15678"/>
    <cellStyle name="Currency 85 2 5 2 5 2" xfId="31900"/>
    <cellStyle name="Currency 85 2 5 3" xfId="8136"/>
    <cellStyle name="Currency 85 2 5 3 2" xfId="12658"/>
    <cellStyle name="Currency 85 2 5 3 3" xfId="16471"/>
    <cellStyle name="Currency 85 2 5 3 3 2" xfId="32692"/>
    <cellStyle name="Currency 85 2 5 4" xfId="8137"/>
    <cellStyle name="Currency 85 2 5 4 2" xfId="12659"/>
    <cellStyle name="Currency 85 2 5 5" xfId="12654"/>
    <cellStyle name="Currency 85 2 5 6" xfId="14886"/>
    <cellStyle name="Currency 85 2 5 6 2" xfId="31108"/>
    <cellStyle name="Currency 85 2 6" xfId="8138"/>
    <cellStyle name="Currency 85 2 6 2" xfId="8139"/>
    <cellStyle name="Currency 85 2 6 2 2" xfId="12661"/>
    <cellStyle name="Currency 85 2 6 2 3" xfId="16735"/>
    <cellStyle name="Currency 85 2 6 2 3 2" xfId="32956"/>
    <cellStyle name="Currency 85 2 6 3" xfId="8140"/>
    <cellStyle name="Currency 85 2 6 3 2" xfId="12662"/>
    <cellStyle name="Currency 85 2 6 4" xfId="12660"/>
    <cellStyle name="Currency 85 2 6 5" xfId="15150"/>
    <cellStyle name="Currency 85 2 6 5 2" xfId="31372"/>
    <cellStyle name="Currency 85 2 7" xfId="8141"/>
    <cellStyle name="Currency 85 2 7 2" xfId="12663"/>
    <cellStyle name="Currency 85 2 7 3" xfId="15943"/>
    <cellStyle name="Currency 85 2 7 3 2" xfId="32164"/>
    <cellStyle name="Currency 85 2 8" xfId="8142"/>
    <cellStyle name="Currency 85 2 8 2" xfId="12664"/>
    <cellStyle name="Currency 85 2 9" xfId="12593"/>
    <cellStyle name="Currency 85 3" xfId="8143"/>
    <cellStyle name="Currency 85 3 2" xfId="8144"/>
    <cellStyle name="Currency 85 3 2 2" xfId="8145"/>
    <cellStyle name="Currency 85 3 2 2 2" xfId="8146"/>
    <cellStyle name="Currency 85 3 2 2 2 2" xfId="8147"/>
    <cellStyle name="Currency 85 3 2 2 2 2 2" xfId="12669"/>
    <cellStyle name="Currency 85 3 2 2 2 2 3" xfId="17164"/>
    <cellStyle name="Currency 85 3 2 2 2 2 3 2" xfId="33385"/>
    <cellStyle name="Currency 85 3 2 2 2 3" xfId="8148"/>
    <cellStyle name="Currency 85 3 2 2 2 3 2" xfId="12670"/>
    <cellStyle name="Currency 85 3 2 2 2 4" xfId="12668"/>
    <cellStyle name="Currency 85 3 2 2 2 5" xfId="15579"/>
    <cellStyle name="Currency 85 3 2 2 2 5 2" xfId="31801"/>
    <cellStyle name="Currency 85 3 2 2 3" xfId="8149"/>
    <cellStyle name="Currency 85 3 2 2 3 2" xfId="12671"/>
    <cellStyle name="Currency 85 3 2 2 3 3" xfId="16372"/>
    <cellStyle name="Currency 85 3 2 2 3 3 2" xfId="32593"/>
    <cellStyle name="Currency 85 3 2 2 4" xfId="8150"/>
    <cellStyle name="Currency 85 3 2 2 4 2" xfId="12672"/>
    <cellStyle name="Currency 85 3 2 2 5" xfId="12667"/>
    <cellStyle name="Currency 85 3 2 2 6" xfId="14787"/>
    <cellStyle name="Currency 85 3 2 2 6 2" xfId="31009"/>
    <cellStyle name="Currency 85 3 2 3" xfId="8151"/>
    <cellStyle name="Currency 85 3 2 3 2" xfId="8152"/>
    <cellStyle name="Currency 85 3 2 3 2 2" xfId="8153"/>
    <cellStyle name="Currency 85 3 2 3 2 2 2" xfId="12675"/>
    <cellStyle name="Currency 85 3 2 3 2 2 3" xfId="17428"/>
    <cellStyle name="Currency 85 3 2 3 2 2 3 2" xfId="33649"/>
    <cellStyle name="Currency 85 3 2 3 2 3" xfId="8154"/>
    <cellStyle name="Currency 85 3 2 3 2 3 2" xfId="12676"/>
    <cellStyle name="Currency 85 3 2 3 2 4" xfId="12674"/>
    <cellStyle name="Currency 85 3 2 3 2 5" xfId="15843"/>
    <cellStyle name="Currency 85 3 2 3 2 5 2" xfId="32065"/>
    <cellStyle name="Currency 85 3 2 3 3" xfId="8155"/>
    <cellStyle name="Currency 85 3 2 3 3 2" xfId="12677"/>
    <cellStyle name="Currency 85 3 2 3 3 3" xfId="16636"/>
    <cellStyle name="Currency 85 3 2 3 3 3 2" xfId="32857"/>
    <cellStyle name="Currency 85 3 2 3 4" xfId="8156"/>
    <cellStyle name="Currency 85 3 2 3 4 2" xfId="12678"/>
    <cellStyle name="Currency 85 3 2 3 5" xfId="12673"/>
    <cellStyle name="Currency 85 3 2 3 6" xfId="15051"/>
    <cellStyle name="Currency 85 3 2 3 6 2" xfId="31273"/>
    <cellStyle name="Currency 85 3 2 4" xfId="8157"/>
    <cellStyle name="Currency 85 3 2 4 2" xfId="8158"/>
    <cellStyle name="Currency 85 3 2 4 2 2" xfId="12680"/>
    <cellStyle name="Currency 85 3 2 4 2 3" xfId="16900"/>
    <cellStyle name="Currency 85 3 2 4 2 3 2" xfId="33121"/>
    <cellStyle name="Currency 85 3 2 4 3" xfId="8159"/>
    <cellStyle name="Currency 85 3 2 4 3 2" xfId="12681"/>
    <cellStyle name="Currency 85 3 2 4 4" xfId="12679"/>
    <cellStyle name="Currency 85 3 2 4 5" xfId="15315"/>
    <cellStyle name="Currency 85 3 2 4 5 2" xfId="31537"/>
    <cellStyle name="Currency 85 3 2 5" xfId="8160"/>
    <cellStyle name="Currency 85 3 2 5 2" xfId="12682"/>
    <cellStyle name="Currency 85 3 2 5 3" xfId="16108"/>
    <cellStyle name="Currency 85 3 2 5 3 2" xfId="32329"/>
    <cellStyle name="Currency 85 3 2 6" xfId="8161"/>
    <cellStyle name="Currency 85 3 2 6 2" xfId="12683"/>
    <cellStyle name="Currency 85 3 2 7" xfId="12666"/>
    <cellStyle name="Currency 85 3 2 8" xfId="14523"/>
    <cellStyle name="Currency 85 3 2 8 2" xfId="30745"/>
    <cellStyle name="Currency 85 3 3" xfId="8162"/>
    <cellStyle name="Currency 85 3 3 2" xfId="8163"/>
    <cellStyle name="Currency 85 3 3 2 2" xfId="8164"/>
    <cellStyle name="Currency 85 3 3 2 2 2" xfId="12686"/>
    <cellStyle name="Currency 85 3 3 2 2 3" xfId="17032"/>
    <cellStyle name="Currency 85 3 3 2 2 3 2" xfId="33253"/>
    <cellStyle name="Currency 85 3 3 2 3" xfId="8165"/>
    <cellStyle name="Currency 85 3 3 2 3 2" xfId="12687"/>
    <cellStyle name="Currency 85 3 3 2 4" xfId="12685"/>
    <cellStyle name="Currency 85 3 3 2 5" xfId="15447"/>
    <cellStyle name="Currency 85 3 3 2 5 2" xfId="31669"/>
    <cellStyle name="Currency 85 3 3 3" xfId="8166"/>
    <cellStyle name="Currency 85 3 3 3 2" xfId="12688"/>
    <cellStyle name="Currency 85 3 3 3 3" xfId="16240"/>
    <cellStyle name="Currency 85 3 3 3 3 2" xfId="32461"/>
    <cellStyle name="Currency 85 3 3 4" xfId="8167"/>
    <cellStyle name="Currency 85 3 3 4 2" xfId="12689"/>
    <cellStyle name="Currency 85 3 3 5" xfId="12684"/>
    <cellStyle name="Currency 85 3 3 6" xfId="14655"/>
    <cellStyle name="Currency 85 3 3 6 2" xfId="30877"/>
    <cellStyle name="Currency 85 3 4" xfId="8168"/>
    <cellStyle name="Currency 85 3 4 2" xfId="8169"/>
    <cellStyle name="Currency 85 3 4 2 2" xfId="8170"/>
    <cellStyle name="Currency 85 3 4 2 2 2" xfId="12692"/>
    <cellStyle name="Currency 85 3 4 2 2 3" xfId="17296"/>
    <cellStyle name="Currency 85 3 4 2 2 3 2" xfId="33517"/>
    <cellStyle name="Currency 85 3 4 2 3" xfId="8171"/>
    <cellStyle name="Currency 85 3 4 2 3 2" xfId="12693"/>
    <cellStyle name="Currency 85 3 4 2 4" xfId="12691"/>
    <cellStyle name="Currency 85 3 4 2 5" xfId="15711"/>
    <cellStyle name="Currency 85 3 4 2 5 2" xfId="31933"/>
    <cellStyle name="Currency 85 3 4 3" xfId="8172"/>
    <cellStyle name="Currency 85 3 4 3 2" xfId="12694"/>
    <cellStyle name="Currency 85 3 4 3 3" xfId="16504"/>
    <cellStyle name="Currency 85 3 4 3 3 2" xfId="32725"/>
    <cellStyle name="Currency 85 3 4 4" xfId="8173"/>
    <cellStyle name="Currency 85 3 4 4 2" xfId="12695"/>
    <cellStyle name="Currency 85 3 4 5" xfId="12690"/>
    <cellStyle name="Currency 85 3 4 6" xfId="14919"/>
    <cellStyle name="Currency 85 3 4 6 2" xfId="31141"/>
    <cellStyle name="Currency 85 3 5" xfId="8174"/>
    <cellStyle name="Currency 85 3 5 2" xfId="8175"/>
    <cellStyle name="Currency 85 3 5 2 2" xfId="12697"/>
    <cellStyle name="Currency 85 3 5 2 3" xfId="16768"/>
    <cellStyle name="Currency 85 3 5 2 3 2" xfId="32989"/>
    <cellStyle name="Currency 85 3 5 3" xfId="8176"/>
    <cellStyle name="Currency 85 3 5 3 2" xfId="12698"/>
    <cellStyle name="Currency 85 3 5 4" xfId="12696"/>
    <cellStyle name="Currency 85 3 5 5" xfId="15183"/>
    <cellStyle name="Currency 85 3 5 5 2" xfId="31405"/>
    <cellStyle name="Currency 85 3 6" xfId="8177"/>
    <cellStyle name="Currency 85 3 6 2" xfId="12699"/>
    <cellStyle name="Currency 85 3 6 3" xfId="15976"/>
    <cellStyle name="Currency 85 3 6 3 2" xfId="32197"/>
    <cellStyle name="Currency 85 3 7" xfId="8178"/>
    <cellStyle name="Currency 85 3 7 2" xfId="12700"/>
    <cellStyle name="Currency 85 3 8" xfId="12665"/>
    <cellStyle name="Currency 85 3 9" xfId="14391"/>
    <cellStyle name="Currency 85 3 9 2" xfId="30613"/>
    <cellStyle name="Currency 85 4" xfId="8179"/>
    <cellStyle name="Currency 85 4 2" xfId="8180"/>
    <cellStyle name="Currency 85 4 2 2" xfId="8181"/>
    <cellStyle name="Currency 85 4 2 2 2" xfId="8182"/>
    <cellStyle name="Currency 85 4 2 2 2 2" xfId="12704"/>
    <cellStyle name="Currency 85 4 2 2 2 3" xfId="17098"/>
    <cellStyle name="Currency 85 4 2 2 2 3 2" xfId="33319"/>
    <cellStyle name="Currency 85 4 2 2 3" xfId="8183"/>
    <cellStyle name="Currency 85 4 2 2 3 2" xfId="12705"/>
    <cellStyle name="Currency 85 4 2 2 4" xfId="12703"/>
    <cellStyle name="Currency 85 4 2 2 5" xfId="15513"/>
    <cellStyle name="Currency 85 4 2 2 5 2" xfId="31735"/>
    <cellStyle name="Currency 85 4 2 3" xfId="8184"/>
    <cellStyle name="Currency 85 4 2 3 2" xfId="12706"/>
    <cellStyle name="Currency 85 4 2 3 3" xfId="16306"/>
    <cellStyle name="Currency 85 4 2 3 3 2" xfId="32527"/>
    <cellStyle name="Currency 85 4 2 4" xfId="8185"/>
    <cellStyle name="Currency 85 4 2 4 2" xfId="12707"/>
    <cellStyle name="Currency 85 4 2 5" xfId="12702"/>
    <cellStyle name="Currency 85 4 2 6" xfId="14721"/>
    <cellStyle name="Currency 85 4 2 6 2" xfId="30943"/>
    <cellStyle name="Currency 85 4 3" xfId="8186"/>
    <cellStyle name="Currency 85 4 3 2" xfId="8187"/>
    <cellStyle name="Currency 85 4 3 2 2" xfId="8188"/>
    <cellStyle name="Currency 85 4 3 2 2 2" xfId="12710"/>
    <cellStyle name="Currency 85 4 3 2 2 3" xfId="17362"/>
    <cellStyle name="Currency 85 4 3 2 2 3 2" xfId="33583"/>
    <cellStyle name="Currency 85 4 3 2 3" xfId="8189"/>
    <cellStyle name="Currency 85 4 3 2 3 2" xfId="12711"/>
    <cellStyle name="Currency 85 4 3 2 4" xfId="12709"/>
    <cellStyle name="Currency 85 4 3 2 5" xfId="15777"/>
    <cellStyle name="Currency 85 4 3 2 5 2" xfId="31999"/>
    <cellStyle name="Currency 85 4 3 3" xfId="8190"/>
    <cellStyle name="Currency 85 4 3 3 2" xfId="12712"/>
    <cellStyle name="Currency 85 4 3 3 3" xfId="16570"/>
    <cellStyle name="Currency 85 4 3 3 3 2" xfId="32791"/>
    <cellStyle name="Currency 85 4 3 4" xfId="8191"/>
    <cellStyle name="Currency 85 4 3 4 2" xfId="12713"/>
    <cellStyle name="Currency 85 4 3 5" xfId="12708"/>
    <cellStyle name="Currency 85 4 3 6" xfId="14985"/>
    <cellStyle name="Currency 85 4 3 6 2" xfId="31207"/>
    <cellStyle name="Currency 85 4 4" xfId="8192"/>
    <cellStyle name="Currency 85 4 4 2" xfId="8193"/>
    <cellStyle name="Currency 85 4 4 2 2" xfId="12715"/>
    <cellStyle name="Currency 85 4 4 2 3" xfId="16834"/>
    <cellStyle name="Currency 85 4 4 2 3 2" xfId="33055"/>
    <cellStyle name="Currency 85 4 4 3" xfId="8194"/>
    <cellStyle name="Currency 85 4 4 3 2" xfId="12716"/>
    <cellStyle name="Currency 85 4 4 4" xfId="12714"/>
    <cellStyle name="Currency 85 4 4 5" xfId="15249"/>
    <cellStyle name="Currency 85 4 4 5 2" xfId="31471"/>
    <cellStyle name="Currency 85 4 5" xfId="8195"/>
    <cellStyle name="Currency 85 4 5 2" xfId="12717"/>
    <cellStyle name="Currency 85 4 5 3" xfId="16042"/>
    <cellStyle name="Currency 85 4 5 3 2" xfId="32263"/>
    <cellStyle name="Currency 85 4 6" xfId="8196"/>
    <cellStyle name="Currency 85 4 6 2" xfId="12718"/>
    <cellStyle name="Currency 85 4 7" xfId="12701"/>
    <cellStyle name="Currency 85 4 8" xfId="14457"/>
    <cellStyle name="Currency 85 4 8 2" xfId="30679"/>
    <cellStyle name="Currency 85 5" xfId="8197"/>
    <cellStyle name="Currency 85 5 2" xfId="8198"/>
    <cellStyle name="Currency 85 5 2 2" xfId="8199"/>
    <cellStyle name="Currency 85 5 2 2 2" xfId="12721"/>
    <cellStyle name="Currency 85 5 2 2 3" xfId="16966"/>
    <cellStyle name="Currency 85 5 2 2 3 2" xfId="33187"/>
    <cellStyle name="Currency 85 5 2 3" xfId="8200"/>
    <cellStyle name="Currency 85 5 2 3 2" xfId="12722"/>
    <cellStyle name="Currency 85 5 2 4" xfId="12720"/>
    <cellStyle name="Currency 85 5 2 5" xfId="15381"/>
    <cellStyle name="Currency 85 5 2 5 2" xfId="31603"/>
    <cellStyle name="Currency 85 5 3" xfId="8201"/>
    <cellStyle name="Currency 85 5 3 2" xfId="12723"/>
    <cellStyle name="Currency 85 5 3 3" xfId="16174"/>
    <cellStyle name="Currency 85 5 3 3 2" xfId="32395"/>
    <cellStyle name="Currency 85 5 4" xfId="8202"/>
    <cellStyle name="Currency 85 5 4 2" xfId="12724"/>
    <cellStyle name="Currency 85 5 5" xfId="12719"/>
    <cellStyle name="Currency 85 5 6" xfId="14589"/>
    <cellStyle name="Currency 85 5 6 2" xfId="30811"/>
    <cellStyle name="Currency 85 6" xfId="8203"/>
    <cellStyle name="Currency 85 6 2" xfId="8204"/>
    <cellStyle name="Currency 85 6 2 2" xfId="8205"/>
    <cellStyle name="Currency 85 6 2 2 2" xfId="12727"/>
    <cellStyle name="Currency 85 6 2 2 3" xfId="17230"/>
    <cellStyle name="Currency 85 6 2 2 3 2" xfId="33451"/>
    <cellStyle name="Currency 85 6 2 3" xfId="8206"/>
    <cellStyle name="Currency 85 6 2 3 2" xfId="12728"/>
    <cellStyle name="Currency 85 6 2 4" xfId="12726"/>
    <cellStyle name="Currency 85 6 2 5" xfId="15645"/>
    <cellStyle name="Currency 85 6 2 5 2" xfId="31867"/>
    <cellStyle name="Currency 85 6 3" xfId="8207"/>
    <cellStyle name="Currency 85 6 3 2" xfId="12729"/>
    <cellStyle name="Currency 85 6 3 3" xfId="16438"/>
    <cellStyle name="Currency 85 6 3 3 2" xfId="32659"/>
    <cellStyle name="Currency 85 6 4" xfId="8208"/>
    <cellStyle name="Currency 85 6 4 2" xfId="12730"/>
    <cellStyle name="Currency 85 6 5" xfId="12725"/>
    <cellStyle name="Currency 85 6 6" xfId="14853"/>
    <cellStyle name="Currency 85 6 6 2" xfId="31075"/>
    <cellStyle name="Currency 85 7" xfId="8209"/>
    <cellStyle name="Currency 85 7 2" xfId="8210"/>
    <cellStyle name="Currency 85 7 2 2" xfId="12732"/>
    <cellStyle name="Currency 85 7 2 3" xfId="16702"/>
    <cellStyle name="Currency 85 7 2 3 2" xfId="32923"/>
    <cellStyle name="Currency 85 7 3" xfId="8211"/>
    <cellStyle name="Currency 85 7 3 2" xfId="12733"/>
    <cellStyle name="Currency 85 7 4" xfId="12731"/>
    <cellStyle name="Currency 85 7 5" xfId="15117"/>
    <cellStyle name="Currency 85 7 5 2" xfId="31339"/>
    <cellStyle name="Currency 85 8" xfId="8212"/>
    <cellStyle name="Currency 85 8 2" xfId="12734"/>
    <cellStyle name="Currency 85 8 3" xfId="15910"/>
    <cellStyle name="Currency 85 8 3 2" xfId="32131"/>
    <cellStyle name="Currency 85 9" xfId="8213"/>
    <cellStyle name="Currency 85 9 2" xfId="12735"/>
    <cellStyle name="Currency 86" xfId="8214"/>
    <cellStyle name="Currency 86 2" xfId="12736"/>
    <cellStyle name="Currency 87" xfId="8215"/>
    <cellStyle name="Currency 87 2" xfId="12737"/>
    <cellStyle name="Currency 88" xfId="20985"/>
    <cellStyle name="Currency 9" xfId="14294"/>
    <cellStyle name="Currency 9 2" xfId="8216"/>
    <cellStyle name="Currency 9 2 2" xfId="12738"/>
    <cellStyle name="Currency 90 3 2 2" xfId="4939"/>
    <cellStyle name="Currency0" xfId="122"/>
    <cellStyle name="Currency0 2" xfId="38763"/>
    <cellStyle name="Currency0 3" xfId="273"/>
    <cellStyle name="Date" xfId="123"/>
    <cellStyle name="Date 2" xfId="124"/>
    <cellStyle name="Date 2 2" xfId="125"/>
    <cellStyle name="Date 2 3" xfId="38764"/>
    <cellStyle name="Date 3" xfId="126"/>
    <cellStyle name="Date 3 2" xfId="127"/>
    <cellStyle name="Date 3 3" xfId="128"/>
    <cellStyle name="Date 4" xfId="129"/>
    <cellStyle name="Date 5" xfId="130"/>
    <cellStyle name="Date 5 2" xfId="131"/>
    <cellStyle name="Date 6" xfId="132"/>
    <cellStyle name="Date 6 2" xfId="133"/>
    <cellStyle name="Date 7" xfId="134"/>
    <cellStyle name="Date 8" xfId="274"/>
    <cellStyle name="Explanatory Text" xfId="135" builtinId="53" customBuiltin="1"/>
    <cellStyle name="Explanatory Text 2" xfId="4901"/>
    <cellStyle name="Explanatory Text 2 2" xfId="38795"/>
    <cellStyle name="Explanatory Text 3" xfId="4828"/>
    <cellStyle name="F2" xfId="275"/>
    <cellStyle name="F3" xfId="276"/>
    <cellStyle name="F8" xfId="277"/>
    <cellStyle name="Fixed" xfId="136"/>
    <cellStyle name="Fixed 2" xfId="278"/>
    <cellStyle name="FRxAmtStyle" xfId="137"/>
    <cellStyle name="Good" xfId="138" builtinId="26" customBuiltin="1"/>
    <cellStyle name="Good 2" xfId="4902"/>
    <cellStyle name="Good 2 2" xfId="38796"/>
    <cellStyle name="Good 3" xfId="4821"/>
    <cellStyle name="HEADER" xfId="39613"/>
    <cellStyle name="Heading 1" xfId="139" builtinId="16" customBuiltin="1"/>
    <cellStyle name="Heading 1 2" xfId="4904"/>
    <cellStyle name="Heading 1 2 2" xfId="38952"/>
    <cellStyle name="Heading 1 2 3" xfId="38706"/>
    <cellStyle name="Heading 1 3" xfId="4903"/>
    <cellStyle name="Heading 1 4" xfId="4817"/>
    <cellStyle name="Heading 2" xfId="140" builtinId="17" customBuiltin="1"/>
    <cellStyle name="Heading 2 2" xfId="279"/>
    <cellStyle name="Heading 2 2 2" xfId="4905"/>
    <cellStyle name="Heading 2 3" xfId="280"/>
    <cellStyle name="Heading 2 4" xfId="38707"/>
    <cellStyle name="Heading 2 4 2" xfId="38953"/>
    <cellStyle name="Heading 2 5" xfId="4818"/>
    <cellStyle name="Heading 3" xfId="141" builtinId="18" customBuiltin="1"/>
    <cellStyle name="Heading 3 2" xfId="4906"/>
    <cellStyle name="Heading 3 2 2" xfId="38797"/>
    <cellStyle name="Heading 3 2 3" xfId="39499"/>
    <cellStyle name="Heading 3 3" xfId="4819"/>
    <cellStyle name="Heading 4" xfId="142" builtinId="19" customBuiltin="1"/>
    <cellStyle name="Heading 4 2" xfId="4907"/>
    <cellStyle name="Heading 4 2 2" xfId="38798"/>
    <cellStyle name="Heading 4 3" xfId="4820"/>
    <cellStyle name="HEADING: 1" xfId="39623"/>
    <cellStyle name="HEADING: 2" xfId="39624"/>
    <cellStyle name="HEADING: 3" xfId="39614"/>
    <cellStyle name="Hyperlink 10" xfId="14206"/>
    <cellStyle name="Hyperlink 10 2" xfId="5596"/>
    <cellStyle name="Hyperlink 11" xfId="14207"/>
    <cellStyle name="Hyperlink 11 2" xfId="5597"/>
    <cellStyle name="Hyperlink 12" xfId="14208"/>
    <cellStyle name="Hyperlink 12 2" xfId="5598"/>
    <cellStyle name="Hyperlink 13" xfId="14209"/>
    <cellStyle name="Hyperlink 13 2" xfId="5599"/>
    <cellStyle name="Hyperlink 14" xfId="5600"/>
    <cellStyle name="Hyperlink 15" xfId="5601"/>
    <cellStyle name="Hyperlink 16" xfId="5602"/>
    <cellStyle name="Hyperlink 17" xfId="5603"/>
    <cellStyle name="Hyperlink 18" xfId="5604"/>
    <cellStyle name="Hyperlink 2" xfId="143"/>
    <cellStyle name="Hyperlink 2 2" xfId="5605"/>
    <cellStyle name="Hyperlink 2 3" xfId="14205"/>
    <cellStyle name="Hyperlink 20" xfId="5606"/>
    <cellStyle name="Hyperlink 21" xfId="5607"/>
    <cellStyle name="Hyperlink 3" xfId="14210"/>
    <cellStyle name="Hyperlink 3 2" xfId="5608"/>
    <cellStyle name="Hyperlink 5" xfId="14211"/>
    <cellStyle name="Hyperlink 5 2" xfId="5609"/>
    <cellStyle name="Hyperlink 6" xfId="14212"/>
    <cellStyle name="Hyperlink 6 2" xfId="5610"/>
    <cellStyle name="Hyperlink 7" xfId="14213"/>
    <cellStyle name="Hyperlink 7 2" xfId="5611"/>
    <cellStyle name="Hyperlink 8" xfId="14214"/>
    <cellStyle name="Hyperlink 8 2" xfId="5612"/>
    <cellStyle name="Hyperlink 9" xfId="14215"/>
    <cellStyle name="Hyperlink 9 2" xfId="5613"/>
    <cellStyle name="Input" xfId="144" builtinId="20" customBuiltin="1"/>
    <cellStyle name="Input 2" xfId="4908"/>
    <cellStyle name="Input 2 2" xfId="38799"/>
    <cellStyle name="Input 3" xfId="4824"/>
    <cellStyle name="LABEL Name" xfId="39619"/>
    <cellStyle name="LABEL Note" xfId="39620"/>
    <cellStyle name="LABEL Numbered" xfId="39622"/>
    <cellStyle name="LABEL Units" xfId="39625"/>
    <cellStyle name="Linked Cell" xfId="145" builtinId="24" customBuiltin="1"/>
    <cellStyle name="Linked Cell 2" xfId="4909"/>
    <cellStyle name="Linked Cell 2 2" xfId="38800"/>
    <cellStyle name="Linked Cell 3" xfId="4826"/>
    <cellStyle name="Model Inputs" xfId="39629"/>
    <cellStyle name="Neutral" xfId="146" builtinId="28" customBuiltin="1"/>
    <cellStyle name="Neutral 2" xfId="4910"/>
    <cellStyle name="Neutral 2 2" xfId="38801"/>
    <cellStyle name="Neutral 3" xfId="4823"/>
    <cellStyle name="Normal" xfId="0" builtinId="0"/>
    <cellStyle name="Normal 10" xfId="147"/>
    <cellStyle name="Normal 10 10" xfId="1794"/>
    <cellStyle name="Normal 10 10 2" xfId="3293"/>
    <cellStyle name="Normal 10 10 2 2" xfId="25460"/>
    <cellStyle name="Normal 10 10 3" xfId="4791"/>
    <cellStyle name="Normal 10 10 3 2" xfId="26958"/>
    <cellStyle name="Normal 10 10 4" xfId="22464"/>
    <cellStyle name="Normal 10 10 4 2" xfId="38676"/>
    <cellStyle name="Normal 10 10 5" xfId="23962"/>
    <cellStyle name="Normal 10 11" xfId="1840"/>
    <cellStyle name="Normal 10 11 2" xfId="24008"/>
    <cellStyle name="Normal 10 12" xfId="3339"/>
    <cellStyle name="Normal 10 12 2" xfId="25506"/>
    <cellStyle name="Normal 10 13" xfId="4861"/>
    <cellStyle name="Normal 10 13 2" xfId="26998"/>
    <cellStyle name="Normal 10 14" xfId="21012"/>
    <cellStyle name="Normal 10 14 2" xfId="37224"/>
    <cellStyle name="Normal 10 15" xfId="22510"/>
    <cellStyle name="Normal 10 16" xfId="38766"/>
    <cellStyle name="Normal 10 17" xfId="39501"/>
    <cellStyle name="Normal 10 18" xfId="39560"/>
    <cellStyle name="Normal 10 19" xfId="304"/>
    <cellStyle name="Normal 10 2" xfId="148"/>
    <cellStyle name="Normal 10 2 10" xfId="21163"/>
    <cellStyle name="Normal 10 2 10 2" xfId="37375"/>
    <cellStyle name="Normal 10 2 11" xfId="22661"/>
    <cellStyle name="Normal 10 2 12" xfId="490"/>
    <cellStyle name="Normal 10 2 2" xfId="149"/>
    <cellStyle name="Normal 10 2 2 10" xfId="608"/>
    <cellStyle name="Normal 10 2 2 2" xfId="960"/>
    <cellStyle name="Normal 10 2 2 2 2" xfId="2459"/>
    <cellStyle name="Normal 10 2 2 2 2 2" xfId="24627"/>
    <cellStyle name="Normal 10 2 2 2 3" xfId="3958"/>
    <cellStyle name="Normal 10 2 2 2 3 2" xfId="26125"/>
    <cellStyle name="Normal 10 2 2 2 4" xfId="21631"/>
    <cellStyle name="Normal 10 2 2 2 4 2" xfId="37843"/>
    <cellStyle name="Normal 10 2 2 2 5" xfId="23129"/>
    <cellStyle name="Normal 10 2 2 3" xfId="1311"/>
    <cellStyle name="Normal 10 2 2 3 2" xfId="2810"/>
    <cellStyle name="Normal 10 2 2 3 2 2" xfId="24978"/>
    <cellStyle name="Normal 10 2 2 3 3" xfId="4309"/>
    <cellStyle name="Normal 10 2 2 3 3 2" xfId="26476"/>
    <cellStyle name="Normal 10 2 2 3 4" xfId="21982"/>
    <cellStyle name="Normal 10 2 2 3 4 2" xfId="38194"/>
    <cellStyle name="Normal 10 2 2 3 5" xfId="23480"/>
    <cellStyle name="Normal 10 2 2 4" xfId="1662"/>
    <cellStyle name="Normal 10 2 2 4 2" xfId="3161"/>
    <cellStyle name="Normal 10 2 2 4 2 2" xfId="25329"/>
    <cellStyle name="Normal 10 2 2 4 3" xfId="4660"/>
    <cellStyle name="Normal 10 2 2 4 3 2" xfId="26827"/>
    <cellStyle name="Normal 10 2 2 4 4" xfId="22333"/>
    <cellStyle name="Normal 10 2 2 4 4 2" xfId="38545"/>
    <cellStyle name="Normal 10 2 2 4 5" xfId="23831"/>
    <cellStyle name="Normal 10 2 2 5" xfId="2108"/>
    <cellStyle name="Normal 10 2 2 5 2" xfId="24276"/>
    <cellStyle name="Normal 10 2 2 6" xfId="3607"/>
    <cellStyle name="Normal 10 2 2 6 2" xfId="25774"/>
    <cellStyle name="Normal 10 2 2 7" xfId="12739"/>
    <cellStyle name="Normal 10 2 2 8" xfId="21280"/>
    <cellStyle name="Normal 10 2 2 8 2" xfId="37492"/>
    <cellStyle name="Normal 10 2 2 9" xfId="22778"/>
    <cellStyle name="Normal 10 2 3" xfId="726"/>
    <cellStyle name="Normal 10 2 3 2" xfId="1077"/>
    <cellStyle name="Normal 10 2 3 2 2" xfId="2576"/>
    <cellStyle name="Normal 10 2 3 2 2 2" xfId="24744"/>
    <cellStyle name="Normal 10 2 3 2 3" xfId="4075"/>
    <cellStyle name="Normal 10 2 3 2 3 2" xfId="26242"/>
    <cellStyle name="Normal 10 2 3 2 4" xfId="21748"/>
    <cellStyle name="Normal 10 2 3 2 4 2" xfId="37960"/>
    <cellStyle name="Normal 10 2 3 2 5" xfId="23246"/>
    <cellStyle name="Normal 10 2 3 3" xfId="1428"/>
    <cellStyle name="Normal 10 2 3 3 2" xfId="2927"/>
    <cellStyle name="Normal 10 2 3 3 2 2" xfId="25095"/>
    <cellStyle name="Normal 10 2 3 3 3" xfId="4426"/>
    <cellStyle name="Normal 10 2 3 3 3 2" xfId="26593"/>
    <cellStyle name="Normal 10 2 3 3 4" xfId="22099"/>
    <cellStyle name="Normal 10 2 3 3 4 2" xfId="38311"/>
    <cellStyle name="Normal 10 2 3 3 5" xfId="23597"/>
    <cellStyle name="Normal 10 2 3 4" xfId="1779"/>
    <cellStyle name="Normal 10 2 3 4 2" xfId="3278"/>
    <cellStyle name="Normal 10 2 3 4 2 2" xfId="25446"/>
    <cellStyle name="Normal 10 2 3 4 3" xfId="4777"/>
    <cellStyle name="Normal 10 2 3 4 3 2" xfId="26944"/>
    <cellStyle name="Normal 10 2 3 4 4" xfId="22450"/>
    <cellStyle name="Normal 10 2 3 4 4 2" xfId="38662"/>
    <cellStyle name="Normal 10 2 3 4 5" xfId="23948"/>
    <cellStyle name="Normal 10 2 3 5" xfId="2225"/>
    <cellStyle name="Normal 10 2 3 5 2" xfId="24393"/>
    <cellStyle name="Normal 10 2 3 6" xfId="3724"/>
    <cellStyle name="Normal 10 2 3 6 2" xfId="25891"/>
    <cellStyle name="Normal 10 2 3 7" xfId="21397"/>
    <cellStyle name="Normal 10 2 3 7 2" xfId="37609"/>
    <cellStyle name="Normal 10 2 3 8" xfId="22895"/>
    <cellStyle name="Normal 10 2 4" xfId="843"/>
    <cellStyle name="Normal 10 2 4 2" xfId="2342"/>
    <cellStyle name="Normal 10 2 4 2 2" xfId="24510"/>
    <cellStyle name="Normal 10 2 4 3" xfId="3841"/>
    <cellStyle name="Normal 10 2 4 3 2" xfId="26008"/>
    <cellStyle name="Normal 10 2 4 4" xfId="21514"/>
    <cellStyle name="Normal 10 2 4 4 2" xfId="37726"/>
    <cellStyle name="Normal 10 2 4 5" xfId="23012"/>
    <cellStyle name="Normal 10 2 5" xfId="1194"/>
    <cellStyle name="Normal 10 2 5 2" xfId="2693"/>
    <cellStyle name="Normal 10 2 5 2 2" xfId="24861"/>
    <cellStyle name="Normal 10 2 5 3" xfId="4192"/>
    <cellStyle name="Normal 10 2 5 3 2" xfId="26359"/>
    <cellStyle name="Normal 10 2 5 4" xfId="21865"/>
    <cellStyle name="Normal 10 2 5 4 2" xfId="38077"/>
    <cellStyle name="Normal 10 2 5 5" xfId="23363"/>
    <cellStyle name="Normal 10 2 6" xfId="1545"/>
    <cellStyle name="Normal 10 2 6 2" xfId="3044"/>
    <cellStyle name="Normal 10 2 6 2 2" xfId="25212"/>
    <cellStyle name="Normal 10 2 6 3" xfId="4543"/>
    <cellStyle name="Normal 10 2 6 3 2" xfId="26710"/>
    <cellStyle name="Normal 10 2 6 4" xfId="22216"/>
    <cellStyle name="Normal 10 2 6 4 2" xfId="38428"/>
    <cellStyle name="Normal 10 2 6 5" xfId="23714"/>
    <cellStyle name="Normal 10 2 7" xfId="1991"/>
    <cellStyle name="Normal 10 2 7 2" xfId="24159"/>
    <cellStyle name="Normal 10 2 8" xfId="3490"/>
    <cellStyle name="Normal 10 2 8 2" xfId="25657"/>
    <cellStyle name="Normal 10 2 9" xfId="5614"/>
    <cellStyle name="Normal 10 3" xfId="150"/>
    <cellStyle name="Normal 10 3 10" xfId="595"/>
    <cellStyle name="Normal 10 3 2" xfId="947"/>
    <cellStyle name="Normal 10 3 2 2" xfId="2446"/>
    <cellStyle name="Normal 10 3 2 2 2" xfId="24614"/>
    <cellStyle name="Normal 10 3 2 3" xfId="3945"/>
    <cellStyle name="Normal 10 3 2 3 2" xfId="26112"/>
    <cellStyle name="Normal 10 3 2 4" xfId="12740"/>
    <cellStyle name="Normal 10 3 2 5" xfId="21618"/>
    <cellStyle name="Normal 10 3 2 5 2" xfId="37830"/>
    <cellStyle name="Normal 10 3 2 6" xfId="23116"/>
    <cellStyle name="Normal 10 3 3" xfId="1298"/>
    <cellStyle name="Normal 10 3 3 2" xfId="2797"/>
    <cellStyle name="Normal 10 3 3 2 2" xfId="24965"/>
    <cellStyle name="Normal 10 3 3 3" xfId="4296"/>
    <cellStyle name="Normal 10 3 3 3 2" xfId="26463"/>
    <cellStyle name="Normal 10 3 3 4" xfId="21969"/>
    <cellStyle name="Normal 10 3 3 4 2" xfId="38181"/>
    <cellStyle name="Normal 10 3 3 5" xfId="23467"/>
    <cellStyle name="Normal 10 3 4" xfId="1649"/>
    <cellStyle name="Normal 10 3 4 2" xfId="3148"/>
    <cellStyle name="Normal 10 3 4 2 2" xfId="25316"/>
    <cellStyle name="Normal 10 3 4 3" xfId="4647"/>
    <cellStyle name="Normal 10 3 4 3 2" xfId="26814"/>
    <cellStyle name="Normal 10 3 4 4" xfId="22320"/>
    <cellStyle name="Normal 10 3 4 4 2" xfId="38532"/>
    <cellStyle name="Normal 10 3 4 5" xfId="23818"/>
    <cellStyle name="Normal 10 3 5" xfId="2095"/>
    <cellStyle name="Normal 10 3 5 2" xfId="24263"/>
    <cellStyle name="Normal 10 3 6" xfId="3594"/>
    <cellStyle name="Normal 10 3 6 2" xfId="25761"/>
    <cellStyle name="Normal 10 3 7" xfId="5615"/>
    <cellStyle name="Normal 10 3 8" xfId="21267"/>
    <cellStyle name="Normal 10 3 8 2" xfId="37479"/>
    <cellStyle name="Normal 10 3 9" xfId="22765"/>
    <cellStyle name="Normal 10 4" xfId="713"/>
    <cellStyle name="Normal 10 4 2" xfId="1064"/>
    <cellStyle name="Normal 10 4 2 2" xfId="2563"/>
    <cellStyle name="Normal 10 4 2 2 2" xfId="24731"/>
    <cellStyle name="Normal 10 4 2 3" xfId="4062"/>
    <cellStyle name="Normal 10 4 2 3 2" xfId="26229"/>
    <cellStyle name="Normal 10 4 2 4" xfId="21735"/>
    <cellStyle name="Normal 10 4 2 4 2" xfId="37947"/>
    <cellStyle name="Normal 10 4 2 5" xfId="23233"/>
    <cellStyle name="Normal 10 4 3" xfId="1415"/>
    <cellStyle name="Normal 10 4 3 2" xfId="2914"/>
    <cellStyle name="Normal 10 4 3 2 2" xfId="25082"/>
    <cellStyle name="Normal 10 4 3 3" xfId="4413"/>
    <cellStyle name="Normal 10 4 3 3 2" xfId="26580"/>
    <cellStyle name="Normal 10 4 3 4" xfId="22086"/>
    <cellStyle name="Normal 10 4 3 4 2" xfId="38298"/>
    <cellStyle name="Normal 10 4 3 5" xfId="23584"/>
    <cellStyle name="Normal 10 4 4" xfId="1766"/>
    <cellStyle name="Normal 10 4 4 2" xfId="3265"/>
    <cellStyle name="Normal 10 4 4 2 2" xfId="25433"/>
    <cellStyle name="Normal 10 4 4 3" xfId="4764"/>
    <cellStyle name="Normal 10 4 4 3 2" xfId="26931"/>
    <cellStyle name="Normal 10 4 4 4" xfId="22437"/>
    <cellStyle name="Normal 10 4 4 4 2" xfId="38649"/>
    <cellStyle name="Normal 10 4 4 5" xfId="23935"/>
    <cellStyle name="Normal 10 4 5" xfId="2212"/>
    <cellStyle name="Normal 10 4 5 2" xfId="24380"/>
    <cellStyle name="Normal 10 4 6" xfId="3711"/>
    <cellStyle name="Normal 10 4 6 2" xfId="25878"/>
    <cellStyle name="Normal 10 4 7" xfId="21384"/>
    <cellStyle name="Normal 10 4 7 2" xfId="37596"/>
    <cellStyle name="Normal 10 4 8" xfId="22882"/>
    <cellStyle name="Normal 10 5" xfId="477"/>
    <cellStyle name="Normal 10 5 2" xfId="1978"/>
    <cellStyle name="Normal 10 5 2 2" xfId="24146"/>
    <cellStyle name="Normal 10 5 3" xfId="3477"/>
    <cellStyle name="Normal 10 5 3 2" xfId="25644"/>
    <cellStyle name="Normal 10 5 4" xfId="21150"/>
    <cellStyle name="Normal 10 5 4 2" xfId="37362"/>
    <cellStyle name="Normal 10 5 5" xfId="22648"/>
    <cellStyle name="Normal 10 6" xfId="830"/>
    <cellStyle name="Normal 10 6 2" xfId="2329"/>
    <cellStyle name="Normal 10 6 2 2" xfId="24497"/>
    <cellStyle name="Normal 10 6 3" xfId="3828"/>
    <cellStyle name="Normal 10 6 3 2" xfId="25995"/>
    <cellStyle name="Normal 10 6 4" xfId="21501"/>
    <cellStyle name="Normal 10 6 4 2" xfId="37713"/>
    <cellStyle name="Normal 10 6 5" xfId="22999"/>
    <cellStyle name="Normal 10 7" xfId="1181"/>
    <cellStyle name="Normal 10 7 2" xfId="2680"/>
    <cellStyle name="Normal 10 7 2 2" xfId="24848"/>
    <cellStyle name="Normal 10 7 3" xfId="4179"/>
    <cellStyle name="Normal 10 7 3 2" xfId="26346"/>
    <cellStyle name="Normal 10 7 4" xfId="21852"/>
    <cellStyle name="Normal 10 7 4 2" xfId="38064"/>
    <cellStyle name="Normal 10 7 5" xfId="23350"/>
    <cellStyle name="Normal 10 8" xfId="1532"/>
    <cellStyle name="Normal 10 8 2" xfId="3031"/>
    <cellStyle name="Normal 10 8 2 2" xfId="25199"/>
    <cellStyle name="Normal 10 8 3" xfId="4530"/>
    <cellStyle name="Normal 10 8 3 2" xfId="26697"/>
    <cellStyle name="Normal 10 8 4" xfId="22203"/>
    <cellStyle name="Normal 10 8 4 2" xfId="38415"/>
    <cellStyle name="Normal 10 8 5" xfId="23701"/>
    <cellStyle name="Normal 10 9" xfId="333"/>
    <cellStyle name="Normal 10 9 2" xfId="1868"/>
    <cellStyle name="Normal 10 9 2 2" xfId="24036"/>
    <cellStyle name="Normal 10 9 3" xfId="3367"/>
    <cellStyle name="Normal 10 9 3 2" xfId="25534"/>
    <cellStyle name="Normal 10 9 4" xfId="21040"/>
    <cellStyle name="Normal 10 9 4 2" xfId="37252"/>
    <cellStyle name="Normal 10 9 5" xfId="22538"/>
    <cellStyle name="Normal 11" xfId="151"/>
    <cellStyle name="Normal 11 10" xfId="21013"/>
    <cellStyle name="Normal 11 10 2" xfId="37225"/>
    <cellStyle name="Normal 11 11" xfId="22511"/>
    <cellStyle name="Normal 11 12" xfId="39561"/>
    <cellStyle name="Normal 11 13" xfId="305"/>
    <cellStyle name="Normal 11 2" xfId="152"/>
    <cellStyle name="Normal 11 2 2" xfId="153"/>
    <cellStyle name="Normal 11 2 2 2" xfId="12741"/>
    <cellStyle name="Normal 11 2 3" xfId="154"/>
    <cellStyle name="Normal 11 2 4" xfId="507"/>
    <cellStyle name="Normal 11 3" xfId="155"/>
    <cellStyle name="Normal 11 3 2" xfId="156"/>
    <cellStyle name="Normal 11 3 2 2" xfId="12742"/>
    <cellStyle name="Normal 11 3 3" xfId="625"/>
    <cellStyle name="Normal 11 4" xfId="157"/>
    <cellStyle name="Normal 11 4 2" xfId="356"/>
    <cellStyle name="Normal 11 5" xfId="158"/>
    <cellStyle name="Normal 11 5 2" xfId="1869"/>
    <cellStyle name="Normal 11 5 2 2" xfId="24037"/>
    <cellStyle name="Normal 11 5 3" xfId="3368"/>
    <cellStyle name="Normal 11 5 3 2" xfId="25535"/>
    <cellStyle name="Normal 11 5 4" xfId="21041"/>
    <cellStyle name="Normal 11 5 4 2" xfId="37253"/>
    <cellStyle name="Normal 11 5 5" xfId="22539"/>
    <cellStyle name="Normal 11 5 6" xfId="334"/>
    <cellStyle name="Normal 11 6" xfId="1795"/>
    <cellStyle name="Normal 11 6 2" xfId="3294"/>
    <cellStyle name="Normal 11 6 2 2" xfId="25461"/>
    <cellStyle name="Normal 11 6 3" xfId="4792"/>
    <cellStyle name="Normal 11 6 3 2" xfId="26959"/>
    <cellStyle name="Normal 11 6 4" xfId="22465"/>
    <cellStyle name="Normal 11 6 4 2" xfId="38677"/>
    <cellStyle name="Normal 11 6 5" xfId="23963"/>
    <cellStyle name="Normal 11 7" xfId="1841"/>
    <cellStyle name="Normal 11 7 2" xfId="24009"/>
    <cellStyle name="Normal 11 8" xfId="3340"/>
    <cellStyle name="Normal 11 8 2" xfId="25507"/>
    <cellStyle name="Normal 11 9" xfId="4860"/>
    <cellStyle name="Normal 11 9 2" xfId="26997"/>
    <cellStyle name="Normal 12" xfId="159"/>
    <cellStyle name="Normal 12 10" xfId="39562"/>
    <cellStyle name="Normal 12 11" xfId="306"/>
    <cellStyle name="Normal 12 2" xfId="160"/>
    <cellStyle name="Normal 12 2 2" xfId="1870"/>
    <cellStyle name="Normal 12 2 2 2" xfId="12743"/>
    <cellStyle name="Normal 12 2 2 3" xfId="4952"/>
    <cellStyle name="Normal 12 2 2 4" xfId="24038"/>
    <cellStyle name="Normal 12 2 3" xfId="3369"/>
    <cellStyle name="Normal 12 2 3 2" xfId="5616"/>
    <cellStyle name="Normal 12 2 3 3" xfId="25536"/>
    <cellStyle name="Normal 12 2 4" xfId="4932"/>
    <cellStyle name="Normal 12 2 5" xfId="21042"/>
    <cellStyle name="Normal 12 2 5 2" xfId="37254"/>
    <cellStyle name="Normal 12 2 6" xfId="22540"/>
    <cellStyle name="Normal 12 2 7" xfId="335"/>
    <cellStyle name="Normal 12 3" xfId="161"/>
    <cellStyle name="Normal 12 3 2" xfId="3295"/>
    <cellStyle name="Normal 12 3 2 2" xfId="4956"/>
    <cellStyle name="Normal 12 3 2 3" xfId="25462"/>
    <cellStyle name="Normal 12 3 3" xfId="4793"/>
    <cellStyle name="Normal 12 3 3 2" xfId="26960"/>
    <cellStyle name="Normal 12 3 4" xfId="4924"/>
    <cellStyle name="Normal 12 3 5" xfId="22466"/>
    <cellStyle name="Normal 12 3 5 2" xfId="38678"/>
    <cellStyle name="Normal 12 3 6" xfId="23964"/>
    <cellStyle name="Normal 12 3 7" xfId="1796"/>
    <cellStyle name="Normal 12 4" xfId="1842"/>
    <cellStyle name="Normal 12 4 2" xfId="24010"/>
    <cellStyle name="Normal 12 5" xfId="3341"/>
    <cellStyle name="Normal 12 5 2" xfId="25508"/>
    <cellStyle name="Normal 12 6" xfId="4865"/>
    <cellStyle name="Normal 12 7" xfId="21014"/>
    <cellStyle name="Normal 12 7 2" xfId="37226"/>
    <cellStyle name="Normal 12 8" xfId="22512"/>
    <cellStyle name="Normal 12 9" xfId="38802"/>
    <cellStyle name="Normal 13" xfId="162"/>
    <cellStyle name="Normal 13 10" xfId="39564"/>
    <cellStyle name="Normal 13 11" xfId="308"/>
    <cellStyle name="Normal 13 2" xfId="163"/>
    <cellStyle name="Normal 13 2 2" xfId="1872"/>
    <cellStyle name="Normal 13 2 2 2" xfId="12744"/>
    <cellStyle name="Normal 13 2 2 3" xfId="24040"/>
    <cellStyle name="Normal 13 2 3" xfId="3371"/>
    <cellStyle name="Normal 13 2 3 2" xfId="25538"/>
    <cellStyle name="Normal 13 2 4" xfId="5617"/>
    <cellStyle name="Normal 13 2 5" xfId="21044"/>
    <cellStyle name="Normal 13 2 5 2" xfId="37256"/>
    <cellStyle name="Normal 13 2 6" xfId="22542"/>
    <cellStyle name="Normal 13 2 7" xfId="337"/>
    <cellStyle name="Normal 13 3" xfId="164"/>
    <cellStyle name="Normal 13 3 2" xfId="3297"/>
    <cellStyle name="Normal 13 3 2 2" xfId="25464"/>
    <cellStyle name="Normal 13 3 3" xfId="4795"/>
    <cellStyle name="Normal 13 3 3 2" xfId="26962"/>
    <cellStyle name="Normal 13 3 4" xfId="22468"/>
    <cellStyle name="Normal 13 3 4 2" xfId="38680"/>
    <cellStyle name="Normal 13 3 5" xfId="23966"/>
    <cellStyle name="Normal 13 3 6" xfId="1798"/>
    <cellStyle name="Normal 13 4" xfId="1844"/>
    <cellStyle name="Normal 13 4 2" xfId="24012"/>
    <cellStyle name="Normal 13 5" xfId="3343"/>
    <cellStyle name="Normal 13 5 2" xfId="25510"/>
    <cellStyle name="Normal 13 6" xfId="14216"/>
    <cellStyle name="Normal 13 7" xfId="21016"/>
    <cellStyle name="Normal 13 7 2" xfId="37228"/>
    <cellStyle name="Normal 13 8" xfId="22514"/>
    <cellStyle name="Normal 13 9" xfId="38803"/>
    <cellStyle name="Normal 14" xfId="165"/>
    <cellStyle name="Normal 14 10" xfId="309"/>
    <cellStyle name="Normal 14 2" xfId="166"/>
    <cellStyle name="Normal 14 2 2" xfId="1873"/>
    <cellStyle name="Normal 14 2 2 2" xfId="12745"/>
    <cellStyle name="Normal 14 2 2 3" xfId="24041"/>
    <cellStyle name="Normal 14 2 3" xfId="3372"/>
    <cellStyle name="Normal 14 2 3 2" xfId="25539"/>
    <cellStyle name="Normal 14 2 4" xfId="5618"/>
    <cellStyle name="Normal 14 2 5" xfId="21045"/>
    <cellStyle name="Normal 14 2 5 2" xfId="37257"/>
    <cellStyle name="Normal 14 2 6" xfId="22543"/>
    <cellStyle name="Normal 14 2 7" xfId="338"/>
    <cellStyle name="Normal 14 3" xfId="1799"/>
    <cellStyle name="Normal 14 3 2" xfId="3298"/>
    <cellStyle name="Normal 14 3 2 2" xfId="25465"/>
    <cellStyle name="Normal 14 3 3" xfId="4796"/>
    <cellStyle name="Normal 14 3 3 2" xfId="26963"/>
    <cellStyle name="Normal 14 3 4" xfId="22469"/>
    <cellStyle name="Normal 14 3 4 2" xfId="38681"/>
    <cellStyle name="Normal 14 3 5" xfId="23967"/>
    <cellStyle name="Normal 14 4" xfId="1845"/>
    <cellStyle name="Normal 14 4 2" xfId="24013"/>
    <cellStyle name="Normal 14 5" xfId="3344"/>
    <cellStyle name="Normal 14 5 2" xfId="25511"/>
    <cellStyle name="Normal 14 6" xfId="14217"/>
    <cellStyle name="Normal 14 7" xfId="21017"/>
    <cellStyle name="Normal 14 7 2" xfId="37229"/>
    <cellStyle name="Normal 14 8" xfId="22515"/>
    <cellStyle name="Normal 14 9" xfId="39565"/>
    <cellStyle name="Normal 15" xfId="167"/>
    <cellStyle name="Normal 15 2" xfId="319"/>
    <cellStyle name="Normal 15 2 2" xfId="12746"/>
    <cellStyle name="Normal 15 3" xfId="1801"/>
    <cellStyle name="Normal 15 3 2" xfId="3300"/>
    <cellStyle name="Normal 15 3 2 2" xfId="25467"/>
    <cellStyle name="Normal 15 3 3" xfId="4798"/>
    <cellStyle name="Normal 15 3 3 2" xfId="26965"/>
    <cellStyle name="Normal 15 3 4" xfId="22471"/>
    <cellStyle name="Normal 15 3 4 2" xfId="38683"/>
    <cellStyle name="Normal 15 3 5" xfId="23969"/>
    <cellStyle name="Normal 15 4" xfId="38804"/>
    <cellStyle name="Normal 15 5" xfId="39567"/>
    <cellStyle name="Normal 15 6" xfId="290"/>
    <cellStyle name="Normal 16" xfId="168"/>
    <cellStyle name="Normal 16 2" xfId="3301"/>
    <cellStyle name="Normal 16 2 2" xfId="12747"/>
    <cellStyle name="Normal 16 2 3" xfId="5619"/>
    <cellStyle name="Normal 16 2 4" xfId="25468"/>
    <cellStyle name="Normal 16 20" xfId="39611"/>
    <cellStyle name="Normal 16 3" xfId="4799"/>
    <cellStyle name="Normal 16 3 2" xfId="26966"/>
    <cellStyle name="Normal 16 4" xfId="14218"/>
    <cellStyle name="Normal 16 5" xfId="22472"/>
    <cellStyle name="Normal 16 5 2" xfId="38684"/>
    <cellStyle name="Normal 16 6" xfId="23970"/>
    <cellStyle name="Normal 16 7" xfId="38805"/>
    <cellStyle name="Normal 16 8" xfId="39568"/>
    <cellStyle name="Normal 16 9" xfId="1802"/>
    <cellStyle name="Normal 17" xfId="169"/>
    <cellStyle name="Normal 17 2" xfId="3303"/>
    <cellStyle name="Normal 17 2 2" xfId="12748"/>
    <cellStyle name="Normal 17 2 3" xfId="5620"/>
    <cellStyle name="Normal 17 2 4" xfId="25470"/>
    <cellStyle name="Normal 17 3" xfId="4801"/>
    <cellStyle name="Normal 17 3 2" xfId="26968"/>
    <cellStyle name="Normal 17 4" xfId="4946"/>
    <cellStyle name="Normal 17 5" xfId="22474"/>
    <cellStyle name="Normal 17 5 2" xfId="38686"/>
    <cellStyle name="Normal 17 6" xfId="23972"/>
    <cellStyle name="Normal 17 7" xfId="39570"/>
    <cellStyle name="Normal 17 8" xfId="1804"/>
    <cellStyle name="Normal 18" xfId="170"/>
    <cellStyle name="Normal 18 2" xfId="3304"/>
    <cellStyle name="Normal 18 2 2" xfId="12749"/>
    <cellStyle name="Normal 18 2 3" xfId="5621"/>
    <cellStyle name="Normal 18 2 4" xfId="25471"/>
    <cellStyle name="Normal 18 3" xfId="4802"/>
    <cellStyle name="Normal 18 3 2" xfId="26969"/>
    <cellStyle name="Normal 18 4" xfId="14219"/>
    <cellStyle name="Normal 18 5" xfId="22475"/>
    <cellStyle name="Normal 18 5 2" xfId="38687"/>
    <cellStyle name="Normal 18 6" xfId="23973"/>
    <cellStyle name="Normal 18 7" xfId="38806"/>
    <cellStyle name="Normal 18 8" xfId="39571"/>
    <cellStyle name="Normal 18 9" xfId="1805"/>
    <cellStyle name="Normal 19" xfId="171"/>
    <cellStyle name="Normal 19 2" xfId="3306"/>
    <cellStyle name="Normal 19 2 2" xfId="12750"/>
    <cellStyle name="Normal 19 2 3" xfId="5622"/>
    <cellStyle name="Normal 19 2 4" xfId="25473"/>
    <cellStyle name="Normal 19 3" xfId="4804"/>
    <cellStyle name="Normal 19 3 2" xfId="26971"/>
    <cellStyle name="Normal 19 4" xfId="14220"/>
    <cellStyle name="Normal 19 5" xfId="22477"/>
    <cellStyle name="Normal 19 5 2" xfId="38689"/>
    <cellStyle name="Normal 19 6" xfId="23975"/>
    <cellStyle name="Normal 19 7" xfId="38807"/>
    <cellStyle name="Normal 19 8" xfId="39573"/>
    <cellStyle name="Normal 19 9" xfId="1807"/>
    <cellStyle name="Normal 2" xfId="172"/>
    <cellStyle name="Normal 2 10" xfId="5623"/>
    <cellStyle name="Normal 2 10 2" xfId="12752"/>
    <cellStyle name="Normal 2 11" xfId="5624"/>
    <cellStyle name="Normal 2 11 2" xfId="12753"/>
    <cellStyle name="Normal 2 12" xfId="5625"/>
    <cellStyle name="Normal 2 12 2" xfId="12754"/>
    <cellStyle name="Normal 2 13" xfId="5626"/>
    <cellStyle name="Normal 2 13 2" xfId="12755"/>
    <cellStyle name="Normal 2 14" xfId="5627"/>
    <cellStyle name="Normal 2 14 2" xfId="12756"/>
    <cellStyle name="Normal 2 15" xfId="5628"/>
    <cellStyle name="Normal 2 15 2" xfId="12757"/>
    <cellStyle name="Normal 2 16" xfId="5629"/>
    <cellStyle name="Normal 2 16 2" xfId="12758"/>
    <cellStyle name="Normal 2 17" xfId="5630"/>
    <cellStyle name="Normal 2 17 2" xfId="12759"/>
    <cellStyle name="Normal 2 18" xfId="5631"/>
    <cellStyle name="Normal 2 18 2" xfId="12760"/>
    <cellStyle name="Normal 2 19" xfId="5632"/>
    <cellStyle name="Normal 2 19 2" xfId="12761"/>
    <cellStyle name="Normal 2 2" xfId="173"/>
    <cellStyle name="Normal 2 2 10" xfId="38709"/>
    <cellStyle name="Normal 2 2 11" xfId="39608"/>
    <cellStyle name="Normal 2 2 12" xfId="291"/>
    <cellStyle name="Normal 2 2 2" xfId="174"/>
    <cellStyle name="Normal 2 2 2 2" xfId="175"/>
    <cellStyle name="Normal 2 2 2 2 2" xfId="176"/>
    <cellStyle name="Normal 2 2 2 2 2 2" xfId="38955"/>
    <cellStyle name="Normal 2 2 2 2 3" xfId="12762"/>
    <cellStyle name="Normal 2 2 2 3" xfId="177"/>
    <cellStyle name="Normal 2 2 2 3 2" xfId="26999"/>
    <cellStyle name="Normal 2 2 2 3 3" xfId="39091"/>
    <cellStyle name="Normal 2 2 2 3 4" xfId="4862"/>
    <cellStyle name="Normal 2 2 2 4" xfId="39239"/>
    <cellStyle name="Normal 2 2 2 5" xfId="39388"/>
    <cellStyle name="Normal 2 2 2 6" xfId="397"/>
    <cellStyle name="Normal 2 2 3" xfId="178"/>
    <cellStyle name="Normal 2 2 3 2" xfId="179"/>
    <cellStyle name="Normal 2 2 3 2 2" xfId="39147"/>
    <cellStyle name="Normal 2 2 3 2 3" xfId="4936"/>
    <cellStyle name="Normal 2 2 3 3" xfId="39295"/>
    <cellStyle name="Normal 2 2 3 4" xfId="39444"/>
    <cellStyle name="Normal 2 2 3 5" xfId="39013"/>
    <cellStyle name="Normal 2 2 3 6" xfId="360"/>
    <cellStyle name="Normal 2 2 4" xfId="180"/>
    <cellStyle name="Normal 2 2 4 2" xfId="1855"/>
    <cellStyle name="Normal 2 2 4 2 2" xfId="24023"/>
    <cellStyle name="Normal 2 2 4 3" xfId="3354"/>
    <cellStyle name="Normal 2 2 4 3 2" xfId="25521"/>
    <cellStyle name="Normal 2 2 4 4" xfId="21027"/>
    <cellStyle name="Normal 2 2 4 4 2" xfId="37239"/>
    <cellStyle name="Normal 2 2 4 5" xfId="22525"/>
    <cellStyle name="Normal 2 2 4 6" xfId="39497"/>
    <cellStyle name="Normal 2 2 4 7" xfId="320"/>
    <cellStyle name="Normal 2 2 5" xfId="181"/>
    <cellStyle name="Normal 2 2 5 2" xfId="23995"/>
    <cellStyle name="Normal 2 2 5 3" xfId="1827"/>
    <cellStyle name="Normal 2 2 6" xfId="3326"/>
    <cellStyle name="Normal 2 2 6 2" xfId="25493"/>
    <cellStyle name="Normal 2 2 7" xfId="4856"/>
    <cellStyle name="Normal 2 2 7 2" xfId="26996"/>
    <cellStyle name="Normal 2 2 8" xfId="20999"/>
    <cellStyle name="Normal 2 2 8 2" xfId="37211"/>
    <cellStyle name="Normal 2 2 9" xfId="22497"/>
    <cellStyle name="Normal 2 20" xfId="5633"/>
    <cellStyle name="Normal 2 20 2" xfId="12763"/>
    <cellStyle name="Normal 2 21" xfId="5634"/>
    <cellStyle name="Normal 2 21 2" xfId="12764"/>
    <cellStyle name="Normal 2 22" xfId="5635"/>
    <cellStyle name="Normal 2 22 2" xfId="12765"/>
    <cellStyle name="Normal 2 23" xfId="5636"/>
    <cellStyle name="Normal 2 23 2" xfId="12766"/>
    <cellStyle name="Normal 2 24" xfId="5637"/>
    <cellStyle name="Normal 2 24 2" xfId="12767"/>
    <cellStyle name="Normal 2 25" xfId="5638"/>
    <cellStyle name="Normal 2 25 2" xfId="12768"/>
    <cellStyle name="Normal 2 26" xfId="5639"/>
    <cellStyle name="Normal 2 26 2" xfId="12769"/>
    <cellStyle name="Normal 2 27" xfId="5640"/>
    <cellStyle name="Normal 2 27 2" xfId="12770"/>
    <cellStyle name="Normal 2 28" xfId="5641"/>
    <cellStyle name="Normal 2 28 2" xfId="12771"/>
    <cellStyle name="Normal 2 29" xfId="5642"/>
    <cellStyle name="Normal 2 29 2" xfId="12772"/>
    <cellStyle name="Normal 2 3" xfId="182"/>
    <cellStyle name="Normal 2 3 2" xfId="183"/>
    <cellStyle name="Normal 2 3 2 2" xfId="39494"/>
    <cellStyle name="Normal 2 3 2 3" xfId="39090"/>
    <cellStyle name="Normal 2 3 2 4" xfId="12773"/>
    <cellStyle name="Normal 2 3 3" xfId="184"/>
    <cellStyle name="Normal 2 3 3 2" xfId="39238"/>
    <cellStyle name="Normal 2 3 4" xfId="185"/>
    <cellStyle name="Normal 2 3 4 2" xfId="39387"/>
    <cellStyle name="Normal 2 3 5" xfId="38954"/>
    <cellStyle name="Normal 2 3 6" xfId="400"/>
    <cellStyle name="Normal 2 30" xfId="5643"/>
    <cellStyle name="Normal 2 30 2" xfId="12774"/>
    <cellStyle name="Normal 2 31" xfId="5644"/>
    <cellStyle name="Normal 2 31 2" xfId="12775"/>
    <cellStyle name="Normal 2 32" xfId="5645"/>
    <cellStyle name="Normal 2 32 2" xfId="12776"/>
    <cellStyle name="Normal 2 33" xfId="5646"/>
    <cellStyle name="Normal 2 33 2" xfId="12777"/>
    <cellStyle name="Normal 2 34" xfId="5647"/>
    <cellStyle name="Normal 2 34 2" xfId="12778"/>
    <cellStyle name="Normal 2 35" xfId="5648"/>
    <cellStyle name="Normal 2 35 2" xfId="12779"/>
    <cellStyle name="Normal 2 36" xfId="5649"/>
    <cellStyle name="Normal 2 36 2" xfId="12780"/>
    <cellStyle name="Normal 2 37" xfId="5650"/>
    <cellStyle name="Normal 2 37 2" xfId="12781"/>
    <cellStyle name="Normal 2 38" xfId="5651"/>
    <cellStyle name="Normal 2 38 2" xfId="12782"/>
    <cellStyle name="Normal 2 39" xfId="5652"/>
    <cellStyle name="Normal 2 39 2" xfId="12783"/>
    <cellStyle name="Normal 2 4" xfId="186"/>
    <cellStyle name="Normal 2 4 2" xfId="12784"/>
    <cellStyle name="Normal 2 4 2 2" xfId="39146"/>
    <cellStyle name="Normal 2 4 3" xfId="39294"/>
    <cellStyle name="Normal 2 4 4" xfId="39443"/>
    <cellStyle name="Normal 2 4 5" xfId="39012"/>
    <cellStyle name="Normal 2 4 6" xfId="357"/>
    <cellStyle name="Normal 2 40" xfId="5653"/>
    <cellStyle name="Normal 2 40 2" xfId="12785"/>
    <cellStyle name="Normal 2 41" xfId="5654"/>
    <cellStyle name="Normal 2 41 2" xfId="12786"/>
    <cellStyle name="Normal 2 42" xfId="5655"/>
    <cellStyle name="Normal 2 42 2" xfId="12787"/>
    <cellStyle name="Normal 2 43" xfId="5656"/>
    <cellStyle name="Normal 2 43 2" xfId="12788"/>
    <cellStyle name="Normal 2 44" xfId="5657"/>
    <cellStyle name="Normal 2 44 2" xfId="12789"/>
    <cellStyle name="Normal 2 45" xfId="5658"/>
    <cellStyle name="Normal 2 45 2" xfId="12790"/>
    <cellStyle name="Normal 2 46" xfId="5659"/>
    <cellStyle name="Normal 2 46 2" xfId="12791"/>
    <cellStyle name="Normal 2 47" xfId="5660"/>
    <cellStyle name="Normal 2 47 2" xfId="12792"/>
    <cellStyle name="Normal 2 48" xfId="5661"/>
    <cellStyle name="Normal 2 48 2" xfId="12793"/>
    <cellStyle name="Normal 2 49" xfId="5662"/>
    <cellStyle name="Normal 2 49 2" xfId="12794"/>
    <cellStyle name="Normal 2 5" xfId="187"/>
    <cellStyle name="Normal 2 5 2" xfId="3280"/>
    <cellStyle name="Normal 2 5 2 2" xfId="12795"/>
    <cellStyle name="Normal 2 5 2 3" xfId="25447"/>
    <cellStyle name="Normal 2 5 3" xfId="4778"/>
    <cellStyle name="Normal 2 5 3 2" xfId="26945"/>
    <cellStyle name="Normal 2 5 4" xfId="5663"/>
    <cellStyle name="Normal 2 5 5" xfId="22451"/>
    <cellStyle name="Normal 2 5 5 2" xfId="38663"/>
    <cellStyle name="Normal 2 5 6" xfId="23949"/>
    <cellStyle name="Normal 2 5 7" xfId="1781"/>
    <cellStyle name="Normal 2 50" xfId="5664"/>
    <cellStyle name="Normal 2 50 2" xfId="12796"/>
    <cellStyle name="Normal 2 51" xfId="5665"/>
    <cellStyle name="Normal 2 51 2" xfId="12797"/>
    <cellStyle name="Normal 2 52" xfId="5666"/>
    <cellStyle name="Normal 2 52 2" xfId="12798"/>
    <cellStyle name="Normal 2 53" xfId="5667"/>
    <cellStyle name="Normal 2 53 2" xfId="12799"/>
    <cellStyle name="Normal 2 54" xfId="5668"/>
    <cellStyle name="Normal 2 54 2" xfId="12800"/>
    <cellStyle name="Normal 2 55" xfId="5669"/>
    <cellStyle name="Normal 2 55 2" xfId="12801"/>
    <cellStyle name="Normal 2 56" xfId="8217"/>
    <cellStyle name="Normal 2 57" xfId="12751"/>
    <cellStyle name="Normal 2 58" xfId="4855"/>
    <cellStyle name="Normal 2 59" xfId="39547"/>
    <cellStyle name="Normal 2 6" xfId="5670"/>
    <cellStyle name="Normal 2 6 2" xfId="12802"/>
    <cellStyle name="Normal 2 60" xfId="281"/>
    <cellStyle name="Normal 2 7" xfId="5671"/>
    <cellStyle name="Normal 2 7 2" xfId="12803"/>
    <cellStyle name="Normal 2 8" xfId="5672"/>
    <cellStyle name="Normal 2 8 2" xfId="12804"/>
    <cellStyle name="Normal 2 9" xfId="5673"/>
    <cellStyle name="Normal 2 9 2" xfId="12805"/>
    <cellStyle name="Normal 2_Cash Flows w.o FAS 95" xfId="188"/>
    <cellStyle name="Normal 20" xfId="189"/>
    <cellStyle name="Normal 20 10" xfId="39574"/>
    <cellStyle name="Normal 20 10 2" xfId="4930"/>
    <cellStyle name="Normal 20 11" xfId="1808"/>
    <cellStyle name="Normal 20 2" xfId="3307"/>
    <cellStyle name="Normal 20 2 2" xfId="12807"/>
    <cellStyle name="Normal 20 2 3" xfId="5675"/>
    <cellStyle name="Normal 20 2 4" xfId="25474"/>
    <cellStyle name="Normal 20 3" xfId="4805"/>
    <cellStyle name="Normal 20 3 2" xfId="12808"/>
    <cellStyle name="Normal 20 3 3" xfId="5676"/>
    <cellStyle name="Normal 20 3 4" xfId="26972"/>
    <cellStyle name="Normal 20 4" xfId="12806"/>
    <cellStyle name="Normal 20 5" xfId="5674"/>
    <cellStyle name="Normal 20 6" xfId="22478"/>
    <cellStyle name="Normal 20 6 2" xfId="38690"/>
    <cellStyle name="Normal 20 7" xfId="23976"/>
    <cellStyle name="Normal 20 8" xfId="38808"/>
    <cellStyle name="Normal 20 9" xfId="39505"/>
    <cellStyle name="Normal 21" xfId="190"/>
    <cellStyle name="Normal 21 2" xfId="3308"/>
    <cellStyle name="Normal 21 2 2" xfId="12809"/>
    <cellStyle name="Normal 21 2 3" xfId="25475"/>
    <cellStyle name="Normal 21 3" xfId="4806"/>
    <cellStyle name="Normal 21 3 2" xfId="26973"/>
    <cellStyle name="Normal 21 4" xfId="5677"/>
    <cellStyle name="Normal 21 5" xfId="22479"/>
    <cellStyle name="Normal 21 5 2" xfId="38691"/>
    <cellStyle name="Normal 21 6" xfId="23977"/>
    <cellStyle name="Normal 21 7" xfId="39507"/>
    <cellStyle name="Normal 21 8" xfId="39575"/>
    <cellStyle name="Normal 21 9" xfId="1809"/>
    <cellStyle name="Normal 22" xfId="191"/>
    <cellStyle name="Normal 22 10" xfId="39577"/>
    <cellStyle name="Normal 22 11" xfId="1811"/>
    <cellStyle name="Normal 22 2" xfId="3310"/>
    <cellStyle name="Normal 22 2 2" xfId="12810"/>
    <cellStyle name="Normal 22 2 2 2" xfId="20371"/>
    <cellStyle name="Normal 22 2 2 2 2" xfId="36592"/>
    <cellStyle name="Normal 22 2 2 3" xfId="29904"/>
    <cellStyle name="Normal 22 2 3" xfId="18614"/>
    <cellStyle name="Normal 22 2 3 2" xfId="34835"/>
    <cellStyle name="Normal 22 2 4" xfId="8218"/>
    <cellStyle name="Normal 22 2 4 2" xfId="28151"/>
    <cellStyle name="Normal 22 2 5" xfId="25477"/>
    <cellStyle name="Normal 22 3" xfId="4808"/>
    <cellStyle name="Normal 22 3 2" xfId="20981"/>
    <cellStyle name="Normal 22 3 2 2" xfId="37199"/>
    <cellStyle name="Normal 22 3 3" xfId="14221"/>
    <cellStyle name="Normal 22 3 3 2" xfId="30511"/>
    <cellStyle name="Normal 22 3 4" xfId="26975"/>
    <cellStyle name="Normal 22 4" xfId="14237"/>
    <cellStyle name="Normal 22 4 2" xfId="30523"/>
    <cellStyle name="Normal 22 5" xfId="20987"/>
    <cellStyle name="Normal 22 5 2" xfId="37202"/>
    <cellStyle name="Normal 22 6" xfId="5678"/>
    <cellStyle name="Normal 22 7" xfId="22481"/>
    <cellStyle name="Normal 22 7 2" xfId="38693"/>
    <cellStyle name="Normal 22 8" xfId="23979"/>
    <cellStyle name="Normal 22 9" xfId="38809"/>
    <cellStyle name="Normal 23" xfId="267"/>
    <cellStyle name="Normal 23 2" xfId="3311"/>
    <cellStyle name="Normal 23 2 2" xfId="5680"/>
    <cellStyle name="Normal 23 2 3" xfId="25478"/>
    <cellStyle name="Normal 23 3" xfId="4809"/>
    <cellStyle name="Normal 23 3 2" xfId="26976"/>
    <cellStyle name="Normal 23 4" xfId="5679"/>
    <cellStyle name="Normal 23 5" xfId="22482"/>
    <cellStyle name="Normal 23 5 2" xfId="38694"/>
    <cellStyle name="Normal 23 6" xfId="23980"/>
    <cellStyle name="Normal 23 7" xfId="38819"/>
    <cellStyle name="Normal 23 8" xfId="39578"/>
    <cellStyle name="Normal 23 9" xfId="1812"/>
    <cellStyle name="Normal 24" xfId="1813"/>
    <cellStyle name="Normal 24 2" xfId="3312"/>
    <cellStyle name="Normal 24 2 2" xfId="12811"/>
    <cellStyle name="Normal 24 2 3" xfId="25479"/>
    <cellStyle name="Normal 24 3" xfId="4810"/>
    <cellStyle name="Normal 24 3 2" xfId="26977"/>
    <cellStyle name="Normal 24 4" xfId="8219"/>
    <cellStyle name="Normal 24 5" xfId="22483"/>
    <cellStyle name="Normal 24 5 2" xfId="38695"/>
    <cellStyle name="Normal 24 6" xfId="23981"/>
    <cellStyle name="Normal 24 7" xfId="38821"/>
    <cellStyle name="Normal 24 8" xfId="39579"/>
    <cellStyle name="Normal 25" xfId="1814"/>
    <cellStyle name="Normal 25 2" xfId="3313"/>
    <cellStyle name="Normal 25 2 2" xfId="20976"/>
    <cellStyle name="Normal 25 2 3" xfId="25480"/>
    <cellStyle name="Normal 25 3" xfId="4811"/>
    <cellStyle name="Normal 25 3 2" xfId="26978"/>
    <cellStyle name="Normal 25 4" xfId="14200"/>
    <cellStyle name="Normal 25 5" xfId="22484"/>
    <cellStyle name="Normal 25 5 2" xfId="38696"/>
    <cellStyle name="Normal 25 6" xfId="23982"/>
    <cellStyle name="Normal 25 7" xfId="39336"/>
    <cellStyle name="Normal 25 8" xfId="39580"/>
    <cellStyle name="Normal 26" xfId="1815"/>
    <cellStyle name="Normal 26 2" xfId="3314"/>
    <cellStyle name="Normal 26 2 2" xfId="25481"/>
    <cellStyle name="Normal 26 3" xfId="4812"/>
    <cellStyle name="Normal 26 3 2" xfId="26979"/>
    <cellStyle name="Normal 26 4" xfId="14222"/>
    <cellStyle name="Normal 26 5" xfId="22485"/>
    <cellStyle name="Normal 26 5 2" xfId="38697"/>
    <cellStyle name="Normal 26 6" xfId="23983"/>
    <cellStyle name="Normal 26 7" xfId="39581"/>
    <cellStyle name="Normal 27" xfId="1816"/>
    <cellStyle name="Normal 27 2" xfId="3315"/>
    <cellStyle name="Normal 27 2 2" xfId="25482"/>
    <cellStyle name="Normal 27 3" xfId="4813"/>
    <cellStyle name="Normal 27 3 2" xfId="26980"/>
    <cellStyle name="Normal 27 4" xfId="20982"/>
    <cellStyle name="Normal 27 5" xfId="22486"/>
    <cellStyle name="Normal 27 5 2" xfId="38698"/>
    <cellStyle name="Normal 27 6" xfId="23984"/>
    <cellStyle name="Normal 27 7" xfId="39582"/>
    <cellStyle name="Normal 28" xfId="1817"/>
    <cellStyle name="Normal 28 2" xfId="3316"/>
    <cellStyle name="Normal 28 2 2" xfId="20990"/>
    <cellStyle name="Normal 28 2 3" xfId="25483"/>
    <cellStyle name="Normal 28 3" xfId="4814"/>
    <cellStyle name="Normal 28 3 2" xfId="20989"/>
    <cellStyle name="Normal 28 3 3" xfId="26981"/>
    <cellStyle name="Normal 28 4" xfId="20988"/>
    <cellStyle name="Normal 28 5" xfId="6496"/>
    <cellStyle name="Normal 28 6" xfId="22487"/>
    <cellStyle name="Normal 28 6 2" xfId="38699"/>
    <cellStyle name="Normal 28 7" xfId="23985"/>
    <cellStyle name="Normal 28 8" xfId="39583"/>
    <cellStyle name="Normal 29" xfId="1818"/>
    <cellStyle name="Normal 29 2" xfId="3317"/>
    <cellStyle name="Normal 29 2 2" xfId="25484"/>
    <cellStyle name="Normal 29 3" xfId="4815"/>
    <cellStyle name="Normal 29 3 2" xfId="26982"/>
    <cellStyle name="Normal 29 4" xfId="4854"/>
    <cellStyle name="Normal 29 4 2" xfId="26995"/>
    <cellStyle name="Normal 29 5" xfId="22488"/>
    <cellStyle name="Normal 29 5 2" xfId="38700"/>
    <cellStyle name="Normal 29 6" xfId="23986"/>
    <cellStyle name="Normal 29 7" xfId="39584"/>
    <cellStyle name="Normal 3" xfId="192"/>
    <cellStyle name="Normal 3 10" xfId="342"/>
    <cellStyle name="Normal 3 10 2" xfId="1877"/>
    <cellStyle name="Normal 3 10 2 2" xfId="24045"/>
    <cellStyle name="Normal 3 10 2 3" xfId="39485"/>
    <cellStyle name="Normal 3 10 3" xfId="3376"/>
    <cellStyle name="Normal 3 10 3 2" xfId="25543"/>
    <cellStyle name="Normal 3 10 4" xfId="21049"/>
    <cellStyle name="Normal 3 10 4 2" xfId="37261"/>
    <cellStyle name="Normal 3 10 5" xfId="22547"/>
    <cellStyle name="Normal 3 10 6" xfId="38863"/>
    <cellStyle name="Normal 3 11" xfId="729"/>
    <cellStyle name="Normal 3 11 2" xfId="2228"/>
    <cellStyle name="Normal 3 11 2 2" xfId="24396"/>
    <cellStyle name="Normal 3 11 3" xfId="3727"/>
    <cellStyle name="Normal 3 11 3 2" xfId="25894"/>
    <cellStyle name="Normal 3 11 4" xfId="21400"/>
    <cellStyle name="Normal 3 11 4 2" xfId="37612"/>
    <cellStyle name="Normal 3 11 5" xfId="22898"/>
    <cellStyle name="Normal 3 11 6" xfId="38915"/>
    <cellStyle name="Normal 3 12" xfId="1080"/>
    <cellStyle name="Normal 3 12 2" xfId="2579"/>
    <cellStyle name="Normal 3 12 2 2" xfId="24747"/>
    <cellStyle name="Normal 3 12 3" xfId="4078"/>
    <cellStyle name="Normal 3 12 3 2" xfId="26245"/>
    <cellStyle name="Normal 3 12 4" xfId="21751"/>
    <cellStyle name="Normal 3 12 4 2" xfId="37963"/>
    <cellStyle name="Normal 3 12 5" xfId="23249"/>
    <cellStyle name="Normal 3 12 6" xfId="39041"/>
    <cellStyle name="Normal 3 13" xfId="1431"/>
    <cellStyle name="Normal 3 13 2" xfId="2930"/>
    <cellStyle name="Normal 3 13 2 2" xfId="25098"/>
    <cellStyle name="Normal 3 13 3" xfId="4429"/>
    <cellStyle name="Normal 3 13 3 2" xfId="26596"/>
    <cellStyle name="Normal 3 13 4" xfId="22102"/>
    <cellStyle name="Normal 3 13 4 2" xfId="38314"/>
    <cellStyle name="Normal 3 13 5" xfId="23600"/>
    <cellStyle name="Normal 3 13 6" xfId="39189"/>
    <cellStyle name="Normal 3 14" xfId="313"/>
    <cellStyle name="Normal 3 14 2" xfId="1849"/>
    <cellStyle name="Normal 3 14 2 2" xfId="24017"/>
    <cellStyle name="Normal 3 14 3" xfId="3348"/>
    <cellStyle name="Normal 3 14 3 2" xfId="25515"/>
    <cellStyle name="Normal 3 14 4" xfId="21021"/>
    <cellStyle name="Normal 3 14 4 2" xfId="37233"/>
    <cellStyle name="Normal 3 14 5" xfId="22519"/>
    <cellStyle name="Normal 3 14 6" xfId="39338"/>
    <cellStyle name="Normal 3 15" xfId="1782"/>
    <cellStyle name="Normal 3 15 2" xfId="3281"/>
    <cellStyle name="Normal 3 15 2 2" xfId="25448"/>
    <cellStyle name="Normal 3 15 3" xfId="4779"/>
    <cellStyle name="Normal 3 15 3 2" xfId="26946"/>
    <cellStyle name="Normal 3 15 4" xfId="22452"/>
    <cellStyle name="Normal 3 15 4 2" xfId="38664"/>
    <cellStyle name="Normal 3 15 5" xfId="23950"/>
    <cellStyle name="Normal 3 16" xfId="1821"/>
    <cellStyle name="Normal 3 16 2" xfId="23989"/>
    <cellStyle name="Normal 3 17" xfId="3320"/>
    <cellStyle name="Normal 3 17 2" xfId="25487"/>
    <cellStyle name="Normal 3 18" xfId="4857"/>
    <cellStyle name="Normal 3 19" xfId="20993"/>
    <cellStyle name="Normal 3 19 2" xfId="37205"/>
    <cellStyle name="Normal 3 2" xfId="193"/>
    <cellStyle name="Normal 3 2 10" xfId="1432"/>
    <cellStyle name="Normal 3 2 10 2" xfId="2931"/>
    <cellStyle name="Normal 3 2 10 2 2" xfId="25099"/>
    <cellStyle name="Normal 3 2 10 3" xfId="4430"/>
    <cellStyle name="Normal 3 2 10 3 2" xfId="26597"/>
    <cellStyle name="Normal 3 2 10 4" xfId="22103"/>
    <cellStyle name="Normal 3 2 10 4 2" xfId="38315"/>
    <cellStyle name="Normal 3 2 10 5" xfId="23601"/>
    <cellStyle name="Normal 3 2 10 6" xfId="39191"/>
    <cellStyle name="Normal 3 2 11" xfId="314"/>
    <cellStyle name="Normal 3 2 11 2" xfId="1850"/>
    <cellStyle name="Normal 3 2 11 2 2" xfId="24018"/>
    <cellStyle name="Normal 3 2 11 3" xfId="3349"/>
    <cellStyle name="Normal 3 2 11 3 2" xfId="25516"/>
    <cellStyle name="Normal 3 2 11 4" xfId="21022"/>
    <cellStyle name="Normal 3 2 11 4 2" xfId="37234"/>
    <cellStyle name="Normal 3 2 11 5" xfId="22520"/>
    <cellStyle name="Normal 3 2 11 6" xfId="39340"/>
    <cellStyle name="Normal 3 2 12" xfId="1822"/>
    <cellStyle name="Normal 3 2 12 2" xfId="23990"/>
    <cellStyle name="Normal 3 2 13" xfId="3321"/>
    <cellStyle name="Normal 3 2 13 2" xfId="25488"/>
    <cellStyle name="Normal 3 2 14" xfId="4920"/>
    <cellStyle name="Normal 3 2 15" xfId="20994"/>
    <cellStyle name="Normal 3 2 15 2" xfId="37206"/>
    <cellStyle name="Normal 3 2 16" xfId="22492"/>
    <cellStyle name="Normal 3 2 17" xfId="38713"/>
    <cellStyle name="Normal 3 2 18" xfId="283"/>
    <cellStyle name="Normal 3 2 2" xfId="194"/>
    <cellStyle name="Normal 3 2 2 10" xfId="3325"/>
    <cellStyle name="Normal 3 2 2 10 2" xfId="25492"/>
    <cellStyle name="Normal 3 2 2 11" xfId="8220"/>
    <cellStyle name="Normal 3 2 2 12" xfId="20998"/>
    <cellStyle name="Normal 3 2 2 12 2" xfId="37210"/>
    <cellStyle name="Normal 3 2 2 13" xfId="22496"/>
    <cellStyle name="Normal 3 2 2 14" xfId="38717"/>
    <cellStyle name="Normal 3 2 2 15" xfId="289"/>
    <cellStyle name="Normal 3 2 2 2" xfId="498"/>
    <cellStyle name="Normal 3 2 2 2 2" xfId="851"/>
    <cellStyle name="Normal 3 2 2 2 2 2" xfId="2350"/>
    <cellStyle name="Normal 3 2 2 2 2 2 2" xfId="24518"/>
    <cellStyle name="Normal 3 2 2 2 2 3" xfId="3849"/>
    <cellStyle name="Normal 3 2 2 2 2 3 2" xfId="26016"/>
    <cellStyle name="Normal 3 2 2 2 2 4" xfId="21522"/>
    <cellStyle name="Normal 3 2 2 2 2 4 2" xfId="37734"/>
    <cellStyle name="Normal 3 2 2 2 2 5" xfId="23020"/>
    <cellStyle name="Normal 3 2 2 2 2 6" xfId="38757"/>
    <cellStyle name="Normal 3 2 2 2 3" xfId="1202"/>
    <cellStyle name="Normal 3 2 2 2 3 2" xfId="2701"/>
    <cellStyle name="Normal 3 2 2 2 3 2 2" xfId="24869"/>
    <cellStyle name="Normal 3 2 2 2 3 3" xfId="4200"/>
    <cellStyle name="Normal 3 2 2 2 3 3 2" xfId="26367"/>
    <cellStyle name="Normal 3 2 2 2 3 4" xfId="21873"/>
    <cellStyle name="Normal 3 2 2 2 3 4 2" xfId="38085"/>
    <cellStyle name="Normal 3 2 2 2 3 5" xfId="23371"/>
    <cellStyle name="Normal 3 2 2 2 3 6" xfId="38845"/>
    <cellStyle name="Normal 3 2 2 2 4" xfId="1553"/>
    <cellStyle name="Normal 3 2 2 2 4 2" xfId="3052"/>
    <cellStyle name="Normal 3 2 2 2 4 2 2" xfId="25220"/>
    <cellStyle name="Normal 3 2 2 2 4 3" xfId="4551"/>
    <cellStyle name="Normal 3 2 2 2 4 3 2" xfId="26718"/>
    <cellStyle name="Normal 3 2 2 2 4 4" xfId="22224"/>
    <cellStyle name="Normal 3 2 2 2 4 4 2" xfId="38436"/>
    <cellStyle name="Normal 3 2 2 2 4 5" xfId="23722"/>
    <cellStyle name="Normal 3 2 2 2 4 6" xfId="38885"/>
    <cellStyle name="Normal 3 2 2 2 5" xfId="1999"/>
    <cellStyle name="Normal 3 2 2 2 5 2" xfId="24167"/>
    <cellStyle name="Normal 3 2 2 2 5 3" xfId="38937"/>
    <cellStyle name="Normal 3 2 2 2 6" xfId="3498"/>
    <cellStyle name="Normal 3 2 2 2 6 2" xfId="25665"/>
    <cellStyle name="Normal 3 2 2 2 6 3" xfId="39063"/>
    <cellStyle name="Normal 3 2 2 2 7" xfId="21171"/>
    <cellStyle name="Normal 3 2 2 2 7 2" xfId="37383"/>
    <cellStyle name="Normal 3 2 2 2 7 3" xfId="39211"/>
    <cellStyle name="Normal 3 2 2 2 8" xfId="22669"/>
    <cellStyle name="Normal 3 2 2 2 8 2" xfId="39360"/>
    <cellStyle name="Normal 3 2 2 2 9" xfId="38725"/>
    <cellStyle name="Normal 3 2 2 3" xfId="616"/>
    <cellStyle name="Normal 3 2 2 3 2" xfId="968"/>
    <cellStyle name="Normal 3 2 2 3 2 2" xfId="2467"/>
    <cellStyle name="Normal 3 2 2 3 2 2 2" xfId="24635"/>
    <cellStyle name="Normal 3 2 2 3 2 3" xfId="3966"/>
    <cellStyle name="Normal 3 2 2 3 2 3 2" xfId="26133"/>
    <cellStyle name="Normal 3 2 2 3 2 4" xfId="21639"/>
    <cellStyle name="Normal 3 2 2 3 2 4 2" xfId="37851"/>
    <cellStyle name="Normal 3 2 2 3 2 5" xfId="23137"/>
    <cellStyle name="Normal 3 2 2 3 3" xfId="1319"/>
    <cellStyle name="Normal 3 2 2 3 3 2" xfId="2818"/>
    <cellStyle name="Normal 3 2 2 3 3 2 2" xfId="24986"/>
    <cellStyle name="Normal 3 2 2 3 3 3" xfId="4317"/>
    <cellStyle name="Normal 3 2 2 3 3 3 2" xfId="26484"/>
    <cellStyle name="Normal 3 2 2 3 3 4" xfId="21990"/>
    <cellStyle name="Normal 3 2 2 3 3 4 2" xfId="38202"/>
    <cellStyle name="Normal 3 2 2 3 3 5" xfId="23488"/>
    <cellStyle name="Normal 3 2 2 3 4" xfId="1670"/>
    <cellStyle name="Normal 3 2 2 3 4 2" xfId="3169"/>
    <cellStyle name="Normal 3 2 2 3 4 2 2" xfId="25337"/>
    <cellStyle name="Normal 3 2 2 3 4 3" xfId="4668"/>
    <cellStyle name="Normal 3 2 2 3 4 3 2" xfId="26835"/>
    <cellStyle name="Normal 3 2 2 3 4 4" xfId="22341"/>
    <cellStyle name="Normal 3 2 2 3 4 4 2" xfId="38553"/>
    <cellStyle name="Normal 3 2 2 3 4 5" xfId="23839"/>
    <cellStyle name="Normal 3 2 2 3 5" xfId="2116"/>
    <cellStyle name="Normal 3 2 2 3 5 2" xfId="24284"/>
    <cellStyle name="Normal 3 2 2 3 6" xfId="3615"/>
    <cellStyle name="Normal 3 2 2 3 6 2" xfId="25782"/>
    <cellStyle name="Normal 3 2 2 3 7" xfId="21288"/>
    <cellStyle name="Normal 3 2 2 3 7 2" xfId="37500"/>
    <cellStyle name="Normal 3 2 2 3 8" xfId="22786"/>
    <cellStyle name="Normal 3 2 2 3 9" xfId="38743"/>
    <cellStyle name="Normal 3 2 2 4" xfId="347"/>
    <cellStyle name="Normal 3 2 2 4 2" xfId="1882"/>
    <cellStyle name="Normal 3 2 2 4 2 2" xfId="24050"/>
    <cellStyle name="Normal 3 2 2 4 3" xfId="3381"/>
    <cellStyle name="Normal 3 2 2 4 3 2" xfId="25548"/>
    <cellStyle name="Normal 3 2 2 4 4" xfId="21054"/>
    <cellStyle name="Normal 3 2 2 4 4 2" xfId="37266"/>
    <cellStyle name="Normal 3 2 2 4 5" xfId="22552"/>
    <cellStyle name="Normal 3 2 2 4 6" xfId="38831"/>
    <cellStyle name="Normal 3 2 2 5" xfId="734"/>
    <cellStyle name="Normal 3 2 2 5 2" xfId="2233"/>
    <cellStyle name="Normal 3 2 2 5 2 2" xfId="24401"/>
    <cellStyle name="Normal 3 2 2 5 3" xfId="3732"/>
    <cellStyle name="Normal 3 2 2 5 3 2" xfId="25899"/>
    <cellStyle name="Normal 3 2 2 5 4" xfId="21405"/>
    <cellStyle name="Normal 3 2 2 5 4 2" xfId="37617"/>
    <cellStyle name="Normal 3 2 2 5 5" xfId="22903"/>
    <cellStyle name="Normal 3 2 2 5 6" xfId="38871"/>
    <cellStyle name="Normal 3 2 2 6" xfId="1085"/>
    <cellStyle name="Normal 3 2 2 6 2" xfId="2584"/>
    <cellStyle name="Normal 3 2 2 6 2 2" xfId="24752"/>
    <cellStyle name="Normal 3 2 2 6 3" xfId="4083"/>
    <cellStyle name="Normal 3 2 2 6 3 2" xfId="26250"/>
    <cellStyle name="Normal 3 2 2 6 4" xfId="21756"/>
    <cellStyle name="Normal 3 2 2 6 4 2" xfId="37968"/>
    <cellStyle name="Normal 3 2 2 6 5" xfId="23254"/>
    <cellStyle name="Normal 3 2 2 6 6" xfId="38923"/>
    <cellStyle name="Normal 3 2 2 7" xfId="1436"/>
    <cellStyle name="Normal 3 2 2 7 2" xfId="2935"/>
    <cellStyle name="Normal 3 2 2 7 2 2" xfId="25103"/>
    <cellStyle name="Normal 3 2 2 7 3" xfId="4434"/>
    <cellStyle name="Normal 3 2 2 7 3 2" xfId="26601"/>
    <cellStyle name="Normal 3 2 2 7 4" xfId="22107"/>
    <cellStyle name="Normal 3 2 2 7 4 2" xfId="38319"/>
    <cellStyle name="Normal 3 2 2 7 5" xfId="23605"/>
    <cellStyle name="Normal 3 2 2 7 6" xfId="39049"/>
    <cellStyle name="Normal 3 2 2 8" xfId="318"/>
    <cellStyle name="Normal 3 2 2 8 2" xfId="1854"/>
    <cellStyle name="Normal 3 2 2 8 2 2" xfId="24022"/>
    <cellStyle name="Normal 3 2 2 8 3" xfId="3353"/>
    <cellStyle name="Normal 3 2 2 8 3 2" xfId="25520"/>
    <cellStyle name="Normal 3 2 2 8 4" xfId="21026"/>
    <cellStyle name="Normal 3 2 2 8 4 2" xfId="37238"/>
    <cellStyle name="Normal 3 2 2 8 5" xfId="22524"/>
    <cellStyle name="Normal 3 2 2 8 6" xfId="39197"/>
    <cellStyle name="Normal 3 2 2 9" xfId="1826"/>
    <cellStyle name="Normal 3 2 2 9 2" xfId="23994"/>
    <cellStyle name="Normal 3 2 2 9 3" xfId="39346"/>
    <cellStyle name="Normal 3 2 3" xfId="195"/>
    <cellStyle name="Normal 3 2 3 10" xfId="21058"/>
    <cellStyle name="Normal 3 2 3 10 2" xfId="37270"/>
    <cellStyle name="Normal 3 2 3 11" xfId="22556"/>
    <cellStyle name="Normal 3 2 3 12" xfId="38721"/>
    <cellStyle name="Normal 3 2 3 13" xfId="351"/>
    <cellStyle name="Normal 3 2 3 2" xfId="502"/>
    <cellStyle name="Normal 3 2 3 2 2" xfId="855"/>
    <cellStyle name="Normal 3 2 3 2 2 2" xfId="2354"/>
    <cellStyle name="Normal 3 2 3 2 2 2 2" xfId="24522"/>
    <cellStyle name="Normal 3 2 3 2 2 3" xfId="3853"/>
    <cellStyle name="Normal 3 2 3 2 2 3 2" xfId="26020"/>
    <cellStyle name="Normal 3 2 3 2 2 4" xfId="21526"/>
    <cellStyle name="Normal 3 2 3 2 2 4 2" xfId="37738"/>
    <cellStyle name="Normal 3 2 3 2 2 5" xfId="23024"/>
    <cellStyle name="Normal 3 2 3 2 3" xfId="1206"/>
    <cellStyle name="Normal 3 2 3 2 3 2" xfId="2705"/>
    <cellStyle name="Normal 3 2 3 2 3 2 2" xfId="24873"/>
    <cellStyle name="Normal 3 2 3 2 3 3" xfId="4204"/>
    <cellStyle name="Normal 3 2 3 2 3 3 2" xfId="26371"/>
    <cellStyle name="Normal 3 2 3 2 3 4" xfId="21877"/>
    <cellStyle name="Normal 3 2 3 2 3 4 2" xfId="38089"/>
    <cellStyle name="Normal 3 2 3 2 3 5" xfId="23375"/>
    <cellStyle name="Normal 3 2 3 2 4" xfId="1557"/>
    <cellStyle name="Normal 3 2 3 2 4 2" xfId="3056"/>
    <cellStyle name="Normal 3 2 3 2 4 2 2" xfId="25224"/>
    <cellStyle name="Normal 3 2 3 2 4 3" xfId="4555"/>
    <cellStyle name="Normal 3 2 3 2 4 3 2" xfId="26722"/>
    <cellStyle name="Normal 3 2 3 2 4 4" xfId="22228"/>
    <cellStyle name="Normal 3 2 3 2 4 4 2" xfId="38440"/>
    <cellStyle name="Normal 3 2 3 2 4 5" xfId="23726"/>
    <cellStyle name="Normal 3 2 3 2 5" xfId="2003"/>
    <cellStyle name="Normal 3 2 3 2 5 2" xfId="24171"/>
    <cellStyle name="Normal 3 2 3 2 6" xfId="3502"/>
    <cellStyle name="Normal 3 2 3 2 6 2" xfId="25669"/>
    <cellStyle name="Normal 3 2 3 2 7" xfId="21175"/>
    <cellStyle name="Normal 3 2 3 2 7 2" xfId="37387"/>
    <cellStyle name="Normal 3 2 3 2 8" xfId="22673"/>
    <cellStyle name="Normal 3 2 3 2 9" xfId="38751"/>
    <cellStyle name="Normal 3 2 3 3" xfId="620"/>
    <cellStyle name="Normal 3 2 3 3 2" xfId="972"/>
    <cellStyle name="Normal 3 2 3 3 2 2" xfId="2471"/>
    <cellStyle name="Normal 3 2 3 3 2 2 2" xfId="24639"/>
    <cellStyle name="Normal 3 2 3 3 2 3" xfId="3970"/>
    <cellStyle name="Normal 3 2 3 3 2 3 2" xfId="26137"/>
    <cellStyle name="Normal 3 2 3 3 2 4" xfId="21643"/>
    <cellStyle name="Normal 3 2 3 3 2 4 2" xfId="37855"/>
    <cellStyle name="Normal 3 2 3 3 2 5" xfId="23141"/>
    <cellStyle name="Normal 3 2 3 3 3" xfId="1323"/>
    <cellStyle name="Normal 3 2 3 3 3 2" xfId="2822"/>
    <cellStyle name="Normal 3 2 3 3 3 2 2" xfId="24990"/>
    <cellStyle name="Normal 3 2 3 3 3 3" xfId="4321"/>
    <cellStyle name="Normal 3 2 3 3 3 3 2" xfId="26488"/>
    <cellStyle name="Normal 3 2 3 3 3 4" xfId="21994"/>
    <cellStyle name="Normal 3 2 3 3 3 4 2" xfId="38206"/>
    <cellStyle name="Normal 3 2 3 3 3 5" xfId="23492"/>
    <cellStyle name="Normal 3 2 3 3 4" xfId="1674"/>
    <cellStyle name="Normal 3 2 3 3 4 2" xfId="3173"/>
    <cellStyle name="Normal 3 2 3 3 4 2 2" xfId="25341"/>
    <cellStyle name="Normal 3 2 3 3 4 3" xfId="4672"/>
    <cellStyle name="Normal 3 2 3 3 4 3 2" xfId="26839"/>
    <cellStyle name="Normal 3 2 3 3 4 4" xfId="22345"/>
    <cellStyle name="Normal 3 2 3 3 4 4 2" xfId="38557"/>
    <cellStyle name="Normal 3 2 3 3 4 5" xfId="23843"/>
    <cellStyle name="Normal 3 2 3 3 5" xfId="2120"/>
    <cellStyle name="Normal 3 2 3 3 5 2" xfId="24288"/>
    <cellStyle name="Normal 3 2 3 3 6" xfId="3619"/>
    <cellStyle name="Normal 3 2 3 3 6 2" xfId="25786"/>
    <cellStyle name="Normal 3 2 3 3 7" xfId="21292"/>
    <cellStyle name="Normal 3 2 3 3 7 2" xfId="37504"/>
    <cellStyle name="Normal 3 2 3 3 8" xfId="22790"/>
    <cellStyle name="Normal 3 2 3 3 9" xfId="38839"/>
    <cellStyle name="Normal 3 2 3 4" xfId="738"/>
    <cellStyle name="Normal 3 2 3 4 2" xfId="2237"/>
    <cellStyle name="Normal 3 2 3 4 2 2" xfId="24405"/>
    <cellStyle name="Normal 3 2 3 4 3" xfId="3736"/>
    <cellStyle name="Normal 3 2 3 4 3 2" xfId="25903"/>
    <cellStyle name="Normal 3 2 3 4 4" xfId="21409"/>
    <cellStyle name="Normal 3 2 3 4 4 2" xfId="37621"/>
    <cellStyle name="Normal 3 2 3 4 5" xfId="22907"/>
    <cellStyle name="Normal 3 2 3 4 6" xfId="38879"/>
    <cellStyle name="Normal 3 2 3 5" xfId="1089"/>
    <cellStyle name="Normal 3 2 3 5 2" xfId="2588"/>
    <cellStyle name="Normal 3 2 3 5 2 2" xfId="24756"/>
    <cellStyle name="Normal 3 2 3 5 3" xfId="4087"/>
    <cellStyle name="Normal 3 2 3 5 3 2" xfId="26254"/>
    <cellStyle name="Normal 3 2 3 5 4" xfId="21760"/>
    <cellStyle name="Normal 3 2 3 5 4 2" xfId="37972"/>
    <cellStyle name="Normal 3 2 3 5 5" xfId="23258"/>
    <cellStyle name="Normal 3 2 3 5 6" xfId="38931"/>
    <cellStyle name="Normal 3 2 3 6" xfId="1440"/>
    <cellStyle name="Normal 3 2 3 6 2" xfId="2939"/>
    <cellStyle name="Normal 3 2 3 6 2 2" xfId="25107"/>
    <cellStyle name="Normal 3 2 3 6 3" xfId="4438"/>
    <cellStyle name="Normal 3 2 3 6 3 2" xfId="26605"/>
    <cellStyle name="Normal 3 2 3 6 4" xfId="22111"/>
    <cellStyle name="Normal 3 2 3 6 4 2" xfId="38323"/>
    <cellStyle name="Normal 3 2 3 6 5" xfId="23609"/>
    <cellStyle name="Normal 3 2 3 6 6" xfId="39057"/>
    <cellStyle name="Normal 3 2 3 7" xfId="1886"/>
    <cellStyle name="Normal 3 2 3 7 2" xfId="24054"/>
    <cellStyle name="Normal 3 2 3 7 3" xfId="39205"/>
    <cellStyle name="Normal 3 2 3 8" xfId="3385"/>
    <cellStyle name="Normal 3 2 3 8 2" xfId="25552"/>
    <cellStyle name="Normal 3 2 3 8 3" xfId="39354"/>
    <cellStyle name="Normal 3 2 3 9" xfId="5739"/>
    <cellStyle name="Normal 3 2 4" xfId="355"/>
    <cellStyle name="Normal 3 2 4 10" xfId="22560"/>
    <cellStyle name="Normal 3 2 4 11" xfId="38730"/>
    <cellStyle name="Normal 3 2 4 2" xfId="506"/>
    <cellStyle name="Normal 3 2 4 2 2" xfId="859"/>
    <cellStyle name="Normal 3 2 4 2 2 2" xfId="2358"/>
    <cellStyle name="Normal 3 2 4 2 2 2 2" xfId="24526"/>
    <cellStyle name="Normal 3 2 4 2 2 3" xfId="3857"/>
    <cellStyle name="Normal 3 2 4 2 2 3 2" xfId="26024"/>
    <cellStyle name="Normal 3 2 4 2 2 4" xfId="21530"/>
    <cellStyle name="Normal 3 2 4 2 2 4 2" xfId="37742"/>
    <cellStyle name="Normal 3 2 4 2 2 5" xfId="23028"/>
    <cellStyle name="Normal 3 2 4 2 3" xfId="1210"/>
    <cellStyle name="Normal 3 2 4 2 3 2" xfId="2709"/>
    <cellStyle name="Normal 3 2 4 2 3 2 2" xfId="24877"/>
    <cellStyle name="Normal 3 2 4 2 3 3" xfId="4208"/>
    <cellStyle name="Normal 3 2 4 2 3 3 2" xfId="26375"/>
    <cellStyle name="Normal 3 2 4 2 3 4" xfId="21881"/>
    <cellStyle name="Normal 3 2 4 2 3 4 2" xfId="38093"/>
    <cellStyle name="Normal 3 2 4 2 3 5" xfId="23379"/>
    <cellStyle name="Normal 3 2 4 2 4" xfId="1561"/>
    <cellStyle name="Normal 3 2 4 2 4 2" xfId="3060"/>
    <cellStyle name="Normal 3 2 4 2 4 2 2" xfId="25228"/>
    <cellStyle name="Normal 3 2 4 2 4 3" xfId="4559"/>
    <cellStyle name="Normal 3 2 4 2 4 3 2" xfId="26726"/>
    <cellStyle name="Normal 3 2 4 2 4 4" xfId="22232"/>
    <cellStyle name="Normal 3 2 4 2 4 4 2" xfId="38444"/>
    <cellStyle name="Normal 3 2 4 2 4 5" xfId="23730"/>
    <cellStyle name="Normal 3 2 4 2 5" xfId="2007"/>
    <cellStyle name="Normal 3 2 4 2 5 2" xfId="24175"/>
    <cellStyle name="Normal 3 2 4 2 6" xfId="3506"/>
    <cellStyle name="Normal 3 2 4 2 6 2" xfId="25673"/>
    <cellStyle name="Normal 3 2 4 2 7" xfId="21179"/>
    <cellStyle name="Normal 3 2 4 2 7 2" xfId="37391"/>
    <cellStyle name="Normal 3 2 4 2 8" xfId="22677"/>
    <cellStyle name="Normal 3 2 4 2 9" xfId="38851"/>
    <cellStyle name="Normal 3 2 4 3" xfId="624"/>
    <cellStyle name="Normal 3 2 4 3 2" xfId="976"/>
    <cellStyle name="Normal 3 2 4 3 2 2" xfId="2475"/>
    <cellStyle name="Normal 3 2 4 3 2 2 2" xfId="24643"/>
    <cellStyle name="Normal 3 2 4 3 2 3" xfId="3974"/>
    <cellStyle name="Normal 3 2 4 3 2 3 2" xfId="26141"/>
    <cellStyle name="Normal 3 2 4 3 2 4" xfId="21647"/>
    <cellStyle name="Normal 3 2 4 3 2 4 2" xfId="37859"/>
    <cellStyle name="Normal 3 2 4 3 2 5" xfId="23145"/>
    <cellStyle name="Normal 3 2 4 3 3" xfId="1327"/>
    <cellStyle name="Normal 3 2 4 3 3 2" xfId="2826"/>
    <cellStyle name="Normal 3 2 4 3 3 2 2" xfId="24994"/>
    <cellStyle name="Normal 3 2 4 3 3 3" xfId="4325"/>
    <cellStyle name="Normal 3 2 4 3 3 3 2" xfId="26492"/>
    <cellStyle name="Normal 3 2 4 3 3 4" xfId="21998"/>
    <cellStyle name="Normal 3 2 4 3 3 4 2" xfId="38210"/>
    <cellStyle name="Normal 3 2 4 3 3 5" xfId="23496"/>
    <cellStyle name="Normal 3 2 4 3 4" xfId="1678"/>
    <cellStyle name="Normal 3 2 4 3 4 2" xfId="3177"/>
    <cellStyle name="Normal 3 2 4 3 4 2 2" xfId="25345"/>
    <cellStyle name="Normal 3 2 4 3 4 3" xfId="4676"/>
    <cellStyle name="Normal 3 2 4 3 4 3 2" xfId="26843"/>
    <cellStyle name="Normal 3 2 4 3 4 4" xfId="22349"/>
    <cellStyle name="Normal 3 2 4 3 4 4 2" xfId="38561"/>
    <cellStyle name="Normal 3 2 4 3 4 5" xfId="23847"/>
    <cellStyle name="Normal 3 2 4 3 5" xfId="2124"/>
    <cellStyle name="Normal 3 2 4 3 5 2" xfId="24292"/>
    <cellStyle name="Normal 3 2 4 3 6" xfId="3623"/>
    <cellStyle name="Normal 3 2 4 3 6 2" xfId="25790"/>
    <cellStyle name="Normal 3 2 4 3 7" xfId="21296"/>
    <cellStyle name="Normal 3 2 4 3 7 2" xfId="37508"/>
    <cellStyle name="Normal 3 2 4 3 8" xfId="22794"/>
    <cellStyle name="Normal 3 2 4 3 9" xfId="38891"/>
    <cellStyle name="Normal 3 2 4 4" xfId="742"/>
    <cellStyle name="Normal 3 2 4 4 2" xfId="2241"/>
    <cellStyle name="Normal 3 2 4 4 2 2" xfId="24409"/>
    <cellStyle name="Normal 3 2 4 4 3" xfId="3740"/>
    <cellStyle name="Normal 3 2 4 4 3 2" xfId="25907"/>
    <cellStyle name="Normal 3 2 4 4 4" xfId="21413"/>
    <cellStyle name="Normal 3 2 4 4 4 2" xfId="37625"/>
    <cellStyle name="Normal 3 2 4 4 5" xfId="22911"/>
    <cellStyle name="Normal 3 2 4 4 6" xfId="38943"/>
    <cellStyle name="Normal 3 2 4 5" xfId="1093"/>
    <cellStyle name="Normal 3 2 4 5 2" xfId="2592"/>
    <cellStyle name="Normal 3 2 4 5 2 2" xfId="24760"/>
    <cellStyle name="Normal 3 2 4 5 3" xfId="4091"/>
    <cellStyle name="Normal 3 2 4 5 3 2" xfId="26258"/>
    <cellStyle name="Normal 3 2 4 5 4" xfId="21764"/>
    <cellStyle name="Normal 3 2 4 5 4 2" xfId="37976"/>
    <cellStyle name="Normal 3 2 4 5 5" xfId="23262"/>
    <cellStyle name="Normal 3 2 4 5 6" xfId="39069"/>
    <cellStyle name="Normal 3 2 4 6" xfId="1444"/>
    <cellStyle name="Normal 3 2 4 6 2" xfId="2943"/>
    <cellStyle name="Normal 3 2 4 6 2 2" xfId="25111"/>
    <cellStyle name="Normal 3 2 4 6 3" xfId="4442"/>
    <cellStyle name="Normal 3 2 4 6 3 2" xfId="26609"/>
    <cellStyle name="Normal 3 2 4 6 4" xfId="22115"/>
    <cellStyle name="Normal 3 2 4 6 4 2" xfId="38327"/>
    <cellStyle name="Normal 3 2 4 6 5" xfId="23613"/>
    <cellStyle name="Normal 3 2 4 6 6" xfId="39217"/>
    <cellStyle name="Normal 3 2 4 7" xfId="1890"/>
    <cellStyle name="Normal 3 2 4 7 2" xfId="24058"/>
    <cellStyle name="Normal 3 2 4 7 3" xfId="39366"/>
    <cellStyle name="Normal 3 2 4 8" xfId="3389"/>
    <cellStyle name="Normal 3 2 4 8 2" xfId="25556"/>
    <cellStyle name="Normal 3 2 4 9" xfId="21062"/>
    <cellStyle name="Normal 3 2 4 9 2" xfId="37274"/>
    <cellStyle name="Normal 3 2 5" xfId="494"/>
    <cellStyle name="Normal 3 2 5 2" xfId="847"/>
    <cellStyle name="Normal 3 2 5 2 2" xfId="2346"/>
    <cellStyle name="Normal 3 2 5 2 2 2" xfId="24514"/>
    <cellStyle name="Normal 3 2 5 2 3" xfId="3845"/>
    <cellStyle name="Normal 3 2 5 2 3 2" xfId="26012"/>
    <cellStyle name="Normal 3 2 5 2 4" xfId="21518"/>
    <cellStyle name="Normal 3 2 5 2 4 2" xfId="37730"/>
    <cellStyle name="Normal 3 2 5 2 5" xfId="23016"/>
    <cellStyle name="Normal 3 2 5 2 6" xfId="38858"/>
    <cellStyle name="Normal 3 2 5 3" xfId="1198"/>
    <cellStyle name="Normal 3 2 5 3 2" xfId="2697"/>
    <cellStyle name="Normal 3 2 5 3 2 2" xfId="24865"/>
    <cellStyle name="Normal 3 2 5 3 3" xfId="4196"/>
    <cellStyle name="Normal 3 2 5 3 3 2" xfId="26363"/>
    <cellStyle name="Normal 3 2 5 3 4" xfId="21869"/>
    <cellStyle name="Normal 3 2 5 3 4 2" xfId="38081"/>
    <cellStyle name="Normal 3 2 5 3 5" xfId="23367"/>
    <cellStyle name="Normal 3 2 5 3 6" xfId="38898"/>
    <cellStyle name="Normal 3 2 5 4" xfId="1549"/>
    <cellStyle name="Normal 3 2 5 4 2" xfId="3048"/>
    <cellStyle name="Normal 3 2 5 4 2 2" xfId="25216"/>
    <cellStyle name="Normal 3 2 5 4 3" xfId="4547"/>
    <cellStyle name="Normal 3 2 5 4 3 2" xfId="26714"/>
    <cellStyle name="Normal 3 2 5 4 4" xfId="22220"/>
    <cellStyle name="Normal 3 2 5 4 4 2" xfId="38432"/>
    <cellStyle name="Normal 3 2 5 4 5" xfId="23718"/>
    <cellStyle name="Normal 3 2 5 4 6" xfId="39489"/>
    <cellStyle name="Normal 3 2 5 5" xfId="1995"/>
    <cellStyle name="Normal 3 2 5 5 2" xfId="24163"/>
    <cellStyle name="Normal 3 2 5 6" xfId="3494"/>
    <cellStyle name="Normal 3 2 5 6 2" xfId="25661"/>
    <cellStyle name="Normal 3 2 5 7" xfId="21167"/>
    <cellStyle name="Normal 3 2 5 7 2" xfId="37379"/>
    <cellStyle name="Normal 3 2 5 8" xfId="22665"/>
    <cellStyle name="Normal 3 2 5 9" xfId="38737"/>
    <cellStyle name="Normal 3 2 6" xfId="612"/>
    <cellStyle name="Normal 3 2 6 2" xfId="964"/>
    <cellStyle name="Normal 3 2 6 2 2" xfId="2463"/>
    <cellStyle name="Normal 3 2 6 2 2 2" xfId="24631"/>
    <cellStyle name="Normal 3 2 6 2 3" xfId="3962"/>
    <cellStyle name="Normal 3 2 6 2 3 2" xfId="26129"/>
    <cellStyle name="Normal 3 2 6 2 4" xfId="21635"/>
    <cellStyle name="Normal 3 2 6 2 4 2" xfId="37847"/>
    <cellStyle name="Normal 3 2 6 2 5" xfId="23133"/>
    <cellStyle name="Normal 3 2 6 3" xfId="1315"/>
    <cellStyle name="Normal 3 2 6 3 2" xfId="2814"/>
    <cellStyle name="Normal 3 2 6 3 2 2" xfId="24982"/>
    <cellStyle name="Normal 3 2 6 3 3" xfId="4313"/>
    <cellStyle name="Normal 3 2 6 3 3 2" xfId="26480"/>
    <cellStyle name="Normal 3 2 6 3 4" xfId="21986"/>
    <cellStyle name="Normal 3 2 6 3 4 2" xfId="38198"/>
    <cellStyle name="Normal 3 2 6 3 5" xfId="23484"/>
    <cellStyle name="Normal 3 2 6 4" xfId="1666"/>
    <cellStyle name="Normal 3 2 6 4 2" xfId="3165"/>
    <cellStyle name="Normal 3 2 6 4 2 2" xfId="25333"/>
    <cellStyle name="Normal 3 2 6 4 3" xfId="4664"/>
    <cellStyle name="Normal 3 2 6 4 3 2" xfId="26831"/>
    <cellStyle name="Normal 3 2 6 4 4" xfId="22337"/>
    <cellStyle name="Normal 3 2 6 4 4 2" xfId="38549"/>
    <cellStyle name="Normal 3 2 6 4 5" xfId="23835"/>
    <cellStyle name="Normal 3 2 6 5" xfId="2112"/>
    <cellStyle name="Normal 3 2 6 5 2" xfId="24280"/>
    <cellStyle name="Normal 3 2 6 6" xfId="3611"/>
    <cellStyle name="Normal 3 2 6 6 2" xfId="25778"/>
    <cellStyle name="Normal 3 2 6 7" xfId="21284"/>
    <cellStyle name="Normal 3 2 6 7 2" xfId="37496"/>
    <cellStyle name="Normal 3 2 6 8" xfId="22782"/>
    <cellStyle name="Normal 3 2 6 9" xfId="38825"/>
    <cellStyle name="Normal 3 2 7" xfId="343"/>
    <cellStyle name="Normal 3 2 7 2" xfId="1878"/>
    <cellStyle name="Normal 3 2 7 2 2" xfId="24046"/>
    <cellStyle name="Normal 3 2 7 3" xfId="3377"/>
    <cellStyle name="Normal 3 2 7 3 2" xfId="25544"/>
    <cellStyle name="Normal 3 2 7 4" xfId="21050"/>
    <cellStyle name="Normal 3 2 7 4 2" xfId="37262"/>
    <cellStyle name="Normal 3 2 7 5" xfId="22548"/>
    <cellStyle name="Normal 3 2 7 6" xfId="38865"/>
    <cellStyle name="Normal 3 2 8" xfId="730"/>
    <cellStyle name="Normal 3 2 8 2" xfId="2229"/>
    <cellStyle name="Normal 3 2 8 2 2" xfId="24397"/>
    <cellStyle name="Normal 3 2 8 3" xfId="3728"/>
    <cellStyle name="Normal 3 2 8 3 2" xfId="25895"/>
    <cellStyle name="Normal 3 2 8 4" xfId="21401"/>
    <cellStyle name="Normal 3 2 8 4 2" xfId="37613"/>
    <cellStyle name="Normal 3 2 8 5" xfId="22899"/>
    <cellStyle name="Normal 3 2 8 6" xfId="38917"/>
    <cellStyle name="Normal 3 2 9" xfId="1081"/>
    <cellStyle name="Normal 3 2 9 2" xfId="2580"/>
    <cellStyle name="Normal 3 2 9 2 2" xfId="24748"/>
    <cellStyle name="Normal 3 2 9 3" xfId="4079"/>
    <cellStyle name="Normal 3 2 9 3 2" xfId="26246"/>
    <cellStyle name="Normal 3 2 9 4" xfId="21752"/>
    <cellStyle name="Normal 3 2 9 4 2" xfId="37964"/>
    <cellStyle name="Normal 3 2 9 5" xfId="23250"/>
    <cellStyle name="Normal 3 2 9 6" xfId="39043"/>
    <cellStyle name="Normal 3 20" xfId="22491"/>
    <cellStyle name="Normal 3 21" xfId="39548"/>
    <cellStyle name="Normal 3 22" xfId="282"/>
    <cellStyle name="Normal 3 3" xfId="196"/>
    <cellStyle name="Normal 3 3 10" xfId="39342"/>
    <cellStyle name="Normal 3 3 11" xfId="38715"/>
    <cellStyle name="Normal 3 3 12" xfId="285"/>
    <cellStyle name="Normal 3 3 2" xfId="38723"/>
    <cellStyle name="Normal 3 3 2 2" xfId="38759"/>
    <cellStyle name="Normal 3 3 2 2 2" xfId="38847"/>
    <cellStyle name="Normal 3 3 2 2 3" xfId="38887"/>
    <cellStyle name="Normal 3 3 2 2 4" xfId="38939"/>
    <cellStyle name="Normal 3 3 2 2 5" xfId="39065"/>
    <cellStyle name="Normal 3 3 2 2 6" xfId="39213"/>
    <cellStyle name="Normal 3 3 2 2 7" xfId="39362"/>
    <cellStyle name="Normal 3 3 2 3" xfId="38745"/>
    <cellStyle name="Normal 3 3 2 4" xfId="38833"/>
    <cellStyle name="Normal 3 3 2 5" xfId="38873"/>
    <cellStyle name="Normal 3 3 2 6" xfId="38925"/>
    <cellStyle name="Normal 3 3 2 7" xfId="39051"/>
    <cellStyle name="Normal 3 3 2 8" xfId="39199"/>
    <cellStyle name="Normal 3 3 2 9" xfId="39348"/>
    <cellStyle name="Normal 3 3 3" xfId="38732"/>
    <cellStyle name="Normal 3 3 3 2" xfId="38753"/>
    <cellStyle name="Normal 3 3 3 3" xfId="38841"/>
    <cellStyle name="Normal 3 3 3 4" xfId="38881"/>
    <cellStyle name="Normal 3 3 3 5" xfId="38933"/>
    <cellStyle name="Normal 3 3 3 6" xfId="39059"/>
    <cellStyle name="Normal 3 3 3 7" xfId="39207"/>
    <cellStyle name="Normal 3 3 3 8" xfId="39356"/>
    <cellStyle name="Normal 3 3 4" xfId="38739"/>
    <cellStyle name="Normal 3 3 4 2" xfId="38853"/>
    <cellStyle name="Normal 3 3 4 3" xfId="38893"/>
    <cellStyle name="Normal 3 3 4 4" xfId="38945"/>
    <cellStyle name="Normal 3 3 4 5" xfId="39071"/>
    <cellStyle name="Normal 3 3 4 6" xfId="39219"/>
    <cellStyle name="Normal 3 3 4 7" xfId="39368"/>
    <cellStyle name="Normal 3 3 5" xfId="38827"/>
    <cellStyle name="Normal 3 3 5 2" xfId="39493"/>
    <cellStyle name="Normal 3 3 6" xfId="38867"/>
    <cellStyle name="Normal 3 3 7" xfId="38919"/>
    <cellStyle name="Normal 3 3 8" xfId="39045"/>
    <cellStyle name="Normal 3 3 9" xfId="39193"/>
    <cellStyle name="Normal 3 4" xfId="197"/>
    <cellStyle name="Normal 3 4 10" xfId="3324"/>
    <cellStyle name="Normal 3 4 10 2" xfId="25491"/>
    <cellStyle name="Normal 3 4 11" xfId="20997"/>
    <cellStyle name="Normal 3 4 11 2" xfId="37209"/>
    <cellStyle name="Normal 3 4 12" xfId="22495"/>
    <cellStyle name="Normal 3 4 13" xfId="38719"/>
    <cellStyle name="Normal 3 4 14" xfId="288"/>
    <cellStyle name="Normal 3 4 2" xfId="497"/>
    <cellStyle name="Normal 3 4 2 2" xfId="850"/>
    <cellStyle name="Normal 3 4 2 2 2" xfId="2349"/>
    <cellStyle name="Normal 3 4 2 2 2 2" xfId="24517"/>
    <cellStyle name="Normal 3 4 2 2 3" xfId="3848"/>
    <cellStyle name="Normal 3 4 2 2 3 2" xfId="26015"/>
    <cellStyle name="Normal 3 4 2 2 4" xfId="21521"/>
    <cellStyle name="Normal 3 4 2 2 4 2" xfId="37733"/>
    <cellStyle name="Normal 3 4 2 2 5" xfId="23019"/>
    <cellStyle name="Normal 3 4 2 2 6" xfId="38843"/>
    <cellStyle name="Normal 3 4 2 3" xfId="1201"/>
    <cellStyle name="Normal 3 4 2 3 2" xfId="2700"/>
    <cellStyle name="Normal 3 4 2 3 2 2" xfId="24868"/>
    <cellStyle name="Normal 3 4 2 3 3" xfId="4199"/>
    <cellStyle name="Normal 3 4 2 3 3 2" xfId="26366"/>
    <cellStyle name="Normal 3 4 2 3 4" xfId="21872"/>
    <cellStyle name="Normal 3 4 2 3 4 2" xfId="38084"/>
    <cellStyle name="Normal 3 4 2 3 5" xfId="23370"/>
    <cellStyle name="Normal 3 4 2 3 6" xfId="38883"/>
    <cellStyle name="Normal 3 4 2 4" xfId="1552"/>
    <cellStyle name="Normal 3 4 2 4 2" xfId="3051"/>
    <cellStyle name="Normal 3 4 2 4 2 2" xfId="25219"/>
    <cellStyle name="Normal 3 4 2 4 3" xfId="4550"/>
    <cellStyle name="Normal 3 4 2 4 3 2" xfId="26717"/>
    <cellStyle name="Normal 3 4 2 4 4" xfId="22223"/>
    <cellStyle name="Normal 3 4 2 4 4 2" xfId="38435"/>
    <cellStyle name="Normal 3 4 2 4 5" xfId="23721"/>
    <cellStyle name="Normal 3 4 2 4 6" xfId="38935"/>
    <cellStyle name="Normal 3 4 2 5" xfId="1998"/>
    <cellStyle name="Normal 3 4 2 5 2" xfId="24166"/>
    <cellStyle name="Normal 3 4 2 5 3" xfId="39061"/>
    <cellStyle name="Normal 3 4 2 6" xfId="3497"/>
    <cellStyle name="Normal 3 4 2 6 2" xfId="25664"/>
    <cellStyle name="Normal 3 4 2 6 3" xfId="39209"/>
    <cellStyle name="Normal 3 4 2 7" xfId="21170"/>
    <cellStyle name="Normal 3 4 2 7 2" xfId="37382"/>
    <cellStyle name="Normal 3 4 2 7 3" xfId="39358"/>
    <cellStyle name="Normal 3 4 2 8" xfId="22668"/>
    <cellStyle name="Normal 3 4 2 9" xfId="38755"/>
    <cellStyle name="Normal 3 4 3" xfId="615"/>
    <cellStyle name="Normal 3 4 3 2" xfId="967"/>
    <cellStyle name="Normal 3 4 3 2 2" xfId="2466"/>
    <cellStyle name="Normal 3 4 3 2 2 2" xfId="24634"/>
    <cellStyle name="Normal 3 4 3 2 3" xfId="3965"/>
    <cellStyle name="Normal 3 4 3 2 3 2" xfId="26132"/>
    <cellStyle name="Normal 3 4 3 2 4" xfId="21638"/>
    <cellStyle name="Normal 3 4 3 2 4 2" xfId="37850"/>
    <cellStyle name="Normal 3 4 3 2 5" xfId="23136"/>
    <cellStyle name="Normal 3 4 3 3" xfId="1318"/>
    <cellStyle name="Normal 3 4 3 3 2" xfId="2817"/>
    <cellStyle name="Normal 3 4 3 3 2 2" xfId="24985"/>
    <cellStyle name="Normal 3 4 3 3 3" xfId="4316"/>
    <cellStyle name="Normal 3 4 3 3 3 2" xfId="26483"/>
    <cellStyle name="Normal 3 4 3 3 4" xfId="21989"/>
    <cellStyle name="Normal 3 4 3 3 4 2" xfId="38201"/>
    <cellStyle name="Normal 3 4 3 3 5" xfId="23487"/>
    <cellStyle name="Normal 3 4 3 4" xfId="1669"/>
    <cellStyle name="Normal 3 4 3 4 2" xfId="3168"/>
    <cellStyle name="Normal 3 4 3 4 2 2" xfId="25336"/>
    <cellStyle name="Normal 3 4 3 4 3" xfId="4667"/>
    <cellStyle name="Normal 3 4 3 4 3 2" xfId="26834"/>
    <cellStyle name="Normal 3 4 3 4 4" xfId="22340"/>
    <cellStyle name="Normal 3 4 3 4 4 2" xfId="38552"/>
    <cellStyle name="Normal 3 4 3 4 5" xfId="23838"/>
    <cellStyle name="Normal 3 4 3 5" xfId="2115"/>
    <cellStyle name="Normal 3 4 3 5 2" xfId="24283"/>
    <cellStyle name="Normal 3 4 3 6" xfId="3614"/>
    <cellStyle name="Normal 3 4 3 6 2" xfId="25781"/>
    <cellStyle name="Normal 3 4 3 7" xfId="21287"/>
    <cellStyle name="Normal 3 4 3 7 2" xfId="37499"/>
    <cellStyle name="Normal 3 4 3 8" xfId="22785"/>
    <cellStyle name="Normal 3 4 3 9" xfId="38741"/>
    <cellStyle name="Normal 3 4 4" xfId="346"/>
    <cellStyle name="Normal 3 4 4 2" xfId="1881"/>
    <cellStyle name="Normal 3 4 4 2 2" xfId="24049"/>
    <cellStyle name="Normal 3 4 4 3" xfId="3380"/>
    <cellStyle name="Normal 3 4 4 3 2" xfId="25547"/>
    <cellStyle name="Normal 3 4 4 4" xfId="21053"/>
    <cellStyle name="Normal 3 4 4 4 2" xfId="37265"/>
    <cellStyle name="Normal 3 4 4 5" xfId="22551"/>
    <cellStyle name="Normal 3 4 4 6" xfId="38829"/>
    <cellStyle name="Normal 3 4 5" xfId="733"/>
    <cellStyle name="Normal 3 4 5 2" xfId="2232"/>
    <cellStyle name="Normal 3 4 5 2 2" xfId="24400"/>
    <cellStyle name="Normal 3 4 5 3" xfId="3731"/>
    <cellStyle name="Normal 3 4 5 3 2" xfId="25898"/>
    <cellStyle name="Normal 3 4 5 4" xfId="21404"/>
    <cellStyle name="Normal 3 4 5 4 2" xfId="37616"/>
    <cellStyle name="Normal 3 4 5 5" xfId="22902"/>
    <cellStyle name="Normal 3 4 5 6" xfId="38869"/>
    <cellStyle name="Normal 3 4 6" xfId="1084"/>
    <cellStyle name="Normal 3 4 6 2" xfId="2583"/>
    <cellStyle name="Normal 3 4 6 2 2" xfId="24751"/>
    <cellStyle name="Normal 3 4 6 3" xfId="4082"/>
    <cellStyle name="Normal 3 4 6 3 2" xfId="26249"/>
    <cellStyle name="Normal 3 4 6 4" xfId="21755"/>
    <cellStyle name="Normal 3 4 6 4 2" xfId="37967"/>
    <cellStyle name="Normal 3 4 6 5" xfId="23253"/>
    <cellStyle name="Normal 3 4 6 6" xfId="38921"/>
    <cellStyle name="Normal 3 4 7" xfId="1435"/>
    <cellStyle name="Normal 3 4 7 2" xfId="2934"/>
    <cellStyle name="Normal 3 4 7 2 2" xfId="25102"/>
    <cellStyle name="Normal 3 4 7 3" xfId="4433"/>
    <cellStyle name="Normal 3 4 7 3 2" xfId="26600"/>
    <cellStyle name="Normal 3 4 7 4" xfId="22106"/>
    <cellStyle name="Normal 3 4 7 4 2" xfId="38318"/>
    <cellStyle name="Normal 3 4 7 5" xfId="23604"/>
    <cellStyle name="Normal 3 4 7 6" xfId="39047"/>
    <cellStyle name="Normal 3 4 8" xfId="317"/>
    <cellStyle name="Normal 3 4 8 2" xfId="1853"/>
    <cellStyle name="Normal 3 4 8 2 2" xfId="24021"/>
    <cellStyle name="Normal 3 4 8 3" xfId="3352"/>
    <cellStyle name="Normal 3 4 8 3 2" xfId="25519"/>
    <cellStyle name="Normal 3 4 8 4" xfId="21025"/>
    <cellStyle name="Normal 3 4 8 4 2" xfId="37237"/>
    <cellStyle name="Normal 3 4 8 5" xfId="22523"/>
    <cellStyle name="Normal 3 4 8 6" xfId="39195"/>
    <cellStyle name="Normal 3 4 9" xfId="1825"/>
    <cellStyle name="Normal 3 4 9 2" xfId="23993"/>
    <cellStyle name="Normal 3 4 9 3" xfId="39344"/>
    <cellStyle name="Normal 3 5" xfId="292"/>
    <cellStyle name="Normal 3 5 10" xfId="3327"/>
    <cellStyle name="Normal 3 5 10 2" xfId="25494"/>
    <cellStyle name="Normal 3 5 11" xfId="21000"/>
    <cellStyle name="Normal 3 5 11 2" xfId="37212"/>
    <cellStyle name="Normal 3 5 12" xfId="22498"/>
    <cellStyle name="Normal 3 5 13" xfId="38711"/>
    <cellStyle name="Normal 3 5 2" xfId="501"/>
    <cellStyle name="Normal 3 5 2 2" xfId="854"/>
    <cellStyle name="Normal 3 5 2 2 2" xfId="2353"/>
    <cellStyle name="Normal 3 5 2 2 2 2" xfId="24521"/>
    <cellStyle name="Normal 3 5 2 2 3" xfId="3852"/>
    <cellStyle name="Normal 3 5 2 2 3 2" xfId="26019"/>
    <cellStyle name="Normal 3 5 2 2 4" xfId="21525"/>
    <cellStyle name="Normal 3 5 2 2 4 2" xfId="37737"/>
    <cellStyle name="Normal 3 5 2 2 5" xfId="23023"/>
    <cellStyle name="Normal 3 5 2 3" xfId="1205"/>
    <cellStyle name="Normal 3 5 2 3 2" xfId="2704"/>
    <cellStyle name="Normal 3 5 2 3 2 2" xfId="24872"/>
    <cellStyle name="Normal 3 5 2 3 3" xfId="4203"/>
    <cellStyle name="Normal 3 5 2 3 3 2" xfId="26370"/>
    <cellStyle name="Normal 3 5 2 3 4" xfId="21876"/>
    <cellStyle name="Normal 3 5 2 3 4 2" xfId="38088"/>
    <cellStyle name="Normal 3 5 2 3 5" xfId="23374"/>
    <cellStyle name="Normal 3 5 2 4" xfId="1556"/>
    <cellStyle name="Normal 3 5 2 4 2" xfId="3055"/>
    <cellStyle name="Normal 3 5 2 4 2 2" xfId="25223"/>
    <cellStyle name="Normal 3 5 2 4 3" xfId="4554"/>
    <cellStyle name="Normal 3 5 2 4 3 2" xfId="26721"/>
    <cellStyle name="Normal 3 5 2 4 4" xfId="22227"/>
    <cellStyle name="Normal 3 5 2 4 4 2" xfId="38439"/>
    <cellStyle name="Normal 3 5 2 4 5" xfId="23725"/>
    <cellStyle name="Normal 3 5 2 5" xfId="2002"/>
    <cellStyle name="Normal 3 5 2 5 2" xfId="24170"/>
    <cellStyle name="Normal 3 5 2 6" xfId="3501"/>
    <cellStyle name="Normal 3 5 2 6 2" xfId="25668"/>
    <cellStyle name="Normal 3 5 2 7" xfId="21174"/>
    <cellStyle name="Normal 3 5 2 7 2" xfId="37386"/>
    <cellStyle name="Normal 3 5 2 8" xfId="22672"/>
    <cellStyle name="Normal 3 5 2 9" xfId="38747"/>
    <cellStyle name="Normal 3 5 3" xfId="619"/>
    <cellStyle name="Normal 3 5 3 2" xfId="971"/>
    <cellStyle name="Normal 3 5 3 2 2" xfId="2470"/>
    <cellStyle name="Normal 3 5 3 2 2 2" xfId="24638"/>
    <cellStyle name="Normal 3 5 3 2 3" xfId="3969"/>
    <cellStyle name="Normal 3 5 3 2 3 2" xfId="26136"/>
    <cellStyle name="Normal 3 5 3 2 4" xfId="21642"/>
    <cellStyle name="Normal 3 5 3 2 4 2" xfId="37854"/>
    <cellStyle name="Normal 3 5 3 2 5" xfId="23140"/>
    <cellStyle name="Normal 3 5 3 3" xfId="1322"/>
    <cellStyle name="Normal 3 5 3 3 2" xfId="2821"/>
    <cellStyle name="Normal 3 5 3 3 2 2" xfId="24989"/>
    <cellStyle name="Normal 3 5 3 3 3" xfId="4320"/>
    <cellStyle name="Normal 3 5 3 3 3 2" xfId="26487"/>
    <cellStyle name="Normal 3 5 3 3 4" xfId="21993"/>
    <cellStyle name="Normal 3 5 3 3 4 2" xfId="38205"/>
    <cellStyle name="Normal 3 5 3 3 5" xfId="23491"/>
    <cellStyle name="Normal 3 5 3 4" xfId="1673"/>
    <cellStyle name="Normal 3 5 3 4 2" xfId="3172"/>
    <cellStyle name="Normal 3 5 3 4 2 2" xfId="25340"/>
    <cellStyle name="Normal 3 5 3 4 3" xfId="4671"/>
    <cellStyle name="Normal 3 5 3 4 3 2" xfId="26838"/>
    <cellStyle name="Normal 3 5 3 4 4" xfId="22344"/>
    <cellStyle name="Normal 3 5 3 4 4 2" xfId="38556"/>
    <cellStyle name="Normal 3 5 3 4 5" xfId="23842"/>
    <cellStyle name="Normal 3 5 3 5" xfId="2119"/>
    <cellStyle name="Normal 3 5 3 5 2" xfId="24287"/>
    <cellStyle name="Normal 3 5 3 6" xfId="3618"/>
    <cellStyle name="Normal 3 5 3 6 2" xfId="25785"/>
    <cellStyle name="Normal 3 5 3 7" xfId="21291"/>
    <cellStyle name="Normal 3 5 3 7 2" xfId="37503"/>
    <cellStyle name="Normal 3 5 3 8" xfId="22789"/>
    <cellStyle name="Normal 3 5 3 9" xfId="38835"/>
    <cellStyle name="Normal 3 5 4" xfId="350"/>
    <cellStyle name="Normal 3 5 4 2" xfId="1885"/>
    <cellStyle name="Normal 3 5 4 2 2" xfId="24053"/>
    <cellStyle name="Normal 3 5 4 3" xfId="3384"/>
    <cellStyle name="Normal 3 5 4 3 2" xfId="25551"/>
    <cellStyle name="Normal 3 5 4 4" xfId="21057"/>
    <cellStyle name="Normal 3 5 4 4 2" xfId="37269"/>
    <cellStyle name="Normal 3 5 4 5" xfId="22555"/>
    <cellStyle name="Normal 3 5 4 6" xfId="38875"/>
    <cellStyle name="Normal 3 5 5" xfId="737"/>
    <cellStyle name="Normal 3 5 5 2" xfId="2236"/>
    <cellStyle name="Normal 3 5 5 2 2" xfId="24404"/>
    <cellStyle name="Normal 3 5 5 3" xfId="3735"/>
    <cellStyle name="Normal 3 5 5 3 2" xfId="25902"/>
    <cellStyle name="Normal 3 5 5 4" xfId="21408"/>
    <cellStyle name="Normal 3 5 5 4 2" xfId="37620"/>
    <cellStyle name="Normal 3 5 5 5" xfId="22906"/>
    <cellStyle name="Normal 3 5 5 6" xfId="38927"/>
    <cellStyle name="Normal 3 5 6" xfId="1088"/>
    <cellStyle name="Normal 3 5 6 2" xfId="2587"/>
    <cellStyle name="Normal 3 5 6 2 2" xfId="24755"/>
    <cellStyle name="Normal 3 5 6 3" xfId="4086"/>
    <cellStyle name="Normal 3 5 6 3 2" xfId="26253"/>
    <cellStyle name="Normal 3 5 6 4" xfId="21759"/>
    <cellStyle name="Normal 3 5 6 4 2" xfId="37971"/>
    <cellStyle name="Normal 3 5 6 5" xfId="23257"/>
    <cellStyle name="Normal 3 5 6 6" xfId="39053"/>
    <cellStyle name="Normal 3 5 7" xfId="1439"/>
    <cellStyle name="Normal 3 5 7 2" xfId="2938"/>
    <cellStyle name="Normal 3 5 7 2 2" xfId="25106"/>
    <cellStyle name="Normal 3 5 7 3" xfId="4437"/>
    <cellStyle name="Normal 3 5 7 3 2" xfId="26604"/>
    <cellStyle name="Normal 3 5 7 4" xfId="22110"/>
    <cellStyle name="Normal 3 5 7 4 2" xfId="38322"/>
    <cellStyle name="Normal 3 5 7 5" xfId="23608"/>
    <cellStyle name="Normal 3 5 7 6" xfId="39201"/>
    <cellStyle name="Normal 3 5 8" xfId="321"/>
    <cellStyle name="Normal 3 5 8 2" xfId="1856"/>
    <cellStyle name="Normal 3 5 8 2 2" xfId="24024"/>
    <cellStyle name="Normal 3 5 8 3" xfId="3355"/>
    <cellStyle name="Normal 3 5 8 3 2" xfId="25522"/>
    <cellStyle name="Normal 3 5 8 4" xfId="21028"/>
    <cellStyle name="Normal 3 5 8 4 2" xfId="37240"/>
    <cellStyle name="Normal 3 5 8 5" xfId="22526"/>
    <cellStyle name="Normal 3 5 8 6" xfId="39350"/>
    <cellStyle name="Normal 3 5 9" xfId="1828"/>
    <cellStyle name="Normal 3 5 9 2" xfId="23996"/>
    <cellStyle name="Normal 3 6" xfId="354"/>
    <cellStyle name="Normal 3 6 10" xfId="22559"/>
    <cellStyle name="Normal 3 6 11" xfId="38728"/>
    <cellStyle name="Normal 3 6 2" xfId="505"/>
    <cellStyle name="Normal 3 6 2 2" xfId="858"/>
    <cellStyle name="Normal 3 6 2 2 2" xfId="2357"/>
    <cellStyle name="Normal 3 6 2 2 2 2" xfId="24525"/>
    <cellStyle name="Normal 3 6 2 2 3" xfId="3856"/>
    <cellStyle name="Normal 3 6 2 2 3 2" xfId="26023"/>
    <cellStyle name="Normal 3 6 2 2 4" xfId="21529"/>
    <cellStyle name="Normal 3 6 2 2 4 2" xfId="37741"/>
    <cellStyle name="Normal 3 6 2 2 5" xfId="23027"/>
    <cellStyle name="Normal 3 6 2 3" xfId="1209"/>
    <cellStyle name="Normal 3 6 2 3 2" xfId="2708"/>
    <cellStyle name="Normal 3 6 2 3 2 2" xfId="24876"/>
    <cellStyle name="Normal 3 6 2 3 3" xfId="4207"/>
    <cellStyle name="Normal 3 6 2 3 3 2" xfId="26374"/>
    <cellStyle name="Normal 3 6 2 3 4" xfId="21880"/>
    <cellStyle name="Normal 3 6 2 3 4 2" xfId="38092"/>
    <cellStyle name="Normal 3 6 2 3 5" xfId="23378"/>
    <cellStyle name="Normal 3 6 2 4" xfId="1560"/>
    <cellStyle name="Normal 3 6 2 4 2" xfId="3059"/>
    <cellStyle name="Normal 3 6 2 4 2 2" xfId="25227"/>
    <cellStyle name="Normal 3 6 2 4 3" xfId="4558"/>
    <cellStyle name="Normal 3 6 2 4 3 2" xfId="26725"/>
    <cellStyle name="Normal 3 6 2 4 4" xfId="22231"/>
    <cellStyle name="Normal 3 6 2 4 4 2" xfId="38443"/>
    <cellStyle name="Normal 3 6 2 4 5" xfId="23729"/>
    <cellStyle name="Normal 3 6 2 5" xfId="2006"/>
    <cellStyle name="Normal 3 6 2 5 2" xfId="24174"/>
    <cellStyle name="Normal 3 6 2 6" xfId="3505"/>
    <cellStyle name="Normal 3 6 2 6 2" xfId="25672"/>
    <cellStyle name="Normal 3 6 2 7" xfId="21178"/>
    <cellStyle name="Normal 3 6 2 7 2" xfId="37390"/>
    <cellStyle name="Normal 3 6 2 8" xfId="22676"/>
    <cellStyle name="Normal 3 6 2 9" xfId="38749"/>
    <cellStyle name="Normal 3 6 3" xfId="623"/>
    <cellStyle name="Normal 3 6 3 2" xfId="975"/>
    <cellStyle name="Normal 3 6 3 2 2" xfId="2474"/>
    <cellStyle name="Normal 3 6 3 2 2 2" xfId="24642"/>
    <cellStyle name="Normal 3 6 3 2 3" xfId="3973"/>
    <cellStyle name="Normal 3 6 3 2 3 2" xfId="26140"/>
    <cellStyle name="Normal 3 6 3 2 4" xfId="21646"/>
    <cellStyle name="Normal 3 6 3 2 4 2" xfId="37858"/>
    <cellStyle name="Normal 3 6 3 2 5" xfId="23144"/>
    <cellStyle name="Normal 3 6 3 3" xfId="1326"/>
    <cellStyle name="Normal 3 6 3 3 2" xfId="2825"/>
    <cellStyle name="Normal 3 6 3 3 2 2" xfId="24993"/>
    <cellStyle name="Normal 3 6 3 3 3" xfId="4324"/>
    <cellStyle name="Normal 3 6 3 3 3 2" xfId="26491"/>
    <cellStyle name="Normal 3 6 3 3 4" xfId="21997"/>
    <cellStyle name="Normal 3 6 3 3 4 2" xfId="38209"/>
    <cellStyle name="Normal 3 6 3 3 5" xfId="23495"/>
    <cellStyle name="Normal 3 6 3 4" xfId="1677"/>
    <cellStyle name="Normal 3 6 3 4 2" xfId="3176"/>
    <cellStyle name="Normal 3 6 3 4 2 2" xfId="25344"/>
    <cellStyle name="Normal 3 6 3 4 3" xfId="4675"/>
    <cellStyle name="Normal 3 6 3 4 3 2" xfId="26842"/>
    <cellStyle name="Normal 3 6 3 4 4" xfId="22348"/>
    <cellStyle name="Normal 3 6 3 4 4 2" xfId="38560"/>
    <cellStyle name="Normal 3 6 3 4 5" xfId="23846"/>
    <cellStyle name="Normal 3 6 3 5" xfId="2123"/>
    <cellStyle name="Normal 3 6 3 5 2" xfId="24291"/>
    <cellStyle name="Normal 3 6 3 6" xfId="3622"/>
    <cellStyle name="Normal 3 6 3 6 2" xfId="25789"/>
    <cellStyle name="Normal 3 6 3 7" xfId="21295"/>
    <cellStyle name="Normal 3 6 3 7 2" xfId="37507"/>
    <cellStyle name="Normal 3 6 3 8" xfId="22793"/>
    <cellStyle name="Normal 3 6 3 9" xfId="38837"/>
    <cellStyle name="Normal 3 6 4" xfId="741"/>
    <cellStyle name="Normal 3 6 4 2" xfId="2240"/>
    <cellStyle name="Normal 3 6 4 2 2" xfId="24408"/>
    <cellStyle name="Normal 3 6 4 3" xfId="3739"/>
    <cellStyle name="Normal 3 6 4 3 2" xfId="25906"/>
    <cellStyle name="Normal 3 6 4 4" xfId="21412"/>
    <cellStyle name="Normal 3 6 4 4 2" xfId="37624"/>
    <cellStyle name="Normal 3 6 4 5" xfId="22910"/>
    <cellStyle name="Normal 3 6 4 6" xfId="38877"/>
    <cellStyle name="Normal 3 6 5" xfId="1092"/>
    <cellStyle name="Normal 3 6 5 2" xfId="2591"/>
    <cellStyle name="Normal 3 6 5 2 2" xfId="24759"/>
    <cellStyle name="Normal 3 6 5 3" xfId="4090"/>
    <cellStyle name="Normal 3 6 5 3 2" xfId="26257"/>
    <cellStyle name="Normal 3 6 5 4" xfId="21763"/>
    <cellStyle name="Normal 3 6 5 4 2" xfId="37975"/>
    <cellStyle name="Normal 3 6 5 5" xfId="23261"/>
    <cellStyle name="Normal 3 6 5 6" xfId="38929"/>
    <cellStyle name="Normal 3 6 6" xfId="1443"/>
    <cellStyle name="Normal 3 6 6 2" xfId="2942"/>
    <cellStyle name="Normal 3 6 6 2 2" xfId="25110"/>
    <cellStyle name="Normal 3 6 6 3" xfId="4441"/>
    <cellStyle name="Normal 3 6 6 3 2" xfId="26608"/>
    <cellStyle name="Normal 3 6 6 4" xfId="22114"/>
    <cellStyle name="Normal 3 6 6 4 2" xfId="38326"/>
    <cellStyle name="Normal 3 6 6 5" xfId="23612"/>
    <cellStyle name="Normal 3 6 6 6" xfId="39055"/>
    <cellStyle name="Normal 3 6 7" xfId="1889"/>
    <cellStyle name="Normal 3 6 7 2" xfId="24057"/>
    <cellStyle name="Normal 3 6 7 3" xfId="39203"/>
    <cellStyle name="Normal 3 6 8" xfId="3388"/>
    <cellStyle name="Normal 3 6 8 2" xfId="25555"/>
    <cellStyle name="Normal 3 6 8 3" xfId="39352"/>
    <cellStyle name="Normal 3 6 9" xfId="21061"/>
    <cellStyle name="Normal 3 6 9 2" xfId="37273"/>
    <cellStyle name="Normal 3 7" xfId="359"/>
    <cellStyle name="Normal 3 7 2" xfId="38849"/>
    <cellStyle name="Normal 3 7 3" xfId="38889"/>
    <cellStyle name="Normal 3 7 4" xfId="38941"/>
    <cellStyle name="Normal 3 7 5" xfId="39067"/>
    <cellStyle name="Normal 3 7 6" xfId="39215"/>
    <cellStyle name="Normal 3 7 7" xfId="39364"/>
    <cellStyle name="Normal 3 7 8" xfId="38735"/>
    <cellStyle name="Normal 3 8" xfId="493"/>
    <cellStyle name="Normal 3 8 2" xfId="846"/>
    <cellStyle name="Normal 3 8 2 2" xfId="2345"/>
    <cellStyle name="Normal 3 8 2 2 2" xfId="24513"/>
    <cellStyle name="Normal 3 8 2 3" xfId="3844"/>
    <cellStyle name="Normal 3 8 2 3 2" xfId="26011"/>
    <cellStyle name="Normal 3 8 2 4" xfId="21517"/>
    <cellStyle name="Normal 3 8 2 4 2" xfId="37729"/>
    <cellStyle name="Normal 3 8 2 5" xfId="23015"/>
    <cellStyle name="Normal 3 8 2 6" xfId="38854"/>
    <cellStyle name="Normal 3 8 3" xfId="1197"/>
    <cellStyle name="Normal 3 8 3 2" xfId="2696"/>
    <cellStyle name="Normal 3 8 3 2 2" xfId="24864"/>
    <cellStyle name="Normal 3 8 3 3" xfId="4195"/>
    <cellStyle name="Normal 3 8 3 3 2" xfId="26362"/>
    <cellStyle name="Normal 3 8 3 4" xfId="21868"/>
    <cellStyle name="Normal 3 8 3 4 2" xfId="38080"/>
    <cellStyle name="Normal 3 8 3 5" xfId="23366"/>
    <cellStyle name="Normal 3 8 3 6" xfId="38894"/>
    <cellStyle name="Normal 3 8 4" xfId="1548"/>
    <cellStyle name="Normal 3 8 4 2" xfId="3047"/>
    <cellStyle name="Normal 3 8 4 2 2" xfId="25215"/>
    <cellStyle name="Normal 3 8 4 3" xfId="4546"/>
    <cellStyle name="Normal 3 8 4 3 2" xfId="26713"/>
    <cellStyle name="Normal 3 8 4 4" xfId="22219"/>
    <cellStyle name="Normal 3 8 4 4 2" xfId="38431"/>
    <cellStyle name="Normal 3 8 4 5" xfId="23717"/>
    <cellStyle name="Normal 3 8 4 6" xfId="38946"/>
    <cellStyle name="Normal 3 8 5" xfId="1994"/>
    <cellStyle name="Normal 3 8 5 2" xfId="24162"/>
    <cellStyle name="Normal 3 8 5 3" xfId="39072"/>
    <cellStyle name="Normal 3 8 6" xfId="3493"/>
    <cellStyle name="Normal 3 8 6 2" xfId="25660"/>
    <cellStyle name="Normal 3 8 6 3" xfId="39220"/>
    <cellStyle name="Normal 3 8 7" xfId="21166"/>
    <cellStyle name="Normal 3 8 7 2" xfId="37378"/>
    <cellStyle name="Normal 3 8 7 3" xfId="39369"/>
    <cellStyle name="Normal 3 8 8" xfId="22664"/>
    <cellStyle name="Normal 3 8 9" xfId="38760"/>
    <cellStyle name="Normal 3 9" xfId="611"/>
    <cellStyle name="Normal 3 9 2" xfId="963"/>
    <cellStyle name="Normal 3 9 2 2" xfId="2462"/>
    <cellStyle name="Normal 3 9 2 2 2" xfId="24630"/>
    <cellStyle name="Normal 3 9 2 3" xfId="3961"/>
    <cellStyle name="Normal 3 9 2 3 2" xfId="26128"/>
    <cellStyle name="Normal 3 9 2 4" xfId="21634"/>
    <cellStyle name="Normal 3 9 2 4 2" xfId="37846"/>
    <cellStyle name="Normal 3 9 2 5" xfId="23132"/>
    <cellStyle name="Normal 3 9 2 6" xfId="38956"/>
    <cellStyle name="Normal 3 9 3" xfId="1314"/>
    <cellStyle name="Normal 3 9 3 2" xfId="2813"/>
    <cellStyle name="Normal 3 9 3 2 2" xfId="24981"/>
    <cellStyle name="Normal 3 9 3 3" xfId="4312"/>
    <cellStyle name="Normal 3 9 3 3 2" xfId="26479"/>
    <cellStyle name="Normal 3 9 3 4" xfId="21985"/>
    <cellStyle name="Normal 3 9 3 4 2" xfId="38197"/>
    <cellStyle name="Normal 3 9 3 5" xfId="23483"/>
    <cellStyle name="Normal 3 9 4" xfId="1665"/>
    <cellStyle name="Normal 3 9 4 2" xfId="3164"/>
    <cellStyle name="Normal 3 9 4 2 2" xfId="25332"/>
    <cellStyle name="Normal 3 9 4 3" xfId="4663"/>
    <cellStyle name="Normal 3 9 4 3 2" xfId="26830"/>
    <cellStyle name="Normal 3 9 4 4" xfId="22336"/>
    <cellStyle name="Normal 3 9 4 4 2" xfId="38548"/>
    <cellStyle name="Normal 3 9 4 5" xfId="23834"/>
    <cellStyle name="Normal 3 9 5" xfId="2111"/>
    <cellStyle name="Normal 3 9 5 2" xfId="24279"/>
    <cellStyle name="Normal 3 9 6" xfId="3610"/>
    <cellStyle name="Normal 3 9 6 2" xfId="25777"/>
    <cellStyle name="Normal 3 9 7" xfId="21283"/>
    <cellStyle name="Normal 3 9 7 2" xfId="37495"/>
    <cellStyle name="Normal 3 9 8" xfId="22781"/>
    <cellStyle name="Normal 3 9 9" xfId="38823"/>
    <cellStyle name="Normal 3_Cash Flows w.o FAS 95" xfId="198"/>
    <cellStyle name="Normal 30" xfId="1780"/>
    <cellStyle name="Normal 30 2" xfId="3279"/>
    <cellStyle name="Normal 30 3" xfId="39585"/>
    <cellStyle name="Normal 31" xfId="4853"/>
    <cellStyle name="Normal 31 2" xfId="39586"/>
    <cellStyle name="Normal 32" xfId="38704"/>
    <cellStyle name="Normal 32 2" xfId="39587"/>
    <cellStyle name="Normal 33" xfId="39500"/>
    <cellStyle name="Normal 33 2" xfId="39588"/>
    <cellStyle name="Normal 34" xfId="39589"/>
    <cellStyle name="Normal 35" xfId="39590"/>
    <cellStyle name="Normal 36" xfId="39591"/>
    <cellStyle name="Normal 37" xfId="39592"/>
    <cellStyle name="Normal 38" xfId="39593"/>
    <cellStyle name="Normal 39" xfId="39594"/>
    <cellStyle name="Normal 4" xfId="199"/>
    <cellStyle name="Normal 4 10" xfId="478"/>
    <cellStyle name="Normal 4 10 10" xfId="21151"/>
    <cellStyle name="Normal 4 10 10 2" xfId="37363"/>
    <cellStyle name="Normal 4 10 11" xfId="22649"/>
    <cellStyle name="Normal 4 10 2" xfId="596"/>
    <cellStyle name="Normal 4 10 2 2" xfId="948"/>
    <cellStyle name="Normal 4 10 2 2 2" xfId="2447"/>
    <cellStyle name="Normal 4 10 2 2 2 2" xfId="24615"/>
    <cellStyle name="Normal 4 10 2 2 3" xfId="3946"/>
    <cellStyle name="Normal 4 10 2 2 3 2" xfId="26113"/>
    <cellStyle name="Normal 4 10 2 2 4" xfId="21619"/>
    <cellStyle name="Normal 4 10 2 2 4 2" xfId="37831"/>
    <cellStyle name="Normal 4 10 2 2 5" xfId="23117"/>
    <cellStyle name="Normal 4 10 2 3" xfId="1299"/>
    <cellStyle name="Normal 4 10 2 3 2" xfId="2798"/>
    <cellStyle name="Normal 4 10 2 3 2 2" xfId="24966"/>
    <cellStyle name="Normal 4 10 2 3 3" xfId="4297"/>
    <cellStyle name="Normal 4 10 2 3 3 2" xfId="26464"/>
    <cellStyle name="Normal 4 10 2 3 4" xfId="21970"/>
    <cellStyle name="Normal 4 10 2 3 4 2" xfId="38182"/>
    <cellStyle name="Normal 4 10 2 3 5" xfId="23468"/>
    <cellStyle name="Normal 4 10 2 4" xfId="1650"/>
    <cellStyle name="Normal 4 10 2 4 2" xfId="3149"/>
    <cellStyle name="Normal 4 10 2 4 2 2" xfId="25317"/>
    <cellStyle name="Normal 4 10 2 4 3" xfId="4648"/>
    <cellStyle name="Normal 4 10 2 4 3 2" xfId="26815"/>
    <cellStyle name="Normal 4 10 2 4 4" xfId="22321"/>
    <cellStyle name="Normal 4 10 2 4 4 2" xfId="38533"/>
    <cellStyle name="Normal 4 10 2 4 5" xfId="23819"/>
    <cellStyle name="Normal 4 10 2 5" xfId="2096"/>
    <cellStyle name="Normal 4 10 2 5 2" xfId="24264"/>
    <cellStyle name="Normal 4 10 2 6" xfId="3595"/>
    <cellStyle name="Normal 4 10 2 6 2" xfId="25762"/>
    <cellStyle name="Normal 4 10 2 7" xfId="21268"/>
    <cellStyle name="Normal 4 10 2 7 2" xfId="37480"/>
    <cellStyle name="Normal 4 10 2 8" xfId="22766"/>
    <cellStyle name="Normal 4 10 3" xfId="714"/>
    <cellStyle name="Normal 4 10 3 2" xfId="1065"/>
    <cellStyle name="Normal 4 10 3 2 2" xfId="2564"/>
    <cellStyle name="Normal 4 10 3 2 2 2" xfId="24732"/>
    <cellStyle name="Normal 4 10 3 2 3" xfId="4063"/>
    <cellStyle name="Normal 4 10 3 2 3 2" xfId="26230"/>
    <cellStyle name="Normal 4 10 3 2 4" xfId="21736"/>
    <cellStyle name="Normal 4 10 3 2 4 2" xfId="37948"/>
    <cellStyle name="Normal 4 10 3 2 5" xfId="23234"/>
    <cellStyle name="Normal 4 10 3 3" xfId="1416"/>
    <cellStyle name="Normal 4 10 3 3 2" xfId="2915"/>
    <cellStyle name="Normal 4 10 3 3 2 2" xfId="25083"/>
    <cellStyle name="Normal 4 10 3 3 3" xfId="4414"/>
    <cellStyle name="Normal 4 10 3 3 3 2" xfId="26581"/>
    <cellStyle name="Normal 4 10 3 3 4" xfId="22087"/>
    <cellStyle name="Normal 4 10 3 3 4 2" xfId="38299"/>
    <cellStyle name="Normal 4 10 3 3 5" xfId="23585"/>
    <cellStyle name="Normal 4 10 3 4" xfId="1767"/>
    <cellStyle name="Normal 4 10 3 4 2" xfId="3266"/>
    <cellStyle name="Normal 4 10 3 4 2 2" xfId="25434"/>
    <cellStyle name="Normal 4 10 3 4 3" xfId="4765"/>
    <cellStyle name="Normal 4 10 3 4 3 2" xfId="26932"/>
    <cellStyle name="Normal 4 10 3 4 4" xfId="22438"/>
    <cellStyle name="Normal 4 10 3 4 4 2" xfId="38650"/>
    <cellStyle name="Normal 4 10 3 4 5" xfId="23936"/>
    <cellStyle name="Normal 4 10 3 5" xfId="2213"/>
    <cellStyle name="Normal 4 10 3 5 2" xfId="24381"/>
    <cellStyle name="Normal 4 10 3 6" xfId="3712"/>
    <cellStyle name="Normal 4 10 3 6 2" xfId="25879"/>
    <cellStyle name="Normal 4 10 3 7" xfId="21385"/>
    <cellStyle name="Normal 4 10 3 7 2" xfId="37597"/>
    <cellStyle name="Normal 4 10 3 8" xfId="22883"/>
    <cellStyle name="Normal 4 10 4" xfId="831"/>
    <cellStyle name="Normal 4 10 4 2" xfId="2330"/>
    <cellStyle name="Normal 4 10 4 2 2" xfId="24498"/>
    <cellStyle name="Normal 4 10 4 3" xfId="3829"/>
    <cellStyle name="Normal 4 10 4 3 2" xfId="25996"/>
    <cellStyle name="Normal 4 10 4 4" xfId="21502"/>
    <cellStyle name="Normal 4 10 4 4 2" xfId="37714"/>
    <cellStyle name="Normal 4 10 4 5" xfId="23000"/>
    <cellStyle name="Normal 4 10 5" xfId="1182"/>
    <cellStyle name="Normal 4 10 5 2" xfId="2681"/>
    <cellStyle name="Normal 4 10 5 2 2" xfId="24849"/>
    <cellStyle name="Normal 4 10 5 3" xfId="4180"/>
    <cellStyle name="Normal 4 10 5 3 2" xfId="26347"/>
    <cellStyle name="Normal 4 10 5 4" xfId="21853"/>
    <cellStyle name="Normal 4 10 5 4 2" xfId="38065"/>
    <cellStyle name="Normal 4 10 5 5" xfId="23351"/>
    <cellStyle name="Normal 4 10 6" xfId="1533"/>
    <cellStyle name="Normal 4 10 6 2" xfId="3032"/>
    <cellStyle name="Normal 4 10 6 2 2" xfId="25200"/>
    <cellStyle name="Normal 4 10 6 3" xfId="4531"/>
    <cellStyle name="Normal 4 10 6 3 2" xfId="26698"/>
    <cellStyle name="Normal 4 10 6 4" xfId="22204"/>
    <cellStyle name="Normal 4 10 6 4 2" xfId="38416"/>
    <cellStyle name="Normal 4 10 6 5" xfId="23702"/>
    <cellStyle name="Normal 4 10 7" xfId="1979"/>
    <cellStyle name="Normal 4 10 7 2" xfId="24147"/>
    <cellStyle name="Normal 4 10 8" xfId="3478"/>
    <cellStyle name="Normal 4 10 8 2" xfId="25645"/>
    <cellStyle name="Normal 4 10 9" xfId="14295"/>
    <cellStyle name="Normal 4 10 9 2" xfId="30531"/>
    <cellStyle name="Normal 4 11" xfId="378"/>
    <cellStyle name="Normal 4 11 10" xfId="22562"/>
    <cellStyle name="Normal 4 11 2" xfId="509"/>
    <cellStyle name="Normal 4 11 2 2" xfId="861"/>
    <cellStyle name="Normal 4 11 2 2 2" xfId="2360"/>
    <cellStyle name="Normal 4 11 2 2 2 2" xfId="24528"/>
    <cellStyle name="Normal 4 11 2 2 3" xfId="3859"/>
    <cellStyle name="Normal 4 11 2 2 3 2" xfId="26026"/>
    <cellStyle name="Normal 4 11 2 2 4" xfId="21532"/>
    <cellStyle name="Normal 4 11 2 2 4 2" xfId="37744"/>
    <cellStyle name="Normal 4 11 2 2 5" xfId="23030"/>
    <cellStyle name="Normal 4 11 2 3" xfId="1212"/>
    <cellStyle name="Normal 4 11 2 3 2" xfId="2711"/>
    <cellStyle name="Normal 4 11 2 3 2 2" xfId="24879"/>
    <cellStyle name="Normal 4 11 2 3 3" xfId="4210"/>
    <cellStyle name="Normal 4 11 2 3 3 2" xfId="26377"/>
    <cellStyle name="Normal 4 11 2 3 4" xfId="21883"/>
    <cellStyle name="Normal 4 11 2 3 4 2" xfId="38095"/>
    <cellStyle name="Normal 4 11 2 3 5" xfId="23381"/>
    <cellStyle name="Normal 4 11 2 4" xfId="1563"/>
    <cellStyle name="Normal 4 11 2 4 2" xfId="3062"/>
    <cellStyle name="Normal 4 11 2 4 2 2" xfId="25230"/>
    <cellStyle name="Normal 4 11 2 4 3" xfId="4561"/>
    <cellStyle name="Normal 4 11 2 4 3 2" xfId="26728"/>
    <cellStyle name="Normal 4 11 2 4 4" xfId="22234"/>
    <cellStyle name="Normal 4 11 2 4 4 2" xfId="38446"/>
    <cellStyle name="Normal 4 11 2 4 5" xfId="23732"/>
    <cellStyle name="Normal 4 11 2 5" xfId="2009"/>
    <cellStyle name="Normal 4 11 2 5 2" xfId="24177"/>
    <cellStyle name="Normal 4 11 2 6" xfId="3508"/>
    <cellStyle name="Normal 4 11 2 6 2" xfId="25675"/>
    <cellStyle name="Normal 4 11 2 7" xfId="21181"/>
    <cellStyle name="Normal 4 11 2 7 2" xfId="37393"/>
    <cellStyle name="Normal 4 11 2 8" xfId="22679"/>
    <cellStyle name="Normal 4 11 3" xfId="627"/>
    <cellStyle name="Normal 4 11 3 2" xfId="978"/>
    <cellStyle name="Normal 4 11 3 2 2" xfId="2477"/>
    <cellStyle name="Normal 4 11 3 2 2 2" xfId="24645"/>
    <cellStyle name="Normal 4 11 3 2 3" xfId="3976"/>
    <cellStyle name="Normal 4 11 3 2 3 2" xfId="26143"/>
    <cellStyle name="Normal 4 11 3 2 4" xfId="21649"/>
    <cellStyle name="Normal 4 11 3 2 4 2" xfId="37861"/>
    <cellStyle name="Normal 4 11 3 2 5" xfId="23147"/>
    <cellStyle name="Normal 4 11 3 3" xfId="1329"/>
    <cellStyle name="Normal 4 11 3 3 2" xfId="2828"/>
    <cellStyle name="Normal 4 11 3 3 2 2" xfId="24996"/>
    <cellStyle name="Normal 4 11 3 3 3" xfId="4327"/>
    <cellStyle name="Normal 4 11 3 3 3 2" xfId="26494"/>
    <cellStyle name="Normal 4 11 3 3 4" xfId="22000"/>
    <cellStyle name="Normal 4 11 3 3 4 2" xfId="38212"/>
    <cellStyle name="Normal 4 11 3 3 5" xfId="23498"/>
    <cellStyle name="Normal 4 11 3 4" xfId="1680"/>
    <cellStyle name="Normal 4 11 3 4 2" xfId="3179"/>
    <cellStyle name="Normal 4 11 3 4 2 2" xfId="25347"/>
    <cellStyle name="Normal 4 11 3 4 3" xfId="4678"/>
    <cellStyle name="Normal 4 11 3 4 3 2" xfId="26845"/>
    <cellStyle name="Normal 4 11 3 4 4" xfId="22351"/>
    <cellStyle name="Normal 4 11 3 4 4 2" xfId="38563"/>
    <cellStyle name="Normal 4 11 3 4 5" xfId="23849"/>
    <cellStyle name="Normal 4 11 3 5" xfId="2126"/>
    <cellStyle name="Normal 4 11 3 5 2" xfId="24294"/>
    <cellStyle name="Normal 4 11 3 6" xfId="3625"/>
    <cellStyle name="Normal 4 11 3 6 2" xfId="25792"/>
    <cellStyle name="Normal 4 11 3 7" xfId="21298"/>
    <cellStyle name="Normal 4 11 3 7 2" xfId="37510"/>
    <cellStyle name="Normal 4 11 3 8" xfId="22796"/>
    <cellStyle name="Normal 4 11 4" xfId="744"/>
    <cellStyle name="Normal 4 11 4 2" xfId="2243"/>
    <cellStyle name="Normal 4 11 4 2 2" xfId="24411"/>
    <cellStyle name="Normal 4 11 4 3" xfId="3742"/>
    <cellStyle name="Normal 4 11 4 3 2" xfId="25909"/>
    <cellStyle name="Normal 4 11 4 4" xfId="21415"/>
    <cellStyle name="Normal 4 11 4 4 2" xfId="37627"/>
    <cellStyle name="Normal 4 11 4 5" xfId="22913"/>
    <cellStyle name="Normal 4 11 5" xfId="1095"/>
    <cellStyle name="Normal 4 11 5 2" xfId="2594"/>
    <cellStyle name="Normal 4 11 5 2 2" xfId="24762"/>
    <cellStyle name="Normal 4 11 5 3" xfId="4093"/>
    <cellStyle name="Normal 4 11 5 3 2" xfId="26260"/>
    <cellStyle name="Normal 4 11 5 4" xfId="21766"/>
    <cellStyle name="Normal 4 11 5 4 2" xfId="37978"/>
    <cellStyle name="Normal 4 11 5 5" xfId="23264"/>
    <cellStyle name="Normal 4 11 6" xfId="1446"/>
    <cellStyle name="Normal 4 11 6 2" xfId="2945"/>
    <cellStyle name="Normal 4 11 6 2 2" xfId="25113"/>
    <cellStyle name="Normal 4 11 6 3" xfId="4444"/>
    <cellStyle name="Normal 4 11 6 3 2" xfId="26611"/>
    <cellStyle name="Normal 4 11 6 4" xfId="22117"/>
    <cellStyle name="Normal 4 11 6 4 2" xfId="38329"/>
    <cellStyle name="Normal 4 11 6 5" xfId="23615"/>
    <cellStyle name="Normal 4 11 7" xfId="1892"/>
    <cellStyle name="Normal 4 11 7 2" xfId="24060"/>
    <cellStyle name="Normal 4 11 8" xfId="3391"/>
    <cellStyle name="Normal 4 11 8 2" xfId="25558"/>
    <cellStyle name="Normal 4 11 9" xfId="21064"/>
    <cellStyle name="Normal 4 11 9 2" xfId="37276"/>
    <cellStyle name="Normal 4 12" xfId="1783"/>
    <cellStyle name="Normal 4 12 2" xfId="3282"/>
    <cellStyle name="Normal 4 12 2 2" xfId="25449"/>
    <cellStyle name="Normal 4 12 3" xfId="4780"/>
    <cellStyle name="Normal 4 12 3 2" xfId="26947"/>
    <cellStyle name="Normal 4 12 4" xfId="22453"/>
    <cellStyle name="Normal 4 12 4 2" xfId="38665"/>
    <cellStyle name="Normal 4 12 5" xfId="23951"/>
    <cellStyle name="Normal 4 13" xfId="4858"/>
    <cellStyle name="Normal 4 14" xfId="39549"/>
    <cellStyle name="Normal 4 15" xfId="284"/>
    <cellStyle name="Normal 4 2" xfId="200"/>
    <cellStyle name="Normal 4 2 10" xfId="510"/>
    <cellStyle name="Normal 4 2 10 2" xfId="862"/>
    <cellStyle name="Normal 4 2 10 2 2" xfId="2361"/>
    <cellStyle name="Normal 4 2 10 2 2 2" xfId="24529"/>
    <cellStyle name="Normal 4 2 10 2 3" xfId="3860"/>
    <cellStyle name="Normal 4 2 10 2 3 2" xfId="26027"/>
    <cellStyle name="Normal 4 2 10 2 4" xfId="21533"/>
    <cellStyle name="Normal 4 2 10 2 4 2" xfId="37745"/>
    <cellStyle name="Normal 4 2 10 2 5" xfId="23031"/>
    <cellStyle name="Normal 4 2 10 3" xfId="1213"/>
    <cellStyle name="Normal 4 2 10 3 2" xfId="2712"/>
    <cellStyle name="Normal 4 2 10 3 2 2" xfId="24880"/>
    <cellStyle name="Normal 4 2 10 3 3" xfId="4211"/>
    <cellStyle name="Normal 4 2 10 3 3 2" xfId="26378"/>
    <cellStyle name="Normal 4 2 10 3 4" xfId="21884"/>
    <cellStyle name="Normal 4 2 10 3 4 2" xfId="38096"/>
    <cellStyle name="Normal 4 2 10 3 5" xfId="23382"/>
    <cellStyle name="Normal 4 2 10 4" xfId="1564"/>
    <cellStyle name="Normal 4 2 10 4 2" xfId="3063"/>
    <cellStyle name="Normal 4 2 10 4 2 2" xfId="25231"/>
    <cellStyle name="Normal 4 2 10 4 3" xfId="4562"/>
    <cellStyle name="Normal 4 2 10 4 3 2" xfId="26729"/>
    <cellStyle name="Normal 4 2 10 4 4" xfId="22235"/>
    <cellStyle name="Normal 4 2 10 4 4 2" xfId="38447"/>
    <cellStyle name="Normal 4 2 10 4 5" xfId="23733"/>
    <cellStyle name="Normal 4 2 10 5" xfId="2010"/>
    <cellStyle name="Normal 4 2 10 5 2" xfId="24178"/>
    <cellStyle name="Normal 4 2 10 6" xfId="3509"/>
    <cellStyle name="Normal 4 2 10 6 2" xfId="25676"/>
    <cellStyle name="Normal 4 2 10 7" xfId="12812"/>
    <cellStyle name="Normal 4 2 10 8" xfId="21182"/>
    <cellStyle name="Normal 4 2 10 8 2" xfId="37394"/>
    <cellStyle name="Normal 4 2 10 9" xfId="22680"/>
    <cellStyle name="Normal 4 2 11" xfId="628"/>
    <cellStyle name="Normal 4 2 11 2" xfId="979"/>
    <cellStyle name="Normal 4 2 11 2 2" xfId="2478"/>
    <cellStyle name="Normal 4 2 11 2 2 2" xfId="24646"/>
    <cellStyle name="Normal 4 2 11 2 3" xfId="3977"/>
    <cellStyle name="Normal 4 2 11 2 3 2" xfId="26144"/>
    <cellStyle name="Normal 4 2 11 2 4" xfId="21650"/>
    <cellStyle name="Normal 4 2 11 2 4 2" xfId="37862"/>
    <cellStyle name="Normal 4 2 11 2 5" xfId="23148"/>
    <cellStyle name="Normal 4 2 11 3" xfId="1330"/>
    <cellStyle name="Normal 4 2 11 3 2" xfId="2829"/>
    <cellStyle name="Normal 4 2 11 3 2 2" xfId="24997"/>
    <cellStyle name="Normal 4 2 11 3 3" xfId="4328"/>
    <cellStyle name="Normal 4 2 11 3 3 2" xfId="26495"/>
    <cellStyle name="Normal 4 2 11 3 4" xfId="22001"/>
    <cellStyle name="Normal 4 2 11 3 4 2" xfId="38213"/>
    <cellStyle name="Normal 4 2 11 3 5" xfId="23499"/>
    <cellStyle name="Normal 4 2 11 4" xfId="1681"/>
    <cellStyle name="Normal 4 2 11 4 2" xfId="3180"/>
    <cellStyle name="Normal 4 2 11 4 2 2" xfId="25348"/>
    <cellStyle name="Normal 4 2 11 4 3" xfId="4679"/>
    <cellStyle name="Normal 4 2 11 4 3 2" xfId="26846"/>
    <cellStyle name="Normal 4 2 11 4 4" xfId="22352"/>
    <cellStyle name="Normal 4 2 11 4 4 2" xfId="38564"/>
    <cellStyle name="Normal 4 2 11 4 5" xfId="23850"/>
    <cellStyle name="Normal 4 2 11 5" xfId="2127"/>
    <cellStyle name="Normal 4 2 11 5 2" xfId="24295"/>
    <cellStyle name="Normal 4 2 11 6" xfId="3626"/>
    <cellStyle name="Normal 4 2 11 6 2" xfId="25793"/>
    <cellStyle name="Normal 4 2 11 7" xfId="14296"/>
    <cellStyle name="Normal 4 2 11 7 2" xfId="30532"/>
    <cellStyle name="Normal 4 2 11 8" xfId="21299"/>
    <cellStyle name="Normal 4 2 11 8 2" xfId="37511"/>
    <cellStyle name="Normal 4 2 11 9" xfId="22797"/>
    <cellStyle name="Normal 4 2 12" xfId="379"/>
    <cellStyle name="Normal 4 2 12 2" xfId="1893"/>
    <cellStyle name="Normal 4 2 12 2 2" xfId="24061"/>
    <cellStyle name="Normal 4 2 12 3" xfId="3392"/>
    <cellStyle name="Normal 4 2 12 3 2" xfId="25559"/>
    <cellStyle name="Normal 4 2 12 4" xfId="21065"/>
    <cellStyle name="Normal 4 2 12 4 2" xfId="37277"/>
    <cellStyle name="Normal 4 2 12 5" xfId="22563"/>
    <cellStyle name="Normal 4 2 13" xfId="745"/>
    <cellStyle name="Normal 4 2 13 2" xfId="2244"/>
    <cellStyle name="Normal 4 2 13 2 2" xfId="24412"/>
    <cellStyle name="Normal 4 2 13 3" xfId="3743"/>
    <cellStyle name="Normal 4 2 13 3 2" xfId="25910"/>
    <cellStyle name="Normal 4 2 13 4" xfId="21416"/>
    <cellStyle name="Normal 4 2 13 4 2" xfId="37628"/>
    <cellStyle name="Normal 4 2 13 5" xfId="22914"/>
    <cellStyle name="Normal 4 2 14" xfId="1096"/>
    <cellStyle name="Normal 4 2 14 2" xfId="2595"/>
    <cellStyle name="Normal 4 2 14 2 2" xfId="24763"/>
    <cellStyle name="Normal 4 2 14 3" xfId="4094"/>
    <cellStyle name="Normal 4 2 14 3 2" xfId="26261"/>
    <cellStyle name="Normal 4 2 14 4" xfId="21767"/>
    <cellStyle name="Normal 4 2 14 4 2" xfId="37979"/>
    <cellStyle name="Normal 4 2 14 5" xfId="23265"/>
    <cellStyle name="Normal 4 2 15" xfId="1447"/>
    <cellStyle name="Normal 4 2 15 2" xfId="2946"/>
    <cellStyle name="Normal 4 2 15 2 2" xfId="25114"/>
    <cellStyle name="Normal 4 2 15 3" xfId="4445"/>
    <cellStyle name="Normal 4 2 15 3 2" xfId="26612"/>
    <cellStyle name="Normal 4 2 15 4" xfId="22118"/>
    <cellStyle name="Normal 4 2 15 4 2" xfId="38330"/>
    <cellStyle name="Normal 4 2 15 5" xfId="23616"/>
    <cellStyle name="Normal 4 2 16" xfId="322"/>
    <cellStyle name="Normal 4 2 16 2" xfId="1857"/>
    <cellStyle name="Normal 4 2 16 2 2" xfId="24025"/>
    <cellStyle name="Normal 4 2 16 3" xfId="3356"/>
    <cellStyle name="Normal 4 2 16 3 2" xfId="25523"/>
    <cellStyle name="Normal 4 2 16 4" xfId="21029"/>
    <cellStyle name="Normal 4 2 16 4 2" xfId="37241"/>
    <cellStyle name="Normal 4 2 16 5" xfId="22527"/>
    <cellStyle name="Normal 4 2 17" xfId="1829"/>
    <cellStyle name="Normal 4 2 17 2" xfId="23997"/>
    <cellStyle name="Normal 4 2 18" xfId="3328"/>
    <cellStyle name="Normal 4 2 18 2" xfId="25495"/>
    <cellStyle name="Normal 4 2 19" xfId="4921"/>
    <cellStyle name="Normal 4 2 2" xfId="393"/>
    <cellStyle name="Normal 4 2 2 10" xfId="750"/>
    <cellStyle name="Normal 4 2 2 10 2" xfId="2249"/>
    <cellStyle name="Normal 4 2 2 10 2 2" xfId="24417"/>
    <cellStyle name="Normal 4 2 2 10 3" xfId="3748"/>
    <cellStyle name="Normal 4 2 2 10 3 2" xfId="25915"/>
    <cellStyle name="Normal 4 2 2 10 4" xfId="21421"/>
    <cellStyle name="Normal 4 2 2 10 4 2" xfId="37633"/>
    <cellStyle name="Normal 4 2 2 10 5" xfId="22919"/>
    <cellStyle name="Normal 4 2 2 11" xfId="1101"/>
    <cellStyle name="Normal 4 2 2 11 2" xfId="2600"/>
    <cellStyle name="Normal 4 2 2 11 2 2" xfId="24768"/>
    <cellStyle name="Normal 4 2 2 11 3" xfId="4099"/>
    <cellStyle name="Normal 4 2 2 11 3 2" xfId="26266"/>
    <cellStyle name="Normal 4 2 2 11 4" xfId="21772"/>
    <cellStyle name="Normal 4 2 2 11 4 2" xfId="37984"/>
    <cellStyle name="Normal 4 2 2 11 5" xfId="23270"/>
    <cellStyle name="Normal 4 2 2 12" xfId="1452"/>
    <cellStyle name="Normal 4 2 2 12 2" xfId="2951"/>
    <cellStyle name="Normal 4 2 2 12 2 2" xfId="25119"/>
    <cellStyle name="Normal 4 2 2 12 3" xfId="4450"/>
    <cellStyle name="Normal 4 2 2 12 3 2" xfId="26617"/>
    <cellStyle name="Normal 4 2 2 12 4" xfId="22123"/>
    <cellStyle name="Normal 4 2 2 12 4 2" xfId="38335"/>
    <cellStyle name="Normal 4 2 2 12 5" xfId="23621"/>
    <cellStyle name="Normal 4 2 2 13" xfId="1898"/>
    <cellStyle name="Normal 4 2 2 13 2" xfId="24066"/>
    <cellStyle name="Normal 4 2 2 14" xfId="3397"/>
    <cellStyle name="Normal 4 2 2 14 2" xfId="25564"/>
    <cellStyle name="Normal 4 2 2 15" xfId="5681"/>
    <cellStyle name="Normal 4 2 2 16" xfId="21070"/>
    <cellStyle name="Normal 4 2 2 16 2" xfId="37282"/>
    <cellStyle name="Normal 4 2 2 17" xfId="22568"/>
    <cellStyle name="Normal 4 2 2 18" xfId="38859"/>
    <cellStyle name="Normal 4 2 2 2" xfId="407"/>
    <cellStyle name="Normal 4 2 2 2 10" xfId="12813"/>
    <cellStyle name="Normal 4 2 2 2 11" xfId="21080"/>
    <cellStyle name="Normal 4 2 2 2 11 2" xfId="37292"/>
    <cellStyle name="Normal 4 2 2 2 12" xfId="22578"/>
    <cellStyle name="Normal 4 2 2 2 13" xfId="39490"/>
    <cellStyle name="Normal 4 2 2 2 2" xfId="459"/>
    <cellStyle name="Normal 4 2 2 2 2 10" xfId="22630"/>
    <cellStyle name="Normal 4 2 2 2 2 2" xfId="577"/>
    <cellStyle name="Normal 4 2 2 2 2 2 2" xfId="929"/>
    <cellStyle name="Normal 4 2 2 2 2 2 2 2" xfId="2428"/>
    <cellStyle name="Normal 4 2 2 2 2 2 2 2 2" xfId="24596"/>
    <cellStyle name="Normal 4 2 2 2 2 2 2 3" xfId="3927"/>
    <cellStyle name="Normal 4 2 2 2 2 2 2 3 2" xfId="26094"/>
    <cellStyle name="Normal 4 2 2 2 2 2 2 4" xfId="21600"/>
    <cellStyle name="Normal 4 2 2 2 2 2 2 4 2" xfId="37812"/>
    <cellStyle name="Normal 4 2 2 2 2 2 2 5" xfId="23098"/>
    <cellStyle name="Normal 4 2 2 2 2 2 3" xfId="1280"/>
    <cellStyle name="Normal 4 2 2 2 2 2 3 2" xfId="2779"/>
    <cellStyle name="Normal 4 2 2 2 2 2 3 2 2" xfId="24947"/>
    <cellStyle name="Normal 4 2 2 2 2 2 3 3" xfId="4278"/>
    <cellStyle name="Normal 4 2 2 2 2 2 3 3 2" xfId="26445"/>
    <cellStyle name="Normal 4 2 2 2 2 2 3 4" xfId="21951"/>
    <cellStyle name="Normal 4 2 2 2 2 2 3 4 2" xfId="38163"/>
    <cellStyle name="Normal 4 2 2 2 2 2 3 5" xfId="23449"/>
    <cellStyle name="Normal 4 2 2 2 2 2 4" xfId="1631"/>
    <cellStyle name="Normal 4 2 2 2 2 2 4 2" xfId="3130"/>
    <cellStyle name="Normal 4 2 2 2 2 2 4 2 2" xfId="25298"/>
    <cellStyle name="Normal 4 2 2 2 2 2 4 3" xfId="4629"/>
    <cellStyle name="Normal 4 2 2 2 2 2 4 3 2" xfId="26796"/>
    <cellStyle name="Normal 4 2 2 2 2 2 4 4" xfId="22302"/>
    <cellStyle name="Normal 4 2 2 2 2 2 4 4 2" xfId="38514"/>
    <cellStyle name="Normal 4 2 2 2 2 2 4 5" xfId="23800"/>
    <cellStyle name="Normal 4 2 2 2 2 2 5" xfId="2077"/>
    <cellStyle name="Normal 4 2 2 2 2 2 5 2" xfId="24245"/>
    <cellStyle name="Normal 4 2 2 2 2 2 6" xfId="3576"/>
    <cellStyle name="Normal 4 2 2 2 2 2 6 2" xfId="25743"/>
    <cellStyle name="Normal 4 2 2 2 2 2 7" xfId="21249"/>
    <cellStyle name="Normal 4 2 2 2 2 2 7 2" xfId="37461"/>
    <cellStyle name="Normal 4 2 2 2 2 2 8" xfId="22747"/>
    <cellStyle name="Normal 4 2 2 2 2 3" xfId="695"/>
    <cellStyle name="Normal 4 2 2 2 2 3 2" xfId="1046"/>
    <cellStyle name="Normal 4 2 2 2 2 3 2 2" xfId="2545"/>
    <cellStyle name="Normal 4 2 2 2 2 3 2 2 2" xfId="24713"/>
    <cellStyle name="Normal 4 2 2 2 2 3 2 3" xfId="4044"/>
    <cellStyle name="Normal 4 2 2 2 2 3 2 3 2" xfId="26211"/>
    <cellStyle name="Normal 4 2 2 2 2 3 2 4" xfId="21717"/>
    <cellStyle name="Normal 4 2 2 2 2 3 2 4 2" xfId="37929"/>
    <cellStyle name="Normal 4 2 2 2 2 3 2 5" xfId="23215"/>
    <cellStyle name="Normal 4 2 2 2 2 3 3" xfId="1397"/>
    <cellStyle name="Normal 4 2 2 2 2 3 3 2" xfId="2896"/>
    <cellStyle name="Normal 4 2 2 2 2 3 3 2 2" xfId="25064"/>
    <cellStyle name="Normal 4 2 2 2 2 3 3 3" xfId="4395"/>
    <cellStyle name="Normal 4 2 2 2 2 3 3 3 2" xfId="26562"/>
    <cellStyle name="Normal 4 2 2 2 2 3 3 4" xfId="22068"/>
    <cellStyle name="Normal 4 2 2 2 2 3 3 4 2" xfId="38280"/>
    <cellStyle name="Normal 4 2 2 2 2 3 3 5" xfId="23566"/>
    <cellStyle name="Normal 4 2 2 2 2 3 4" xfId="1748"/>
    <cellStyle name="Normal 4 2 2 2 2 3 4 2" xfId="3247"/>
    <cellStyle name="Normal 4 2 2 2 2 3 4 2 2" xfId="25415"/>
    <cellStyle name="Normal 4 2 2 2 2 3 4 3" xfId="4746"/>
    <cellStyle name="Normal 4 2 2 2 2 3 4 3 2" xfId="26913"/>
    <cellStyle name="Normal 4 2 2 2 2 3 4 4" xfId="22419"/>
    <cellStyle name="Normal 4 2 2 2 2 3 4 4 2" xfId="38631"/>
    <cellStyle name="Normal 4 2 2 2 2 3 4 5" xfId="23917"/>
    <cellStyle name="Normal 4 2 2 2 2 3 5" xfId="2194"/>
    <cellStyle name="Normal 4 2 2 2 2 3 5 2" xfId="24362"/>
    <cellStyle name="Normal 4 2 2 2 2 3 6" xfId="3693"/>
    <cellStyle name="Normal 4 2 2 2 2 3 6 2" xfId="25860"/>
    <cellStyle name="Normal 4 2 2 2 2 3 7" xfId="21366"/>
    <cellStyle name="Normal 4 2 2 2 2 3 7 2" xfId="37578"/>
    <cellStyle name="Normal 4 2 2 2 2 3 8" xfId="22864"/>
    <cellStyle name="Normal 4 2 2 2 2 4" xfId="812"/>
    <cellStyle name="Normal 4 2 2 2 2 4 2" xfId="2311"/>
    <cellStyle name="Normal 4 2 2 2 2 4 2 2" xfId="24479"/>
    <cellStyle name="Normal 4 2 2 2 2 4 3" xfId="3810"/>
    <cellStyle name="Normal 4 2 2 2 2 4 3 2" xfId="25977"/>
    <cellStyle name="Normal 4 2 2 2 2 4 4" xfId="21483"/>
    <cellStyle name="Normal 4 2 2 2 2 4 4 2" xfId="37695"/>
    <cellStyle name="Normal 4 2 2 2 2 4 5" xfId="22981"/>
    <cellStyle name="Normal 4 2 2 2 2 5" xfId="1163"/>
    <cellStyle name="Normal 4 2 2 2 2 5 2" xfId="2662"/>
    <cellStyle name="Normal 4 2 2 2 2 5 2 2" xfId="24830"/>
    <cellStyle name="Normal 4 2 2 2 2 5 3" xfId="4161"/>
    <cellStyle name="Normal 4 2 2 2 2 5 3 2" xfId="26328"/>
    <cellStyle name="Normal 4 2 2 2 2 5 4" xfId="21834"/>
    <cellStyle name="Normal 4 2 2 2 2 5 4 2" xfId="38046"/>
    <cellStyle name="Normal 4 2 2 2 2 5 5" xfId="23332"/>
    <cellStyle name="Normal 4 2 2 2 2 6" xfId="1514"/>
    <cellStyle name="Normal 4 2 2 2 2 6 2" xfId="3013"/>
    <cellStyle name="Normal 4 2 2 2 2 6 2 2" xfId="25181"/>
    <cellStyle name="Normal 4 2 2 2 2 6 3" xfId="4512"/>
    <cellStyle name="Normal 4 2 2 2 2 6 3 2" xfId="26679"/>
    <cellStyle name="Normal 4 2 2 2 2 6 4" xfId="22185"/>
    <cellStyle name="Normal 4 2 2 2 2 6 4 2" xfId="38397"/>
    <cellStyle name="Normal 4 2 2 2 2 6 5" xfId="23683"/>
    <cellStyle name="Normal 4 2 2 2 2 7" xfId="1960"/>
    <cellStyle name="Normal 4 2 2 2 2 7 2" xfId="24128"/>
    <cellStyle name="Normal 4 2 2 2 2 8" xfId="3459"/>
    <cellStyle name="Normal 4 2 2 2 2 8 2" xfId="25626"/>
    <cellStyle name="Normal 4 2 2 2 2 9" xfId="21132"/>
    <cellStyle name="Normal 4 2 2 2 2 9 2" xfId="37344"/>
    <cellStyle name="Normal 4 2 2 2 3" xfId="525"/>
    <cellStyle name="Normal 4 2 2 2 3 2" xfId="877"/>
    <cellStyle name="Normal 4 2 2 2 3 2 2" xfId="2376"/>
    <cellStyle name="Normal 4 2 2 2 3 2 2 2" xfId="24544"/>
    <cellStyle name="Normal 4 2 2 2 3 2 3" xfId="3875"/>
    <cellStyle name="Normal 4 2 2 2 3 2 3 2" xfId="26042"/>
    <cellStyle name="Normal 4 2 2 2 3 2 4" xfId="21548"/>
    <cellStyle name="Normal 4 2 2 2 3 2 4 2" xfId="37760"/>
    <cellStyle name="Normal 4 2 2 2 3 2 5" xfId="23046"/>
    <cellStyle name="Normal 4 2 2 2 3 3" xfId="1228"/>
    <cellStyle name="Normal 4 2 2 2 3 3 2" xfId="2727"/>
    <cellStyle name="Normal 4 2 2 2 3 3 2 2" xfId="24895"/>
    <cellStyle name="Normal 4 2 2 2 3 3 3" xfId="4226"/>
    <cellStyle name="Normal 4 2 2 2 3 3 3 2" xfId="26393"/>
    <cellStyle name="Normal 4 2 2 2 3 3 4" xfId="21899"/>
    <cellStyle name="Normal 4 2 2 2 3 3 4 2" xfId="38111"/>
    <cellStyle name="Normal 4 2 2 2 3 3 5" xfId="23397"/>
    <cellStyle name="Normal 4 2 2 2 3 4" xfId="1579"/>
    <cellStyle name="Normal 4 2 2 2 3 4 2" xfId="3078"/>
    <cellStyle name="Normal 4 2 2 2 3 4 2 2" xfId="25246"/>
    <cellStyle name="Normal 4 2 2 2 3 4 3" xfId="4577"/>
    <cellStyle name="Normal 4 2 2 2 3 4 3 2" xfId="26744"/>
    <cellStyle name="Normal 4 2 2 2 3 4 4" xfId="22250"/>
    <cellStyle name="Normal 4 2 2 2 3 4 4 2" xfId="38462"/>
    <cellStyle name="Normal 4 2 2 2 3 4 5" xfId="23748"/>
    <cellStyle name="Normal 4 2 2 2 3 5" xfId="2025"/>
    <cellStyle name="Normal 4 2 2 2 3 5 2" xfId="24193"/>
    <cellStyle name="Normal 4 2 2 2 3 6" xfId="3524"/>
    <cellStyle name="Normal 4 2 2 2 3 6 2" xfId="25691"/>
    <cellStyle name="Normal 4 2 2 2 3 7" xfId="21197"/>
    <cellStyle name="Normal 4 2 2 2 3 7 2" xfId="37409"/>
    <cellStyle name="Normal 4 2 2 2 3 8" xfId="22695"/>
    <cellStyle name="Normal 4 2 2 2 4" xfId="643"/>
    <cellStyle name="Normal 4 2 2 2 4 2" xfId="994"/>
    <cellStyle name="Normal 4 2 2 2 4 2 2" xfId="2493"/>
    <cellStyle name="Normal 4 2 2 2 4 2 2 2" xfId="24661"/>
    <cellStyle name="Normal 4 2 2 2 4 2 3" xfId="3992"/>
    <cellStyle name="Normal 4 2 2 2 4 2 3 2" xfId="26159"/>
    <cellStyle name="Normal 4 2 2 2 4 2 4" xfId="21665"/>
    <cellStyle name="Normal 4 2 2 2 4 2 4 2" xfId="37877"/>
    <cellStyle name="Normal 4 2 2 2 4 2 5" xfId="23163"/>
    <cellStyle name="Normal 4 2 2 2 4 3" xfId="1345"/>
    <cellStyle name="Normal 4 2 2 2 4 3 2" xfId="2844"/>
    <cellStyle name="Normal 4 2 2 2 4 3 2 2" xfId="25012"/>
    <cellStyle name="Normal 4 2 2 2 4 3 3" xfId="4343"/>
    <cellStyle name="Normal 4 2 2 2 4 3 3 2" xfId="26510"/>
    <cellStyle name="Normal 4 2 2 2 4 3 4" xfId="22016"/>
    <cellStyle name="Normal 4 2 2 2 4 3 4 2" xfId="38228"/>
    <cellStyle name="Normal 4 2 2 2 4 3 5" xfId="23514"/>
    <cellStyle name="Normal 4 2 2 2 4 4" xfId="1696"/>
    <cellStyle name="Normal 4 2 2 2 4 4 2" xfId="3195"/>
    <cellStyle name="Normal 4 2 2 2 4 4 2 2" xfId="25363"/>
    <cellStyle name="Normal 4 2 2 2 4 4 3" xfId="4694"/>
    <cellStyle name="Normal 4 2 2 2 4 4 3 2" xfId="26861"/>
    <cellStyle name="Normal 4 2 2 2 4 4 4" xfId="22367"/>
    <cellStyle name="Normal 4 2 2 2 4 4 4 2" xfId="38579"/>
    <cellStyle name="Normal 4 2 2 2 4 4 5" xfId="23865"/>
    <cellStyle name="Normal 4 2 2 2 4 5" xfId="2142"/>
    <cellStyle name="Normal 4 2 2 2 4 5 2" xfId="24310"/>
    <cellStyle name="Normal 4 2 2 2 4 6" xfId="3641"/>
    <cellStyle name="Normal 4 2 2 2 4 6 2" xfId="25808"/>
    <cellStyle name="Normal 4 2 2 2 4 7" xfId="21314"/>
    <cellStyle name="Normal 4 2 2 2 4 7 2" xfId="37526"/>
    <cellStyle name="Normal 4 2 2 2 4 8" xfId="22812"/>
    <cellStyle name="Normal 4 2 2 2 5" xfId="760"/>
    <cellStyle name="Normal 4 2 2 2 5 2" xfId="2259"/>
    <cellStyle name="Normal 4 2 2 2 5 2 2" xfId="24427"/>
    <cellStyle name="Normal 4 2 2 2 5 3" xfId="3758"/>
    <cellStyle name="Normal 4 2 2 2 5 3 2" xfId="25925"/>
    <cellStyle name="Normal 4 2 2 2 5 4" xfId="21431"/>
    <cellStyle name="Normal 4 2 2 2 5 4 2" xfId="37643"/>
    <cellStyle name="Normal 4 2 2 2 5 5" xfId="22929"/>
    <cellStyle name="Normal 4 2 2 2 6" xfId="1111"/>
    <cellStyle name="Normal 4 2 2 2 6 2" xfId="2610"/>
    <cellStyle name="Normal 4 2 2 2 6 2 2" xfId="24778"/>
    <cellStyle name="Normal 4 2 2 2 6 3" xfId="4109"/>
    <cellStyle name="Normal 4 2 2 2 6 3 2" xfId="26276"/>
    <cellStyle name="Normal 4 2 2 2 6 4" xfId="21782"/>
    <cellStyle name="Normal 4 2 2 2 6 4 2" xfId="37994"/>
    <cellStyle name="Normal 4 2 2 2 6 5" xfId="23280"/>
    <cellStyle name="Normal 4 2 2 2 7" xfId="1462"/>
    <cellStyle name="Normal 4 2 2 2 7 2" xfId="2961"/>
    <cellStyle name="Normal 4 2 2 2 7 2 2" xfId="25129"/>
    <cellStyle name="Normal 4 2 2 2 7 3" xfId="4460"/>
    <cellStyle name="Normal 4 2 2 2 7 3 2" xfId="26627"/>
    <cellStyle name="Normal 4 2 2 2 7 4" xfId="22133"/>
    <cellStyle name="Normal 4 2 2 2 7 4 2" xfId="38345"/>
    <cellStyle name="Normal 4 2 2 2 7 5" xfId="23631"/>
    <cellStyle name="Normal 4 2 2 2 8" xfId="1908"/>
    <cellStyle name="Normal 4 2 2 2 8 2" xfId="24076"/>
    <cellStyle name="Normal 4 2 2 2 9" xfId="3407"/>
    <cellStyle name="Normal 4 2 2 2 9 2" xfId="25574"/>
    <cellStyle name="Normal 4 2 2 3" xfId="419"/>
    <cellStyle name="Normal 4 2 2 3 10" xfId="22590"/>
    <cellStyle name="Normal 4 2 2 3 2" xfId="537"/>
    <cellStyle name="Normal 4 2 2 3 2 2" xfId="889"/>
    <cellStyle name="Normal 4 2 2 3 2 2 2" xfId="2388"/>
    <cellStyle name="Normal 4 2 2 3 2 2 2 2" xfId="24556"/>
    <cellStyle name="Normal 4 2 2 3 2 2 3" xfId="3887"/>
    <cellStyle name="Normal 4 2 2 3 2 2 3 2" xfId="26054"/>
    <cellStyle name="Normal 4 2 2 3 2 2 4" xfId="21560"/>
    <cellStyle name="Normal 4 2 2 3 2 2 4 2" xfId="37772"/>
    <cellStyle name="Normal 4 2 2 3 2 2 5" xfId="23058"/>
    <cellStyle name="Normal 4 2 2 3 2 3" xfId="1240"/>
    <cellStyle name="Normal 4 2 2 3 2 3 2" xfId="2739"/>
    <cellStyle name="Normal 4 2 2 3 2 3 2 2" xfId="24907"/>
    <cellStyle name="Normal 4 2 2 3 2 3 3" xfId="4238"/>
    <cellStyle name="Normal 4 2 2 3 2 3 3 2" xfId="26405"/>
    <cellStyle name="Normal 4 2 2 3 2 3 4" xfId="21911"/>
    <cellStyle name="Normal 4 2 2 3 2 3 4 2" xfId="38123"/>
    <cellStyle name="Normal 4 2 2 3 2 3 5" xfId="23409"/>
    <cellStyle name="Normal 4 2 2 3 2 4" xfId="1591"/>
    <cellStyle name="Normal 4 2 2 3 2 4 2" xfId="3090"/>
    <cellStyle name="Normal 4 2 2 3 2 4 2 2" xfId="25258"/>
    <cellStyle name="Normal 4 2 2 3 2 4 3" xfId="4589"/>
    <cellStyle name="Normal 4 2 2 3 2 4 3 2" xfId="26756"/>
    <cellStyle name="Normal 4 2 2 3 2 4 4" xfId="22262"/>
    <cellStyle name="Normal 4 2 2 3 2 4 4 2" xfId="38474"/>
    <cellStyle name="Normal 4 2 2 3 2 4 5" xfId="23760"/>
    <cellStyle name="Normal 4 2 2 3 2 5" xfId="2037"/>
    <cellStyle name="Normal 4 2 2 3 2 5 2" xfId="24205"/>
    <cellStyle name="Normal 4 2 2 3 2 6" xfId="3536"/>
    <cellStyle name="Normal 4 2 2 3 2 6 2" xfId="25703"/>
    <cellStyle name="Normal 4 2 2 3 2 7" xfId="21209"/>
    <cellStyle name="Normal 4 2 2 3 2 7 2" xfId="37421"/>
    <cellStyle name="Normal 4 2 2 3 2 8" xfId="22707"/>
    <cellStyle name="Normal 4 2 2 3 3" xfId="655"/>
    <cellStyle name="Normal 4 2 2 3 3 2" xfId="1006"/>
    <cellStyle name="Normal 4 2 2 3 3 2 2" xfId="2505"/>
    <cellStyle name="Normal 4 2 2 3 3 2 2 2" xfId="24673"/>
    <cellStyle name="Normal 4 2 2 3 3 2 3" xfId="4004"/>
    <cellStyle name="Normal 4 2 2 3 3 2 3 2" xfId="26171"/>
    <cellStyle name="Normal 4 2 2 3 3 2 4" xfId="21677"/>
    <cellStyle name="Normal 4 2 2 3 3 2 4 2" xfId="37889"/>
    <cellStyle name="Normal 4 2 2 3 3 2 5" xfId="23175"/>
    <cellStyle name="Normal 4 2 2 3 3 3" xfId="1357"/>
    <cellStyle name="Normal 4 2 2 3 3 3 2" xfId="2856"/>
    <cellStyle name="Normal 4 2 2 3 3 3 2 2" xfId="25024"/>
    <cellStyle name="Normal 4 2 2 3 3 3 3" xfId="4355"/>
    <cellStyle name="Normal 4 2 2 3 3 3 3 2" xfId="26522"/>
    <cellStyle name="Normal 4 2 2 3 3 3 4" xfId="22028"/>
    <cellStyle name="Normal 4 2 2 3 3 3 4 2" xfId="38240"/>
    <cellStyle name="Normal 4 2 2 3 3 3 5" xfId="23526"/>
    <cellStyle name="Normal 4 2 2 3 3 4" xfId="1708"/>
    <cellStyle name="Normal 4 2 2 3 3 4 2" xfId="3207"/>
    <cellStyle name="Normal 4 2 2 3 3 4 2 2" xfId="25375"/>
    <cellStyle name="Normal 4 2 2 3 3 4 3" xfId="4706"/>
    <cellStyle name="Normal 4 2 2 3 3 4 3 2" xfId="26873"/>
    <cellStyle name="Normal 4 2 2 3 3 4 4" xfId="22379"/>
    <cellStyle name="Normal 4 2 2 3 3 4 4 2" xfId="38591"/>
    <cellStyle name="Normal 4 2 2 3 3 4 5" xfId="23877"/>
    <cellStyle name="Normal 4 2 2 3 3 5" xfId="2154"/>
    <cellStyle name="Normal 4 2 2 3 3 5 2" xfId="24322"/>
    <cellStyle name="Normal 4 2 2 3 3 6" xfId="3653"/>
    <cellStyle name="Normal 4 2 2 3 3 6 2" xfId="25820"/>
    <cellStyle name="Normal 4 2 2 3 3 7" xfId="21326"/>
    <cellStyle name="Normal 4 2 2 3 3 7 2" xfId="37538"/>
    <cellStyle name="Normal 4 2 2 3 3 8" xfId="22824"/>
    <cellStyle name="Normal 4 2 2 3 4" xfId="772"/>
    <cellStyle name="Normal 4 2 2 3 4 2" xfId="2271"/>
    <cellStyle name="Normal 4 2 2 3 4 2 2" xfId="24439"/>
    <cellStyle name="Normal 4 2 2 3 4 3" xfId="3770"/>
    <cellStyle name="Normal 4 2 2 3 4 3 2" xfId="25937"/>
    <cellStyle name="Normal 4 2 2 3 4 4" xfId="21443"/>
    <cellStyle name="Normal 4 2 2 3 4 4 2" xfId="37655"/>
    <cellStyle name="Normal 4 2 2 3 4 5" xfId="22941"/>
    <cellStyle name="Normal 4 2 2 3 5" xfId="1123"/>
    <cellStyle name="Normal 4 2 2 3 5 2" xfId="2622"/>
    <cellStyle name="Normal 4 2 2 3 5 2 2" xfId="24790"/>
    <cellStyle name="Normal 4 2 2 3 5 3" xfId="4121"/>
    <cellStyle name="Normal 4 2 2 3 5 3 2" xfId="26288"/>
    <cellStyle name="Normal 4 2 2 3 5 4" xfId="21794"/>
    <cellStyle name="Normal 4 2 2 3 5 4 2" xfId="38006"/>
    <cellStyle name="Normal 4 2 2 3 5 5" xfId="23292"/>
    <cellStyle name="Normal 4 2 2 3 6" xfId="1474"/>
    <cellStyle name="Normal 4 2 2 3 6 2" xfId="2973"/>
    <cellStyle name="Normal 4 2 2 3 6 2 2" xfId="25141"/>
    <cellStyle name="Normal 4 2 2 3 6 3" xfId="4472"/>
    <cellStyle name="Normal 4 2 2 3 6 3 2" xfId="26639"/>
    <cellStyle name="Normal 4 2 2 3 6 4" xfId="22145"/>
    <cellStyle name="Normal 4 2 2 3 6 4 2" xfId="38357"/>
    <cellStyle name="Normal 4 2 2 3 6 5" xfId="23643"/>
    <cellStyle name="Normal 4 2 2 3 7" xfId="1920"/>
    <cellStyle name="Normal 4 2 2 3 7 2" xfId="24088"/>
    <cellStyle name="Normal 4 2 2 3 8" xfId="3419"/>
    <cellStyle name="Normal 4 2 2 3 8 2" xfId="25586"/>
    <cellStyle name="Normal 4 2 2 3 9" xfId="21092"/>
    <cellStyle name="Normal 4 2 2 3 9 2" xfId="37304"/>
    <cellStyle name="Normal 4 2 2 4" xfId="431"/>
    <cellStyle name="Normal 4 2 2 4 10" xfId="22602"/>
    <cellStyle name="Normal 4 2 2 4 2" xfId="549"/>
    <cellStyle name="Normal 4 2 2 4 2 2" xfId="901"/>
    <cellStyle name="Normal 4 2 2 4 2 2 2" xfId="2400"/>
    <cellStyle name="Normal 4 2 2 4 2 2 2 2" xfId="24568"/>
    <cellStyle name="Normal 4 2 2 4 2 2 3" xfId="3899"/>
    <cellStyle name="Normal 4 2 2 4 2 2 3 2" xfId="26066"/>
    <cellStyle name="Normal 4 2 2 4 2 2 4" xfId="21572"/>
    <cellStyle name="Normal 4 2 2 4 2 2 4 2" xfId="37784"/>
    <cellStyle name="Normal 4 2 2 4 2 2 5" xfId="23070"/>
    <cellStyle name="Normal 4 2 2 4 2 3" xfId="1252"/>
    <cellStyle name="Normal 4 2 2 4 2 3 2" xfId="2751"/>
    <cellStyle name="Normal 4 2 2 4 2 3 2 2" xfId="24919"/>
    <cellStyle name="Normal 4 2 2 4 2 3 3" xfId="4250"/>
    <cellStyle name="Normal 4 2 2 4 2 3 3 2" xfId="26417"/>
    <cellStyle name="Normal 4 2 2 4 2 3 4" xfId="21923"/>
    <cellStyle name="Normal 4 2 2 4 2 3 4 2" xfId="38135"/>
    <cellStyle name="Normal 4 2 2 4 2 3 5" xfId="23421"/>
    <cellStyle name="Normal 4 2 2 4 2 4" xfId="1603"/>
    <cellStyle name="Normal 4 2 2 4 2 4 2" xfId="3102"/>
    <cellStyle name="Normal 4 2 2 4 2 4 2 2" xfId="25270"/>
    <cellStyle name="Normal 4 2 2 4 2 4 3" xfId="4601"/>
    <cellStyle name="Normal 4 2 2 4 2 4 3 2" xfId="26768"/>
    <cellStyle name="Normal 4 2 2 4 2 4 4" xfId="22274"/>
    <cellStyle name="Normal 4 2 2 4 2 4 4 2" xfId="38486"/>
    <cellStyle name="Normal 4 2 2 4 2 4 5" xfId="23772"/>
    <cellStyle name="Normal 4 2 2 4 2 5" xfId="2049"/>
    <cellStyle name="Normal 4 2 2 4 2 5 2" xfId="24217"/>
    <cellStyle name="Normal 4 2 2 4 2 6" xfId="3548"/>
    <cellStyle name="Normal 4 2 2 4 2 6 2" xfId="25715"/>
    <cellStyle name="Normal 4 2 2 4 2 7" xfId="21221"/>
    <cellStyle name="Normal 4 2 2 4 2 7 2" xfId="37433"/>
    <cellStyle name="Normal 4 2 2 4 2 8" xfId="22719"/>
    <cellStyle name="Normal 4 2 2 4 3" xfId="667"/>
    <cellStyle name="Normal 4 2 2 4 3 2" xfId="1018"/>
    <cellStyle name="Normal 4 2 2 4 3 2 2" xfId="2517"/>
    <cellStyle name="Normal 4 2 2 4 3 2 2 2" xfId="24685"/>
    <cellStyle name="Normal 4 2 2 4 3 2 3" xfId="4016"/>
    <cellStyle name="Normal 4 2 2 4 3 2 3 2" xfId="26183"/>
    <cellStyle name="Normal 4 2 2 4 3 2 4" xfId="21689"/>
    <cellStyle name="Normal 4 2 2 4 3 2 4 2" xfId="37901"/>
    <cellStyle name="Normal 4 2 2 4 3 2 5" xfId="23187"/>
    <cellStyle name="Normal 4 2 2 4 3 3" xfId="1369"/>
    <cellStyle name="Normal 4 2 2 4 3 3 2" xfId="2868"/>
    <cellStyle name="Normal 4 2 2 4 3 3 2 2" xfId="25036"/>
    <cellStyle name="Normal 4 2 2 4 3 3 3" xfId="4367"/>
    <cellStyle name="Normal 4 2 2 4 3 3 3 2" xfId="26534"/>
    <cellStyle name="Normal 4 2 2 4 3 3 4" xfId="22040"/>
    <cellStyle name="Normal 4 2 2 4 3 3 4 2" xfId="38252"/>
    <cellStyle name="Normal 4 2 2 4 3 3 5" xfId="23538"/>
    <cellStyle name="Normal 4 2 2 4 3 4" xfId="1720"/>
    <cellStyle name="Normal 4 2 2 4 3 4 2" xfId="3219"/>
    <cellStyle name="Normal 4 2 2 4 3 4 2 2" xfId="25387"/>
    <cellStyle name="Normal 4 2 2 4 3 4 3" xfId="4718"/>
    <cellStyle name="Normal 4 2 2 4 3 4 3 2" xfId="26885"/>
    <cellStyle name="Normal 4 2 2 4 3 4 4" xfId="22391"/>
    <cellStyle name="Normal 4 2 2 4 3 4 4 2" xfId="38603"/>
    <cellStyle name="Normal 4 2 2 4 3 4 5" xfId="23889"/>
    <cellStyle name="Normal 4 2 2 4 3 5" xfId="2166"/>
    <cellStyle name="Normal 4 2 2 4 3 5 2" xfId="24334"/>
    <cellStyle name="Normal 4 2 2 4 3 6" xfId="3665"/>
    <cellStyle name="Normal 4 2 2 4 3 6 2" xfId="25832"/>
    <cellStyle name="Normal 4 2 2 4 3 7" xfId="21338"/>
    <cellStyle name="Normal 4 2 2 4 3 7 2" xfId="37550"/>
    <cellStyle name="Normal 4 2 2 4 3 8" xfId="22836"/>
    <cellStyle name="Normal 4 2 2 4 4" xfId="784"/>
    <cellStyle name="Normal 4 2 2 4 4 2" xfId="2283"/>
    <cellStyle name="Normal 4 2 2 4 4 2 2" xfId="24451"/>
    <cellStyle name="Normal 4 2 2 4 4 3" xfId="3782"/>
    <cellStyle name="Normal 4 2 2 4 4 3 2" xfId="25949"/>
    <cellStyle name="Normal 4 2 2 4 4 4" xfId="21455"/>
    <cellStyle name="Normal 4 2 2 4 4 4 2" xfId="37667"/>
    <cellStyle name="Normal 4 2 2 4 4 5" xfId="22953"/>
    <cellStyle name="Normal 4 2 2 4 5" xfId="1135"/>
    <cellStyle name="Normal 4 2 2 4 5 2" xfId="2634"/>
    <cellStyle name="Normal 4 2 2 4 5 2 2" xfId="24802"/>
    <cellStyle name="Normal 4 2 2 4 5 3" xfId="4133"/>
    <cellStyle name="Normal 4 2 2 4 5 3 2" xfId="26300"/>
    <cellStyle name="Normal 4 2 2 4 5 4" xfId="21806"/>
    <cellStyle name="Normal 4 2 2 4 5 4 2" xfId="38018"/>
    <cellStyle name="Normal 4 2 2 4 5 5" xfId="23304"/>
    <cellStyle name="Normal 4 2 2 4 6" xfId="1486"/>
    <cellStyle name="Normal 4 2 2 4 6 2" xfId="2985"/>
    <cellStyle name="Normal 4 2 2 4 6 2 2" xfId="25153"/>
    <cellStyle name="Normal 4 2 2 4 6 3" xfId="4484"/>
    <cellStyle name="Normal 4 2 2 4 6 3 2" xfId="26651"/>
    <cellStyle name="Normal 4 2 2 4 6 4" xfId="22157"/>
    <cellStyle name="Normal 4 2 2 4 6 4 2" xfId="38369"/>
    <cellStyle name="Normal 4 2 2 4 6 5" xfId="23655"/>
    <cellStyle name="Normal 4 2 2 4 7" xfId="1932"/>
    <cellStyle name="Normal 4 2 2 4 7 2" xfId="24100"/>
    <cellStyle name="Normal 4 2 2 4 8" xfId="3431"/>
    <cellStyle name="Normal 4 2 2 4 8 2" xfId="25598"/>
    <cellStyle name="Normal 4 2 2 4 9" xfId="21104"/>
    <cellStyle name="Normal 4 2 2 4 9 2" xfId="37316"/>
    <cellStyle name="Normal 4 2 2 5" xfId="449"/>
    <cellStyle name="Normal 4 2 2 5 10" xfId="22620"/>
    <cellStyle name="Normal 4 2 2 5 2" xfId="567"/>
    <cellStyle name="Normal 4 2 2 5 2 2" xfId="919"/>
    <cellStyle name="Normal 4 2 2 5 2 2 2" xfId="2418"/>
    <cellStyle name="Normal 4 2 2 5 2 2 2 2" xfId="24586"/>
    <cellStyle name="Normal 4 2 2 5 2 2 3" xfId="3917"/>
    <cellStyle name="Normal 4 2 2 5 2 2 3 2" xfId="26084"/>
    <cellStyle name="Normal 4 2 2 5 2 2 4" xfId="21590"/>
    <cellStyle name="Normal 4 2 2 5 2 2 4 2" xfId="37802"/>
    <cellStyle name="Normal 4 2 2 5 2 2 5" xfId="23088"/>
    <cellStyle name="Normal 4 2 2 5 2 3" xfId="1270"/>
    <cellStyle name="Normal 4 2 2 5 2 3 2" xfId="2769"/>
    <cellStyle name="Normal 4 2 2 5 2 3 2 2" xfId="24937"/>
    <cellStyle name="Normal 4 2 2 5 2 3 3" xfId="4268"/>
    <cellStyle name="Normal 4 2 2 5 2 3 3 2" xfId="26435"/>
    <cellStyle name="Normal 4 2 2 5 2 3 4" xfId="21941"/>
    <cellStyle name="Normal 4 2 2 5 2 3 4 2" xfId="38153"/>
    <cellStyle name="Normal 4 2 2 5 2 3 5" xfId="23439"/>
    <cellStyle name="Normal 4 2 2 5 2 4" xfId="1621"/>
    <cellStyle name="Normal 4 2 2 5 2 4 2" xfId="3120"/>
    <cellStyle name="Normal 4 2 2 5 2 4 2 2" xfId="25288"/>
    <cellStyle name="Normal 4 2 2 5 2 4 3" xfId="4619"/>
    <cellStyle name="Normal 4 2 2 5 2 4 3 2" xfId="26786"/>
    <cellStyle name="Normal 4 2 2 5 2 4 4" xfId="22292"/>
    <cellStyle name="Normal 4 2 2 5 2 4 4 2" xfId="38504"/>
    <cellStyle name="Normal 4 2 2 5 2 4 5" xfId="23790"/>
    <cellStyle name="Normal 4 2 2 5 2 5" xfId="2067"/>
    <cellStyle name="Normal 4 2 2 5 2 5 2" xfId="24235"/>
    <cellStyle name="Normal 4 2 2 5 2 6" xfId="3566"/>
    <cellStyle name="Normal 4 2 2 5 2 6 2" xfId="25733"/>
    <cellStyle name="Normal 4 2 2 5 2 7" xfId="21239"/>
    <cellStyle name="Normal 4 2 2 5 2 7 2" xfId="37451"/>
    <cellStyle name="Normal 4 2 2 5 2 8" xfId="22737"/>
    <cellStyle name="Normal 4 2 2 5 3" xfId="685"/>
    <cellStyle name="Normal 4 2 2 5 3 2" xfId="1036"/>
    <cellStyle name="Normal 4 2 2 5 3 2 2" xfId="2535"/>
    <cellStyle name="Normal 4 2 2 5 3 2 2 2" xfId="24703"/>
    <cellStyle name="Normal 4 2 2 5 3 2 3" xfId="4034"/>
    <cellStyle name="Normal 4 2 2 5 3 2 3 2" xfId="26201"/>
    <cellStyle name="Normal 4 2 2 5 3 2 4" xfId="21707"/>
    <cellStyle name="Normal 4 2 2 5 3 2 4 2" xfId="37919"/>
    <cellStyle name="Normal 4 2 2 5 3 2 5" xfId="23205"/>
    <cellStyle name="Normal 4 2 2 5 3 3" xfId="1387"/>
    <cellStyle name="Normal 4 2 2 5 3 3 2" xfId="2886"/>
    <cellStyle name="Normal 4 2 2 5 3 3 2 2" xfId="25054"/>
    <cellStyle name="Normal 4 2 2 5 3 3 3" xfId="4385"/>
    <cellStyle name="Normal 4 2 2 5 3 3 3 2" xfId="26552"/>
    <cellStyle name="Normal 4 2 2 5 3 3 4" xfId="22058"/>
    <cellStyle name="Normal 4 2 2 5 3 3 4 2" xfId="38270"/>
    <cellStyle name="Normal 4 2 2 5 3 3 5" xfId="23556"/>
    <cellStyle name="Normal 4 2 2 5 3 4" xfId="1738"/>
    <cellStyle name="Normal 4 2 2 5 3 4 2" xfId="3237"/>
    <cellStyle name="Normal 4 2 2 5 3 4 2 2" xfId="25405"/>
    <cellStyle name="Normal 4 2 2 5 3 4 3" xfId="4736"/>
    <cellStyle name="Normal 4 2 2 5 3 4 3 2" xfId="26903"/>
    <cellStyle name="Normal 4 2 2 5 3 4 4" xfId="22409"/>
    <cellStyle name="Normal 4 2 2 5 3 4 4 2" xfId="38621"/>
    <cellStyle name="Normal 4 2 2 5 3 4 5" xfId="23907"/>
    <cellStyle name="Normal 4 2 2 5 3 5" xfId="2184"/>
    <cellStyle name="Normal 4 2 2 5 3 5 2" xfId="24352"/>
    <cellStyle name="Normal 4 2 2 5 3 6" xfId="3683"/>
    <cellStyle name="Normal 4 2 2 5 3 6 2" xfId="25850"/>
    <cellStyle name="Normal 4 2 2 5 3 7" xfId="21356"/>
    <cellStyle name="Normal 4 2 2 5 3 7 2" xfId="37568"/>
    <cellStyle name="Normal 4 2 2 5 3 8" xfId="22854"/>
    <cellStyle name="Normal 4 2 2 5 4" xfId="802"/>
    <cellStyle name="Normal 4 2 2 5 4 2" xfId="2301"/>
    <cellStyle name="Normal 4 2 2 5 4 2 2" xfId="24469"/>
    <cellStyle name="Normal 4 2 2 5 4 3" xfId="3800"/>
    <cellStyle name="Normal 4 2 2 5 4 3 2" xfId="25967"/>
    <cellStyle name="Normal 4 2 2 5 4 4" xfId="21473"/>
    <cellStyle name="Normal 4 2 2 5 4 4 2" xfId="37685"/>
    <cellStyle name="Normal 4 2 2 5 4 5" xfId="22971"/>
    <cellStyle name="Normal 4 2 2 5 5" xfId="1153"/>
    <cellStyle name="Normal 4 2 2 5 5 2" xfId="2652"/>
    <cellStyle name="Normal 4 2 2 5 5 2 2" xfId="24820"/>
    <cellStyle name="Normal 4 2 2 5 5 3" xfId="4151"/>
    <cellStyle name="Normal 4 2 2 5 5 3 2" xfId="26318"/>
    <cellStyle name="Normal 4 2 2 5 5 4" xfId="21824"/>
    <cellStyle name="Normal 4 2 2 5 5 4 2" xfId="38036"/>
    <cellStyle name="Normal 4 2 2 5 5 5" xfId="23322"/>
    <cellStyle name="Normal 4 2 2 5 6" xfId="1504"/>
    <cellStyle name="Normal 4 2 2 5 6 2" xfId="3003"/>
    <cellStyle name="Normal 4 2 2 5 6 2 2" xfId="25171"/>
    <cellStyle name="Normal 4 2 2 5 6 3" xfId="4502"/>
    <cellStyle name="Normal 4 2 2 5 6 3 2" xfId="26669"/>
    <cellStyle name="Normal 4 2 2 5 6 4" xfId="22175"/>
    <cellStyle name="Normal 4 2 2 5 6 4 2" xfId="38387"/>
    <cellStyle name="Normal 4 2 2 5 6 5" xfId="23673"/>
    <cellStyle name="Normal 4 2 2 5 7" xfId="1950"/>
    <cellStyle name="Normal 4 2 2 5 7 2" xfId="24118"/>
    <cellStyle name="Normal 4 2 2 5 8" xfId="3449"/>
    <cellStyle name="Normal 4 2 2 5 8 2" xfId="25616"/>
    <cellStyle name="Normal 4 2 2 5 9" xfId="21122"/>
    <cellStyle name="Normal 4 2 2 5 9 2" xfId="37334"/>
    <cellStyle name="Normal 4 2 2 6" xfId="473"/>
    <cellStyle name="Normal 4 2 2 6 10" xfId="22644"/>
    <cellStyle name="Normal 4 2 2 6 2" xfId="591"/>
    <cellStyle name="Normal 4 2 2 6 2 2" xfId="943"/>
    <cellStyle name="Normal 4 2 2 6 2 2 2" xfId="2442"/>
    <cellStyle name="Normal 4 2 2 6 2 2 2 2" xfId="24610"/>
    <cellStyle name="Normal 4 2 2 6 2 2 3" xfId="3941"/>
    <cellStyle name="Normal 4 2 2 6 2 2 3 2" xfId="26108"/>
    <cellStyle name="Normal 4 2 2 6 2 2 4" xfId="21614"/>
    <cellStyle name="Normal 4 2 2 6 2 2 4 2" xfId="37826"/>
    <cellStyle name="Normal 4 2 2 6 2 2 5" xfId="23112"/>
    <cellStyle name="Normal 4 2 2 6 2 3" xfId="1294"/>
    <cellStyle name="Normal 4 2 2 6 2 3 2" xfId="2793"/>
    <cellStyle name="Normal 4 2 2 6 2 3 2 2" xfId="24961"/>
    <cellStyle name="Normal 4 2 2 6 2 3 3" xfId="4292"/>
    <cellStyle name="Normal 4 2 2 6 2 3 3 2" xfId="26459"/>
    <cellStyle name="Normal 4 2 2 6 2 3 4" xfId="21965"/>
    <cellStyle name="Normal 4 2 2 6 2 3 4 2" xfId="38177"/>
    <cellStyle name="Normal 4 2 2 6 2 3 5" xfId="23463"/>
    <cellStyle name="Normal 4 2 2 6 2 4" xfId="1645"/>
    <cellStyle name="Normal 4 2 2 6 2 4 2" xfId="3144"/>
    <cellStyle name="Normal 4 2 2 6 2 4 2 2" xfId="25312"/>
    <cellStyle name="Normal 4 2 2 6 2 4 3" xfId="4643"/>
    <cellStyle name="Normal 4 2 2 6 2 4 3 2" xfId="26810"/>
    <cellStyle name="Normal 4 2 2 6 2 4 4" xfId="22316"/>
    <cellStyle name="Normal 4 2 2 6 2 4 4 2" xfId="38528"/>
    <cellStyle name="Normal 4 2 2 6 2 4 5" xfId="23814"/>
    <cellStyle name="Normal 4 2 2 6 2 5" xfId="2091"/>
    <cellStyle name="Normal 4 2 2 6 2 5 2" xfId="24259"/>
    <cellStyle name="Normal 4 2 2 6 2 6" xfId="3590"/>
    <cellStyle name="Normal 4 2 2 6 2 6 2" xfId="25757"/>
    <cellStyle name="Normal 4 2 2 6 2 7" xfId="21263"/>
    <cellStyle name="Normal 4 2 2 6 2 7 2" xfId="37475"/>
    <cellStyle name="Normal 4 2 2 6 2 8" xfId="22761"/>
    <cellStyle name="Normal 4 2 2 6 3" xfId="709"/>
    <cellStyle name="Normal 4 2 2 6 3 2" xfId="1060"/>
    <cellStyle name="Normal 4 2 2 6 3 2 2" xfId="2559"/>
    <cellStyle name="Normal 4 2 2 6 3 2 2 2" xfId="24727"/>
    <cellStyle name="Normal 4 2 2 6 3 2 3" xfId="4058"/>
    <cellStyle name="Normal 4 2 2 6 3 2 3 2" xfId="26225"/>
    <cellStyle name="Normal 4 2 2 6 3 2 4" xfId="21731"/>
    <cellStyle name="Normal 4 2 2 6 3 2 4 2" xfId="37943"/>
    <cellStyle name="Normal 4 2 2 6 3 2 5" xfId="23229"/>
    <cellStyle name="Normal 4 2 2 6 3 3" xfId="1411"/>
    <cellStyle name="Normal 4 2 2 6 3 3 2" xfId="2910"/>
    <cellStyle name="Normal 4 2 2 6 3 3 2 2" xfId="25078"/>
    <cellStyle name="Normal 4 2 2 6 3 3 3" xfId="4409"/>
    <cellStyle name="Normal 4 2 2 6 3 3 3 2" xfId="26576"/>
    <cellStyle name="Normal 4 2 2 6 3 3 4" xfId="22082"/>
    <cellStyle name="Normal 4 2 2 6 3 3 4 2" xfId="38294"/>
    <cellStyle name="Normal 4 2 2 6 3 3 5" xfId="23580"/>
    <cellStyle name="Normal 4 2 2 6 3 4" xfId="1762"/>
    <cellStyle name="Normal 4 2 2 6 3 4 2" xfId="3261"/>
    <cellStyle name="Normal 4 2 2 6 3 4 2 2" xfId="25429"/>
    <cellStyle name="Normal 4 2 2 6 3 4 3" xfId="4760"/>
    <cellStyle name="Normal 4 2 2 6 3 4 3 2" xfId="26927"/>
    <cellStyle name="Normal 4 2 2 6 3 4 4" xfId="22433"/>
    <cellStyle name="Normal 4 2 2 6 3 4 4 2" xfId="38645"/>
    <cellStyle name="Normal 4 2 2 6 3 4 5" xfId="23931"/>
    <cellStyle name="Normal 4 2 2 6 3 5" xfId="2208"/>
    <cellStyle name="Normal 4 2 2 6 3 5 2" xfId="24376"/>
    <cellStyle name="Normal 4 2 2 6 3 6" xfId="3707"/>
    <cellStyle name="Normal 4 2 2 6 3 6 2" xfId="25874"/>
    <cellStyle name="Normal 4 2 2 6 3 7" xfId="21380"/>
    <cellStyle name="Normal 4 2 2 6 3 7 2" xfId="37592"/>
    <cellStyle name="Normal 4 2 2 6 3 8" xfId="22878"/>
    <cellStyle name="Normal 4 2 2 6 4" xfId="826"/>
    <cellStyle name="Normal 4 2 2 6 4 2" xfId="2325"/>
    <cellStyle name="Normal 4 2 2 6 4 2 2" xfId="24493"/>
    <cellStyle name="Normal 4 2 2 6 4 3" xfId="3824"/>
    <cellStyle name="Normal 4 2 2 6 4 3 2" xfId="25991"/>
    <cellStyle name="Normal 4 2 2 6 4 4" xfId="21497"/>
    <cellStyle name="Normal 4 2 2 6 4 4 2" xfId="37709"/>
    <cellStyle name="Normal 4 2 2 6 4 5" xfId="22995"/>
    <cellStyle name="Normal 4 2 2 6 5" xfId="1177"/>
    <cellStyle name="Normal 4 2 2 6 5 2" xfId="2676"/>
    <cellStyle name="Normal 4 2 2 6 5 2 2" xfId="24844"/>
    <cellStyle name="Normal 4 2 2 6 5 3" xfId="4175"/>
    <cellStyle name="Normal 4 2 2 6 5 3 2" xfId="26342"/>
    <cellStyle name="Normal 4 2 2 6 5 4" xfId="21848"/>
    <cellStyle name="Normal 4 2 2 6 5 4 2" xfId="38060"/>
    <cellStyle name="Normal 4 2 2 6 5 5" xfId="23346"/>
    <cellStyle name="Normal 4 2 2 6 6" xfId="1528"/>
    <cellStyle name="Normal 4 2 2 6 6 2" xfId="3027"/>
    <cellStyle name="Normal 4 2 2 6 6 2 2" xfId="25195"/>
    <cellStyle name="Normal 4 2 2 6 6 3" xfId="4526"/>
    <cellStyle name="Normal 4 2 2 6 6 3 2" xfId="26693"/>
    <cellStyle name="Normal 4 2 2 6 6 4" xfId="22199"/>
    <cellStyle name="Normal 4 2 2 6 6 4 2" xfId="38411"/>
    <cellStyle name="Normal 4 2 2 6 6 5" xfId="23697"/>
    <cellStyle name="Normal 4 2 2 6 7" xfId="1974"/>
    <cellStyle name="Normal 4 2 2 6 7 2" xfId="24142"/>
    <cellStyle name="Normal 4 2 2 6 8" xfId="3473"/>
    <cellStyle name="Normal 4 2 2 6 8 2" xfId="25640"/>
    <cellStyle name="Normal 4 2 2 6 9" xfId="21146"/>
    <cellStyle name="Normal 4 2 2 6 9 2" xfId="37358"/>
    <cellStyle name="Normal 4 2 2 7" xfId="486"/>
    <cellStyle name="Normal 4 2 2 7 10" xfId="22657"/>
    <cellStyle name="Normal 4 2 2 7 2" xfId="604"/>
    <cellStyle name="Normal 4 2 2 7 2 2" xfId="956"/>
    <cellStyle name="Normal 4 2 2 7 2 2 2" xfId="2455"/>
    <cellStyle name="Normal 4 2 2 7 2 2 2 2" xfId="24623"/>
    <cellStyle name="Normal 4 2 2 7 2 2 3" xfId="3954"/>
    <cellStyle name="Normal 4 2 2 7 2 2 3 2" xfId="26121"/>
    <cellStyle name="Normal 4 2 2 7 2 2 4" xfId="21627"/>
    <cellStyle name="Normal 4 2 2 7 2 2 4 2" xfId="37839"/>
    <cellStyle name="Normal 4 2 2 7 2 2 5" xfId="23125"/>
    <cellStyle name="Normal 4 2 2 7 2 3" xfId="1307"/>
    <cellStyle name="Normal 4 2 2 7 2 3 2" xfId="2806"/>
    <cellStyle name="Normal 4 2 2 7 2 3 2 2" xfId="24974"/>
    <cellStyle name="Normal 4 2 2 7 2 3 3" xfId="4305"/>
    <cellStyle name="Normal 4 2 2 7 2 3 3 2" xfId="26472"/>
    <cellStyle name="Normal 4 2 2 7 2 3 4" xfId="21978"/>
    <cellStyle name="Normal 4 2 2 7 2 3 4 2" xfId="38190"/>
    <cellStyle name="Normal 4 2 2 7 2 3 5" xfId="23476"/>
    <cellStyle name="Normal 4 2 2 7 2 4" xfId="1658"/>
    <cellStyle name="Normal 4 2 2 7 2 4 2" xfId="3157"/>
    <cellStyle name="Normal 4 2 2 7 2 4 2 2" xfId="25325"/>
    <cellStyle name="Normal 4 2 2 7 2 4 3" xfId="4656"/>
    <cellStyle name="Normal 4 2 2 7 2 4 3 2" xfId="26823"/>
    <cellStyle name="Normal 4 2 2 7 2 4 4" xfId="22329"/>
    <cellStyle name="Normal 4 2 2 7 2 4 4 2" xfId="38541"/>
    <cellStyle name="Normal 4 2 2 7 2 4 5" xfId="23827"/>
    <cellStyle name="Normal 4 2 2 7 2 5" xfId="2104"/>
    <cellStyle name="Normal 4 2 2 7 2 5 2" xfId="24272"/>
    <cellStyle name="Normal 4 2 2 7 2 6" xfId="3603"/>
    <cellStyle name="Normal 4 2 2 7 2 6 2" xfId="25770"/>
    <cellStyle name="Normal 4 2 2 7 2 7" xfId="21276"/>
    <cellStyle name="Normal 4 2 2 7 2 7 2" xfId="37488"/>
    <cellStyle name="Normal 4 2 2 7 2 8" xfId="22774"/>
    <cellStyle name="Normal 4 2 2 7 3" xfId="722"/>
    <cellStyle name="Normal 4 2 2 7 3 2" xfId="1073"/>
    <cellStyle name="Normal 4 2 2 7 3 2 2" xfId="2572"/>
    <cellStyle name="Normal 4 2 2 7 3 2 2 2" xfId="24740"/>
    <cellStyle name="Normal 4 2 2 7 3 2 3" xfId="4071"/>
    <cellStyle name="Normal 4 2 2 7 3 2 3 2" xfId="26238"/>
    <cellStyle name="Normal 4 2 2 7 3 2 4" xfId="21744"/>
    <cellStyle name="Normal 4 2 2 7 3 2 4 2" xfId="37956"/>
    <cellStyle name="Normal 4 2 2 7 3 2 5" xfId="23242"/>
    <cellStyle name="Normal 4 2 2 7 3 3" xfId="1424"/>
    <cellStyle name="Normal 4 2 2 7 3 3 2" xfId="2923"/>
    <cellStyle name="Normal 4 2 2 7 3 3 2 2" xfId="25091"/>
    <cellStyle name="Normal 4 2 2 7 3 3 3" xfId="4422"/>
    <cellStyle name="Normal 4 2 2 7 3 3 3 2" xfId="26589"/>
    <cellStyle name="Normal 4 2 2 7 3 3 4" xfId="22095"/>
    <cellStyle name="Normal 4 2 2 7 3 3 4 2" xfId="38307"/>
    <cellStyle name="Normal 4 2 2 7 3 3 5" xfId="23593"/>
    <cellStyle name="Normal 4 2 2 7 3 4" xfId="1775"/>
    <cellStyle name="Normal 4 2 2 7 3 4 2" xfId="3274"/>
    <cellStyle name="Normal 4 2 2 7 3 4 2 2" xfId="25442"/>
    <cellStyle name="Normal 4 2 2 7 3 4 3" xfId="4773"/>
    <cellStyle name="Normal 4 2 2 7 3 4 3 2" xfId="26940"/>
    <cellStyle name="Normal 4 2 2 7 3 4 4" xfId="22446"/>
    <cellStyle name="Normal 4 2 2 7 3 4 4 2" xfId="38658"/>
    <cellStyle name="Normal 4 2 2 7 3 4 5" xfId="23944"/>
    <cellStyle name="Normal 4 2 2 7 3 5" xfId="2221"/>
    <cellStyle name="Normal 4 2 2 7 3 5 2" xfId="24389"/>
    <cellStyle name="Normal 4 2 2 7 3 6" xfId="3720"/>
    <cellStyle name="Normal 4 2 2 7 3 6 2" xfId="25887"/>
    <cellStyle name="Normal 4 2 2 7 3 7" xfId="21393"/>
    <cellStyle name="Normal 4 2 2 7 3 7 2" xfId="37605"/>
    <cellStyle name="Normal 4 2 2 7 3 8" xfId="22891"/>
    <cellStyle name="Normal 4 2 2 7 4" xfId="839"/>
    <cellStyle name="Normal 4 2 2 7 4 2" xfId="2338"/>
    <cellStyle name="Normal 4 2 2 7 4 2 2" xfId="24506"/>
    <cellStyle name="Normal 4 2 2 7 4 3" xfId="3837"/>
    <cellStyle name="Normal 4 2 2 7 4 3 2" xfId="26004"/>
    <cellStyle name="Normal 4 2 2 7 4 4" xfId="21510"/>
    <cellStyle name="Normal 4 2 2 7 4 4 2" xfId="37722"/>
    <cellStyle name="Normal 4 2 2 7 4 5" xfId="23008"/>
    <cellStyle name="Normal 4 2 2 7 5" xfId="1190"/>
    <cellStyle name="Normal 4 2 2 7 5 2" xfId="2689"/>
    <cellStyle name="Normal 4 2 2 7 5 2 2" xfId="24857"/>
    <cellStyle name="Normal 4 2 2 7 5 3" xfId="4188"/>
    <cellStyle name="Normal 4 2 2 7 5 3 2" xfId="26355"/>
    <cellStyle name="Normal 4 2 2 7 5 4" xfId="21861"/>
    <cellStyle name="Normal 4 2 2 7 5 4 2" xfId="38073"/>
    <cellStyle name="Normal 4 2 2 7 5 5" xfId="23359"/>
    <cellStyle name="Normal 4 2 2 7 6" xfId="1541"/>
    <cellStyle name="Normal 4 2 2 7 6 2" xfId="3040"/>
    <cellStyle name="Normal 4 2 2 7 6 2 2" xfId="25208"/>
    <cellStyle name="Normal 4 2 2 7 6 3" xfId="4539"/>
    <cellStyle name="Normal 4 2 2 7 6 3 2" xfId="26706"/>
    <cellStyle name="Normal 4 2 2 7 6 4" xfId="22212"/>
    <cellStyle name="Normal 4 2 2 7 6 4 2" xfId="38424"/>
    <cellStyle name="Normal 4 2 2 7 6 5" xfId="23710"/>
    <cellStyle name="Normal 4 2 2 7 7" xfId="1987"/>
    <cellStyle name="Normal 4 2 2 7 7 2" xfId="24155"/>
    <cellStyle name="Normal 4 2 2 7 8" xfId="3486"/>
    <cellStyle name="Normal 4 2 2 7 8 2" xfId="25653"/>
    <cellStyle name="Normal 4 2 2 7 9" xfId="21159"/>
    <cellStyle name="Normal 4 2 2 7 9 2" xfId="37371"/>
    <cellStyle name="Normal 4 2 2 8" xfId="515"/>
    <cellStyle name="Normal 4 2 2 8 2" xfId="867"/>
    <cellStyle name="Normal 4 2 2 8 2 2" xfId="2366"/>
    <cellStyle name="Normal 4 2 2 8 2 2 2" xfId="24534"/>
    <cellStyle name="Normal 4 2 2 8 2 3" xfId="3865"/>
    <cellStyle name="Normal 4 2 2 8 2 3 2" xfId="26032"/>
    <cellStyle name="Normal 4 2 2 8 2 4" xfId="21538"/>
    <cellStyle name="Normal 4 2 2 8 2 4 2" xfId="37750"/>
    <cellStyle name="Normal 4 2 2 8 2 5" xfId="23036"/>
    <cellStyle name="Normal 4 2 2 8 3" xfId="1218"/>
    <cellStyle name="Normal 4 2 2 8 3 2" xfId="2717"/>
    <cellStyle name="Normal 4 2 2 8 3 2 2" xfId="24885"/>
    <cellStyle name="Normal 4 2 2 8 3 3" xfId="4216"/>
    <cellStyle name="Normal 4 2 2 8 3 3 2" xfId="26383"/>
    <cellStyle name="Normal 4 2 2 8 3 4" xfId="21889"/>
    <cellStyle name="Normal 4 2 2 8 3 4 2" xfId="38101"/>
    <cellStyle name="Normal 4 2 2 8 3 5" xfId="23387"/>
    <cellStyle name="Normal 4 2 2 8 4" xfId="1569"/>
    <cellStyle name="Normal 4 2 2 8 4 2" xfId="3068"/>
    <cellStyle name="Normal 4 2 2 8 4 2 2" xfId="25236"/>
    <cellStyle name="Normal 4 2 2 8 4 3" xfId="4567"/>
    <cellStyle name="Normal 4 2 2 8 4 3 2" xfId="26734"/>
    <cellStyle name="Normal 4 2 2 8 4 4" xfId="22240"/>
    <cellStyle name="Normal 4 2 2 8 4 4 2" xfId="38452"/>
    <cellStyle name="Normal 4 2 2 8 4 5" xfId="23738"/>
    <cellStyle name="Normal 4 2 2 8 5" xfId="2015"/>
    <cellStyle name="Normal 4 2 2 8 5 2" xfId="24183"/>
    <cellStyle name="Normal 4 2 2 8 6" xfId="3514"/>
    <cellStyle name="Normal 4 2 2 8 6 2" xfId="25681"/>
    <cellStyle name="Normal 4 2 2 8 7" xfId="21187"/>
    <cellStyle name="Normal 4 2 2 8 7 2" xfId="37399"/>
    <cellStyle name="Normal 4 2 2 8 8" xfId="22685"/>
    <cellStyle name="Normal 4 2 2 9" xfId="633"/>
    <cellStyle name="Normal 4 2 2 9 2" xfId="984"/>
    <cellStyle name="Normal 4 2 2 9 2 2" xfId="2483"/>
    <cellStyle name="Normal 4 2 2 9 2 2 2" xfId="24651"/>
    <cellStyle name="Normal 4 2 2 9 2 3" xfId="3982"/>
    <cellStyle name="Normal 4 2 2 9 2 3 2" xfId="26149"/>
    <cellStyle name="Normal 4 2 2 9 2 4" xfId="21655"/>
    <cellStyle name="Normal 4 2 2 9 2 4 2" xfId="37867"/>
    <cellStyle name="Normal 4 2 2 9 2 5" xfId="23153"/>
    <cellStyle name="Normal 4 2 2 9 3" xfId="1335"/>
    <cellStyle name="Normal 4 2 2 9 3 2" xfId="2834"/>
    <cellStyle name="Normal 4 2 2 9 3 2 2" xfId="25002"/>
    <cellStyle name="Normal 4 2 2 9 3 3" xfId="4333"/>
    <cellStyle name="Normal 4 2 2 9 3 3 2" xfId="26500"/>
    <cellStyle name="Normal 4 2 2 9 3 4" xfId="22006"/>
    <cellStyle name="Normal 4 2 2 9 3 4 2" xfId="38218"/>
    <cellStyle name="Normal 4 2 2 9 3 5" xfId="23504"/>
    <cellStyle name="Normal 4 2 2 9 4" xfId="1686"/>
    <cellStyle name="Normal 4 2 2 9 4 2" xfId="3185"/>
    <cellStyle name="Normal 4 2 2 9 4 2 2" xfId="25353"/>
    <cellStyle name="Normal 4 2 2 9 4 3" xfId="4684"/>
    <cellStyle name="Normal 4 2 2 9 4 3 2" xfId="26851"/>
    <cellStyle name="Normal 4 2 2 9 4 4" xfId="22357"/>
    <cellStyle name="Normal 4 2 2 9 4 4 2" xfId="38569"/>
    <cellStyle name="Normal 4 2 2 9 4 5" xfId="23855"/>
    <cellStyle name="Normal 4 2 2 9 5" xfId="2132"/>
    <cellStyle name="Normal 4 2 2 9 5 2" xfId="24300"/>
    <cellStyle name="Normal 4 2 2 9 6" xfId="3631"/>
    <cellStyle name="Normal 4 2 2 9 6 2" xfId="25798"/>
    <cellStyle name="Normal 4 2 2 9 7" xfId="21304"/>
    <cellStyle name="Normal 4 2 2 9 7 2" xfId="37516"/>
    <cellStyle name="Normal 4 2 2 9 8" xfId="22802"/>
    <cellStyle name="Normal 4 2 20" xfId="21001"/>
    <cellStyle name="Normal 4 2 20 2" xfId="37213"/>
    <cellStyle name="Normal 4 2 21" xfId="22499"/>
    <cellStyle name="Normal 4 2 22" xfId="293"/>
    <cellStyle name="Normal 4 2 3" xfId="406"/>
    <cellStyle name="Normal 4 2 3 10" xfId="18615"/>
    <cellStyle name="Normal 4 2 3 10 2" xfId="34836"/>
    <cellStyle name="Normal 4 2 3 11" xfId="8221"/>
    <cellStyle name="Normal 4 2 3 11 2" xfId="28152"/>
    <cellStyle name="Normal 4 2 3 12" xfId="21079"/>
    <cellStyle name="Normal 4 2 3 12 2" xfId="37291"/>
    <cellStyle name="Normal 4 2 3 13" xfId="22577"/>
    <cellStyle name="Normal 4 2 3 14" xfId="38899"/>
    <cellStyle name="Normal 4 2 3 2" xfId="458"/>
    <cellStyle name="Normal 4 2 3 2 10" xfId="8222"/>
    <cellStyle name="Normal 4 2 3 2 10 2" xfId="28153"/>
    <cellStyle name="Normal 4 2 3 2 11" xfId="21131"/>
    <cellStyle name="Normal 4 2 3 2 11 2" xfId="37343"/>
    <cellStyle name="Normal 4 2 3 2 12" xfId="22629"/>
    <cellStyle name="Normal 4 2 3 2 2" xfId="576"/>
    <cellStyle name="Normal 4 2 3 2 2 10" xfId="21248"/>
    <cellStyle name="Normal 4 2 3 2 2 10 2" xfId="37460"/>
    <cellStyle name="Normal 4 2 3 2 2 11" xfId="22746"/>
    <cellStyle name="Normal 4 2 3 2 2 2" xfId="928"/>
    <cellStyle name="Normal 4 2 3 2 2 2 2" xfId="2427"/>
    <cellStyle name="Normal 4 2 3 2 2 2 2 2" xfId="8226"/>
    <cellStyle name="Normal 4 2 3 2 2 2 2 2 2" xfId="12819"/>
    <cellStyle name="Normal 4 2 3 2 2 2 2 2 2 2" xfId="20377"/>
    <cellStyle name="Normal 4 2 3 2 2 2 2 2 2 2 2" xfId="36598"/>
    <cellStyle name="Normal 4 2 3 2 2 2 2 2 2 3" xfId="29910"/>
    <cellStyle name="Normal 4 2 3 2 2 2 2 2 3" xfId="17182"/>
    <cellStyle name="Normal 4 2 3 2 2 2 2 2 3 2" xfId="33403"/>
    <cellStyle name="Normal 4 2 3 2 2 2 2 2 4" xfId="18620"/>
    <cellStyle name="Normal 4 2 3 2 2 2 2 2 4 2" xfId="34841"/>
    <cellStyle name="Normal 4 2 3 2 2 2 2 2 5" xfId="28157"/>
    <cellStyle name="Normal 4 2 3 2 2 2 2 3" xfId="12818"/>
    <cellStyle name="Normal 4 2 3 2 2 2 2 3 2" xfId="20376"/>
    <cellStyle name="Normal 4 2 3 2 2 2 2 3 2 2" xfId="36597"/>
    <cellStyle name="Normal 4 2 3 2 2 2 2 3 3" xfId="29909"/>
    <cellStyle name="Normal 4 2 3 2 2 2 2 4" xfId="15597"/>
    <cellStyle name="Normal 4 2 3 2 2 2 2 4 2" xfId="31819"/>
    <cellStyle name="Normal 4 2 3 2 2 2 2 5" xfId="18619"/>
    <cellStyle name="Normal 4 2 3 2 2 2 2 5 2" xfId="34840"/>
    <cellStyle name="Normal 4 2 3 2 2 2 2 6" xfId="8225"/>
    <cellStyle name="Normal 4 2 3 2 2 2 2 6 2" xfId="28156"/>
    <cellStyle name="Normal 4 2 3 2 2 2 2 7" xfId="24595"/>
    <cellStyle name="Normal 4 2 3 2 2 2 3" xfId="3926"/>
    <cellStyle name="Normal 4 2 3 2 2 2 3 2" xfId="12820"/>
    <cellStyle name="Normal 4 2 3 2 2 2 3 2 2" xfId="20378"/>
    <cellStyle name="Normal 4 2 3 2 2 2 3 2 2 2" xfId="36599"/>
    <cellStyle name="Normal 4 2 3 2 2 2 3 2 3" xfId="29911"/>
    <cellStyle name="Normal 4 2 3 2 2 2 3 3" xfId="16390"/>
    <cellStyle name="Normal 4 2 3 2 2 2 3 3 2" xfId="32611"/>
    <cellStyle name="Normal 4 2 3 2 2 2 3 4" xfId="18621"/>
    <cellStyle name="Normal 4 2 3 2 2 2 3 4 2" xfId="34842"/>
    <cellStyle name="Normal 4 2 3 2 2 2 3 5" xfId="8227"/>
    <cellStyle name="Normal 4 2 3 2 2 2 3 5 2" xfId="28158"/>
    <cellStyle name="Normal 4 2 3 2 2 2 3 6" xfId="26093"/>
    <cellStyle name="Normal 4 2 3 2 2 2 4" xfId="12817"/>
    <cellStyle name="Normal 4 2 3 2 2 2 4 2" xfId="20375"/>
    <cellStyle name="Normal 4 2 3 2 2 2 4 2 2" xfId="36596"/>
    <cellStyle name="Normal 4 2 3 2 2 2 4 3" xfId="29908"/>
    <cellStyle name="Normal 4 2 3 2 2 2 5" xfId="14805"/>
    <cellStyle name="Normal 4 2 3 2 2 2 5 2" xfId="31027"/>
    <cellStyle name="Normal 4 2 3 2 2 2 6" xfId="18618"/>
    <cellStyle name="Normal 4 2 3 2 2 2 6 2" xfId="34839"/>
    <cellStyle name="Normal 4 2 3 2 2 2 7" xfId="8224"/>
    <cellStyle name="Normal 4 2 3 2 2 2 7 2" xfId="28155"/>
    <cellStyle name="Normal 4 2 3 2 2 2 8" xfId="21599"/>
    <cellStyle name="Normal 4 2 3 2 2 2 8 2" xfId="37811"/>
    <cellStyle name="Normal 4 2 3 2 2 2 9" xfId="23097"/>
    <cellStyle name="Normal 4 2 3 2 2 3" xfId="1279"/>
    <cellStyle name="Normal 4 2 3 2 2 3 2" xfId="2778"/>
    <cellStyle name="Normal 4 2 3 2 2 3 2 2" xfId="8230"/>
    <cellStyle name="Normal 4 2 3 2 2 3 2 2 2" xfId="12823"/>
    <cellStyle name="Normal 4 2 3 2 2 3 2 2 2 2" xfId="20381"/>
    <cellStyle name="Normal 4 2 3 2 2 3 2 2 2 2 2" xfId="36602"/>
    <cellStyle name="Normal 4 2 3 2 2 3 2 2 2 3" xfId="29914"/>
    <cellStyle name="Normal 4 2 3 2 2 3 2 2 3" xfId="17446"/>
    <cellStyle name="Normal 4 2 3 2 2 3 2 2 3 2" xfId="33667"/>
    <cellStyle name="Normal 4 2 3 2 2 3 2 2 4" xfId="18624"/>
    <cellStyle name="Normal 4 2 3 2 2 3 2 2 4 2" xfId="34845"/>
    <cellStyle name="Normal 4 2 3 2 2 3 2 2 5" xfId="28161"/>
    <cellStyle name="Normal 4 2 3 2 2 3 2 3" xfId="12822"/>
    <cellStyle name="Normal 4 2 3 2 2 3 2 3 2" xfId="20380"/>
    <cellStyle name="Normal 4 2 3 2 2 3 2 3 2 2" xfId="36601"/>
    <cellStyle name="Normal 4 2 3 2 2 3 2 3 3" xfId="29913"/>
    <cellStyle name="Normal 4 2 3 2 2 3 2 4" xfId="15861"/>
    <cellStyle name="Normal 4 2 3 2 2 3 2 4 2" xfId="32083"/>
    <cellStyle name="Normal 4 2 3 2 2 3 2 5" xfId="18623"/>
    <cellStyle name="Normal 4 2 3 2 2 3 2 5 2" xfId="34844"/>
    <cellStyle name="Normal 4 2 3 2 2 3 2 6" xfId="8229"/>
    <cellStyle name="Normal 4 2 3 2 2 3 2 6 2" xfId="28160"/>
    <cellStyle name="Normal 4 2 3 2 2 3 2 7" xfId="24946"/>
    <cellStyle name="Normal 4 2 3 2 2 3 3" xfId="4277"/>
    <cellStyle name="Normal 4 2 3 2 2 3 3 2" xfId="12824"/>
    <cellStyle name="Normal 4 2 3 2 2 3 3 2 2" xfId="20382"/>
    <cellStyle name="Normal 4 2 3 2 2 3 3 2 2 2" xfId="36603"/>
    <cellStyle name="Normal 4 2 3 2 2 3 3 2 3" xfId="29915"/>
    <cellStyle name="Normal 4 2 3 2 2 3 3 3" xfId="16654"/>
    <cellStyle name="Normal 4 2 3 2 2 3 3 3 2" xfId="32875"/>
    <cellStyle name="Normal 4 2 3 2 2 3 3 4" xfId="18625"/>
    <cellStyle name="Normal 4 2 3 2 2 3 3 4 2" xfId="34846"/>
    <cellStyle name="Normal 4 2 3 2 2 3 3 5" xfId="8231"/>
    <cellStyle name="Normal 4 2 3 2 2 3 3 5 2" xfId="28162"/>
    <cellStyle name="Normal 4 2 3 2 2 3 3 6" xfId="26444"/>
    <cellStyle name="Normal 4 2 3 2 2 3 4" xfId="12821"/>
    <cellStyle name="Normal 4 2 3 2 2 3 4 2" xfId="20379"/>
    <cellStyle name="Normal 4 2 3 2 2 3 4 2 2" xfId="36600"/>
    <cellStyle name="Normal 4 2 3 2 2 3 4 3" xfId="29912"/>
    <cellStyle name="Normal 4 2 3 2 2 3 5" xfId="15069"/>
    <cellStyle name="Normal 4 2 3 2 2 3 5 2" xfId="31291"/>
    <cellStyle name="Normal 4 2 3 2 2 3 6" xfId="18622"/>
    <cellStyle name="Normal 4 2 3 2 2 3 6 2" xfId="34843"/>
    <cellStyle name="Normal 4 2 3 2 2 3 7" xfId="8228"/>
    <cellStyle name="Normal 4 2 3 2 2 3 7 2" xfId="28159"/>
    <cellStyle name="Normal 4 2 3 2 2 3 8" xfId="21950"/>
    <cellStyle name="Normal 4 2 3 2 2 3 8 2" xfId="38162"/>
    <cellStyle name="Normal 4 2 3 2 2 3 9" xfId="23448"/>
    <cellStyle name="Normal 4 2 3 2 2 4" xfId="1630"/>
    <cellStyle name="Normal 4 2 3 2 2 4 2" xfId="3129"/>
    <cellStyle name="Normal 4 2 3 2 2 4 2 2" xfId="12826"/>
    <cellStyle name="Normal 4 2 3 2 2 4 2 2 2" xfId="20384"/>
    <cellStyle name="Normal 4 2 3 2 2 4 2 2 2 2" xfId="36605"/>
    <cellStyle name="Normal 4 2 3 2 2 4 2 2 3" xfId="29917"/>
    <cellStyle name="Normal 4 2 3 2 2 4 2 3" xfId="16918"/>
    <cellStyle name="Normal 4 2 3 2 2 4 2 3 2" xfId="33139"/>
    <cellStyle name="Normal 4 2 3 2 2 4 2 4" xfId="18627"/>
    <cellStyle name="Normal 4 2 3 2 2 4 2 4 2" xfId="34848"/>
    <cellStyle name="Normal 4 2 3 2 2 4 2 5" xfId="8233"/>
    <cellStyle name="Normal 4 2 3 2 2 4 2 5 2" xfId="28164"/>
    <cellStyle name="Normal 4 2 3 2 2 4 2 6" xfId="25297"/>
    <cellStyle name="Normal 4 2 3 2 2 4 3" xfId="4628"/>
    <cellStyle name="Normal 4 2 3 2 2 4 3 2" xfId="20383"/>
    <cellStyle name="Normal 4 2 3 2 2 4 3 2 2" xfId="36604"/>
    <cellStyle name="Normal 4 2 3 2 2 4 3 3" xfId="12825"/>
    <cellStyle name="Normal 4 2 3 2 2 4 3 3 2" xfId="29916"/>
    <cellStyle name="Normal 4 2 3 2 2 4 3 4" xfId="26795"/>
    <cellStyle name="Normal 4 2 3 2 2 4 4" xfId="15333"/>
    <cellStyle name="Normal 4 2 3 2 2 4 4 2" xfId="31555"/>
    <cellStyle name="Normal 4 2 3 2 2 4 5" xfId="18626"/>
    <cellStyle name="Normal 4 2 3 2 2 4 5 2" xfId="34847"/>
    <cellStyle name="Normal 4 2 3 2 2 4 6" xfId="8232"/>
    <cellStyle name="Normal 4 2 3 2 2 4 6 2" xfId="28163"/>
    <cellStyle name="Normal 4 2 3 2 2 4 7" xfId="22301"/>
    <cellStyle name="Normal 4 2 3 2 2 4 7 2" xfId="38513"/>
    <cellStyle name="Normal 4 2 3 2 2 4 8" xfId="23799"/>
    <cellStyle name="Normal 4 2 3 2 2 5" xfId="2076"/>
    <cellStyle name="Normal 4 2 3 2 2 5 2" xfId="12827"/>
    <cellStyle name="Normal 4 2 3 2 2 5 2 2" xfId="20385"/>
    <cellStyle name="Normal 4 2 3 2 2 5 2 2 2" xfId="36606"/>
    <cellStyle name="Normal 4 2 3 2 2 5 2 3" xfId="29918"/>
    <cellStyle name="Normal 4 2 3 2 2 5 3" xfId="16126"/>
    <cellStyle name="Normal 4 2 3 2 2 5 3 2" xfId="32347"/>
    <cellStyle name="Normal 4 2 3 2 2 5 4" xfId="18628"/>
    <cellStyle name="Normal 4 2 3 2 2 5 4 2" xfId="34849"/>
    <cellStyle name="Normal 4 2 3 2 2 5 5" xfId="8234"/>
    <cellStyle name="Normal 4 2 3 2 2 5 5 2" xfId="28165"/>
    <cellStyle name="Normal 4 2 3 2 2 5 6" xfId="24244"/>
    <cellStyle name="Normal 4 2 3 2 2 6" xfId="3575"/>
    <cellStyle name="Normal 4 2 3 2 2 6 2" xfId="20374"/>
    <cellStyle name="Normal 4 2 3 2 2 6 2 2" xfId="36595"/>
    <cellStyle name="Normal 4 2 3 2 2 6 3" xfId="12816"/>
    <cellStyle name="Normal 4 2 3 2 2 6 3 2" xfId="29907"/>
    <cellStyle name="Normal 4 2 3 2 2 6 4" xfId="25742"/>
    <cellStyle name="Normal 4 2 3 2 2 7" xfId="14541"/>
    <cellStyle name="Normal 4 2 3 2 2 7 2" xfId="30763"/>
    <cellStyle name="Normal 4 2 3 2 2 8" xfId="18617"/>
    <cellStyle name="Normal 4 2 3 2 2 8 2" xfId="34838"/>
    <cellStyle name="Normal 4 2 3 2 2 9" xfId="8223"/>
    <cellStyle name="Normal 4 2 3 2 2 9 2" xfId="28154"/>
    <cellStyle name="Normal 4 2 3 2 3" xfId="694"/>
    <cellStyle name="Normal 4 2 3 2 3 2" xfId="1045"/>
    <cellStyle name="Normal 4 2 3 2 3 2 2" xfId="2544"/>
    <cellStyle name="Normal 4 2 3 2 3 2 2 2" xfId="12830"/>
    <cellStyle name="Normal 4 2 3 2 3 2 2 2 2" xfId="20388"/>
    <cellStyle name="Normal 4 2 3 2 3 2 2 2 2 2" xfId="36609"/>
    <cellStyle name="Normal 4 2 3 2 3 2 2 2 3" xfId="29921"/>
    <cellStyle name="Normal 4 2 3 2 3 2 2 3" xfId="17050"/>
    <cellStyle name="Normal 4 2 3 2 3 2 2 3 2" xfId="33271"/>
    <cellStyle name="Normal 4 2 3 2 3 2 2 4" xfId="18631"/>
    <cellStyle name="Normal 4 2 3 2 3 2 2 4 2" xfId="34852"/>
    <cellStyle name="Normal 4 2 3 2 3 2 2 5" xfId="8237"/>
    <cellStyle name="Normal 4 2 3 2 3 2 2 5 2" xfId="28168"/>
    <cellStyle name="Normal 4 2 3 2 3 2 2 6" xfId="24712"/>
    <cellStyle name="Normal 4 2 3 2 3 2 3" xfId="4043"/>
    <cellStyle name="Normal 4 2 3 2 3 2 3 2" xfId="20387"/>
    <cellStyle name="Normal 4 2 3 2 3 2 3 2 2" xfId="36608"/>
    <cellStyle name="Normal 4 2 3 2 3 2 3 3" xfId="12829"/>
    <cellStyle name="Normal 4 2 3 2 3 2 3 3 2" xfId="29920"/>
    <cellStyle name="Normal 4 2 3 2 3 2 3 4" xfId="26210"/>
    <cellStyle name="Normal 4 2 3 2 3 2 4" xfId="15465"/>
    <cellStyle name="Normal 4 2 3 2 3 2 4 2" xfId="31687"/>
    <cellStyle name="Normal 4 2 3 2 3 2 5" xfId="18630"/>
    <cellStyle name="Normal 4 2 3 2 3 2 5 2" xfId="34851"/>
    <cellStyle name="Normal 4 2 3 2 3 2 6" xfId="8236"/>
    <cellStyle name="Normal 4 2 3 2 3 2 6 2" xfId="28167"/>
    <cellStyle name="Normal 4 2 3 2 3 2 7" xfId="21716"/>
    <cellStyle name="Normal 4 2 3 2 3 2 7 2" xfId="37928"/>
    <cellStyle name="Normal 4 2 3 2 3 2 8" xfId="23214"/>
    <cellStyle name="Normal 4 2 3 2 3 3" xfId="1396"/>
    <cellStyle name="Normal 4 2 3 2 3 3 2" xfId="2895"/>
    <cellStyle name="Normal 4 2 3 2 3 3 2 2" xfId="20389"/>
    <cellStyle name="Normal 4 2 3 2 3 3 2 2 2" xfId="36610"/>
    <cellStyle name="Normal 4 2 3 2 3 3 2 3" xfId="12831"/>
    <cellStyle name="Normal 4 2 3 2 3 3 2 3 2" xfId="29922"/>
    <cellStyle name="Normal 4 2 3 2 3 3 2 4" xfId="25063"/>
    <cellStyle name="Normal 4 2 3 2 3 3 3" xfId="4394"/>
    <cellStyle name="Normal 4 2 3 2 3 3 3 2" xfId="16258"/>
    <cellStyle name="Normal 4 2 3 2 3 3 3 2 2" xfId="32479"/>
    <cellStyle name="Normal 4 2 3 2 3 3 3 3" xfId="26561"/>
    <cellStyle name="Normal 4 2 3 2 3 3 4" xfId="18632"/>
    <cellStyle name="Normal 4 2 3 2 3 3 4 2" xfId="34853"/>
    <cellStyle name="Normal 4 2 3 2 3 3 5" xfId="8238"/>
    <cellStyle name="Normal 4 2 3 2 3 3 5 2" xfId="28169"/>
    <cellStyle name="Normal 4 2 3 2 3 3 6" xfId="22067"/>
    <cellStyle name="Normal 4 2 3 2 3 3 6 2" xfId="38279"/>
    <cellStyle name="Normal 4 2 3 2 3 3 7" xfId="23565"/>
    <cellStyle name="Normal 4 2 3 2 3 4" xfId="1747"/>
    <cellStyle name="Normal 4 2 3 2 3 4 2" xfId="3246"/>
    <cellStyle name="Normal 4 2 3 2 3 4 2 2" xfId="20386"/>
    <cellStyle name="Normal 4 2 3 2 3 4 2 2 2" xfId="36607"/>
    <cellStyle name="Normal 4 2 3 2 3 4 2 3" xfId="25414"/>
    <cellStyle name="Normal 4 2 3 2 3 4 3" xfId="4745"/>
    <cellStyle name="Normal 4 2 3 2 3 4 3 2" xfId="26912"/>
    <cellStyle name="Normal 4 2 3 2 3 4 4" xfId="12828"/>
    <cellStyle name="Normal 4 2 3 2 3 4 4 2" xfId="29919"/>
    <cellStyle name="Normal 4 2 3 2 3 4 5" xfId="22418"/>
    <cellStyle name="Normal 4 2 3 2 3 4 5 2" xfId="38630"/>
    <cellStyle name="Normal 4 2 3 2 3 4 6" xfId="23916"/>
    <cellStyle name="Normal 4 2 3 2 3 5" xfId="2193"/>
    <cellStyle name="Normal 4 2 3 2 3 5 2" xfId="14673"/>
    <cellStyle name="Normal 4 2 3 2 3 5 2 2" xfId="30895"/>
    <cellStyle name="Normal 4 2 3 2 3 5 3" xfId="24361"/>
    <cellStyle name="Normal 4 2 3 2 3 6" xfId="3692"/>
    <cellStyle name="Normal 4 2 3 2 3 6 2" xfId="18629"/>
    <cellStyle name="Normal 4 2 3 2 3 6 2 2" xfId="34850"/>
    <cellStyle name="Normal 4 2 3 2 3 6 3" xfId="25859"/>
    <cellStyle name="Normal 4 2 3 2 3 7" xfId="8235"/>
    <cellStyle name="Normal 4 2 3 2 3 7 2" xfId="28166"/>
    <cellStyle name="Normal 4 2 3 2 3 8" xfId="21365"/>
    <cellStyle name="Normal 4 2 3 2 3 8 2" xfId="37577"/>
    <cellStyle name="Normal 4 2 3 2 3 9" xfId="22863"/>
    <cellStyle name="Normal 4 2 3 2 4" xfId="811"/>
    <cellStyle name="Normal 4 2 3 2 4 2" xfId="2310"/>
    <cellStyle name="Normal 4 2 3 2 4 2 2" xfId="8241"/>
    <cellStyle name="Normal 4 2 3 2 4 2 2 2" xfId="12834"/>
    <cellStyle name="Normal 4 2 3 2 4 2 2 2 2" xfId="20392"/>
    <cellStyle name="Normal 4 2 3 2 4 2 2 2 2 2" xfId="36613"/>
    <cellStyle name="Normal 4 2 3 2 4 2 2 2 3" xfId="29925"/>
    <cellStyle name="Normal 4 2 3 2 4 2 2 3" xfId="17314"/>
    <cellStyle name="Normal 4 2 3 2 4 2 2 3 2" xfId="33535"/>
    <cellStyle name="Normal 4 2 3 2 4 2 2 4" xfId="18635"/>
    <cellStyle name="Normal 4 2 3 2 4 2 2 4 2" xfId="34856"/>
    <cellStyle name="Normal 4 2 3 2 4 2 2 5" xfId="28172"/>
    <cellStyle name="Normal 4 2 3 2 4 2 3" xfId="12833"/>
    <cellStyle name="Normal 4 2 3 2 4 2 3 2" xfId="20391"/>
    <cellStyle name="Normal 4 2 3 2 4 2 3 2 2" xfId="36612"/>
    <cellStyle name="Normal 4 2 3 2 4 2 3 3" xfId="29924"/>
    <cellStyle name="Normal 4 2 3 2 4 2 4" xfId="15729"/>
    <cellStyle name="Normal 4 2 3 2 4 2 4 2" xfId="31951"/>
    <cellStyle name="Normal 4 2 3 2 4 2 5" xfId="18634"/>
    <cellStyle name="Normal 4 2 3 2 4 2 5 2" xfId="34855"/>
    <cellStyle name="Normal 4 2 3 2 4 2 6" xfId="8240"/>
    <cellStyle name="Normal 4 2 3 2 4 2 6 2" xfId="28171"/>
    <cellStyle name="Normal 4 2 3 2 4 2 7" xfId="24478"/>
    <cellStyle name="Normal 4 2 3 2 4 3" xfId="3809"/>
    <cellStyle name="Normal 4 2 3 2 4 3 2" xfId="12835"/>
    <cellStyle name="Normal 4 2 3 2 4 3 2 2" xfId="20393"/>
    <cellStyle name="Normal 4 2 3 2 4 3 2 2 2" xfId="36614"/>
    <cellStyle name="Normal 4 2 3 2 4 3 2 3" xfId="29926"/>
    <cellStyle name="Normal 4 2 3 2 4 3 3" xfId="16522"/>
    <cellStyle name="Normal 4 2 3 2 4 3 3 2" xfId="32743"/>
    <cellStyle name="Normal 4 2 3 2 4 3 4" xfId="18636"/>
    <cellStyle name="Normal 4 2 3 2 4 3 4 2" xfId="34857"/>
    <cellStyle name="Normal 4 2 3 2 4 3 5" xfId="8242"/>
    <cellStyle name="Normal 4 2 3 2 4 3 5 2" xfId="28173"/>
    <cellStyle name="Normal 4 2 3 2 4 3 6" xfId="25976"/>
    <cellStyle name="Normal 4 2 3 2 4 4" xfId="12832"/>
    <cellStyle name="Normal 4 2 3 2 4 4 2" xfId="20390"/>
    <cellStyle name="Normal 4 2 3 2 4 4 2 2" xfId="36611"/>
    <cellStyle name="Normal 4 2 3 2 4 4 3" xfId="29923"/>
    <cellStyle name="Normal 4 2 3 2 4 5" xfId="14937"/>
    <cellStyle name="Normal 4 2 3 2 4 5 2" xfId="31159"/>
    <cellStyle name="Normal 4 2 3 2 4 6" xfId="18633"/>
    <cellStyle name="Normal 4 2 3 2 4 6 2" xfId="34854"/>
    <cellStyle name="Normal 4 2 3 2 4 7" xfId="8239"/>
    <cellStyle name="Normal 4 2 3 2 4 7 2" xfId="28170"/>
    <cellStyle name="Normal 4 2 3 2 4 8" xfId="21482"/>
    <cellStyle name="Normal 4 2 3 2 4 8 2" xfId="37694"/>
    <cellStyle name="Normal 4 2 3 2 4 9" xfId="22980"/>
    <cellStyle name="Normal 4 2 3 2 5" xfId="1162"/>
    <cellStyle name="Normal 4 2 3 2 5 2" xfId="2661"/>
    <cellStyle name="Normal 4 2 3 2 5 2 2" xfId="12837"/>
    <cellStyle name="Normal 4 2 3 2 5 2 2 2" xfId="20395"/>
    <cellStyle name="Normal 4 2 3 2 5 2 2 2 2" xfId="36616"/>
    <cellStyle name="Normal 4 2 3 2 5 2 2 3" xfId="29928"/>
    <cellStyle name="Normal 4 2 3 2 5 2 3" xfId="16786"/>
    <cellStyle name="Normal 4 2 3 2 5 2 3 2" xfId="33007"/>
    <cellStyle name="Normal 4 2 3 2 5 2 4" xfId="18638"/>
    <cellStyle name="Normal 4 2 3 2 5 2 4 2" xfId="34859"/>
    <cellStyle name="Normal 4 2 3 2 5 2 5" xfId="8244"/>
    <cellStyle name="Normal 4 2 3 2 5 2 5 2" xfId="28175"/>
    <cellStyle name="Normal 4 2 3 2 5 2 6" xfId="24829"/>
    <cellStyle name="Normal 4 2 3 2 5 3" xfId="4160"/>
    <cellStyle name="Normal 4 2 3 2 5 3 2" xfId="20394"/>
    <cellStyle name="Normal 4 2 3 2 5 3 2 2" xfId="36615"/>
    <cellStyle name="Normal 4 2 3 2 5 3 3" xfId="12836"/>
    <cellStyle name="Normal 4 2 3 2 5 3 3 2" xfId="29927"/>
    <cellStyle name="Normal 4 2 3 2 5 3 4" xfId="26327"/>
    <cellStyle name="Normal 4 2 3 2 5 4" xfId="15201"/>
    <cellStyle name="Normal 4 2 3 2 5 4 2" xfId="31423"/>
    <cellStyle name="Normal 4 2 3 2 5 5" xfId="18637"/>
    <cellStyle name="Normal 4 2 3 2 5 5 2" xfId="34858"/>
    <cellStyle name="Normal 4 2 3 2 5 6" xfId="8243"/>
    <cellStyle name="Normal 4 2 3 2 5 6 2" xfId="28174"/>
    <cellStyle name="Normal 4 2 3 2 5 7" xfId="21833"/>
    <cellStyle name="Normal 4 2 3 2 5 7 2" xfId="38045"/>
    <cellStyle name="Normal 4 2 3 2 5 8" xfId="23331"/>
    <cellStyle name="Normal 4 2 3 2 6" xfId="1513"/>
    <cellStyle name="Normal 4 2 3 2 6 2" xfId="3012"/>
    <cellStyle name="Normal 4 2 3 2 6 2 2" xfId="20396"/>
    <cellStyle name="Normal 4 2 3 2 6 2 2 2" xfId="36617"/>
    <cellStyle name="Normal 4 2 3 2 6 2 3" xfId="12838"/>
    <cellStyle name="Normal 4 2 3 2 6 2 3 2" xfId="29929"/>
    <cellStyle name="Normal 4 2 3 2 6 2 4" xfId="25180"/>
    <cellStyle name="Normal 4 2 3 2 6 3" xfId="4511"/>
    <cellStyle name="Normal 4 2 3 2 6 3 2" xfId="15994"/>
    <cellStyle name="Normal 4 2 3 2 6 3 2 2" xfId="32215"/>
    <cellStyle name="Normal 4 2 3 2 6 3 3" xfId="26678"/>
    <cellStyle name="Normal 4 2 3 2 6 4" xfId="18639"/>
    <cellStyle name="Normal 4 2 3 2 6 4 2" xfId="34860"/>
    <cellStyle name="Normal 4 2 3 2 6 5" xfId="8245"/>
    <cellStyle name="Normal 4 2 3 2 6 5 2" xfId="28176"/>
    <cellStyle name="Normal 4 2 3 2 6 6" xfId="22184"/>
    <cellStyle name="Normal 4 2 3 2 6 6 2" xfId="38396"/>
    <cellStyle name="Normal 4 2 3 2 6 7" xfId="23682"/>
    <cellStyle name="Normal 4 2 3 2 7" xfId="1959"/>
    <cellStyle name="Normal 4 2 3 2 7 2" xfId="20373"/>
    <cellStyle name="Normal 4 2 3 2 7 2 2" xfId="36594"/>
    <cellStyle name="Normal 4 2 3 2 7 3" xfId="12815"/>
    <cellStyle name="Normal 4 2 3 2 7 3 2" xfId="29906"/>
    <cellStyle name="Normal 4 2 3 2 7 4" xfId="24127"/>
    <cellStyle name="Normal 4 2 3 2 8" xfId="3458"/>
    <cellStyle name="Normal 4 2 3 2 8 2" xfId="14409"/>
    <cellStyle name="Normal 4 2 3 2 8 2 2" xfId="30631"/>
    <cellStyle name="Normal 4 2 3 2 8 3" xfId="25625"/>
    <cellStyle name="Normal 4 2 3 2 9" xfId="18616"/>
    <cellStyle name="Normal 4 2 3 2 9 2" xfId="34837"/>
    <cellStyle name="Normal 4 2 3 3" xfId="524"/>
    <cellStyle name="Normal 4 2 3 3 10" xfId="21196"/>
    <cellStyle name="Normal 4 2 3 3 10 2" xfId="37408"/>
    <cellStyle name="Normal 4 2 3 3 11" xfId="22694"/>
    <cellStyle name="Normal 4 2 3 3 2" xfId="876"/>
    <cellStyle name="Normal 4 2 3 3 2 2" xfId="2375"/>
    <cellStyle name="Normal 4 2 3 3 2 2 2" xfId="8249"/>
    <cellStyle name="Normal 4 2 3 3 2 2 2 2" xfId="12842"/>
    <cellStyle name="Normal 4 2 3 3 2 2 2 2 2" xfId="20400"/>
    <cellStyle name="Normal 4 2 3 3 2 2 2 2 2 2" xfId="36621"/>
    <cellStyle name="Normal 4 2 3 3 2 2 2 2 3" xfId="29933"/>
    <cellStyle name="Normal 4 2 3 3 2 2 2 3" xfId="17116"/>
    <cellStyle name="Normal 4 2 3 3 2 2 2 3 2" xfId="33337"/>
    <cellStyle name="Normal 4 2 3 3 2 2 2 4" xfId="18643"/>
    <cellStyle name="Normal 4 2 3 3 2 2 2 4 2" xfId="34864"/>
    <cellStyle name="Normal 4 2 3 3 2 2 2 5" xfId="28180"/>
    <cellStyle name="Normal 4 2 3 3 2 2 3" xfId="12841"/>
    <cellStyle name="Normal 4 2 3 3 2 2 3 2" xfId="20399"/>
    <cellStyle name="Normal 4 2 3 3 2 2 3 2 2" xfId="36620"/>
    <cellStyle name="Normal 4 2 3 3 2 2 3 3" xfId="29932"/>
    <cellStyle name="Normal 4 2 3 3 2 2 4" xfId="15531"/>
    <cellStyle name="Normal 4 2 3 3 2 2 4 2" xfId="31753"/>
    <cellStyle name="Normal 4 2 3 3 2 2 5" xfId="18642"/>
    <cellStyle name="Normal 4 2 3 3 2 2 5 2" xfId="34863"/>
    <cellStyle name="Normal 4 2 3 3 2 2 6" xfId="8248"/>
    <cellStyle name="Normal 4 2 3 3 2 2 6 2" xfId="28179"/>
    <cellStyle name="Normal 4 2 3 3 2 2 7" xfId="24543"/>
    <cellStyle name="Normal 4 2 3 3 2 3" xfId="3874"/>
    <cellStyle name="Normal 4 2 3 3 2 3 2" xfId="12843"/>
    <cellStyle name="Normal 4 2 3 3 2 3 2 2" xfId="20401"/>
    <cellStyle name="Normal 4 2 3 3 2 3 2 2 2" xfId="36622"/>
    <cellStyle name="Normal 4 2 3 3 2 3 2 3" xfId="29934"/>
    <cellStyle name="Normal 4 2 3 3 2 3 3" xfId="16324"/>
    <cellStyle name="Normal 4 2 3 3 2 3 3 2" xfId="32545"/>
    <cellStyle name="Normal 4 2 3 3 2 3 4" xfId="18644"/>
    <cellStyle name="Normal 4 2 3 3 2 3 4 2" xfId="34865"/>
    <cellStyle name="Normal 4 2 3 3 2 3 5" xfId="8250"/>
    <cellStyle name="Normal 4 2 3 3 2 3 5 2" xfId="28181"/>
    <cellStyle name="Normal 4 2 3 3 2 3 6" xfId="26041"/>
    <cellStyle name="Normal 4 2 3 3 2 4" xfId="12840"/>
    <cellStyle name="Normal 4 2 3 3 2 4 2" xfId="20398"/>
    <cellStyle name="Normal 4 2 3 3 2 4 2 2" xfId="36619"/>
    <cellStyle name="Normal 4 2 3 3 2 4 3" xfId="29931"/>
    <cellStyle name="Normal 4 2 3 3 2 5" xfId="14739"/>
    <cellStyle name="Normal 4 2 3 3 2 5 2" xfId="30961"/>
    <cellStyle name="Normal 4 2 3 3 2 6" xfId="18641"/>
    <cellStyle name="Normal 4 2 3 3 2 6 2" xfId="34862"/>
    <cellStyle name="Normal 4 2 3 3 2 7" xfId="8247"/>
    <cellStyle name="Normal 4 2 3 3 2 7 2" xfId="28178"/>
    <cellStyle name="Normal 4 2 3 3 2 8" xfId="21547"/>
    <cellStyle name="Normal 4 2 3 3 2 8 2" xfId="37759"/>
    <cellStyle name="Normal 4 2 3 3 2 9" xfId="23045"/>
    <cellStyle name="Normal 4 2 3 3 3" xfId="1227"/>
    <cellStyle name="Normal 4 2 3 3 3 2" xfId="2726"/>
    <cellStyle name="Normal 4 2 3 3 3 2 2" xfId="8253"/>
    <cellStyle name="Normal 4 2 3 3 3 2 2 2" xfId="12846"/>
    <cellStyle name="Normal 4 2 3 3 3 2 2 2 2" xfId="20404"/>
    <cellStyle name="Normal 4 2 3 3 3 2 2 2 2 2" xfId="36625"/>
    <cellStyle name="Normal 4 2 3 3 3 2 2 2 3" xfId="29937"/>
    <cellStyle name="Normal 4 2 3 3 3 2 2 3" xfId="17380"/>
    <cellStyle name="Normal 4 2 3 3 3 2 2 3 2" xfId="33601"/>
    <cellStyle name="Normal 4 2 3 3 3 2 2 4" xfId="18647"/>
    <cellStyle name="Normal 4 2 3 3 3 2 2 4 2" xfId="34868"/>
    <cellStyle name="Normal 4 2 3 3 3 2 2 5" xfId="28184"/>
    <cellStyle name="Normal 4 2 3 3 3 2 3" xfId="12845"/>
    <cellStyle name="Normal 4 2 3 3 3 2 3 2" xfId="20403"/>
    <cellStyle name="Normal 4 2 3 3 3 2 3 2 2" xfId="36624"/>
    <cellStyle name="Normal 4 2 3 3 3 2 3 3" xfId="29936"/>
    <cellStyle name="Normal 4 2 3 3 3 2 4" xfId="15795"/>
    <cellStyle name="Normal 4 2 3 3 3 2 4 2" xfId="32017"/>
    <cellStyle name="Normal 4 2 3 3 3 2 5" xfId="18646"/>
    <cellStyle name="Normal 4 2 3 3 3 2 5 2" xfId="34867"/>
    <cellStyle name="Normal 4 2 3 3 3 2 6" xfId="8252"/>
    <cellStyle name="Normal 4 2 3 3 3 2 6 2" xfId="28183"/>
    <cellStyle name="Normal 4 2 3 3 3 2 7" xfId="24894"/>
    <cellStyle name="Normal 4 2 3 3 3 3" xfId="4225"/>
    <cellStyle name="Normal 4 2 3 3 3 3 2" xfId="12847"/>
    <cellStyle name="Normal 4 2 3 3 3 3 2 2" xfId="20405"/>
    <cellStyle name="Normal 4 2 3 3 3 3 2 2 2" xfId="36626"/>
    <cellStyle name="Normal 4 2 3 3 3 3 2 3" xfId="29938"/>
    <cellStyle name="Normal 4 2 3 3 3 3 3" xfId="16588"/>
    <cellStyle name="Normal 4 2 3 3 3 3 3 2" xfId="32809"/>
    <cellStyle name="Normal 4 2 3 3 3 3 4" xfId="18648"/>
    <cellStyle name="Normal 4 2 3 3 3 3 4 2" xfId="34869"/>
    <cellStyle name="Normal 4 2 3 3 3 3 5" xfId="8254"/>
    <cellStyle name="Normal 4 2 3 3 3 3 5 2" xfId="28185"/>
    <cellStyle name="Normal 4 2 3 3 3 3 6" xfId="26392"/>
    <cellStyle name="Normal 4 2 3 3 3 4" xfId="12844"/>
    <cellStyle name="Normal 4 2 3 3 3 4 2" xfId="20402"/>
    <cellStyle name="Normal 4 2 3 3 3 4 2 2" xfId="36623"/>
    <cellStyle name="Normal 4 2 3 3 3 4 3" xfId="29935"/>
    <cellStyle name="Normal 4 2 3 3 3 5" xfId="15003"/>
    <cellStyle name="Normal 4 2 3 3 3 5 2" xfId="31225"/>
    <cellStyle name="Normal 4 2 3 3 3 6" xfId="18645"/>
    <cellStyle name="Normal 4 2 3 3 3 6 2" xfId="34866"/>
    <cellStyle name="Normal 4 2 3 3 3 7" xfId="8251"/>
    <cellStyle name="Normal 4 2 3 3 3 7 2" xfId="28182"/>
    <cellStyle name="Normal 4 2 3 3 3 8" xfId="21898"/>
    <cellStyle name="Normal 4 2 3 3 3 8 2" xfId="38110"/>
    <cellStyle name="Normal 4 2 3 3 3 9" xfId="23396"/>
    <cellStyle name="Normal 4 2 3 3 4" xfId="1578"/>
    <cellStyle name="Normal 4 2 3 3 4 2" xfId="3077"/>
    <cellStyle name="Normal 4 2 3 3 4 2 2" xfId="12849"/>
    <cellStyle name="Normal 4 2 3 3 4 2 2 2" xfId="20407"/>
    <cellStyle name="Normal 4 2 3 3 4 2 2 2 2" xfId="36628"/>
    <cellStyle name="Normal 4 2 3 3 4 2 2 3" xfId="29940"/>
    <cellStyle name="Normal 4 2 3 3 4 2 3" xfId="16852"/>
    <cellStyle name="Normal 4 2 3 3 4 2 3 2" xfId="33073"/>
    <cellStyle name="Normal 4 2 3 3 4 2 4" xfId="18650"/>
    <cellStyle name="Normal 4 2 3 3 4 2 4 2" xfId="34871"/>
    <cellStyle name="Normal 4 2 3 3 4 2 5" xfId="8256"/>
    <cellStyle name="Normal 4 2 3 3 4 2 5 2" xfId="28187"/>
    <cellStyle name="Normal 4 2 3 3 4 2 6" xfId="25245"/>
    <cellStyle name="Normal 4 2 3 3 4 3" xfId="4576"/>
    <cellStyle name="Normal 4 2 3 3 4 3 2" xfId="20406"/>
    <cellStyle name="Normal 4 2 3 3 4 3 2 2" xfId="36627"/>
    <cellStyle name="Normal 4 2 3 3 4 3 3" xfId="12848"/>
    <cellStyle name="Normal 4 2 3 3 4 3 3 2" xfId="29939"/>
    <cellStyle name="Normal 4 2 3 3 4 3 4" xfId="26743"/>
    <cellStyle name="Normal 4 2 3 3 4 4" xfId="15267"/>
    <cellStyle name="Normal 4 2 3 3 4 4 2" xfId="31489"/>
    <cellStyle name="Normal 4 2 3 3 4 5" xfId="18649"/>
    <cellStyle name="Normal 4 2 3 3 4 5 2" xfId="34870"/>
    <cellStyle name="Normal 4 2 3 3 4 6" xfId="8255"/>
    <cellStyle name="Normal 4 2 3 3 4 6 2" xfId="28186"/>
    <cellStyle name="Normal 4 2 3 3 4 7" xfId="22249"/>
    <cellStyle name="Normal 4 2 3 3 4 7 2" xfId="38461"/>
    <cellStyle name="Normal 4 2 3 3 4 8" xfId="23747"/>
    <cellStyle name="Normal 4 2 3 3 5" xfId="2024"/>
    <cellStyle name="Normal 4 2 3 3 5 2" xfId="12850"/>
    <cellStyle name="Normal 4 2 3 3 5 2 2" xfId="20408"/>
    <cellStyle name="Normal 4 2 3 3 5 2 2 2" xfId="36629"/>
    <cellStyle name="Normal 4 2 3 3 5 2 3" xfId="29941"/>
    <cellStyle name="Normal 4 2 3 3 5 3" xfId="16060"/>
    <cellStyle name="Normal 4 2 3 3 5 3 2" xfId="32281"/>
    <cellStyle name="Normal 4 2 3 3 5 4" xfId="18651"/>
    <cellStyle name="Normal 4 2 3 3 5 4 2" xfId="34872"/>
    <cellStyle name="Normal 4 2 3 3 5 5" xfId="8257"/>
    <cellStyle name="Normal 4 2 3 3 5 5 2" xfId="28188"/>
    <cellStyle name="Normal 4 2 3 3 5 6" xfId="24192"/>
    <cellStyle name="Normal 4 2 3 3 6" xfId="3523"/>
    <cellStyle name="Normal 4 2 3 3 6 2" xfId="20397"/>
    <cellStyle name="Normal 4 2 3 3 6 2 2" xfId="36618"/>
    <cellStyle name="Normal 4 2 3 3 6 3" xfId="12839"/>
    <cellStyle name="Normal 4 2 3 3 6 3 2" xfId="29930"/>
    <cellStyle name="Normal 4 2 3 3 6 4" xfId="25690"/>
    <cellStyle name="Normal 4 2 3 3 7" xfId="14475"/>
    <cellStyle name="Normal 4 2 3 3 7 2" xfId="30697"/>
    <cellStyle name="Normal 4 2 3 3 8" xfId="18640"/>
    <cellStyle name="Normal 4 2 3 3 8 2" xfId="34861"/>
    <cellStyle name="Normal 4 2 3 3 9" xfId="8246"/>
    <cellStyle name="Normal 4 2 3 3 9 2" xfId="28177"/>
    <cellStyle name="Normal 4 2 3 4" xfId="642"/>
    <cellStyle name="Normal 4 2 3 4 2" xfId="993"/>
    <cellStyle name="Normal 4 2 3 4 2 2" xfId="2492"/>
    <cellStyle name="Normal 4 2 3 4 2 2 2" xfId="12853"/>
    <cellStyle name="Normal 4 2 3 4 2 2 2 2" xfId="20411"/>
    <cellStyle name="Normal 4 2 3 4 2 2 2 2 2" xfId="36632"/>
    <cellStyle name="Normal 4 2 3 4 2 2 2 3" xfId="29944"/>
    <cellStyle name="Normal 4 2 3 4 2 2 3" xfId="16984"/>
    <cellStyle name="Normal 4 2 3 4 2 2 3 2" xfId="33205"/>
    <cellStyle name="Normal 4 2 3 4 2 2 4" xfId="18654"/>
    <cellStyle name="Normal 4 2 3 4 2 2 4 2" xfId="34875"/>
    <cellStyle name="Normal 4 2 3 4 2 2 5" xfId="8260"/>
    <cellStyle name="Normal 4 2 3 4 2 2 5 2" xfId="28191"/>
    <cellStyle name="Normal 4 2 3 4 2 2 6" xfId="24660"/>
    <cellStyle name="Normal 4 2 3 4 2 3" xfId="3991"/>
    <cellStyle name="Normal 4 2 3 4 2 3 2" xfId="20410"/>
    <cellStyle name="Normal 4 2 3 4 2 3 2 2" xfId="36631"/>
    <cellStyle name="Normal 4 2 3 4 2 3 3" xfId="12852"/>
    <cellStyle name="Normal 4 2 3 4 2 3 3 2" xfId="29943"/>
    <cellStyle name="Normal 4 2 3 4 2 3 4" xfId="26158"/>
    <cellStyle name="Normal 4 2 3 4 2 4" xfId="15399"/>
    <cellStyle name="Normal 4 2 3 4 2 4 2" xfId="31621"/>
    <cellStyle name="Normal 4 2 3 4 2 5" xfId="18653"/>
    <cellStyle name="Normal 4 2 3 4 2 5 2" xfId="34874"/>
    <cellStyle name="Normal 4 2 3 4 2 6" xfId="8259"/>
    <cellStyle name="Normal 4 2 3 4 2 6 2" xfId="28190"/>
    <cellStyle name="Normal 4 2 3 4 2 7" xfId="21664"/>
    <cellStyle name="Normal 4 2 3 4 2 7 2" xfId="37876"/>
    <cellStyle name="Normal 4 2 3 4 2 8" xfId="23162"/>
    <cellStyle name="Normal 4 2 3 4 3" xfId="1344"/>
    <cellStyle name="Normal 4 2 3 4 3 2" xfId="2843"/>
    <cellStyle name="Normal 4 2 3 4 3 2 2" xfId="20412"/>
    <cellStyle name="Normal 4 2 3 4 3 2 2 2" xfId="36633"/>
    <cellStyle name="Normal 4 2 3 4 3 2 3" xfId="12854"/>
    <cellStyle name="Normal 4 2 3 4 3 2 3 2" xfId="29945"/>
    <cellStyle name="Normal 4 2 3 4 3 2 4" xfId="25011"/>
    <cellStyle name="Normal 4 2 3 4 3 3" xfId="4342"/>
    <cellStyle name="Normal 4 2 3 4 3 3 2" xfId="16192"/>
    <cellStyle name="Normal 4 2 3 4 3 3 2 2" xfId="32413"/>
    <cellStyle name="Normal 4 2 3 4 3 3 3" xfId="26509"/>
    <cellStyle name="Normal 4 2 3 4 3 4" xfId="18655"/>
    <cellStyle name="Normal 4 2 3 4 3 4 2" xfId="34876"/>
    <cellStyle name="Normal 4 2 3 4 3 5" xfId="8261"/>
    <cellStyle name="Normal 4 2 3 4 3 5 2" xfId="28192"/>
    <cellStyle name="Normal 4 2 3 4 3 6" xfId="22015"/>
    <cellStyle name="Normal 4 2 3 4 3 6 2" xfId="38227"/>
    <cellStyle name="Normal 4 2 3 4 3 7" xfId="23513"/>
    <cellStyle name="Normal 4 2 3 4 4" xfId="1695"/>
    <cellStyle name="Normal 4 2 3 4 4 2" xfId="3194"/>
    <cellStyle name="Normal 4 2 3 4 4 2 2" xfId="20409"/>
    <cellStyle name="Normal 4 2 3 4 4 2 2 2" xfId="36630"/>
    <cellStyle name="Normal 4 2 3 4 4 2 3" xfId="25362"/>
    <cellStyle name="Normal 4 2 3 4 4 3" xfId="4693"/>
    <cellStyle name="Normal 4 2 3 4 4 3 2" xfId="26860"/>
    <cellStyle name="Normal 4 2 3 4 4 4" xfId="12851"/>
    <cellStyle name="Normal 4 2 3 4 4 4 2" xfId="29942"/>
    <cellStyle name="Normal 4 2 3 4 4 5" xfId="22366"/>
    <cellStyle name="Normal 4 2 3 4 4 5 2" xfId="38578"/>
    <cellStyle name="Normal 4 2 3 4 4 6" xfId="23864"/>
    <cellStyle name="Normal 4 2 3 4 5" xfId="2141"/>
    <cellStyle name="Normal 4 2 3 4 5 2" xfId="14607"/>
    <cellStyle name="Normal 4 2 3 4 5 2 2" xfId="30829"/>
    <cellStyle name="Normal 4 2 3 4 5 3" xfId="24309"/>
    <cellStyle name="Normal 4 2 3 4 6" xfId="3640"/>
    <cellStyle name="Normal 4 2 3 4 6 2" xfId="18652"/>
    <cellStyle name="Normal 4 2 3 4 6 2 2" xfId="34873"/>
    <cellStyle name="Normal 4 2 3 4 6 3" xfId="25807"/>
    <cellStyle name="Normal 4 2 3 4 7" xfId="8258"/>
    <cellStyle name="Normal 4 2 3 4 7 2" xfId="28189"/>
    <cellStyle name="Normal 4 2 3 4 8" xfId="21313"/>
    <cellStyle name="Normal 4 2 3 4 8 2" xfId="37525"/>
    <cellStyle name="Normal 4 2 3 4 9" xfId="22811"/>
    <cellStyle name="Normal 4 2 3 5" xfId="759"/>
    <cellStyle name="Normal 4 2 3 5 2" xfId="2258"/>
    <cellStyle name="Normal 4 2 3 5 2 2" xfId="8264"/>
    <cellStyle name="Normal 4 2 3 5 2 2 2" xfId="12857"/>
    <cellStyle name="Normal 4 2 3 5 2 2 2 2" xfId="20415"/>
    <cellStyle name="Normal 4 2 3 5 2 2 2 2 2" xfId="36636"/>
    <cellStyle name="Normal 4 2 3 5 2 2 2 3" xfId="29948"/>
    <cellStyle name="Normal 4 2 3 5 2 2 3" xfId="17248"/>
    <cellStyle name="Normal 4 2 3 5 2 2 3 2" xfId="33469"/>
    <cellStyle name="Normal 4 2 3 5 2 2 4" xfId="18658"/>
    <cellStyle name="Normal 4 2 3 5 2 2 4 2" xfId="34879"/>
    <cellStyle name="Normal 4 2 3 5 2 2 5" xfId="28195"/>
    <cellStyle name="Normal 4 2 3 5 2 3" xfId="12856"/>
    <cellStyle name="Normal 4 2 3 5 2 3 2" xfId="20414"/>
    <cellStyle name="Normal 4 2 3 5 2 3 2 2" xfId="36635"/>
    <cellStyle name="Normal 4 2 3 5 2 3 3" xfId="29947"/>
    <cellStyle name="Normal 4 2 3 5 2 4" xfId="15663"/>
    <cellStyle name="Normal 4 2 3 5 2 4 2" xfId="31885"/>
    <cellStyle name="Normal 4 2 3 5 2 5" xfId="18657"/>
    <cellStyle name="Normal 4 2 3 5 2 5 2" xfId="34878"/>
    <cellStyle name="Normal 4 2 3 5 2 6" xfId="8263"/>
    <cellStyle name="Normal 4 2 3 5 2 6 2" xfId="28194"/>
    <cellStyle name="Normal 4 2 3 5 2 7" xfId="24426"/>
    <cellStyle name="Normal 4 2 3 5 3" xfId="3757"/>
    <cellStyle name="Normal 4 2 3 5 3 2" xfId="12858"/>
    <cellStyle name="Normal 4 2 3 5 3 2 2" xfId="20416"/>
    <cellStyle name="Normal 4 2 3 5 3 2 2 2" xfId="36637"/>
    <cellStyle name="Normal 4 2 3 5 3 2 3" xfId="29949"/>
    <cellStyle name="Normal 4 2 3 5 3 3" xfId="16456"/>
    <cellStyle name="Normal 4 2 3 5 3 3 2" xfId="32677"/>
    <cellStyle name="Normal 4 2 3 5 3 4" xfId="18659"/>
    <cellStyle name="Normal 4 2 3 5 3 4 2" xfId="34880"/>
    <cellStyle name="Normal 4 2 3 5 3 5" xfId="8265"/>
    <cellStyle name="Normal 4 2 3 5 3 5 2" xfId="28196"/>
    <cellStyle name="Normal 4 2 3 5 3 6" xfId="25924"/>
    <cellStyle name="Normal 4 2 3 5 4" xfId="12855"/>
    <cellStyle name="Normal 4 2 3 5 4 2" xfId="20413"/>
    <cellStyle name="Normal 4 2 3 5 4 2 2" xfId="36634"/>
    <cellStyle name="Normal 4 2 3 5 4 3" xfId="29946"/>
    <cellStyle name="Normal 4 2 3 5 5" xfId="14871"/>
    <cellStyle name="Normal 4 2 3 5 5 2" xfId="31093"/>
    <cellStyle name="Normal 4 2 3 5 6" xfId="18656"/>
    <cellStyle name="Normal 4 2 3 5 6 2" xfId="34877"/>
    <cellStyle name="Normal 4 2 3 5 7" xfId="8262"/>
    <cellStyle name="Normal 4 2 3 5 7 2" xfId="28193"/>
    <cellStyle name="Normal 4 2 3 5 8" xfId="21430"/>
    <cellStyle name="Normal 4 2 3 5 8 2" xfId="37642"/>
    <cellStyle name="Normal 4 2 3 5 9" xfId="22928"/>
    <cellStyle name="Normal 4 2 3 6" xfId="1110"/>
    <cellStyle name="Normal 4 2 3 6 2" xfId="2609"/>
    <cellStyle name="Normal 4 2 3 6 2 2" xfId="12860"/>
    <cellStyle name="Normal 4 2 3 6 2 2 2" xfId="20418"/>
    <cellStyle name="Normal 4 2 3 6 2 2 2 2" xfId="36639"/>
    <cellStyle name="Normal 4 2 3 6 2 2 3" xfId="29951"/>
    <cellStyle name="Normal 4 2 3 6 2 3" xfId="16720"/>
    <cellStyle name="Normal 4 2 3 6 2 3 2" xfId="32941"/>
    <cellStyle name="Normal 4 2 3 6 2 4" xfId="18661"/>
    <cellStyle name="Normal 4 2 3 6 2 4 2" xfId="34882"/>
    <cellStyle name="Normal 4 2 3 6 2 5" xfId="8267"/>
    <cellStyle name="Normal 4 2 3 6 2 5 2" xfId="28198"/>
    <cellStyle name="Normal 4 2 3 6 2 6" xfId="24777"/>
    <cellStyle name="Normal 4 2 3 6 3" xfId="4108"/>
    <cellStyle name="Normal 4 2 3 6 3 2" xfId="20417"/>
    <cellStyle name="Normal 4 2 3 6 3 2 2" xfId="36638"/>
    <cellStyle name="Normal 4 2 3 6 3 3" xfId="12859"/>
    <cellStyle name="Normal 4 2 3 6 3 3 2" xfId="29950"/>
    <cellStyle name="Normal 4 2 3 6 3 4" xfId="26275"/>
    <cellStyle name="Normal 4 2 3 6 4" xfId="15135"/>
    <cellStyle name="Normal 4 2 3 6 4 2" xfId="31357"/>
    <cellStyle name="Normal 4 2 3 6 5" xfId="18660"/>
    <cellStyle name="Normal 4 2 3 6 5 2" xfId="34881"/>
    <cellStyle name="Normal 4 2 3 6 6" xfId="8266"/>
    <cellStyle name="Normal 4 2 3 6 6 2" xfId="28197"/>
    <cellStyle name="Normal 4 2 3 6 7" xfId="21781"/>
    <cellStyle name="Normal 4 2 3 6 7 2" xfId="37993"/>
    <cellStyle name="Normal 4 2 3 6 8" xfId="23279"/>
    <cellStyle name="Normal 4 2 3 7" xfId="1461"/>
    <cellStyle name="Normal 4 2 3 7 2" xfId="2960"/>
    <cellStyle name="Normal 4 2 3 7 2 2" xfId="20419"/>
    <cellStyle name="Normal 4 2 3 7 2 2 2" xfId="36640"/>
    <cellStyle name="Normal 4 2 3 7 2 3" xfId="12861"/>
    <cellStyle name="Normal 4 2 3 7 2 3 2" xfId="29952"/>
    <cellStyle name="Normal 4 2 3 7 2 4" xfId="25128"/>
    <cellStyle name="Normal 4 2 3 7 3" xfId="4459"/>
    <cellStyle name="Normal 4 2 3 7 3 2" xfId="15928"/>
    <cellStyle name="Normal 4 2 3 7 3 2 2" xfId="32149"/>
    <cellStyle name="Normal 4 2 3 7 3 3" xfId="26626"/>
    <cellStyle name="Normal 4 2 3 7 4" xfId="18662"/>
    <cellStyle name="Normal 4 2 3 7 4 2" xfId="34883"/>
    <cellStyle name="Normal 4 2 3 7 5" xfId="8268"/>
    <cellStyle name="Normal 4 2 3 7 5 2" xfId="28199"/>
    <cellStyle name="Normal 4 2 3 7 6" xfId="22132"/>
    <cellStyle name="Normal 4 2 3 7 6 2" xfId="38344"/>
    <cellStyle name="Normal 4 2 3 7 7" xfId="23630"/>
    <cellStyle name="Normal 4 2 3 8" xfId="1907"/>
    <cellStyle name="Normal 4 2 3 8 2" xfId="20372"/>
    <cellStyle name="Normal 4 2 3 8 2 2" xfId="36593"/>
    <cellStyle name="Normal 4 2 3 8 3" xfId="12814"/>
    <cellStyle name="Normal 4 2 3 8 3 2" xfId="29905"/>
    <cellStyle name="Normal 4 2 3 8 4" xfId="24075"/>
    <cellStyle name="Normal 4 2 3 9" xfId="3406"/>
    <cellStyle name="Normal 4 2 3 9 2" xfId="14343"/>
    <cellStyle name="Normal 4 2 3 9 2 2" xfId="30565"/>
    <cellStyle name="Normal 4 2 3 9 3" xfId="25573"/>
    <cellStyle name="Normal 4 2 4" xfId="418"/>
    <cellStyle name="Normal 4 2 4 10" xfId="8269"/>
    <cellStyle name="Normal 4 2 4 10 2" xfId="28200"/>
    <cellStyle name="Normal 4 2 4 11" xfId="21091"/>
    <cellStyle name="Normal 4 2 4 11 2" xfId="37303"/>
    <cellStyle name="Normal 4 2 4 12" xfId="22589"/>
    <cellStyle name="Normal 4 2 4 13" xfId="38947"/>
    <cellStyle name="Normal 4 2 4 2" xfId="536"/>
    <cellStyle name="Normal 4 2 4 2 10" xfId="21208"/>
    <cellStyle name="Normal 4 2 4 2 10 2" xfId="37420"/>
    <cellStyle name="Normal 4 2 4 2 11" xfId="22706"/>
    <cellStyle name="Normal 4 2 4 2 2" xfId="888"/>
    <cellStyle name="Normal 4 2 4 2 2 2" xfId="2387"/>
    <cellStyle name="Normal 4 2 4 2 2 2 2" xfId="8273"/>
    <cellStyle name="Normal 4 2 4 2 2 2 2 2" xfId="12866"/>
    <cellStyle name="Normal 4 2 4 2 2 2 2 2 2" xfId="20424"/>
    <cellStyle name="Normal 4 2 4 2 2 2 2 2 2 2" xfId="36645"/>
    <cellStyle name="Normal 4 2 4 2 2 2 2 2 3" xfId="29957"/>
    <cellStyle name="Normal 4 2 4 2 2 2 2 3" xfId="17149"/>
    <cellStyle name="Normal 4 2 4 2 2 2 2 3 2" xfId="33370"/>
    <cellStyle name="Normal 4 2 4 2 2 2 2 4" xfId="18667"/>
    <cellStyle name="Normal 4 2 4 2 2 2 2 4 2" xfId="34888"/>
    <cellStyle name="Normal 4 2 4 2 2 2 2 5" xfId="28204"/>
    <cellStyle name="Normal 4 2 4 2 2 2 3" xfId="12865"/>
    <cellStyle name="Normal 4 2 4 2 2 2 3 2" xfId="20423"/>
    <cellStyle name="Normal 4 2 4 2 2 2 3 2 2" xfId="36644"/>
    <cellStyle name="Normal 4 2 4 2 2 2 3 3" xfId="29956"/>
    <cellStyle name="Normal 4 2 4 2 2 2 4" xfId="15564"/>
    <cellStyle name="Normal 4 2 4 2 2 2 4 2" xfId="31786"/>
    <cellStyle name="Normal 4 2 4 2 2 2 5" xfId="18666"/>
    <cellStyle name="Normal 4 2 4 2 2 2 5 2" xfId="34887"/>
    <cellStyle name="Normal 4 2 4 2 2 2 6" xfId="8272"/>
    <cellStyle name="Normal 4 2 4 2 2 2 6 2" xfId="28203"/>
    <cellStyle name="Normal 4 2 4 2 2 2 7" xfId="24555"/>
    <cellStyle name="Normal 4 2 4 2 2 3" xfId="3886"/>
    <cellStyle name="Normal 4 2 4 2 2 3 2" xfId="12867"/>
    <cellStyle name="Normal 4 2 4 2 2 3 2 2" xfId="20425"/>
    <cellStyle name="Normal 4 2 4 2 2 3 2 2 2" xfId="36646"/>
    <cellStyle name="Normal 4 2 4 2 2 3 2 3" xfId="29958"/>
    <cellStyle name="Normal 4 2 4 2 2 3 3" xfId="16357"/>
    <cellStyle name="Normal 4 2 4 2 2 3 3 2" xfId="32578"/>
    <cellStyle name="Normal 4 2 4 2 2 3 4" xfId="18668"/>
    <cellStyle name="Normal 4 2 4 2 2 3 4 2" xfId="34889"/>
    <cellStyle name="Normal 4 2 4 2 2 3 5" xfId="8274"/>
    <cellStyle name="Normal 4 2 4 2 2 3 5 2" xfId="28205"/>
    <cellStyle name="Normal 4 2 4 2 2 3 6" xfId="26053"/>
    <cellStyle name="Normal 4 2 4 2 2 4" xfId="12864"/>
    <cellStyle name="Normal 4 2 4 2 2 4 2" xfId="20422"/>
    <cellStyle name="Normal 4 2 4 2 2 4 2 2" xfId="36643"/>
    <cellStyle name="Normal 4 2 4 2 2 4 3" xfId="29955"/>
    <cellStyle name="Normal 4 2 4 2 2 5" xfId="14772"/>
    <cellStyle name="Normal 4 2 4 2 2 5 2" xfId="30994"/>
    <cellStyle name="Normal 4 2 4 2 2 6" xfId="18665"/>
    <cellStyle name="Normal 4 2 4 2 2 6 2" xfId="34886"/>
    <cellStyle name="Normal 4 2 4 2 2 7" xfId="8271"/>
    <cellStyle name="Normal 4 2 4 2 2 7 2" xfId="28202"/>
    <cellStyle name="Normal 4 2 4 2 2 8" xfId="21559"/>
    <cellStyle name="Normal 4 2 4 2 2 8 2" xfId="37771"/>
    <cellStyle name="Normal 4 2 4 2 2 9" xfId="23057"/>
    <cellStyle name="Normal 4 2 4 2 3" xfId="1239"/>
    <cellStyle name="Normal 4 2 4 2 3 2" xfId="2738"/>
    <cellStyle name="Normal 4 2 4 2 3 2 2" xfId="8277"/>
    <cellStyle name="Normal 4 2 4 2 3 2 2 2" xfId="12870"/>
    <cellStyle name="Normal 4 2 4 2 3 2 2 2 2" xfId="20428"/>
    <cellStyle name="Normal 4 2 4 2 3 2 2 2 2 2" xfId="36649"/>
    <cellStyle name="Normal 4 2 4 2 3 2 2 2 3" xfId="29961"/>
    <cellStyle name="Normal 4 2 4 2 3 2 2 3" xfId="17413"/>
    <cellStyle name="Normal 4 2 4 2 3 2 2 3 2" xfId="33634"/>
    <cellStyle name="Normal 4 2 4 2 3 2 2 4" xfId="18671"/>
    <cellStyle name="Normal 4 2 4 2 3 2 2 4 2" xfId="34892"/>
    <cellStyle name="Normal 4 2 4 2 3 2 2 5" xfId="28208"/>
    <cellStyle name="Normal 4 2 4 2 3 2 3" xfId="12869"/>
    <cellStyle name="Normal 4 2 4 2 3 2 3 2" xfId="20427"/>
    <cellStyle name="Normal 4 2 4 2 3 2 3 2 2" xfId="36648"/>
    <cellStyle name="Normal 4 2 4 2 3 2 3 3" xfId="29960"/>
    <cellStyle name="Normal 4 2 4 2 3 2 4" xfId="15828"/>
    <cellStyle name="Normal 4 2 4 2 3 2 4 2" xfId="32050"/>
    <cellStyle name="Normal 4 2 4 2 3 2 5" xfId="18670"/>
    <cellStyle name="Normal 4 2 4 2 3 2 5 2" xfId="34891"/>
    <cellStyle name="Normal 4 2 4 2 3 2 6" xfId="8276"/>
    <cellStyle name="Normal 4 2 4 2 3 2 6 2" xfId="28207"/>
    <cellStyle name="Normal 4 2 4 2 3 2 7" xfId="24906"/>
    <cellStyle name="Normal 4 2 4 2 3 3" xfId="4237"/>
    <cellStyle name="Normal 4 2 4 2 3 3 2" xfId="12871"/>
    <cellStyle name="Normal 4 2 4 2 3 3 2 2" xfId="20429"/>
    <cellStyle name="Normal 4 2 4 2 3 3 2 2 2" xfId="36650"/>
    <cellStyle name="Normal 4 2 4 2 3 3 2 3" xfId="29962"/>
    <cellStyle name="Normal 4 2 4 2 3 3 3" xfId="16621"/>
    <cellStyle name="Normal 4 2 4 2 3 3 3 2" xfId="32842"/>
    <cellStyle name="Normal 4 2 4 2 3 3 4" xfId="18672"/>
    <cellStyle name="Normal 4 2 4 2 3 3 4 2" xfId="34893"/>
    <cellStyle name="Normal 4 2 4 2 3 3 5" xfId="8278"/>
    <cellStyle name="Normal 4 2 4 2 3 3 5 2" xfId="28209"/>
    <cellStyle name="Normal 4 2 4 2 3 3 6" xfId="26404"/>
    <cellStyle name="Normal 4 2 4 2 3 4" xfId="12868"/>
    <cellStyle name="Normal 4 2 4 2 3 4 2" xfId="20426"/>
    <cellStyle name="Normal 4 2 4 2 3 4 2 2" xfId="36647"/>
    <cellStyle name="Normal 4 2 4 2 3 4 3" xfId="29959"/>
    <cellStyle name="Normal 4 2 4 2 3 5" xfId="15036"/>
    <cellStyle name="Normal 4 2 4 2 3 5 2" xfId="31258"/>
    <cellStyle name="Normal 4 2 4 2 3 6" xfId="18669"/>
    <cellStyle name="Normal 4 2 4 2 3 6 2" xfId="34890"/>
    <cellStyle name="Normal 4 2 4 2 3 7" xfId="8275"/>
    <cellStyle name="Normal 4 2 4 2 3 7 2" xfId="28206"/>
    <cellStyle name="Normal 4 2 4 2 3 8" xfId="21910"/>
    <cellStyle name="Normal 4 2 4 2 3 8 2" xfId="38122"/>
    <cellStyle name="Normal 4 2 4 2 3 9" xfId="23408"/>
    <cellStyle name="Normal 4 2 4 2 4" xfId="1590"/>
    <cellStyle name="Normal 4 2 4 2 4 2" xfId="3089"/>
    <cellStyle name="Normal 4 2 4 2 4 2 2" xfId="12873"/>
    <cellStyle name="Normal 4 2 4 2 4 2 2 2" xfId="20431"/>
    <cellStyle name="Normal 4 2 4 2 4 2 2 2 2" xfId="36652"/>
    <cellStyle name="Normal 4 2 4 2 4 2 2 3" xfId="29964"/>
    <cellStyle name="Normal 4 2 4 2 4 2 3" xfId="16885"/>
    <cellStyle name="Normal 4 2 4 2 4 2 3 2" xfId="33106"/>
    <cellStyle name="Normal 4 2 4 2 4 2 4" xfId="18674"/>
    <cellStyle name="Normal 4 2 4 2 4 2 4 2" xfId="34895"/>
    <cellStyle name="Normal 4 2 4 2 4 2 5" xfId="8280"/>
    <cellStyle name="Normal 4 2 4 2 4 2 5 2" xfId="28211"/>
    <cellStyle name="Normal 4 2 4 2 4 2 6" xfId="25257"/>
    <cellStyle name="Normal 4 2 4 2 4 3" xfId="4588"/>
    <cellStyle name="Normal 4 2 4 2 4 3 2" xfId="20430"/>
    <cellStyle name="Normal 4 2 4 2 4 3 2 2" xfId="36651"/>
    <cellStyle name="Normal 4 2 4 2 4 3 3" xfId="12872"/>
    <cellStyle name="Normal 4 2 4 2 4 3 3 2" xfId="29963"/>
    <cellStyle name="Normal 4 2 4 2 4 3 4" xfId="26755"/>
    <cellStyle name="Normal 4 2 4 2 4 4" xfId="15300"/>
    <cellStyle name="Normal 4 2 4 2 4 4 2" xfId="31522"/>
    <cellStyle name="Normal 4 2 4 2 4 5" xfId="18673"/>
    <cellStyle name="Normal 4 2 4 2 4 5 2" xfId="34894"/>
    <cellStyle name="Normal 4 2 4 2 4 6" xfId="8279"/>
    <cellStyle name="Normal 4 2 4 2 4 6 2" xfId="28210"/>
    <cellStyle name="Normal 4 2 4 2 4 7" xfId="22261"/>
    <cellStyle name="Normal 4 2 4 2 4 7 2" xfId="38473"/>
    <cellStyle name="Normal 4 2 4 2 4 8" xfId="23759"/>
    <cellStyle name="Normal 4 2 4 2 5" xfId="2036"/>
    <cellStyle name="Normal 4 2 4 2 5 2" xfId="12874"/>
    <cellStyle name="Normal 4 2 4 2 5 2 2" xfId="20432"/>
    <cellStyle name="Normal 4 2 4 2 5 2 2 2" xfId="36653"/>
    <cellStyle name="Normal 4 2 4 2 5 2 3" xfId="29965"/>
    <cellStyle name="Normal 4 2 4 2 5 3" xfId="16093"/>
    <cellStyle name="Normal 4 2 4 2 5 3 2" xfId="32314"/>
    <cellStyle name="Normal 4 2 4 2 5 4" xfId="18675"/>
    <cellStyle name="Normal 4 2 4 2 5 4 2" xfId="34896"/>
    <cellStyle name="Normal 4 2 4 2 5 5" xfId="8281"/>
    <cellStyle name="Normal 4 2 4 2 5 5 2" xfId="28212"/>
    <cellStyle name="Normal 4 2 4 2 5 6" xfId="24204"/>
    <cellStyle name="Normal 4 2 4 2 6" xfId="3535"/>
    <cellStyle name="Normal 4 2 4 2 6 2" xfId="20421"/>
    <cellStyle name="Normal 4 2 4 2 6 2 2" xfId="36642"/>
    <cellStyle name="Normal 4 2 4 2 6 3" xfId="12863"/>
    <cellStyle name="Normal 4 2 4 2 6 3 2" xfId="29954"/>
    <cellStyle name="Normal 4 2 4 2 6 4" xfId="25702"/>
    <cellStyle name="Normal 4 2 4 2 7" xfId="14508"/>
    <cellStyle name="Normal 4 2 4 2 7 2" xfId="30730"/>
    <cellStyle name="Normal 4 2 4 2 8" xfId="18664"/>
    <cellStyle name="Normal 4 2 4 2 8 2" xfId="34885"/>
    <cellStyle name="Normal 4 2 4 2 9" xfId="8270"/>
    <cellStyle name="Normal 4 2 4 2 9 2" xfId="28201"/>
    <cellStyle name="Normal 4 2 4 3" xfId="654"/>
    <cellStyle name="Normal 4 2 4 3 2" xfId="1005"/>
    <cellStyle name="Normal 4 2 4 3 2 2" xfId="2504"/>
    <cellStyle name="Normal 4 2 4 3 2 2 2" xfId="12877"/>
    <cellStyle name="Normal 4 2 4 3 2 2 2 2" xfId="20435"/>
    <cellStyle name="Normal 4 2 4 3 2 2 2 2 2" xfId="36656"/>
    <cellStyle name="Normal 4 2 4 3 2 2 2 3" xfId="29968"/>
    <cellStyle name="Normal 4 2 4 3 2 2 3" xfId="17017"/>
    <cellStyle name="Normal 4 2 4 3 2 2 3 2" xfId="33238"/>
    <cellStyle name="Normal 4 2 4 3 2 2 4" xfId="18678"/>
    <cellStyle name="Normal 4 2 4 3 2 2 4 2" xfId="34899"/>
    <cellStyle name="Normal 4 2 4 3 2 2 5" xfId="8284"/>
    <cellStyle name="Normal 4 2 4 3 2 2 5 2" xfId="28215"/>
    <cellStyle name="Normal 4 2 4 3 2 2 6" xfId="24672"/>
    <cellStyle name="Normal 4 2 4 3 2 3" xfId="4003"/>
    <cellStyle name="Normal 4 2 4 3 2 3 2" xfId="20434"/>
    <cellStyle name="Normal 4 2 4 3 2 3 2 2" xfId="36655"/>
    <cellStyle name="Normal 4 2 4 3 2 3 3" xfId="12876"/>
    <cellStyle name="Normal 4 2 4 3 2 3 3 2" xfId="29967"/>
    <cellStyle name="Normal 4 2 4 3 2 3 4" xfId="26170"/>
    <cellStyle name="Normal 4 2 4 3 2 4" xfId="15432"/>
    <cellStyle name="Normal 4 2 4 3 2 4 2" xfId="31654"/>
    <cellStyle name="Normal 4 2 4 3 2 5" xfId="18677"/>
    <cellStyle name="Normal 4 2 4 3 2 5 2" xfId="34898"/>
    <cellStyle name="Normal 4 2 4 3 2 6" xfId="8283"/>
    <cellStyle name="Normal 4 2 4 3 2 6 2" xfId="28214"/>
    <cellStyle name="Normal 4 2 4 3 2 7" xfId="21676"/>
    <cellStyle name="Normal 4 2 4 3 2 7 2" xfId="37888"/>
    <cellStyle name="Normal 4 2 4 3 2 8" xfId="23174"/>
    <cellStyle name="Normal 4 2 4 3 3" xfId="1356"/>
    <cellStyle name="Normal 4 2 4 3 3 2" xfId="2855"/>
    <cellStyle name="Normal 4 2 4 3 3 2 2" xfId="20436"/>
    <cellStyle name="Normal 4 2 4 3 3 2 2 2" xfId="36657"/>
    <cellStyle name="Normal 4 2 4 3 3 2 3" xfId="12878"/>
    <cellStyle name="Normal 4 2 4 3 3 2 3 2" xfId="29969"/>
    <cellStyle name="Normal 4 2 4 3 3 2 4" xfId="25023"/>
    <cellStyle name="Normal 4 2 4 3 3 3" xfId="4354"/>
    <cellStyle name="Normal 4 2 4 3 3 3 2" xfId="16225"/>
    <cellStyle name="Normal 4 2 4 3 3 3 2 2" xfId="32446"/>
    <cellStyle name="Normal 4 2 4 3 3 3 3" xfId="26521"/>
    <cellStyle name="Normal 4 2 4 3 3 4" xfId="18679"/>
    <cellStyle name="Normal 4 2 4 3 3 4 2" xfId="34900"/>
    <cellStyle name="Normal 4 2 4 3 3 5" xfId="8285"/>
    <cellStyle name="Normal 4 2 4 3 3 5 2" xfId="28216"/>
    <cellStyle name="Normal 4 2 4 3 3 6" xfId="22027"/>
    <cellStyle name="Normal 4 2 4 3 3 6 2" xfId="38239"/>
    <cellStyle name="Normal 4 2 4 3 3 7" xfId="23525"/>
    <cellStyle name="Normal 4 2 4 3 4" xfId="1707"/>
    <cellStyle name="Normal 4 2 4 3 4 2" xfId="3206"/>
    <cellStyle name="Normal 4 2 4 3 4 2 2" xfId="20433"/>
    <cellStyle name="Normal 4 2 4 3 4 2 2 2" xfId="36654"/>
    <cellStyle name="Normal 4 2 4 3 4 2 3" xfId="25374"/>
    <cellStyle name="Normal 4 2 4 3 4 3" xfId="4705"/>
    <cellStyle name="Normal 4 2 4 3 4 3 2" xfId="26872"/>
    <cellStyle name="Normal 4 2 4 3 4 4" xfId="12875"/>
    <cellStyle name="Normal 4 2 4 3 4 4 2" xfId="29966"/>
    <cellStyle name="Normal 4 2 4 3 4 5" xfId="22378"/>
    <cellStyle name="Normal 4 2 4 3 4 5 2" xfId="38590"/>
    <cellStyle name="Normal 4 2 4 3 4 6" xfId="23876"/>
    <cellStyle name="Normal 4 2 4 3 5" xfId="2153"/>
    <cellStyle name="Normal 4 2 4 3 5 2" xfId="14640"/>
    <cellStyle name="Normal 4 2 4 3 5 2 2" xfId="30862"/>
    <cellStyle name="Normal 4 2 4 3 5 3" xfId="24321"/>
    <cellStyle name="Normal 4 2 4 3 6" xfId="3652"/>
    <cellStyle name="Normal 4 2 4 3 6 2" xfId="18676"/>
    <cellStyle name="Normal 4 2 4 3 6 2 2" xfId="34897"/>
    <cellStyle name="Normal 4 2 4 3 6 3" xfId="25819"/>
    <cellStyle name="Normal 4 2 4 3 7" xfId="8282"/>
    <cellStyle name="Normal 4 2 4 3 7 2" xfId="28213"/>
    <cellStyle name="Normal 4 2 4 3 8" xfId="21325"/>
    <cellStyle name="Normal 4 2 4 3 8 2" xfId="37537"/>
    <cellStyle name="Normal 4 2 4 3 9" xfId="22823"/>
    <cellStyle name="Normal 4 2 4 4" xfId="771"/>
    <cellStyle name="Normal 4 2 4 4 2" xfId="2270"/>
    <cellStyle name="Normal 4 2 4 4 2 2" xfId="8288"/>
    <cellStyle name="Normal 4 2 4 4 2 2 2" xfId="12881"/>
    <cellStyle name="Normal 4 2 4 4 2 2 2 2" xfId="20439"/>
    <cellStyle name="Normal 4 2 4 4 2 2 2 2 2" xfId="36660"/>
    <cellStyle name="Normal 4 2 4 4 2 2 2 3" xfId="29972"/>
    <cellStyle name="Normal 4 2 4 4 2 2 3" xfId="17281"/>
    <cellStyle name="Normal 4 2 4 4 2 2 3 2" xfId="33502"/>
    <cellStyle name="Normal 4 2 4 4 2 2 4" xfId="18682"/>
    <cellStyle name="Normal 4 2 4 4 2 2 4 2" xfId="34903"/>
    <cellStyle name="Normal 4 2 4 4 2 2 5" xfId="28219"/>
    <cellStyle name="Normal 4 2 4 4 2 3" xfId="12880"/>
    <cellStyle name="Normal 4 2 4 4 2 3 2" xfId="20438"/>
    <cellStyle name="Normal 4 2 4 4 2 3 2 2" xfId="36659"/>
    <cellStyle name="Normal 4 2 4 4 2 3 3" xfId="29971"/>
    <cellStyle name="Normal 4 2 4 4 2 4" xfId="15696"/>
    <cellStyle name="Normal 4 2 4 4 2 4 2" xfId="31918"/>
    <cellStyle name="Normal 4 2 4 4 2 5" xfId="18681"/>
    <cellStyle name="Normal 4 2 4 4 2 5 2" xfId="34902"/>
    <cellStyle name="Normal 4 2 4 4 2 6" xfId="8287"/>
    <cellStyle name="Normal 4 2 4 4 2 6 2" xfId="28218"/>
    <cellStyle name="Normal 4 2 4 4 2 7" xfId="24438"/>
    <cellStyle name="Normal 4 2 4 4 3" xfId="3769"/>
    <cellStyle name="Normal 4 2 4 4 3 2" xfId="12882"/>
    <cellStyle name="Normal 4 2 4 4 3 2 2" xfId="20440"/>
    <cellStyle name="Normal 4 2 4 4 3 2 2 2" xfId="36661"/>
    <cellStyle name="Normal 4 2 4 4 3 2 3" xfId="29973"/>
    <cellStyle name="Normal 4 2 4 4 3 3" xfId="16489"/>
    <cellStyle name="Normal 4 2 4 4 3 3 2" xfId="32710"/>
    <cellStyle name="Normal 4 2 4 4 3 4" xfId="18683"/>
    <cellStyle name="Normal 4 2 4 4 3 4 2" xfId="34904"/>
    <cellStyle name="Normal 4 2 4 4 3 5" xfId="8289"/>
    <cellStyle name="Normal 4 2 4 4 3 5 2" xfId="28220"/>
    <cellStyle name="Normal 4 2 4 4 3 6" xfId="25936"/>
    <cellStyle name="Normal 4 2 4 4 4" xfId="12879"/>
    <cellStyle name="Normal 4 2 4 4 4 2" xfId="20437"/>
    <cellStyle name="Normal 4 2 4 4 4 2 2" xfId="36658"/>
    <cellStyle name="Normal 4 2 4 4 4 3" xfId="29970"/>
    <cellStyle name="Normal 4 2 4 4 5" xfId="14904"/>
    <cellStyle name="Normal 4 2 4 4 5 2" xfId="31126"/>
    <cellStyle name="Normal 4 2 4 4 6" xfId="18680"/>
    <cellStyle name="Normal 4 2 4 4 6 2" xfId="34901"/>
    <cellStyle name="Normal 4 2 4 4 7" xfId="8286"/>
    <cellStyle name="Normal 4 2 4 4 7 2" xfId="28217"/>
    <cellStyle name="Normal 4 2 4 4 8" xfId="21442"/>
    <cellStyle name="Normal 4 2 4 4 8 2" xfId="37654"/>
    <cellStyle name="Normal 4 2 4 4 9" xfId="22940"/>
    <cellStyle name="Normal 4 2 4 5" xfId="1122"/>
    <cellStyle name="Normal 4 2 4 5 2" xfId="2621"/>
    <cellStyle name="Normal 4 2 4 5 2 2" xfId="12884"/>
    <cellStyle name="Normal 4 2 4 5 2 2 2" xfId="20442"/>
    <cellStyle name="Normal 4 2 4 5 2 2 2 2" xfId="36663"/>
    <cellStyle name="Normal 4 2 4 5 2 2 3" xfId="29975"/>
    <cellStyle name="Normal 4 2 4 5 2 3" xfId="16753"/>
    <cellStyle name="Normal 4 2 4 5 2 3 2" xfId="32974"/>
    <cellStyle name="Normal 4 2 4 5 2 4" xfId="18685"/>
    <cellStyle name="Normal 4 2 4 5 2 4 2" xfId="34906"/>
    <cellStyle name="Normal 4 2 4 5 2 5" xfId="8291"/>
    <cellStyle name="Normal 4 2 4 5 2 5 2" xfId="28222"/>
    <cellStyle name="Normal 4 2 4 5 2 6" xfId="24789"/>
    <cellStyle name="Normal 4 2 4 5 3" xfId="4120"/>
    <cellStyle name="Normal 4 2 4 5 3 2" xfId="20441"/>
    <cellStyle name="Normal 4 2 4 5 3 2 2" xfId="36662"/>
    <cellStyle name="Normal 4 2 4 5 3 3" xfId="12883"/>
    <cellStyle name="Normal 4 2 4 5 3 3 2" xfId="29974"/>
    <cellStyle name="Normal 4 2 4 5 3 4" xfId="26287"/>
    <cellStyle name="Normal 4 2 4 5 4" xfId="15168"/>
    <cellStyle name="Normal 4 2 4 5 4 2" xfId="31390"/>
    <cellStyle name="Normal 4 2 4 5 5" xfId="18684"/>
    <cellStyle name="Normal 4 2 4 5 5 2" xfId="34905"/>
    <cellStyle name="Normal 4 2 4 5 6" xfId="8290"/>
    <cellStyle name="Normal 4 2 4 5 6 2" xfId="28221"/>
    <cellStyle name="Normal 4 2 4 5 7" xfId="21793"/>
    <cellStyle name="Normal 4 2 4 5 7 2" xfId="38005"/>
    <cellStyle name="Normal 4 2 4 5 8" xfId="23291"/>
    <cellStyle name="Normal 4 2 4 6" xfId="1473"/>
    <cellStyle name="Normal 4 2 4 6 2" xfId="2972"/>
    <cellStyle name="Normal 4 2 4 6 2 2" xfId="20443"/>
    <cellStyle name="Normal 4 2 4 6 2 2 2" xfId="36664"/>
    <cellStyle name="Normal 4 2 4 6 2 3" xfId="12885"/>
    <cellStyle name="Normal 4 2 4 6 2 3 2" xfId="29976"/>
    <cellStyle name="Normal 4 2 4 6 2 4" xfId="25140"/>
    <cellStyle name="Normal 4 2 4 6 3" xfId="4471"/>
    <cellStyle name="Normal 4 2 4 6 3 2" xfId="15961"/>
    <cellStyle name="Normal 4 2 4 6 3 2 2" xfId="32182"/>
    <cellStyle name="Normal 4 2 4 6 3 3" xfId="26638"/>
    <cellStyle name="Normal 4 2 4 6 4" xfId="18686"/>
    <cellStyle name="Normal 4 2 4 6 4 2" xfId="34907"/>
    <cellStyle name="Normal 4 2 4 6 5" xfId="8292"/>
    <cellStyle name="Normal 4 2 4 6 5 2" xfId="28223"/>
    <cellStyle name="Normal 4 2 4 6 6" xfId="22144"/>
    <cellStyle name="Normal 4 2 4 6 6 2" xfId="38356"/>
    <cellStyle name="Normal 4 2 4 6 7" xfId="23642"/>
    <cellStyle name="Normal 4 2 4 7" xfId="1919"/>
    <cellStyle name="Normal 4 2 4 7 2" xfId="20420"/>
    <cellStyle name="Normal 4 2 4 7 2 2" xfId="36641"/>
    <cellStyle name="Normal 4 2 4 7 3" xfId="12862"/>
    <cellStyle name="Normal 4 2 4 7 3 2" xfId="29953"/>
    <cellStyle name="Normal 4 2 4 7 4" xfId="24087"/>
    <cellStyle name="Normal 4 2 4 8" xfId="3418"/>
    <cellStyle name="Normal 4 2 4 8 2" xfId="14376"/>
    <cellStyle name="Normal 4 2 4 8 2 2" xfId="30598"/>
    <cellStyle name="Normal 4 2 4 8 3" xfId="25585"/>
    <cellStyle name="Normal 4 2 4 9" xfId="18663"/>
    <cellStyle name="Normal 4 2 4 9 2" xfId="34884"/>
    <cellStyle name="Normal 4 2 5" xfId="430"/>
    <cellStyle name="Normal 4 2 5 10" xfId="21103"/>
    <cellStyle name="Normal 4 2 5 10 2" xfId="37315"/>
    <cellStyle name="Normal 4 2 5 11" xfId="22601"/>
    <cellStyle name="Normal 4 2 5 12" xfId="39073"/>
    <cellStyle name="Normal 4 2 5 2" xfId="548"/>
    <cellStyle name="Normal 4 2 5 2 2" xfId="900"/>
    <cellStyle name="Normal 4 2 5 2 2 2" xfId="2399"/>
    <cellStyle name="Normal 4 2 5 2 2 2 2" xfId="12889"/>
    <cellStyle name="Normal 4 2 5 2 2 2 2 2" xfId="20447"/>
    <cellStyle name="Normal 4 2 5 2 2 2 2 2 2" xfId="36668"/>
    <cellStyle name="Normal 4 2 5 2 2 2 2 3" xfId="29980"/>
    <cellStyle name="Normal 4 2 5 2 2 2 3" xfId="17083"/>
    <cellStyle name="Normal 4 2 5 2 2 2 3 2" xfId="33304"/>
    <cellStyle name="Normal 4 2 5 2 2 2 4" xfId="18690"/>
    <cellStyle name="Normal 4 2 5 2 2 2 4 2" xfId="34911"/>
    <cellStyle name="Normal 4 2 5 2 2 2 5" xfId="8296"/>
    <cellStyle name="Normal 4 2 5 2 2 2 5 2" xfId="28227"/>
    <cellStyle name="Normal 4 2 5 2 2 2 6" xfId="24567"/>
    <cellStyle name="Normal 4 2 5 2 2 3" xfId="3898"/>
    <cellStyle name="Normal 4 2 5 2 2 3 2" xfId="20446"/>
    <cellStyle name="Normal 4 2 5 2 2 3 2 2" xfId="36667"/>
    <cellStyle name="Normal 4 2 5 2 2 3 3" xfId="12888"/>
    <cellStyle name="Normal 4 2 5 2 2 3 3 2" xfId="29979"/>
    <cellStyle name="Normal 4 2 5 2 2 3 4" xfId="26065"/>
    <cellStyle name="Normal 4 2 5 2 2 4" xfId="15498"/>
    <cellStyle name="Normal 4 2 5 2 2 4 2" xfId="31720"/>
    <cellStyle name="Normal 4 2 5 2 2 5" xfId="18689"/>
    <cellStyle name="Normal 4 2 5 2 2 5 2" xfId="34910"/>
    <cellStyle name="Normal 4 2 5 2 2 6" xfId="8295"/>
    <cellStyle name="Normal 4 2 5 2 2 6 2" xfId="28226"/>
    <cellStyle name="Normal 4 2 5 2 2 7" xfId="21571"/>
    <cellStyle name="Normal 4 2 5 2 2 7 2" xfId="37783"/>
    <cellStyle name="Normal 4 2 5 2 2 8" xfId="23069"/>
    <cellStyle name="Normal 4 2 5 2 3" xfId="1251"/>
    <cellStyle name="Normal 4 2 5 2 3 2" xfId="2750"/>
    <cellStyle name="Normal 4 2 5 2 3 2 2" xfId="20448"/>
    <cellStyle name="Normal 4 2 5 2 3 2 2 2" xfId="36669"/>
    <cellStyle name="Normal 4 2 5 2 3 2 3" xfId="12890"/>
    <cellStyle name="Normal 4 2 5 2 3 2 3 2" xfId="29981"/>
    <cellStyle name="Normal 4 2 5 2 3 2 4" xfId="24918"/>
    <cellStyle name="Normal 4 2 5 2 3 3" xfId="4249"/>
    <cellStyle name="Normal 4 2 5 2 3 3 2" xfId="16291"/>
    <cellStyle name="Normal 4 2 5 2 3 3 2 2" xfId="32512"/>
    <cellStyle name="Normal 4 2 5 2 3 3 3" xfId="26416"/>
    <cellStyle name="Normal 4 2 5 2 3 4" xfId="18691"/>
    <cellStyle name="Normal 4 2 5 2 3 4 2" xfId="34912"/>
    <cellStyle name="Normal 4 2 5 2 3 5" xfId="8297"/>
    <cellStyle name="Normal 4 2 5 2 3 5 2" xfId="28228"/>
    <cellStyle name="Normal 4 2 5 2 3 6" xfId="21922"/>
    <cellStyle name="Normal 4 2 5 2 3 6 2" xfId="38134"/>
    <cellStyle name="Normal 4 2 5 2 3 7" xfId="23420"/>
    <cellStyle name="Normal 4 2 5 2 4" xfId="1602"/>
    <cellStyle name="Normal 4 2 5 2 4 2" xfId="3101"/>
    <cellStyle name="Normal 4 2 5 2 4 2 2" xfId="20445"/>
    <cellStyle name="Normal 4 2 5 2 4 2 2 2" xfId="36666"/>
    <cellStyle name="Normal 4 2 5 2 4 2 3" xfId="25269"/>
    <cellStyle name="Normal 4 2 5 2 4 3" xfId="4600"/>
    <cellStyle name="Normal 4 2 5 2 4 3 2" xfId="26767"/>
    <cellStyle name="Normal 4 2 5 2 4 4" xfId="12887"/>
    <cellStyle name="Normal 4 2 5 2 4 4 2" xfId="29978"/>
    <cellStyle name="Normal 4 2 5 2 4 5" xfId="22273"/>
    <cellStyle name="Normal 4 2 5 2 4 5 2" xfId="38485"/>
    <cellStyle name="Normal 4 2 5 2 4 6" xfId="23771"/>
    <cellStyle name="Normal 4 2 5 2 5" xfId="2048"/>
    <cellStyle name="Normal 4 2 5 2 5 2" xfId="14706"/>
    <cellStyle name="Normal 4 2 5 2 5 2 2" xfId="30928"/>
    <cellStyle name="Normal 4 2 5 2 5 3" xfId="24216"/>
    <cellStyle name="Normal 4 2 5 2 6" xfId="3547"/>
    <cellStyle name="Normal 4 2 5 2 6 2" xfId="18688"/>
    <cellStyle name="Normal 4 2 5 2 6 2 2" xfId="34909"/>
    <cellStyle name="Normal 4 2 5 2 6 3" xfId="25714"/>
    <cellStyle name="Normal 4 2 5 2 7" xfId="8294"/>
    <cellStyle name="Normal 4 2 5 2 7 2" xfId="28225"/>
    <cellStyle name="Normal 4 2 5 2 8" xfId="21220"/>
    <cellStyle name="Normal 4 2 5 2 8 2" xfId="37432"/>
    <cellStyle name="Normal 4 2 5 2 9" xfId="22718"/>
    <cellStyle name="Normal 4 2 5 3" xfId="666"/>
    <cellStyle name="Normal 4 2 5 3 2" xfId="1017"/>
    <cellStyle name="Normal 4 2 5 3 2 2" xfId="2516"/>
    <cellStyle name="Normal 4 2 5 3 2 2 2" xfId="12893"/>
    <cellStyle name="Normal 4 2 5 3 2 2 2 2" xfId="20451"/>
    <cellStyle name="Normal 4 2 5 3 2 2 2 2 2" xfId="36672"/>
    <cellStyle name="Normal 4 2 5 3 2 2 2 3" xfId="29984"/>
    <cellStyle name="Normal 4 2 5 3 2 2 3" xfId="17347"/>
    <cellStyle name="Normal 4 2 5 3 2 2 3 2" xfId="33568"/>
    <cellStyle name="Normal 4 2 5 3 2 2 4" xfId="18694"/>
    <cellStyle name="Normal 4 2 5 3 2 2 4 2" xfId="34915"/>
    <cellStyle name="Normal 4 2 5 3 2 2 5" xfId="8300"/>
    <cellStyle name="Normal 4 2 5 3 2 2 5 2" xfId="28231"/>
    <cellStyle name="Normal 4 2 5 3 2 2 6" xfId="24684"/>
    <cellStyle name="Normal 4 2 5 3 2 3" xfId="4015"/>
    <cellStyle name="Normal 4 2 5 3 2 3 2" xfId="20450"/>
    <cellStyle name="Normal 4 2 5 3 2 3 2 2" xfId="36671"/>
    <cellStyle name="Normal 4 2 5 3 2 3 3" xfId="12892"/>
    <cellStyle name="Normal 4 2 5 3 2 3 3 2" xfId="29983"/>
    <cellStyle name="Normal 4 2 5 3 2 3 4" xfId="26182"/>
    <cellStyle name="Normal 4 2 5 3 2 4" xfId="15762"/>
    <cellStyle name="Normal 4 2 5 3 2 4 2" xfId="31984"/>
    <cellStyle name="Normal 4 2 5 3 2 5" xfId="18693"/>
    <cellStyle name="Normal 4 2 5 3 2 5 2" xfId="34914"/>
    <cellStyle name="Normal 4 2 5 3 2 6" xfId="8299"/>
    <cellStyle name="Normal 4 2 5 3 2 6 2" xfId="28230"/>
    <cellStyle name="Normal 4 2 5 3 2 7" xfId="21688"/>
    <cellStyle name="Normal 4 2 5 3 2 7 2" xfId="37900"/>
    <cellStyle name="Normal 4 2 5 3 2 8" xfId="23186"/>
    <cellStyle name="Normal 4 2 5 3 3" xfId="1368"/>
    <cellStyle name="Normal 4 2 5 3 3 2" xfId="2867"/>
    <cellStyle name="Normal 4 2 5 3 3 2 2" xfId="20452"/>
    <cellStyle name="Normal 4 2 5 3 3 2 2 2" xfId="36673"/>
    <cellStyle name="Normal 4 2 5 3 3 2 3" xfId="12894"/>
    <cellStyle name="Normal 4 2 5 3 3 2 3 2" xfId="29985"/>
    <cellStyle name="Normal 4 2 5 3 3 2 4" xfId="25035"/>
    <cellStyle name="Normal 4 2 5 3 3 3" xfId="4366"/>
    <cellStyle name="Normal 4 2 5 3 3 3 2" xfId="16555"/>
    <cellStyle name="Normal 4 2 5 3 3 3 2 2" xfId="32776"/>
    <cellStyle name="Normal 4 2 5 3 3 3 3" xfId="26533"/>
    <cellStyle name="Normal 4 2 5 3 3 4" xfId="18695"/>
    <cellStyle name="Normal 4 2 5 3 3 4 2" xfId="34916"/>
    <cellStyle name="Normal 4 2 5 3 3 5" xfId="8301"/>
    <cellStyle name="Normal 4 2 5 3 3 5 2" xfId="28232"/>
    <cellStyle name="Normal 4 2 5 3 3 6" xfId="22039"/>
    <cellStyle name="Normal 4 2 5 3 3 6 2" xfId="38251"/>
    <cellStyle name="Normal 4 2 5 3 3 7" xfId="23537"/>
    <cellStyle name="Normal 4 2 5 3 4" xfId="1719"/>
    <cellStyle name="Normal 4 2 5 3 4 2" xfId="3218"/>
    <cellStyle name="Normal 4 2 5 3 4 2 2" xfId="20449"/>
    <cellStyle name="Normal 4 2 5 3 4 2 2 2" xfId="36670"/>
    <cellStyle name="Normal 4 2 5 3 4 2 3" xfId="25386"/>
    <cellStyle name="Normal 4 2 5 3 4 3" xfId="4717"/>
    <cellStyle name="Normal 4 2 5 3 4 3 2" xfId="26884"/>
    <cellStyle name="Normal 4 2 5 3 4 4" xfId="12891"/>
    <cellStyle name="Normal 4 2 5 3 4 4 2" xfId="29982"/>
    <cellStyle name="Normal 4 2 5 3 4 5" xfId="22390"/>
    <cellStyle name="Normal 4 2 5 3 4 5 2" xfId="38602"/>
    <cellStyle name="Normal 4 2 5 3 4 6" xfId="23888"/>
    <cellStyle name="Normal 4 2 5 3 5" xfId="2165"/>
    <cellStyle name="Normal 4 2 5 3 5 2" xfId="14970"/>
    <cellStyle name="Normal 4 2 5 3 5 2 2" xfId="31192"/>
    <cellStyle name="Normal 4 2 5 3 5 3" xfId="24333"/>
    <cellStyle name="Normal 4 2 5 3 6" xfId="3664"/>
    <cellStyle name="Normal 4 2 5 3 6 2" xfId="18692"/>
    <cellStyle name="Normal 4 2 5 3 6 2 2" xfId="34913"/>
    <cellStyle name="Normal 4 2 5 3 6 3" xfId="25831"/>
    <cellStyle name="Normal 4 2 5 3 7" xfId="8298"/>
    <cellStyle name="Normal 4 2 5 3 7 2" xfId="28229"/>
    <cellStyle name="Normal 4 2 5 3 8" xfId="21337"/>
    <cellStyle name="Normal 4 2 5 3 8 2" xfId="37549"/>
    <cellStyle name="Normal 4 2 5 3 9" xfId="22835"/>
    <cellStyle name="Normal 4 2 5 4" xfId="783"/>
    <cellStyle name="Normal 4 2 5 4 2" xfId="2282"/>
    <cellStyle name="Normal 4 2 5 4 2 2" xfId="12896"/>
    <cellStyle name="Normal 4 2 5 4 2 2 2" xfId="20454"/>
    <cellStyle name="Normal 4 2 5 4 2 2 2 2" xfId="36675"/>
    <cellStyle name="Normal 4 2 5 4 2 2 3" xfId="29987"/>
    <cellStyle name="Normal 4 2 5 4 2 3" xfId="16819"/>
    <cellStyle name="Normal 4 2 5 4 2 3 2" xfId="33040"/>
    <cellStyle name="Normal 4 2 5 4 2 4" xfId="18697"/>
    <cellStyle name="Normal 4 2 5 4 2 4 2" xfId="34918"/>
    <cellStyle name="Normal 4 2 5 4 2 5" xfId="8303"/>
    <cellStyle name="Normal 4 2 5 4 2 5 2" xfId="28234"/>
    <cellStyle name="Normal 4 2 5 4 2 6" xfId="24450"/>
    <cellStyle name="Normal 4 2 5 4 3" xfId="3781"/>
    <cellStyle name="Normal 4 2 5 4 3 2" xfId="20453"/>
    <cellStyle name="Normal 4 2 5 4 3 2 2" xfId="36674"/>
    <cellStyle name="Normal 4 2 5 4 3 3" xfId="12895"/>
    <cellStyle name="Normal 4 2 5 4 3 3 2" xfId="29986"/>
    <cellStyle name="Normal 4 2 5 4 3 4" xfId="25948"/>
    <cellStyle name="Normal 4 2 5 4 4" xfId="15234"/>
    <cellStyle name="Normal 4 2 5 4 4 2" xfId="31456"/>
    <cellStyle name="Normal 4 2 5 4 5" xfId="18696"/>
    <cellStyle name="Normal 4 2 5 4 5 2" xfId="34917"/>
    <cellStyle name="Normal 4 2 5 4 6" xfId="8302"/>
    <cellStyle name="Normal 4 2 5 4 6 2" xfId="28233"/>
    <cellStyle name="Normal 4 2 5 4 7" xfId="21454"/>
    <cellStyle name="Normal 4 2 5 4 7 2" xfId="37666"/>
    <cellStyle name="Normal 4 2 5 4 8" xfId="22952"/>
    <cellStyle name="Normal 4 2 5 5" xfId="1134"/>
    <cellStyle name="Normal 4 2 5 5 2" xfId="2633"/>
    <cellStyle name="Normal 4 2 5 5 2 2" xfId="20455"/>
    <cellStyle name="Normal 4 2 5 5 2 2 2" xfId="36676"/>
    <cellStyle name="Normal 4 2 5 5 2 3" xfId="12897"/>
    <cellStyle name="Normal 4 2 5 5 2 3 2" xfId="29988"/>
    <cellStyle name="Normal 4 2 5 5 2 4" xfId="24801"/>
    <cellStyle name="Normal 4 2 5 5 3" xfId="4132"/>
    <cellStyle name="Normal 4 2 5 5 3 2" xfId="16027"/>
    <cellStyle name="Normal 4 2 5 5 3 2 2" xfId="32248"/>
    <cellStyle name="Normal 4 2 5 5 3 3" xfId="26299"/>
    <cellStyle name="Normal 4 2 5 5 4" xfId="18698"/>
    <cellStyle name="Normal 4 2 5 5 4 2" xfId="34919"/>
    <cellStyle name="Normal 4 2 5 5 5" xfId="8304"/>
    <cellStyle name="Normal 4 2 5 5 5 2" xfId="28235"/>
    <cellStyle name="Normal 4 2 5 5 6" xfId="21805"/>
    <cellStyle name="Normal 4 2 5 5 6 2" xfId="38017"/>
    <cellStyle name="Normal 4 2 5 5 7" xfId="23303"/>
    <cellStyle name="Normal 4 2 5 6" xfId="1485"/>
    <cellStyle name="Normal 4 2 5 6 2" xfId="2984"/>
    <cellStyle name="Normal 4 2 5 6 2 2" xfId="20444"/>
    <cellStyle name="Normal 4 2 5 6 2 2 2" xfId="36665"/>
    <cellStyle name="Normal 4 2 5 6 2 3" xfId="25152"/>
    <cellStyle name="Normal 4 2 5 6 3" xfId="4483"/>
    <cellStyle name="Normal 4 2 5 6 3 2" xfId="26650"/>
    <cellStyle name="Normal 4 2 5 6 4" xfId="12886"/>
    <cellStyle name="Normal 4 2 5 6 4 2" xfId="29977"/>
    <cellStyle name="Normal 4 2 5 6 5" xfId="22156"/>
    <cellStyle name="Normal 4 2 5 6 5 2" xfId="38368"/>
    <cellStyle name="Normal 4 2 5 6 6" xfId="23654"/>
    <cellStyle name="Normal 4 2 5 7" xfId="1931"/>
    <cellStyle name="Normal 4 2 5 7 2" xfId="14442"/>
    <cellStyle name="Normal 4 2 5 7 2 2" xfId="30664"/>
    <cellStyle name="Normal 4 2 5 7 3" xfId="24099"/>
    <cellStyle name="Normal 4 2 5 8" xfId="3430"/>
    <cellStyle name="Normal 4 2 5 8 2" xfId="18687"/>
    <cellStyle name="Normal 4 2 5 8 2 2" xfId="34908"/>
    <cellStyle name="Normal 4 2 5 8 3" xfId="25597"/>
    <cellStyle name="Normal 4 2 5 9" xfId="8293"/>
    <cellStyle name="Normal 4 2 5 9 2" xfId="28224"/>
    <cellStyle name="Normal 4 2 6" xfId="439"/>
    <cellStyle name="Normal 4 2 6 10" xfId="21112"/>
    <cellStyle name="Normal 4 2 6 10 2" xfId="37324"/>
    <cellStyle name="Normal 4 2 6 11" xfId="22610"/>
    <cellStyle name="Normal 4 2 6 12" xfId="39221"/>
    <cellStyle name="Normal 4 2 6 2" xfId="557"/>
    <cellStyle name="Normal 4 2 6 2 2" xfId="909"/>
    <cellStyle name="Normal 4 2 6 2 2 2" xfId="2408"/>
    <cellStyle name="Normal 4 2 6 2 2 2 2" xfId="20458"/>
    <cellStyle name="Normal 4 2 6 2 2 2 2 2" xfId="36679"/>
    <cellStyle name="Normal 4 2 6 2 2 2 3" xfId="12900"/>
    <cellStyle name="Normal 4 2 6 2 2 2 3 2" xfId="29991"/>
    <cellStyle name="Normal 4 2 6 2 2 2 4" xfId="24576"/>
    <cellStyle name="Normal 4 2 6 2 2 3" xfId="3907"/>
    <cellStyle name="Normal 4 2 6 2 2 3 2" xfId="16951"/>
    <cellStyle name="Normal 4 2 6 2 2 3 2 2" xfId="33172"/>
    <cellStyle name="Normal 4 2 6 2 2 3 3" xfId="26074"/>
    <cellStyle name="Normal 4 2 6 2 2 4" xfId="18701"/>
    <cellStyle name="Normal 4 2 6 2 2 4 2" xfId="34922"/>
    <cellStyle name="Normal 4 2 6 2 2 5" xfId="8307"/>
    <cellStyle name="Normal 4 2 6 2 2 5 2" xfId="28238"/>
    <cellStyle name="Normal 4 2 6 2 2 6" xfId="21580"/>
    <cellStyle name="Normal 4 2 6 2 2 6 2" xfId="37792"/>
    <cellStyle name="Normal 4 2 6 2 2 7" xfId="23078"/>
    <cellStyle name="Normal 4 2 6 2 3" xfId="1260"/>
    <cellStyle name="Normal 4 2 6 2 3 2" xfId="2759"/>
    <cellStyle name="Normal 4 2 6 2 3 2 2" xfId="20457"/>
    <cellStyle name="Normal 4 2 6 2 3 2 2 2" xfId="36678"/>
    <cellStyle name="Normal 4 2 6 2 3 2 3" xfId="24927"/>
    <cellStyle name="Normal 4 2 6 2 3 3" xfId="4258"/>
    <cellStyle name="Normal 4 2 6 2 3 3 2" xfId="26425"/>
    <cellStyle name="Normal 4 2 6 2 3 4" xfId="12899"/>
    <cellStyle name="Normal 4 2 6 2 3 4 2" xfId="29990"/>
    <cellStyle name="Normal 4 2 6 2 3 5" xfId="21931"/>
    <cellStyle name="Normal 4 2 6 2 3 5 2" xfId="38143"/>
    <cellStyle name="Normal 4 2 6 2 3 6" xfId="23429"/>
    <cellStyle name="Normal 4 2 6 2 4" xfId="1611"/>
    <cellStyle name="Normal 4 2 6 2 4 2" xfId="3110"/>
    <cellStyle name="Normal 4 2 6 2 4 2 2" xfId="25278"/>
    <cellStyle name="Normal 4 2 6 2 4 3" xfId="4609"/>
    <cellStyle name="Normal 4 2 6 2 4 3 2" xfId="26776"/>
    <cellStyle name="Normal 4 2 6 2 4 4" xfId="15366"/>
    <cellStyle name="Normal 4 2 6 2 4 4 2" xfId="31588"/>
    <cellStyle name="Normal 4 2 6 2 4 5" xfId="22282"/>
    <cellStyle name="Normal 4 2 6 2 4 5 2" xfId="38494"/>
    <cellStyle name="Normal 4 2 6 2 4 6" xfId="23780"/>
    <cellStyle name="Normal 4 2 6 2 5" xfId="2057"/>
    <cellStyle name="Normal 4 2 6 2 5 2" xfId="18700"/>
    <cellStyle name="Normal 4 2 6 2 5 2 2" xfId="34921"/>
    <cellStyle name="Normal 4 2 6 2 5 3" xfId="24225"/>
    <cellStyle name="Normal 4 2 6 2 6" xfId="3556"/>
    <cellStyle name="Normal 4 2 6 2 6 2" xfId="25723"/>
    <cellStyle name="Normal 4 2 6 2 7" xfId="8306"/>
    <cellStyle name="Normal 4 2 6 2 7 2" xfId="28237"/>
    <cellStyle name="Normal 4 2 6 2 8" xfId="21229"/>
    <cellStyle name="Normal 4 2 6 2 8 2" xfId="37441"/>
    <cellStyle name="Normal 4 2 6 2 9" xfId="22727"/>
    <cellStyle name="Normal 4 2 6 3" xfId="675"/>
    <cellStyle name="Normal 4 2 6 3 2" xfId="1026"/>
    <cellStyle name="Normal 4 2 6 3 2 2" xfId="2525"/>
    <cellStyle name="Normal 4 2 6 3 2 2 2" xfId="20459"/>
    <cellStyle name="Normal 4 2 6 3 2 2 2 2" xfId="36680"/>
    <cellStyle name="Normal 4 2 6 3 2 2 3" xfId="24693"/>
    <cellStyle name="Normal 4 2 6 3 2 3" xfId="4024"/>
    <cellStyle name="Normal 4 2 6 3 2 3 2" xfId="26191"/>
    <cellStyle name="Normal 4 2 6 3 2 4" xfId="12901"/>
    <cellStyle name="Normal 4 2 6 3 2 4 2" xfId="29992"/>
    <cellStyle name="Normal 4 2 6 3 2 5" xfId="21697"/>
    <cellStyle name="Normal 4 2 6 3 2 5 2" xfId="37909"/>
    <cellStyle name="Normal 4 2 6 3 2 6" xfId="23195"/>
    <cellStyle name="Normal 4 2 6 3 3" xfId="1377"/>
    <cellStyle name="Normal 4 2 6 3 3 2" xfId="2876"/>
    <cellStyle name="Normal 4 2 6 3 3 2 2" xfId="25044"/>
    <cellStyle name="Normal 4 2 6 3 3 3" xfId="4375"/>
    <cellStyle name="Normal 4 2 6 3 3 3 2" xfId="26542"/>
    <cellStyle name="Normal 4 2 6 3 3 4" xfId="16159"/>
    <cellStyle name="Normal 4 2 6 3 3 4 2" xfId="32380"/>
    <cellStyle name="Normal 4 2 6 3 3 5" xfId="22048"/>
    <cellStyle name="Normal 4 2 6 3 3 5 2" xfId="38260"/>
    <cellStyle name="Normal 4 2 6 3 3 6" xfId="23546"/>
    <cellStyle name="Normal 4 2 6 3 4" xfId="1728"/>
    <cellStyle name="Normal 4 2 6 3 4 2" xfId="3227"/>
    <cellStyle name="Normal 4 2 6 3 4 2 2" xfId="25395"/>
    <cellStyle name="Normal 4 2 6 3 4 3" xfId="4726"/>
    <cellStyle name="Normal 4 2 6 3 4 3 2" xfId="26893"/>
    <cellStyle name="Normal 4 2 6 3 4 4" xfId="18702"/>
    <cellStyle name="Normal 4 2 6 3 4 4 2" xfId="34923"/>
    <cellStyle name="Normal 4 2 6 3 4 5" xfId="22399"/>
    <cellStyle name="Normal 4 2 6 3 4 5 2" xfId="38611"/>
    <cellStyle name="Normal 4 2 6 3 4 6" xfId="23897"/>
    <cellStyle name="Normal 4 2 6 3 5" xfId="2174"/>
    <cellStyle name="Normal 4 2 6 3 5 2" xfId="24342"/>
    <cellStyle name="Normal 4 2 6 3 6" xfId="3673"/>
    <cellStyle name="Normal 4 2 6 3 6 2" xfId="25840"/>
    <cellStyle name="Normal 4 2 6 3 7" xfId="8308"/>
    <cellStyle name="Normal 4 2 6 3 7 2" xfId="28239"/>
    <cellStyle name="Normal 4 2 6 3 8" xfId="21346"/>
    <cellStyle name="Normal 4 2 6 3 8 2" xfId="37558"/>
    <cellStyle name="Normal 4 2 6 3 9" xfId="22844"/>
    <cellStyle name="Normal 4 2 6 4" xfId="792"/>
    <cellStyle name="Normal 4 2 6 4 2" xfId="2291"/>
    <cellStyle name="Normal 4 2 6 4 2 2" xfId="20456"/>
    <cellStyle name="Normal 4 2 6 4 2 2 2" xfId="36677"/>
    <cellStyle name="Normal 4 2 6 4 2 3" xfId="24459"/>
    <cellStyle name="Normal 4 2 6 4 3" xfId="3790"/>
    <cellStyle name="Normal 4 2 6 4 3 2" xfId="25957"/>
    <cellStyle name="Normal 4 2 6 4 4" xfId="12898"/>
    <cellStyle name="Normal 4 2 6 4 4 2" xfId="29989"/>
    <cellStyle name="Normal 4 2 6 4 5" xfId="21463"/>
    <cellStyle name="Normal 4 2 6 4 5 2" xfId="37675"/>
    <cellStyle name="Normal 4 2 6 4 6" xfId="22961"/>
    <cellStyle name="Normal 4 2 6 5" xfId="1143"/>
    <cellStyle name="Normal 4 2 6 5 2" xfId="2642"/>
    <cellStyle name="Normal 4 2 6 5 2 2" xfId="24810"/>
    <cellStyle name="Normal 4 2 6 5 3" xfId="4141"/>
    <cellStyle name="Normal 4 2 6 5 3 2" xfId="26308"/>
    <cellStyle name="Normal 4 2 6 5 4" xfId="14574"/>
    <cellStyle name="Normal 4 2 6 5 4 2" xfId="30796"/>
    <cellStyle name="Normal 4 2 6 5 5" xfId="21814"/>
    <cellStyle name="Normal 4 2 6 5 5 2" xfId="38026"/>
    <cellStyle name="Normal 4 2 6 5 6" xfId="23312"/>
    <cellStyle name="Normal 4 2 6 6" xfId="1494"/>
    <cellStyle name="Normal 4 2 6 6 2" xfId="2993"/>
    <cellStyle name="Normal 4 2 6 6 2 2" xfId="25161"/>
    <cellStyle name="Normal 4 2 6 6 3" xfId="4492"/>
    <cellStyle name="Normal 4 2 6 6 3 2" xfId="26659"/>
    <cellStyle name="Normal 4 2 6 6 4" xfId="18699"/>
    <cellStyle name="Normal 4 2 6 6 4 2" xfId="34920"/>
    <cellStyle name="Normal 4 2 6 6 5" xfId="22165"/>
    <cellStyle name="Normal 4 2 6 6 5 2" xfId="38377"/>
    <cellStyle name="Normal 4 2 6 6 6" xfId="23663"/>
    <cellStyle name="Normal 4 2 6 7" xfId="1940"/>
    <cellStyle name="Normal 4 2 6 7 2" xfId="24108"/>
    <cellStyle name="Normal 4 2 6 8" xfId="3439"/>
    <cellStyle name="Normal 4 2 6 8 2" xfId="25606"/>
    <cellStyle name="Normal 4 2 6 9" xfId="8305"/>
    <cellStyle name="Normal 4 2 6 9 2" xfId="28236"/>
    <cellStyle name="Normal 4 2 7" xfId="444"/>
    <cellStyle name="Normal 4 2 7 10" xfId="21117"/>
    <cellStyle name="Normal 4 2 7 10 2" xfId="37329"/>
    <cellStyle name="Normal 4 2 7 11" xfId="22615"/>
    <cellStyle name="Normal 4 2 7 12" xfId="39370"/>
    <cellStyle name="Normal 4 2 7 2" xfId="562"/>
    <cellStyle name="Normal 4 2 7 2 2" xfId="914"/>
    <cellStyle name="Normal 4 2 7 2 2 2" xfId="2413"/>
    <cellStyle name="Normal 4 2 7 2 2 2 2" xfId="20462"/>
    <cellStyle name="Normal 4 2 7 2 2 2 2 2" xfId="36683"/>
    <cellStyle name="Normal 4 2 7 2 2 2 3" xfId="12904"/>
    <cellStyle name="Normal 4 2 7 2 2 2 3 2" xfId="29995"/>
    <cellStyle name="Normal 4 2 7 2 2 2 4" xfId="24581"/>
    <cellStyle name="Normal 4 2 7 2 2 3" xfId="3912"/>
    <cellStyle name="Normal 4 2 7 2 2 3 2" xfId="17215"/>
    <cellStyle name="Normal 4 2 7 2 2 3 2 2" xfId="33436"/>
    <cellStyle name="Normal 4 2 7 2 2 3 3" xfId="26079"/>
    <cellStyle name="Normal 4 2 7 2 2 4" xfId="18705"/>
    <cellStyle name="Normal 4 2 7 2 2 4 2" xfId="34926"/>
    <cellStyle name="Normal 4 2 7 2 2 5" xfId="8311"/>
    <cellStyle name="Normal 4 2 7 2 2 5 2" xfId="28242"/>
    <cellStyle name="Normal 4 2 7 2 2 6" xfId="21585"/>
    <cellStyle name="Normal 4 2 7 2 2 6 2" xfId="37797"/>
    <cellStyle name="Normal 4 2 7 2 2 7" xfId="23083"/>
    <cellStyle name="Normal 4 2 7 2 3" xfId="1265"/>
    <cellStyle name="Normal 4 2 7 2 3 2" xfId="2764"/>
    <cellStyle name="Normal 4 2 7 2 3 2 2" xfId="20461"/>
    <cellStyle name="Normal 4 2 7 2 3 2 2 2" xfId="36682"/>
    <cellStyle name="Normal 4 2 7 2 3 2 3" xfId="24932"/>
    <cellStyle name="Normal 4 2 7 2 3 3" xfId="4263"/>
    <cellStyle name="Normal 4 2 7 2 3 3 2" xfId="26430"/>
    <cellStyle name="Normal 4 2 7 2 3 4" xfId="12903"/>
    <cellStyle name="Normal 4 2 7 2 3 4 2" xfId="29994"/>
    <cellStyle name="Normal 4 2 7 2 3 5" xfId="21936"/>
    <cellStyle name="Normal 4 2 7 2 3 5 2" xfId="38148"/>
    <cellStyle name="Normal 4 2 7 2 3 6" xfId="23434"/>
    <cellStyle name="Normal 4 2 7 2 4" xfId="1616"/>
    <cellStyle name="Normal 4 2 7 2 4 2" xfId="3115"/>
    <cellStyle name="Normal 4 2 7 2 4 2 2" xfId="25283"/>
    <cellStyle name="Normal 4 2 7 2 4 3" xfId="4614"/>
    <cellStyle name="Normal 4 2 7 2 4 3 2" xfId="26781"/>
    <cellStyle name="Normal 4 2 7 2 4 4" xfId="15630"/>
    <cellStyle name="Normal 4 2 7 2 4 4 2" xfId="31852"/>
    <cellStyle name="Normal 4 2 7 2 4 5" xfId="22287"/>
    <cellStyle name="Normal 4 2 7 2 4 5 2" xfId="38499"/>
    <cellStyle name="Normal 4 2 7 2 4 6" xfId="23785"/>
    <cellStyle name="Normal 4 2 7 2 5" xfId="2062"/>
    <cellStyle name="Normal 4 2 7 2 5 2" xfId="18704"/>
    <cellStyle name="Normal 4 2 7 2 5 2 2" xfId="34925"/>
    <cellStyle name="Normal 4 2 7 2 5 3" xfId="24230"/>
    <cellStyle name="Normal 4 2 7 2 6" xfId="3561"/>
    <cellStyle name="Normal 4 2 7 2 6 2" xfId="25728"/>
    <cellStyle name="Normal 4 2 7 2 7" xfId="8310"/>
    <cellStyle name="Normal 4 2 7 2 7 2" xfId="28241"/>
    <cellStyle name="Normal 4 2 7 2 8" xfId="21234"/>
    <cellStyle name="Normal 4 2 7 2 8 2" xfId="37446"/>
    <cellStyle name="Normal 4 2 7 2 9" xfId="22732"/>
    <cellStyle name="Normal 4 2 7 3" xfId="680"/>
    <cellStyle name="Normal 4 2 7 3 2" xfId="1031"/>
    <cellStyle name="Normal 4 2 7 3 2 2" xfId="2530"/>
    <cellStyle name="Normal 4 2 7 3 2 2 2" xfId="20463"/>
    <cellStyle name="Normal 4 2 7 3 2 2 2 2" xfId="36684"/>
    <cellStyle name="Normal 4 2 7 3 2 2 3" xfId="24698"/>
    <cellStyle name="Normal 4 2 7 3 2 3" xfId="4029"/>
    <cellStyle name="Normal 4 2 7 3 2 3 2" xfId="26196"/>
    <cellStyle name="Normal 4 2 7 3 2 4" xfId="12905"/>
    <cellStyle name="Normal 4 2 7 3 2 4 2" xfId="29996"/>
    <cellStyle name="Normal 4 2 7 3 2 5" xfId="21702"/>
    <cellStyle name="Normal 4 2 7 3 2 5 2" xfId="37914"/>
    <cellStyle name="Normal 4 2 7 3 2 6" xfId="23200"/>
    <cellStyle name="Normal 4 2 7 3 3" xfId="1382"/>
    <cellStyle name="Normal 4 2 7 3 3 2" xfId="2881"/>
    <cellStyle name="Normal 4 2 7 3 3 2 2" xfId="25049"/>
    <cellStyle name="Normal 4 2 7 3 3 3" xfId="4380"/>
    <cellStyle name="Normal 4 2 7 3 3 3 2" xfId="26547"/>
    <cellStyle name="Normal 4 2 7 3 3 4" xfId="16423"/>
    <cellStyle name="Normal 4 2 7 3 3 4 2" xfId="32644"/>
    <cellStyle name="Normal 4 2 7 3 3 5" xfId="22053"/>
    <cellStyle name="Normal 4 2 7 3 3 5 2" xfId="38265"/>
    <cellStyle name="Normal 4 2 7 3 3 6" xfId="23551"/>
    <cellStyle name="Normal 4 2 7 3 4" xfId="1733"/>
    <cellStyle name="Normal 4 2 7 3 4 2" xfId="3232"/>
    <cellStyle name="Normal 4 2 7 3 4 2 2" xfId="25400"/>
    <cellStyle name="Normal 4 2 7 3 4 3" xfId="4731"/>
    <cellStyle name="Normal 4 2 7 3 4 3 2" xfId="26898"/>
    <cellStyle name="Normal 4 2 7 3 4 4" xfId="18706"/>
    <cellStyle name="Normal 4 2 7 3 4 4 2" xfId="34927"/>
    <cellStyle name="Normal 4 2 7 3 4 5" xfId="22404"/>
    <cellStyle name="Normal 4 2 7 3 4 5 2" xfId="38616"/>
    <cellStyle name="Normal 4 2 7 3 4 6" xfId="23902"/>
    <cellStyle name="Normal 4 2 7 3 5" xfId="2179"/>
    <cellStyle name="Normal 4 2 7 3 5 2" xfId="24347"/>
    <cellStyle name="Normal 4 2 7 3 6" xfId="3678"/>
    <cellStyle name="Normal 4 2 7 3 6 2" xfId="25845"/>
    <cellStyle name="Normal 4 2 7 3 7" xfId="8312"/>
    <cellStyle name="Normal 4 2 7 3 7 2" xfId="28243"/>
    <cellStyle name="Normal 4 2 7 3 8" xfId="21351"/>
    <cellStyle name="Normal 4 2 7 3 8 2" xfId="37563"/>
    <cellStyle name="Normal 4 2 7 3 9" xfId="22849"/>
    <cellStyle name="Normal 4 2 7 4" xfId="797"/>
    <cellStyle name="Normal 4 2 7 4 2" xfId="2296"/>
    <cellStyle name="Normal 4 2 7 4 2 2" xfId="20460"/>
    <cellStyle name="Normal 4 2 7 4 2 2 2" xfId="36681"/>
    <cellStyle name="Normal 4 2 7 4 2 3" xfId="24464"/>
    <cellStyle name="Normal 4 2 7 4 3" xfId="3795"/>
    <cellStyle name="Normal 4 2 7 4 3 2" xfId="25962"/>
    <cellStyle name="Normal 4 2 7 4 4" xfId="12902"/>
    <cellStyle name="Normal 4 2 7 4 4 2" xfId="29993"/>
    <cellStyle name="Normal 4 2 7 4 5" xfId="21468"/>
    <cellStyle name="Normal 4 2 7 4 5 2" xfId="37680"/>
    <cellStyle name="Normal 4 2 7 4 6" xfId="22966"/>
    <cellStyle name="Normal 4 2 7 5" xfId="1148"/>
    <cellStyle name="Normal 4 2 7 5 2" xfId="2647"/>
    <cellStyle name="Normal 4 2 7 5 2 2" xfId="24815"/>
    <cellStyle name="Normal 4 2 7 5 3" xfId="4146"/>
    <cellStyle name="Normal 4 2 7 5 3 2" xfId="26313"/>
    <cellStyle name="Normal 4 2 7 5 4" xfId="14838"/>
    <cellStyle name="Normal 4 2 7 5 4 2" xfId="31060"/>
    <cellStyle name="Normal 4 2 7 5 5" xfId="21819"/>
    <cellStyle name="Normal 4 2 7 5 5 2" xfId="38031"/>
    <cellStyle name="Normal 4 2 7 5 6" xfId="23317"/>
    <cellStyle name="Normal 4 2 7 6" xfId="1499"/>
    <cellStyle name="Normal 4 2 7 6 2" xfId="2998"/>
    <cellStyle name="Normal 4 2 7 6 2 2" xfId="25166"/>
    <cellStyle name="Normal 4 2 7 6 3" xfId="4497"/>
    <cellStyle name="Normal 4 2 7 6 3 2" xfId="26664"/>
    <cellStyle name="Normal 4 2 7 6 4" xfId="18703"/>
    <cellStyle name="Normal 4 2 7 6 4 2" xfId="34924"/>
    <cellStyle name="Normal 4 2 7 6 5" xfId="22170"/>
    <cellStyle name="Normal 4 2 7 6 5 2" xfId="38382"/>
    <cellStyle name="Normal 4 2 7 6 6" xfId="23668"/>
    <cellStyle name="Normal 4 2 7 7" xfId="1945"/>
    <cellStyle name="Normal 4 2 7 7 2" xfId="24113"/>
    <cellStyle name="Normal 4 2 7 8" xfId="3444"/>
    <cellStyle name="Normal 4 2 7 8 2" xfId="25611"/>
    <cellStyle name="Normal 4 2 7 9" xfId="8309"/>
    <cellStyle name="Normal 4 2 7 9 2" xfId="28240"/>
    <cellStyle name="Normal 4 2 8" xfId="468"/>
    <cellStyle name="Normal 4 2 8 10" xfId="21141"/>
    <cellStyle name="Normal 4 2 8 10 2" xfId="37353"/>
    <cellStyle name="Normal 4 2 8 11" xfId="22639"/>
    <cellStyle name="Normal 4 2 8 2" xfId="586"/>
    <cellStyle name="Normal 4 2 8 2 2" xfId="938"/>
    <cellStyle name="Normal 4 2 8 2 2 2" xfId="2437"/>
    <cellStyle name="Normal 4 2 8 2 2 2 2" xfId="20465"/>
    <cellStyle name="Normal 4 2 8 2 2 2 2 2" xfId="36686"/>
    <cellStyle name="Normal 4 2 8 2 2 2 3" xfId="24605"/>
    <cellStyle name="Normal 4 2 8 2 2 3" xfId="3936"/>
    <cellStyle name="Normal 4 2 8 2 2 3 2" xfId="26103"/>
    <cellStyle name="Normal 4 2 8 2 2 4" xfId="12907"/>
    <cellStyle name="Normal 4 2 8 2 2 4 2" xfId="29998"/>
    <cellStyle name="Normal 4 2 8 2 2 5" xfId="21609"/>
    <cellStyle name="Normal 4 2 8 2 2 5 2" xfId="37821"/>
    <cellStyle name="Normal 4 2 8 2 2 6" xfId="23107"/>
    <cellStyle name="Normal 4 2 8 2 3" xfId="1289"/>
    <cellStyle name="Normal 4 2 8 2 3 2" xfId="2788"/>
    <cellStyle name="Normal 4 2 8 2 3 2 2" xfId="24956"/>
    <cellStyle name="Normal 4 2 8 2 3 3" xfId="4287"/>
    <cellStyle name="Normal 4 2 8 2 3 3 2" xfId="26454"/>
    <cellStyle name="Normal 4 2 8 2 3 4" xfId="16687"/>
    <cellStyle name="Normal 4 2 8 2 3 4 2" xfId="32908"/>
    <cellStyle name="Normal 4 2 8 2 3 5" xfId="21960"/>
    <cellStyle name="Normal 4 2 8 2 3 5 2" xfId="38172"/>
    <cellStyle name="Normal 4 2 8 2 3 6" xfId="23458"/>
    <cellStyle name="Normal 4 2 8 2 4" xfId="1640"/>
    <cellStyle name="Normal 4 2 8 2 4 2" xfId="3139"/>
    <cellStyle name="Normal 4 2 8 2 4 2 2" xfId="25307"/>
    <cellStyle name="Normal 4 2 8 2 4 3" xfId="4638"/>
    <cellStyle name="Normal 4 2 8 2 4 3 2" xfId="26805"/>
    <cellStyle name="Normal 4 2 8 2 4 4" xfId="18708"/>
    <cellStyle name="Normal 4 2 8 2 4 4 2" xfId="34929"/>
    <cellStyle name="Normal 4 2 8 2 4 5" xfId="22311"/>
    <cellStyle name="Normal 4 2 8 2 4 5 2" xfId="38523"/>
    <cellStyle name="Normal 4 2 8 2 4 6" xfId="23809"/>
    <cellStyle name="Normal 4 2 8 2 5" xfId="2086"/>
    <cellStyle name="Normal 4 2 8 2 5 2" xfId="24254"/>
    <cellStyle name="Normal 4 2 8 2 6" xfId="3585"/>
    <cellStyle name="Normal 4 2 8 2 6 2" xfId="25752"/>
    <cellStyle name="Normal 4 2 8 2 7" xfId="8314"/>
    <cellStyle name="Normal 4 2 8 2 7 2" xfId="28245"/>
    <cellStyle name="Normal 4 2 8 2 8" xfId="21258"/>
    <cellStyle name="Normal 4 2 8 2 8 2" xfId="37470"/>
    <cellStyle name="Normal 4 2 8 2 9" xfId="22756"/>
    <cellStyle name="Normal 4 2 8 3" xfId="704"/>
    <cellStyle name="Normal 4 2 8 3 2" xfId="1055"/>
    <cellStyle name="Normal 4 2 8 3 2 2" xfId="2554"/>
    <cellStyle name="Normal 4 2 8 3 2 2 2" xfId="24722"/>
    <cellStyle name="Normal 4 2 8 3 2 3" xfId="4053"/>
    <cellStyle name="Normal 4 2 8 3 2 3 2" xfId="26220"/>
    <cellStyle name="Normal 4 2 8 3 2 4" xfId="20464"/>
    <cellStyle name="Normal 4 2 8 3 2 4 2" xfId="36685"/>
    <cellStyle name="Normal 4 2 8 3 2 5" xfId="21726"/>
    <cellStyle name="Normal 4 2 8 3 2 5 2" xfId="37938"/>
    <cellStyle name="Normal 4 2 8 3 2 6" xfId="23224"/>
    <cellStyle name="Normal 4 2 8 3 3" xfId="1406"/>
    <cellStyle name="Normal 4 2 8 3 3 2" xfId="2905"/>
    <cellStyle name="Normal 4 2 8 3 3 2 2" xfId="25073"/>
    <cellStyle name="Normal 4 2 8 3 3 3" xfId="4404"/>
    <cellStyle name="Normal 4 2 8 3 3 3 2" xfId="26571"/>
    <cellStyle name="Normal 4 2 8 3 3 4" xfId="22077"/>
    <cellStyle name="Normal 4 2 8 3 3 4 2" xfId="38289"/>
    <cellStyle name="Normal 4 2 8 3 3 5" xfId="23575"/>
    <cellStyle name="Normal 4 2 8 3 4" xfId="1757"/>
    <cellStyle name="Normal 4 2 8 3 4 2" xfId="3256"/>
    <cellStyle name="Normal 4 2 8 3 4 2 2" xfId="25424"/>
    <cellStyle name="Normal 4 2 8 3 4 3" xfId="4755"/>
    <cellStyle name="Normal 4 2 8 3 4 3 2" xfId="26922"/>
    <cellStyle name="Normal 4 2 8 3 4 4" xfId="22428"/>
    <cellStyle name="Normal 4 2 8 3 4 4 2" xfId="38640"/>
    <cellStyle name="Normal 4 2 8 3 4 5" xfId="23926"/>
    <cellStyle name="Normal 4 2 8 3 5" xfId="2203"/>
    <cellStyle name="Normal 4 2 8 3 5 2" xfId="24371"/>
    <cellStyle name="Normal 4 2 8 3 6" xfId="3702"/>
    <cellStyle name="Normal 4 2 8 3 6 2" xfId="25869"/>
    <cellStyle name="Normal 4 2 8 3 7" xfId="12906"/>
    <cellStyle name="Normal 4 2 8 3 7 2" xfId="29997"/>
    <cellStyle name="Normal 4 2 8 3 8" xfId="21375"/>
    <cellStyle name="Normal 4 2 8 3 8 2" xfId="37587"/>
    <cellStyle name="Normal 4 2 8 3 9" xfId="22873"/>
    <cellStyle name="Normal 4 2 8 4" xfId="821"/>
    <cellStyle name="Normal 4 2 8 4 2" xfId="2320"/>
    <cellStyle name="Normal 4 2 8 4 2 2" xfId="24488"/>
    <cellStyle name="Normal 4 2 8 4 3" xfId="3819"/>
    <cellStyle name="Normal 4 2 8 4 3 2" xfId="25986"/>
    <cellStyle name="Normal 4 2 8 4 4" xfId="15102"/>
    <cellStyle name="Normal 4 2 8 4 4 2" xfId="31324"/>
    <cellStyle name="Normal 4 2 8 4 5" xfId="21492"/>
    <cellStyle name="Normal 4 2 8 4 5 2" xfId="37704"/>
    <cellStyle name="Normal 4 2 8 4 6" xfId="22990"/>
    <cellStyle name="Normal 4 2 8 5" xfId="1172"/>
    <cellStyle name="Normal 4 2 8 5 2" xfId="2671"/>
    <cellStyle name="Normal 4 2 8 5 2 2" xfId="24839"/>
    <cellStyle name="Normal 4 2 8 5 3" xfId="4170"/>
    <cellStyle name="Normal 4 2 8 5 3 2" xfId="26337"/>
    <cellStyle name="Normal 4 2 8 5 4" xfId="18707"/>
    <cellStyle name="Normal 4 2 8 5 4 2" xfId="34928"/>
    <cellStyle name="Normal 4 2 8 5 5" xfId="21843"/>
    <cellStyle name="Normal 4 2 8 5 5 2" xfId="38055"/>
    <cellStyle name="Normal 4 2 8 5 6" xfId="23341"/>
    <cellStyle name="Normal 4 2 8 6" xfId="1523"/>
    <cellStyle name="Normal 4 2 8 6 2" xfId="3022"/>
    <cellStyle name="Normal 4 2 8 6 2 2" xfId="25190"/>
    <cellStyle name="Normal 4 2 8 6 3" xfId="4521"/>
    <cellStyle name="Normal 4 2 8 6 3 2" xfId="26688"/>
    <cellStyle name="Normal 4 2 8 6 4" xfId="22194"/>
    <cellStyle name="Normal 4 2 8 6 4 2" xfId="38406"/>
    <cellStyle name="Normal 4 2 8 6 5" xfId="23692"/>
    <cellStyle name="Normal 4 2 8 7" xfId="1969"/>
    <cellStyle name="Normal 4 2 8 7 2" xfId="24137"/>
    <cellStyle name="Normal 4 2 8 8" xfId="3468"/>
    <cellStyle name="Normal 4 2 8 8 2" xfId="25635"/>
    <cellStyle name="Normal 4 2 8 9" xfId="8313"/>
    <cellStyle name="Normal 4 2 8 9 2" xfId="28244"/>
    <cellStyle name="Normal 4 2 9" xfId="481"/>
    <cellStyle name="Normal 4 2 9 10" xfId="21154"/>
    <cellStyle name="Normal 4 2 9 10 2" xfId="37366"/>
    <cellStyle name="Normal 4 2 9 11" xfId="22652"/>
    <cellStyle name="Normal 4 2 9 2" xfId="599"/>
    <cellStyle name="Normal 4 2 9 2 2" xfId="951"/>
    <cellStyle name="Normal 4 2 9 2 2 2" xfId="2450"/>
    <cellStyle name="Normal 4 2 9 2 2 2 2" xfId="24618"/>
    <cellStyle name="Normal 4 2 9 2 2 3" xfId="3949"/>
    <cellStyle name="Normal 4 2 9 2 2 3 2" xfId="26116"/>
    <cellStyle name="Normal 4 2 9 2 2 4" xfId="20466"/>
    <cellStyle name="Normal 4 2 9 2 2 4 2" xfId="36687"/>
    <cellStyle name="Normal 4 2 9 2 2 5" xfId="21622"/>
    <cellStyle name="Normal 4 2 9 2 2 5 2" xfId="37834"/>
    <cellStyle name="Normal 4 2 9 2 2 6" xfId="23120"/>
    <cellStyle name="Normal 4 2 9 2 3" xfId="1302"/>
    <cellStyle name="Normal 4 2 9 2 3 2" xfId="2801"/>
    <cellStyle name="Normal 4 2 9 2 3 2 2" xfId="24969"/>
    <cellStyle name="Normal 4 2 9 2 3 3" xfId="4300"/>
    <cellStyle name="Normal 4 2 9 2 3 3 2" xfId="26467"/>
    <cellStyle name="Normal 4 2 9 2 3 4" xfId="21973"/>
    <cellStyle name="Normal 4 2 9 2 3 4 2" xfId="38185"/>
    <cellStyle name="Normal 4 2 9 2 3 5" xfId="23471"/>
    <cellStyle name="Normal 4 2 9 2 4" xfId="1653"/>
    <cellStyle name="Normal 4 2 9 2 4 2" xfId="3152"/>
    <cellStyle name="Normal 4 2 9 2 4 2 2" xfId="25320"/>
    <cellStyle name="Normal 4 2 9 2 4 3" xfId="4651"/>
    <cellStyle name="Normal 4 2 9 2 4 3 2" xfId="26818"/>
    <cellStyle name="Normal 4 2 9 2 4 4" xfId="22324"/>
    <cellStyle name="Normal 4 2 9 2 4 4 2" xfId="38536"/>
    <cellStyle name="Normal 4 2 9 2 4 5" xfId="23822"/>
    <cellStyle name="Normal 4 2 9 2 5" xfId="2099"/>
    <cellStyle name="Normal 4 2 9 2 5 2" xfId="24267"/>
    <cellStyle name="Normal 4 2 9 2 6" xfId="3598"/>
    <cellStyle name="Normal 4 2 9 2 6 2" xfId="25765"/>
    <cellStyle name="Normal 4 2 9 2 7" xfId="12908"/>
    <cellStyle name="Normal 4 2 9 2 7 2" xfId="29999"/>
    <cellStyle name="Normal 4 2 9 2 8" xfId="21271"/>
    <cellStyle name="Normal 4 2 9 2 8 2" xfId="37483"/>
    <cellStyle name="Normal 4 2 9 2 9" xfId="22769"/>
    <cellStyle name="Normal 4 2 9 3" xfId="717"/>
    <cellStyle name="Normal 4 2 9 3 2" xfId="1068"/>
    <cellStyle name="Normal 4 2 9 3 2 2" xfId="2567"/>
    <cellStyle name="Normal 4 2 9 3 2 2 2" xfId="24735"/>
    <cellStyle name="Normal 4 2 9 3 2 3" xfId="4066"/>
    <cellStyle name="Normal 4 2 9 3 2 3 2" xfId="26233"/>
    <cellStyle name="Normal 4 2 9 3 2 4" xfId="21739"/>
    <cellStyle name="Normal 4 2 9 3 2 4 2" xfId="37951"/>
    <cellStyle name="Normal 4 2 9 3 2 5" xfId="23237"/>
    <cellStyle name="Normal 4 2 9 3 3" xfId="1419"/>
    <cellStyle name="Normal 4 2 9 3 3 2" xfId="2918"/>
    <cellStyle name="Normal 4 2 9 3 3 2 2" xfId="25086"/>
    <cellStyle name="Normal 4 2 9 3 3 3" xfId="4417"/>
    <cellStyle name="Normal 4 2 9 3 3 3 2" xfId="26584"/>
    <cellStyle name="Normal 4 2 9 3 3 4" xfId="22090"/>
    <cellStyle name="Normal 4 2 9 3 3 4 2" xfId="38302"/>
    <cellStyle name="Normal 4 2 9 3 3 5" xfId="23588"/>
    <cellStyle name="Normal 4 2 9 3 4" xfId="1770"/>
    <cellStyle name="Normal 4 2 9 3 4 2" xfId="3269"/>
    <cellStyle name="Normal 4 2 9 3 4 2 2" xfId="25437"/>
    <cellStyle name="Normal 4 2 9 3 4 3" xfId="4768"/>
    <cellStyle name="Normal 4 2 9 3 4 3 2" xfId="26935"/>
    <cellStyle name="Normal 4 2 9 3 4 4" xfId="22441"/>
    <cellStyle name="Normal 4 2 9 3 4 4 2" xfId="38653"/>
    <cellStyle name="Normal 4 2 9 3 4 5" xfId="23939"/>
    <cellStyle name="Normal 4 2 9 3 5" xfId="2216"/>
    <cellStyle name="Normal 4 2 9 3 5 2" xfId="24384"/>
    <cellStyle name="Normal 4 2 9 3 6" xfId="3715"/>
    <cellStyle name="Normal 4 2 9 3 6 2" xfId="25882"/>
    <cellStyle name="Normal 4 2 9 3 7" xfId="15895"/>
    <cellStyle name="Normal 4 2 9 3 7 2" xfId="32116"/>
    <cellStyle name="Normal 4 2 9 3 8" xfId="21388"/>
    <cellStyle name="Normal 4 2 9 3 8 2" xfId="37600"/>
    <cellStyle name="Normal 4 2 9 3 9" xfId="22886"/>
    <cellStyle name="Normal 4 2 9 4" xfId="834"/>
    <cellStyle name="Normal 4 2 9 4 2" xfId="2333"/>
    <cellStyle name="Normal 4 2 9 4 2 2" xfId="24501"/>
    <cellStyle name="Normal 4 2 9 4 3" xfId="3832"/>
    <cellStyle name="Normal 4 2 9 4 3 2" xfId="25999"/>
    <cellStyle name="Normal 4 2 9 4 4" xfId="18709"/>
    <cellStyle name="Normal 4 2 9 4 4 2" xfId="34930"/>
    <cellStyle name="Normal 4 2 9 4 5" xfId="21505"/>
    <cellStyle name="Normal 4 2 9 4 5 2" xfId="37717"/>
    <cellStyle name="Normal 4 2 9 4 6" xfId="23003"/>
    <cellStyle name="Normal 4 2 9 5" xfId="1185"/>
    <cellStyle name="Normal 4 2 9 5 2" xfId="2684"/>
    <cellStyle name="Normal 4 2 9 5 2 2" xfId="24852"/>
    <cellStyle name="Normal 4 2 9 5 3" xfId="4183"/>
    <cellStyle name="Normal 4 2 9 5 3 2" xfId="26350"/>
    <cellStyle name="Normal 4 2 9 5 4" xfId="21856"/>
    <cellStyle name="Normal 4 2 9 5 4 2" xfId="38068"/>
    <cellStyle name="Normal 4 2 9 5 5" xfId="23354"/>
    <cellStyle name="Normal 4 2 9 6" xfId="1536"/>
    <cellStyle name="Normal 4 2 9 6 2" xfId="3035"/>
    <cellStyle name="Normal 4 2 9 6 2 2" xfId="25203"/>
    <cellStyle name="Normal 4 2 9 6 3" xfId="4534"/>
    <cellStyle name="Normal 4 2 9 6 3 2" xfId="26701"/>
    <cellStyle name="Normal 4 2 9 6 4" xfId="22207"/>
    <cellStyle name="Normal 4 2 9 6 4 2" xfId="38419"/>
    <cellStyle name="Normal 4 2 9 6 5" xfId="23705"/>
    <cellStyle name="Normal 4 2 9 7" xfId="1982"/>
    <cellStyle name="Normal 4 2 9 7 2" xfId="24150"/>
    <cellStyle name="Normal 4 2 9 8" xfId="3481"/>
    <cellStyle name="Normal 4 2 9 8 2" xfId="25648"/>
    <cellStyle name="Normal 4 2 9 9" xfId="8315"/>
    <cellStyle name="Normal 4 2 9 9 2" xfId="28246"/>
    <cellStyle name="Normal 4 3" xfId="201"/>
    <cellStyle name="Normal 4 3 10" xfId="749"/>
    <cellStyle name="Normal 4 3 10 2" xfId="2248"/>
    <cellStyle name="Normal 4 3 10 2 2" xfId="24416"/>
    <cellStyle name="Normal 4 3 10 3" xfId="3747"/>
    <cellStyle name="Normal 4 3 10 3 2" xfId="25914"/>
    <cellStyle name="Normal 4 3 10 4" xfId="18710"/>
    <cellStyle name="Normal 4 3 10 4 2" xfId="34931"/>
    <cellStyle name="Normal 4 3 10 5" xfId="21420"/>
    <cellStyle name="Normal 4 3 10 5 2" xfId="37632"/>
    <cellStyle name="Normal 4 3 10 6" xfId="22918"/>
    <cellStyle name="Normal 4 3 11" xfId="1100"/>
    <cellStyle name="Normal 4 3 11 2" xfId="2599"/>
    <cellStyle name="Normal 4 3 11 2 2" xfId="24767"/>
    <cellStyle name="Normal 4 3 11 3" xfId="4098"/>
    <cellStyle name="Normal 4 3 11 3 2" xfId="26265"/>
    <cellStyle name="Normal 4 3 11 4" xfId="8316"/>
    <cellStyle name="Normal 4 3 11 4 2" xfId="28247"/>
    <cellStyle name="Normal 4 3 11 5" xfId="21771"/>
    <cellStyle name="Normal 4 3 11 5 2" xfId="37983"/>
    <cellStyle name="Normal 4 3 11 6" xfId="23269"/>
    <cellStyle name="Normal 4 3 12" xfId="1451"/>
    <cellStyle name="Normal 4 3 12 2" xfId="2950"/>
    <cellStyle name="Normal 4 3 12 2 2" xfId="25118"/>
    <cellStyle name="Normal 4 3 12 3" xfId="4449"/>
    <cellStyle name="Normal 4 3 12 3 2" xfId="26616"/>
    <cellStyle name="Normal 4 3 12 4" xfId="22122"/>
    <cellStyle name="Normal 4 3 12 4 2" xfId="38334"/>
    <cellStyle name="Normal 4 3 12 5" xfId="23620"/>
    <cellStyle name="Normal 4 3 13" xfId="1897"/>
    <cellStyle name="Normal 4 3 13 2" xfId="24065"/>
    <cellStyle name="Normal 4 3 14" xfId="3396"/>
    <cellStyle name="Normal 4 3 14 2" xfId="25563"/>
    <cellStyle name="Normal 4 3 15" xfId="4911"/>
    <cellStyle name="Normal 4 3 16" xfId="21069"/>
    <cellStyle name="Normal 4 3 16 2" xfId="37281"/>
    <cellStyle name="Normal 4 3 17" xfId="22567"/>
    <cellStyle name="Normal 4 3 18" xfId="38855"/>
    <cellStyle name="Normal 4 3 19" xfId="392"/>
    <cellStyle name="Normal 4 3 2" xfId="408"/>
    <cellStyle name="Normal 4 3 2 10" xfId="8317"/>
    <cellStyle name="Normal 4 3 2 10 2" xfId="28248"/>
    <cellStyle name="Normal 4 3 2 11" xfId="21081"/>
    <cellStyle name="Normal 4 3 2 11 2" xfId="37293"/>
    <cellStyle name="Normal 4 3 2 12" xfId="22579"/>
    <cellStyle name="Normal 4 3 2 13" xfId="38895"/>
    <cellStyle name="Normal 4 3 2 2" xfId="460"/>
    <cellStyle name="Normal 4 3 2 2 10" xfId="21133"/>
    <cellStyle name="Normal 4 3 2 2 10 2" xfId="37345"/>
    <cellStyle name="Normal 4 3 2 2 11" xfId="22631"/>
    <cellStyle name="Normal 4 3 2 2 2" xfId="578"/>
    <cellStyle name="Normal 4 3 2 2 2 2" xfId="930"/>
    <cellStyle name="Normal 4 3 2 2 2 2 2" xfId="2429"/>
    <cellStyle name="Normal 4 3 2 2 2 2 2 2" xfId="12914"/>
    <cellStyle name="Normal 4 3 2 2 2 2 2 2 2" xfId="20472"/>
    <cellStyle name="Normal 4 3 2 2 2 2 2 2 2 2" xfId="36693"/>
    <cellStyle name="Normal 4 3 2 2 2 2 2 2 3" xfId="30005"/>
    <cellStyle name="Normal 4 3 2 2 2 2 2 3" xfId="17181"/>
    <cellStyle name="Normal 4 3 2 2 2 2 2 3 2" xfId="33402"/>
    <cellStyle name="Normal 4 3 2 2 2 2 2 4" xfId="18715"/>
    <cellStyle name="Normal 4 3 2 2 2 2 2 4 2" xfId="34936"/>
    <cellStyle name="Normal 4 3 2 2 2 2 2 5" xfId="8321"/>
    <cellStyle name="Normal 4 3 2 2 2 2 2 5 2" xfId="28252"/>
    <cellStyle name="Normal 4 3 2 2 2 2 2 6" xfId="24597"/>
    <cellStyle name="Normal 4 3 2 2 2 2 3" xfId="3928"/>
    <cellStyle name="Normal 4 3 2 2 2 2 3 2" xfId="20471"/>
    <cellStyle name="Normal 4 3 2 2 2 2 3 2 2" xfId="36692"/>
    <cellStyle name="Normal 4 3 2 2 2 2 3 3" xfId="12913"/>
    <cellStyle name="Normal 4 3 2 2 2 2 3 3 2" xfId="30004"/>
    <cellStyle name="Normal 4 3 2 2 2 2 3 4" xfId="26095"/>
    <cellStyle name="Normal 4 3 2 2 2 2 4" xfId="15596"/>
    <cellStyle name="Normal 4 3 2 2 2 2 4 2" xfId="31818"/>
    <cellStyle name="Normal 4 3 2 2 2 2 5" xfId="18714"/>
    <cellStyle name="Normal 4 3 2 2 2 2 5 2" xfId="34935"/>
    <cellStyle name="Normal 4 3 2 2 2 2 6" xfId="8320"/>
    <cellStyle name="Normal 4 3 2 2 2 2 6 2" xfId="28251"/>
    <cellStyle name="Normal 4 3 2 2 2 2 7" xfId="21601"/>
    <cellStyle name="Normal 4 3 2 2 2 2 7 2" xfId="37813"/>
    <cellStyle name="Normal 4 3 2 2 2 2 8" xfId="23099"/>
    <cellStyle name="Normal 4 3 2 2 2 3" xfId="1281"/>
    <cellStyle name="Normal 4 3 2 2 2 3 2" xfId="2780"/>
    <cellStyle name="Normal 4 3 2 2 2 3 2 2" xfId="20473"/>
    <cellStyle name="Normal 4 3 2 2 2 3 2 2 2" xfId="36694"/>
    <cellStyle name="Normal 4 3 2 2 2 3 2 3" xfId="12915"/>
    <cellStyle name="Normal 4 3 2 2 2 3 2 3 2" xfId="30006"/>
    <cellStyle name="Normal 4 3 2 2 2 3 2 4" xfId="24948"/>
    <cellStyle name="Normal 4 3 2 2 2 3 3" xfId="4279"/>
    <cellStyle name="Normal 4 3 2 2 2 3 3 2" xfId="16389"/>
    <cellStyle name="Normal 4 3 2 2 2 3 3 2 2" xfId="32610"/>
    <cellStyle name="Normal 4 3 2 2 2 3 3 3" xfId="26446"/>
    <cellStyle name="Normal 4 3 2 2 2 3 4" xfId="18716"/>
    <cellStyle name="Normal 4 3 2 2 2 3 4 2" xfId="34937"/>
    <cellStyle name="Normal 4 3 2 2 2 3 5" xfId="8322"/>
    <cellStyle name="Normal 4 3 2 2 2 3 5 2" xfId="28253"/>
    <cellStyle name="Normal 4 3 2 2 2 3 6" xfId="21952"/>
    <cellStyle name="Normal 4 3 2 2 2 3 6 2" xfId="38164"/>
    <cellStyle name="Normal 4 3 2 2 2 3 7" xfId="23450"/>
    <cellStyle name="Normal 4 3 2 2 2 4" xfId="1632"/>
    <cellStyle name="Normal 4 3 2 2 2 4 2" xfId="3131"/>
    <cellStyle name="Normal 4 3 2 2 2 4 2 2" xfId="20470"/>
    <cellStyle name="Normal 4 3 2 2 2 4 2 2 2" xfId="36691"/>
    <cellStyle name="Normal 4 3 2 2 2 4 2 3" xfId="25299"/>
    <cellStyle name="Normal 4 3 2 2 2 4 3" xfId="4630"/>
    <cellStyle name="Normal 4 3 2 2 2 4 3 2" xfId="26797"/>
    <cellStyle name="Normal 4 3 2 2 2 4 4" xfId="12912"/>
    <cellStyle name="Normal 4 3 2 2 2 4 4 2" xfId="30003"/>
    <cellStyle name="Normal 4 3 2 2 2 4 5" xfId="22303"/>
    <cellStyle name="Normal 4 3 2 2 2 4 5 2" xfId="38515"/>
    <cellStyle name="Normal 4 3 2 2 2 4 6" xfId="23801"/>
    <cellStyle name="Normal 4 3 2 2 2 5" xfId="2078"/>
    <cellStyle name="Normal 4 3 2 2 2 5 2" xfId="14804"/>
    <cellStyle name="Normal 4 3 2 2 2 5 2 2" xfId="31026"/>
    <cellStyle name="Normal 4 3 2 2 2 5 3" xfId="24246"/>
    <cellStyle name="Normal 4 3 2 2 2 6" xfId="3577"/>
    <cellStyle name="Normal 4 3 2 2 2 6 2" xfId="18713"/>
    <cellStyle name="Normal 4 3 2 2 2 6 2 2" xfId="34934"/>
    <cellStyle name="Normal 4 3 2 2 2 6 3" xfId="25744"/>
    <cellStyle name="Normal 4 3 2 2 2 7" xfId="8319"/>
    <cellStyle name="Normal 4 3 2 2 2 7 2" xfId="28250"/>
    <cellStyle name="Normal 4 3 2 2 2 8" xfId="21250"/>
    <cellStyle name="Normal 4 3 2 2 2 8 2" xfId="37462"/>
    <cellStyle name="Normal 4 3 2 2 2 9" xfId="22748"/>
    <cellStyle name="Normal 4 3 2 2 3" xfId="696"/>
    <cellStyle name="Normal 4 3 2 2 3 2" xfId="1047"/>
    <cellStyle name="Normal 4 3 2 2 3 2 2" xfId="2546"/>
    <cellStyle name="Normal 4 3 2 2 3 2 2 2" xfId="12918"/>
    <cellStyle name="Normal 4 3 2 2 3 2 2 2 2" xfId="20476"/>
    <cellStyle name="Normal 4 3 2 2 3 2 2 2 2 2" xfId="36697"/>
    <cellStyle name="Normal 4 3 2 2 3 2 2 2 3" xfId="30009"/>
    <cellStyle name="Normal 4 3 2 2 3 2 2 3" xfId="17445"/>
    <cellStyle name="Normal 4 3 2 2 3 2 2 3 2" xfId="33666"/>
    <cellStyle name="Normal 4 3 2 2 3 2 2 4" xfId="18719"/>
    <cellStyle name="Normal 4 3 2 2 3 2 2 4 2" xfId="34940"/>
    <cellStyle name="Normal 4 3 2 2 3 2 2 5" xfId="8325"/>
    <cellStyle name="Normal 4 3 2 2 3 2 2 5 2" xfId="28256"/>
    <cellStyle name="Normal 4 3 2 2 3 2 2 6" xfId="24714"/>
    <cellStyle name="Normal 4 3 2 2 3 2 3" xfId="4045"/>
    <cellStyle name="Normal 4 3 2 2 3 2 3 2" xfId="20475"/>
    <cellStyle name="Normal 4 3 2 2 3 2 3 2 2" xfId="36696"/>
    <cellStyle name="Normal 4 3 2 2 3 2 3 3" xfId="12917"/>
    <cellStyle name="Normal 4 3 2 2 3 2 3 3 2" xfId="30008"/>
    <cellStyle name="Normal 4 3 2 2 3 2 3 4" xfId="26212"/>
    <cellStyle name="Normal 4 3 2 2 3 2 4" xfId="15860"/>
    <cellStyle name="Normal 4 3 2 2 3 2 4 2" xfId="32082"/>
    <cellStyle name="Normal 4 3 2 2 3 2 5" xfId="18718"/>
    <cellStyle name="Normal 4 3 2 2 3 2 5 2" xfId="34939"/>
    <cellStyle name="Normal 4 3 2 2 3 2 6" xfId="8324"/>
    <cellStyle name="Normal 4 3 2 2 3 2 6 2" xfId="28255"/>
    <cellStyle name="Normal 4 3 2 2 3 2 7" xfId="21718"/>
    <cellStyle name="Normal 4 3 2 2 3 2 7 2" xfId="37930"/>
    <cellStyle name="Normal 4 3 2 2 3 2 8" xfId="23216"/>
    <cellStyle name="Normal 4 3 2 2 3 3" xfId="1398"/>
    <cellStyle name="Normal 4 3 2 2 3 3 2" xfId="2897"/>
    <cellStyle name="Normal 4 3 2 2 3 3 2 2" xfId="20477"/>
    <cellStyle name="Normal 4 3 2 2 3 3 2 2 2" xfId="36698"/>
    <cellStyle name="Normal 4 3 2 2 3 3 2 3" xfId="12919"/>
    <cellStyle name="Normal 4 3 2 2 3 3 2 3 2" xfId="30010"/>
    <cellStyle name="Normal 4 3 2 2 3 3 2 4" xfId="25065"/>
    <cellStyle name="Normal 4 3 2 2 3 3 3" xfId="4396"/>
    <cellStyle name="Normal 4 3 2 2 3 3 3 2" xfId="16653"/>
    <cellStyle name="Normal 4 3 2 2 3 3 3 2 2" xfId="32874"/>
    <cellStyle name="Normal 4 3 2 2 3 3 3 3" xfId="26563"/>
    <cellStyle name="Normal 4 3 2 2 3 3 4" xfId="18720"/>
    <cellStyle name="Normal 4 3 2 2 3 3 4 2" xfId="34941"/>
    <cellStyle name="Normal 4 3 2 2 3 3 5" xfId="8326"/>
    <cellStyle name="Normal 4 3 2 2 3 3 5 2" xfId="28257"/>
    <cellStyle name="Normal 4 3 2 2 3 3 6" xfId="22069"/>
    <cellStyle name="Normal 4 3 2 2 3 3 6 2" xfId="38281"/>
    <cellStyle name="Normal 4 3 2 2 3 3 7" xfId="23567"/>
    <cellStyle name="Normal 4 3 2 2 3 4" xfId="1749"/>
    <cellStyle name="Normal 4 3 2 2 3 4 2" xfId="3248"/>
    <cellStyle name="Normal 4 3 2 2 3 4 2 2" xfId="20474"/>
    <cellStyle name="Normal 4 3 2 2 3 4 2 2 2" xfId="36695"/>
    <cellStyle name="Normal 4 3 2 2 3 4 2 3" xfId="25416"/>
    <cellStyle name="Normal 4 3 2 2 3 4 3" xfId="4747"/>
    <cellStyle name="Normal 4 3 2 2 3 4 3 2" xfId="26914"/>
    <cellStyle name="Normal 4 3 2 2 3 4 4" xfId="12916"/>
    <cellStyle name="Normal 4 3 2 2 3 4 4 2" xfId="30007"/>
    <cellStyle name="Normal 4 3 2 2 3 4 5" xfId="22420"/>
    <cellStyle name="Normal 4 3 2 2 3 4 5 2" xfId="38632"/>
    <cellStyle name="Normal 4 3 2 2 3 4 6" xfId="23918"/>
    <cellStyle name="Normal 4 3 2 2 3 5" xfId="2195"/>
    <cellStyle name="Normal 4 3 2 2 3 5 2" xfId="15068"/>
    <cellStyle name="Normal 4 3 2 2 3 5 2 2" xfId="31290"/>
    <cellStyle name="Normal 4 3 2 2 3 5 3" xfId="24363"/>
    <cellStyle name="Normal 4 3 2 2 3 6" xfId="3694"/>
    <cellStyle name="Normal 4 3 2 2 3 6 2" xfId="18717"/>
    <cellStyle name="Normal 4 3 2 2 3 6 2 2" xfId="34938"/>
    <cellStyle name="Normal 4 3 2 2 3 6 3" xfId="25861"/>
    <cellStyle name="Normal 4 3 2 2 3 7" xfId="8323"/>
    <cellStyle name="Normal 4 3 2 2 3 7 2" xfId="28254"/>
    <cellStyle name="Normal 4 3 2 2 3 8" xfId="21367"/>
    <cellStyle name="Normal 4 3 2 2 3 8 2" xfId="37579"/>
    <cellStyle name="Normal 4 3 2 2 3 9" xfId="22865"/>
    <cellStyle name="Normal 4 3 2 2 4" xfId="813"/>
    <cellStyle name="Normal 4 3 2 2 4 2" xfId="2312"/>
    <cellStyle name="Normal 4 3 2 2 4 2 2" xfId="12921"/>
    <cellStyle name="Normal 4 3 2 2 4 2 2 2" xfId="20479"/>
    <cellStyle name="Normal 4 3 2 2 4 2 2 2 2" xfId="36700"/>
    <cellStyle name="Normal 4 3 2 2 4 2 2 3" xfId="30012"/>
    <cellStyle name="Normal 4 3 2 2 4 2 3" xfId="16917"/>
    <cellStyle name="Normal 4 3 2 2 4 2 3 2" xfId="33138"/>
    <cellStyle name="Normal 4 3 2 2 4 2 4" xfId="18722"/>
    <cellStyle name="Normal 4 3 2 2 4 2 4 2" xfId="34943"/>
    <cellStyle name="Normal 4 3 2 2 4 2 5" xfId="8328"/>
    <cellStyle name="Normal 4 3 2 2 4 2 5 2" xfId="28259"/>
    <cellStyle name="Normal 4 3 2 2 4 2 6" xfId="24480"/>
    <cellStyle name="Normal 4 3 2 2 4 3" xfId="3811"/>
    <cellStyle name="Normal 4 3 2 2 4 3 2" xfId="20478"/>
    <cellStyle name="Normal 4 3 2 2 4 3 2 2" xfId="36699"/>
    <cellStyle name="Normal 4 3 2 2 4 3 3" xfId="12920"/>
    <cellStyle name="Normal 4 3 2 2 4 3 3 2" xfId="30011"/>
    <cellStyle name="Normal 4 3 2 2 4 3 4" xfId="25978"/>
    <cellStyle name="Normal 4 3 2 2 4 4" xfId="15332"/>
    <cellStyle name="Normal 4 3 2 2 4 4 2" xfId="31554"/>
    <cellStyle name="Normal 4 3 2 2 4 5" xfId="18721"/>
    <cellStyle name="Normal 4 3 2 2 4 5 2" xfId="34942"/>
    <cellStyle name="Normal 4 3 2 2 4 6" xfId="8327"/>
    <cellStyle name="Normal 4 3 2 2 4 6 2" xfId="28258"/>
    <cellStyle name="Normal 4 3 2 2 4 7" xfId="21484"/>
    <cellStyle name="Normal 4 3 2 2 4 7 2" xfId="37696"/>
    <cellStyle name="Normal 4 3 2 2 4 8" xfId="22982"/>
    <cellStyle name="Normal 4 3 2 2 5" xfId="1164"/>
    <cellStyle name="Normal 4 3 2 2 5 2" xfId="2663"/>
    <cellStyle name="Normal 4 3 2 2 5 2 2" xfId="20480"/>
    <cellStyle name="Normal 4 3 2 2 5 2 2 2" xfId="36701"/>
    <cellStyle name="Normal 4 3 2 2 5 2 3" xfId="12922"/>
    <cellStyle name="Normal 4 3 2 2 5 2 3 2" xfId="30013"/>
    <cellStyle name="Normal 4 3 2 2 5 2 4" xfId="24831"/>
    <cellStyle name="Normal 4 3 2 2 5 3" xfId="4162"/>
    <cellStyle name="Normal 4 3 2 2 5 3 2" xfId="16125"/>
    <cellStyle name="Normal 4 3 2 2 5 3 2 2" xfId="32346"/>
    <cellStyle name="Normal 4 3 2 2 5 3 3" xfId="26329"/>
    <cellStyle name="Normal 4 3 2 2 5 4" xfId="18723"/>
    <cellStyle name="Normal 4 3 2 2 5 4 2" xfId="34944"/>
    <cellStyle name="Normal 4 3 2 2 5 5" xfId="8329"/>
    <cellStyle name="Normal 4 3 2 2 5 5 2" xfId="28260"/>
    <cellStyle name="Normal 4 3 2 2 5 6" xfId="21835"/>
    <cellStyle name="Normal 4 3 2 2 5 6 2" xfId="38047"/>
    <cellStyle name="Normal 4 3 2 2 5 7" xfId="23333"/>
    <cellStyle name="Normal 4 3 2 2 6" xfId="1515"/>
    <cellStyle name="Normal 4 3 2 2 6 2" xfId="3014"/>
    <cellStyle name="Normal 4 3 2 2 6 2 2" xfId="20469"/>
    <cellStyle name="Normal 4 3 2 2 6 2 2 2" xfId="36690"/>
    <cellStyle name="Normal 4 3 2 2 6 2 3" xfId="25182"/>
    <cellStyle name="Normal 4 3 2 2 6 3" xfId="4513"/>
    <cellStyle name="Normal 4 3 2 2 6 3 2" xfId="26680"/>
    <cellStyle name="Normal 4 3 2 2 6 4" xfId="12911"/>
    <cellStyle name="Normal 4 3 2 2 6 4 2" xfId="30002"/>
    <cellStyle name="Normal 4 3 2 2 6 5" xfId="22186"/>
    <cellStyle name="Normal 4 3 2 2 6 5 2" xfId="38398"/>
    <cellStyle name="Normal 4 3 2 2 6 6" xfId="23684"/>
    <cellStyle name="Normal 4 3 2 2 7" xfId="1961"/>
    <cellStyle name="Normal 4 3 2 2 7 2" xfId="14540"/>
    <cellStyle name="Normal 4 3 2 2 7 2 2" xfId="30762"/>
    <cellStyle name="Normal 4 3 2 2 7 3" xfId="24129"/>
    <cellStyle name="Normal 4 3 2 2 8" xfId="3460"/>
    <cellStyle name="Normal 4 3 2 2 8 2" xfId="18712"/>
    <cellStyle name="Normal 4 3 2 2 8 2 2" xfId="34933"/>
    <cellStyle name="Normal 4 3 2 2 8 3" xfId="25627"/>
    <cellStyle name="Normal 4 3 2 2 9" xfId="8318"/>
    <cellStyle name="Normal 4 3 2 2 9 2" xfId="28249"/>
    <cellStyle name="Normal 4 3 2 3" xfId="526"/>
    <cellStyle name="Normal 4 3 2 3 2" xfId="878"/>
    <cellStyle name="Normal 4 3 2 3 2 2" xfId="2377"/>
    <cellStyle name="Normal 4 3 2 3 2 2 2" xfId="12925"/>
    <cellStyle name="Normal 4 3 2 3 2 2 2 2" xfId="20483"/>
    <cellStyle name="Normal 4 3 2 3 2 2 2 2 2" xfId="36704"/>
    <cellStyle name="Normal 4 3 2 3 2 2 2 3" xfId="30016"/>
    <cellStyle name="Normal 4 3 2 3 2 2 3" xfId="17049"/>
    <cellStyle name="Normal 4 3 2 3 2 2 3 2" xfId="33270"/>
    <cellStyle name="Normal 4 3 2 3 2 2 4" xfId="18726"/>
    <cellStyle name="Normal 4 3 2 3 2 2 4 2" xfId="34947"/>
    <cellStyle name="Normal 4 3 2 3 2 2 5" xfId="8332"/>
    <cellStyle name="Normal 4 3 2 3 2 2 5 2" xfId="28263"/>
    <cellStyle name="Normal 4 3 2 3 2 2 6" xfId="24545"/>
    <cellStyle name="Normal 4 3 2 3 2 3" xfId="3876"/>
    <cellStyle name="Normal 4 3 2 3 2 3 2" xfId="20482"/>
    <cellStyle name="Normal 4 3 2 3 2 3 2 2" xfId="36703"/>
    <cellStyle name="Normal 4 3 2 3 2 3 3" xfId="12924"/>
    <cellStyle name="Normal 4 3 2 3 2 3 3 2" xfId="30015"/>
    <cellStyle name="Normal 4 3 2 3 2 3 4" xfId="26043"/>
    <cellStyle name="Normal 4 3 2 3 2 4" xfId="15464"/>
    <cellStyle name="Normal 4 3 2 3 2 4 2" xfId="31686"/>
    <cellStyle name="Normal 4 3 2 3 2 5" xfId="18725"/>
    <cellStyle name="Normal 4 3 2 3 2 5 2" xfId="34946"/>
    <cellStyle name="Normal 4 3 2 3 2 6" xfId="8331"/>
    <cellStyle name="Normal 4 3 2 3 2 6 2" xfId="28262"/>
    <cellStyle name="Normal 4 3 2 3 2 7" xfId="21549"/>
    <cellStyle name="Normal 4 3 2 3 2 7 2" xfId="37761"/>
    <cellStyle name="Normal 4 3 2 3 2 8" xfId="23047"/>
    <cellStyle name="Normal 4 3 2 3 3" xfId="1229"/>
    <cellStyle name="Normal 4 3 2 3 3 2" xfId="2728"/>
    <cellStyle name="Normal 4 3 2 3 3 2 2" xfId="20484"/>
    <cellStyle name="Normal 4 3 2 3 3 2 2 2" xfId="36705"/>
    <cellStyle name="Normal 4 3 2 3 3 2 3" xfId="12926"/>
    <cellStyle name="Normal 4 3 2 3 3 2 3 2" xfId="30017"/>
    <cellStyle name="Normal 4 3 2 3 3 2 4" xfId="24896"/>
    <cellStyle name="Normal 4 3 2 3 3 3" xfId="4227"/>
    <cellStyle name="Normal 4 3 2 3 3 3 2" xfId="16257"/>
    <cellStyle name="Normal 4 3 2 3 3 3 2 2" xfId="32478"/>
    <cellStyle name="Normal 4 3 2 3 3 3 3" xfId="26394"/>
    <cellStyle name="Normal 4 3 2 3 3 4" xfId="18727"/>
    <cellStyle name="Normal 4 3 2 3 3 4 2" xfId="34948"/>
    <cellStyle name="Normal 4 3 2 3 3 5" xfId="8333"/>
    <cellStyle name="Normal 4 3 2 3 3 5 2" xfId="28264"/>
    <cellStyle name="Normal 4 3 2 3 3 6" xfId="21900"/>
    <cellStyle name="Normal 4 3 2 3 3 6 2" xfId="38112"/>
    <cellStyle name="Normal 4 3 2 3 3 7" xfId="23398"/>
    <cellStyle name="Normal 4 3 2 3 4" xfId="1580"/>
    <cellStyle name="Normal 4 3 2 3 4 2" xfId="3079"/>
    <cellStyle name="Normal 4 3 2 3 4 2 2" xfId="20481"/>
    <cellStyle name="Normal 4 3 2 3 4 2 2 2" xfId="36702"/>
    <cellStyle name="Normal 4 3 2 3 4 2 3" xfId="25247"/>
    <cellStyle name="Normal 4 3 2 3 4 3" xfId="4578"/>
    <cellStyle name="Normal 4 3 2 3 4 3 2" xfId="26745"/>
    <cellStyle name="Normal 4 3 2 3 4 4" xfId="12923"/>
    <cellStyle name="Normal 4 3 2 3 4 4 2" xfId="30014"/>
    <cellStyle name="Normal 4 3 2 3 4 5" xfId="22251"/>
    <cellStyle name="Normal 4 3 2 3 4 5 2" xfId="38463"/>
    <cellStyle name="Normal 4 3 2 3 4 6" xfId="23749"/>
    <cellStyle name="Normal 4 3 2 3 5" xfId="2026"/>
    <cellStyle name="Normal 4 3 2 3 5 2" xfId="14672"/>
    <cellStyle name="Normal 4 3 2 3 5 2 2" xfId="30894"/>
    <cellStyle name="Normal 4 3 2 3 5 3" xfId="24194"/>
    <cellStyle name="Normal 4 3 2 3 6" xfId="3525"/>
    <cellStyle name="Normal 4 3 2 3 6 2" xfId="18724"/>
    <cellStyle name="Normal 4 3 2 3 6 2 2" xfId="34945"/>
    <cellStyle name="Normal 4 3 2 3 6 3" xfId="25692"/>
    <cellStyle name="Normal 4 3 2 3 7" xfId="8330"/>
    <cellStyle name="Normal 4 3 2 3 7 2" xfId="28261"/>
    <cellStyle name="Normal 4 3 2 3 8" xfId="21198"/>
    <cellStyle name="Normal 4 3 2 3 8 2" xfId="37410"/>
    <cellStyle name="Normal 4 3 2 3 9" xfId="22696"/>
    <cellStyle name="Normal 4 3 2 4" xfId="644"/>
    <cellStyle name="Normal 4 3 2 4 2" xfId="995"/>
    <cellStyle name="Normal 4 3 2 4 2 2" xfId="2494"/>
    <cellStyle name="Normal 4 3 2 4 2 2 2" xfId="12929"/>
    <cellStyle name="Normal 4 3 2 4 2 2 2 2" xfId="20487"/>
    <cellStyle name="Normal 4 3 2 4 2 2 2 2 2" xfId="36708"/>
    <cellStyle name="Normal 4 3 2 4 2 2 2 3" xfId="30020"/>
    <cellStyle name="Normal 4 3 2 4 2 2 3" xfId="17313"/>
    <cellStyle name="Normal 4 3 2 4 2 2 3 2" xfId="33534"/>
    <cellStyle name="Normal 4 3 2 4 2 2 4" xfId="18730"/>
    <cellStyle name="Normal 4 3 2 4 2 2 4 2" xfId="34951"/>
    <cellStyle name="Normal 4 3 2 4 2 2 5" xfId="8336"/>
    <cellStyle name="Normal 4 3 2 4 2 2 5 2" xfId="28267"/>
    <cellStyle name="Normal 4 3 2 4 2 2 6" xfId="24662"/>
    <cellStyle name="Normal 4 3 2 4 2 3" xfId="3993"/>
    <cellStyle name="Normal 4 3 2 4 2 3 2" xfId="20486"/>
    <cellStyle name="Normal 4 3 2 4 2 3 2 2" xfId="36707"/>
    <cellStyle name="Normal 4 3 2 4 2 3 3" xfId="12928"/>
    <cellStyle name="Normal 4 3 2 4 2 3 3 2" xfId="30019"/>
    <cellStyle name="Normal 4 3 2 4 2 3 4" xfId="26160"/>
    <cellStyle name="Normal 4 3 2 4 2 4" xfId="15728"/>
    <cellStyle name="Normal 4 3 2 4 2 4 2" xfId="31950"/>
    <cellStyle name="Normal 4 3 2 4 2 5" xfId="18729"/>
    <cellStyle name="Normal 4 3 2 4 2 5 2" xfId="34950"/>
    <cellStyle name="Normal 4 3 2 4 2 6" xfId="8335"/>
    <cellStyle name="Normal 4 3 2 4 2 6 2" xfId="28266"/>
    <cellStyle name="Normal 4 3 2 4 2 7" xfId="21666"/>
    <cellStyle name="Normal 4 3 2 4 2 7 2" xfId="37878"/>
    <cellStyle name="Normal 4 3 2 4 2 8" xfId="23164"/>
    <cellStyle name="Normal 4 3 2 4 3" xfId="1346"/>
    <cellStyle name="Normal 4 3 2 4 3 2" xfId="2845"/>
    <cellStyle name="Normal 4 3 2 4 3 2 2" xfId="20488"/>
    <cellStyle name="Normal 4 3 2 4 3 2 2 2" xfId="36709"/>
    <cellStyle name="Normal 4 3 2 4 3 2 3" xfId="12930"/>
    <cellStyle name="Normal 4 3 2 4 3 2 3 2" xfId="30021"/>
    <cellStyle name="Normal 4 3 2 4 3 2 4" xfId="25013"/>
    <cellStyle name="Normal 4 3 2 4 3 3" xfId="4344"/>
    <cellStyle name="Normal 4 3 2 4 3 3 2" xfId="16521"/>
    <cellStyle name="Normal 4 3 2 4 3 3 2 2" xfId="32742"/>
    <cellStyle name="Normal 4 3 2 4 3 3 3" xfId="26511"/>
    <cellStyle name="Normal 4 3 2 4 3 4" xfId="18731"/>
    <cellStyle name="Normal 4 3 2 4 3 4 2" xfId="34952"/>
    <cellStyle name="Normal 4 3 2 4 3 5" xfId="8337"/>
    <cellStyle name="Normal 4 3 2 4 3 5 2" xfId="28268"/>
    <cellStyle name="Normal 4 3 2 4 3 6" xfId="22017"/>
    <cellStyle name="Normal 4 3 2 4 3 6 2" xfId="38229"/>
    <cellStyle name="Normal 4 3 2 4 3 7" xfId="23515"/>
    <cellStyle name="Normal 4 3 2 4 4" xfId="1697"/>
    <cellStyle name="Normal 4 3 2 4 4 2" xfId="3196"/>
    <cellStyle name="Normal 4 3 2 4 4 2 2" xfId="20485"/>
    <cellStyle name="Normal 4 3 2 4 4 2 2 2" xfId="36706"/>
    <cellStyle name="Normal 4 3 2 4 4 2 3" xfId="25364"/>
    <cellStyle name="Normal 4 3 2 4 4 3" xfId="4695"/>
    <cellStyle name="Normal 4 3 2 4 4 3 2" xfId="26862"/>
    <cellStyle name="Normal 4 3 2 4 4 4" xfId="12927"/>
    <cellStyle name="Normal 4 3 2 4 4 4 2" xfId="30018"/>
    <cellStyle name="Normal 4 3 2 4 4 5" xfId="22368"/>
    <cellStyle name="Normal 4 3 2 4 4 5 2" xfId="38580"/>
    <cellStyle name="Normal 4 3 2 4 4 6" xfId="23866"/>
    <cellStyle name="Normal 4 3 2 4 5" xfId="2143"/>
    <cellStyle name="Normal 4 3 2 4 5 2" xfId="14936"/>
    <cellStyle name="Normal 4 3 2 4 5 2 2" xfId="31158"/>
    <cellStyle name="Normal 4 3 2 4 5 3" xfId="24311"/>
    <cellStyle name="Normal 4 3 2 4 6" xfId="3642"/>
    <cellStyle name="Normal 4 3 2 4 6 2" xfId="18728"/>
    <cellStyle name="Normal 4 3 2 4 6 2 2" xfId="34949"/>
    <cellStyle name="Normal 4 3 2 4 6 3" xfId="25809"/>
    <cellStyle name="Normal 4 3 2 4 7" xfId="8334"/>
    <cellStyle name="Normal 4 3 2 4 7 2" xfId="28265"/>
    <cellStyle name="Normal 4 3 2 4 8" xfId="21315"/>
    <cellStyle name="Normal 4 3 2 4 8 2" xfId="37527"/>
    <cellStyle name="Normal 4 3 2 4 9" xfId="22813"/>
    <cellStyle name="Normal 4 3 2 5" xfId="761"/>
    <cellStyle name="Normal 4 3 2 5 2" xfId="2260"/>
    <cellStyle name="Normal 4 3 2 5 2 2" xfId="12932"/>
    <cellStyle name="Normal 4 3 2 5 2 2 2" xfId="20490"/>
    <cellStyle name="Normal 4 3 2 5 2 2 2 2" xfId="36711"/>
    <cellStyle name="Normal 4 3 2 5 2 2 3" xfId="30023"/>
    <cellStyle name="Normal 4 3 2 5 2 3" xfId="16785"/>
    <cellStyle name="Normal 4 3 2 5 2 3 2" xfId="33006"/>
    <cellStyle name="Normal 4 3 2 5 2 4" xfId="18733"/>
    <cellStyle name="Normal 4 3 2 5 2 4 2" xfId="34954"/>
    <cellStyle name="Normal 4 3 2 5 2 5" xfId="8339"/>
    <cellStyle name="Normal 4 3 2 5 2 5 2" xfId="28270"/>
    <cellStyle name="Normal 4 3 2 5 2 6" xfId="24428"/>
    <cellStyle name="Normal 4 3 2 5 3" xfId="3759"/>
    <cellStyle name="Normal 4 3 2 5 3 2" xfId="20489"/>
    <cellStyle name="Normal 4 3 2 5 3 2 2" xfId="36710"/>
    <cellStyle name="Normal 4 3 2 5 3 3" xfId="12931"/>
    <cellStyle name="Normal 4 3 2 5 3 3 2" xfId="30022"/>
    <cellStyle name="Normal 4 3 2 5 3 4" xfId="25926"/>
    <cellStyle name="Normal 4 3 2 5 4" xfId="15200"/>
    <cellStyle name="Normal 4 3 2 5 4 2" xfId="31422"/>
    <cellStyle name="Normal 4 3 2 5 5" xfId="18732"/>
    <cellStyle name="Normal 4 3 2 5 5 2" xfId="34953"/>
    <cellStyle name="Normal 4 3 2 5 6" xfId="8338"/>
    <cellStyle name="Normal 4 3 2 5 6 2" xfId="28269"/>
    <cellStyle name="Normal 4 3 2 5 7" xfId="21432"/>
    <cellStyle name="Normal 4 3 2 5 7 2" xfId="37644"/>
    <cellStyle name="Normal 4 3 2 5 8" xfId="22930"/>
    <cellStyle name="Normal 4 3 2 6" xfId="1112"/>
    <cellStyle name="Normal 4 3 2 6 2" xfId="2611"/>
    <cellStyle name="Normal 4 3 2 6 2 2" xfId="20491"/>
    <cellStyle name="Normal 4 3 2 6 2 2 2" xfId="36712"/>
    <cellStyle name="Normal 4 3 2 6 2 3" xfId="12933"/>
    <cellStyle name="Normal 4 3 2 6 2 3 2" xfId="30024"/>
    <cellStyle name="Normal 4 3 2 6 2 4" xfId="24779"/>
    <cellStyle name="Normal 4 3 2 6 3" xfId="4110"/>
    <cellStyle name="Normal 4 3 2 6 3 2" xfId="15993"/>
    <cellStyle name="Normal 4 3 2 6 3 2 2" xfId="32214"/>
    <cellStyle name="Normal 4 3 2 6 3 3" xfId="26277"/>
    <cellStyle name="Normal 4 3 2 6 4" xfId="18734"/>
    <cellStyle name="Normal 4 3 2 6 4 2" xfId="34955"/>
    <cellStyle name="Normal 4 3 2 6 5" xfId="8340"/>
    <cellStyle name="Normal 4 3 2 6 5 2" xfId="28271"/>
    <cellStyle name="Normal 4 3 2 6 6" xfId="21783"/>
    <cellStyle name="Normal 4 3 2 6 6 2" xfId="37995"/>
    <cellStyle name="Normal 4 3 2 6 7" xfId="23281"/>
    <cellStyle name="Normal 4 3 2 7" xfId="1463"/>
    <cellStyle name="Normal 4 3 2 7 2" xfId="2962"/>
    <cellStyle name="Normal 4 3 2 7 2 2" xfId="20468"/>
    <cellStyle name="Normal 4 3 2 7 2 2 2" xfId="36689"/>
    <cellStyle name="Normal 4 3 2 7 2 3" xfId="25130"/>
    <cellStyle name="Normal 4 3 2 7 3" xfId="4461"/>
    <cellStyle name="Normal 4 3 2 7 3 2" xfId="26628"/>
    <cellStyle name="Normal 4 3 2 7 4" xfId="12910"/>
    <cellStyle name="Normal 4 3 2 7 4 2" xfId="30001"/>
    <cellStyle name="Normal 4 3 2 7 5" xfId="22134"/>
    <cellStyle name="Normal 4 3 2 7 5 2" xfId="38346"/>
    <cellStyle name="Normal 4 3 2 7 6" xfId="23632"/>
    <cellStyle name="Normal 4 3 2 8" xfId="1909"/>
    <cellStyle name="Normal 4 3 2 8 2" xfId="14408"/>
    <cellStyle name="Normal 4 3 2 8 2 2" xfId="30630"/>
    <cellStyle name="Normal 4 3 2 8 3" xfId="24077"/>
    <cellStyle name="Normal 4 3 2 9" xfId="3408"/>
    <cellStyle name="Normal 4 3 2 9 2" xfId="18711"/>
    <cellStyle name="Normal 4 3 2 9 2 2" xfId="34932"/>
    <cellStyle name="Normal 4 3 2 9 3" xfId="25575"/>
    <cellStyle name="Normal 4 3 3" xfId="420"/>
    <cellStyle name="Normal 4 3 3 10" xfId="21093"/>
    <cellStyle name="Normal 4 3 3 10 2" xfId="37305"/>
    <cellStyle name="Normal 4 3 3 11" xfId="22591"/>
    <cellStyle name="Normal 4 3 3 12" xfId="39486"/>
    <cellStyle name="Normal 4 3 3 2" xfId="538"/>
    <cellStyle name="Normal 4 3 3 2 2" xfId="890"/>
    <cellStyle name="Normal 4 3 3 2 2 2" xfId="2389"/>
    <cellStyle name="Normal 4 3 3 2 2 2 2" xfId="12937"/>
    <cellStyle name="Normal 4 3 3 2 2 2 2 2" xfId="20495"/>
    <cellStyle name="Normal 4 3 3 2 2 2 2 2 2" xfId="36716"/>
    <cellStyle name="Normal 4 3 3 2 2 2 2 3" xfId="30028"/>
    <cellStyle name="Normal 4 3 3 2 2 2 3" xfId="17115"/>
    <cellStyle name="Normal 4 3 3 2 2 2 3 2" xfId="33336"/>
    <cellStyle name="Normal 4 3 3 2 2 2 4" xfId="18738"/>
    <cellStyle name="Normal 4 3 3 2 2 2 4 2" xfId="34959"/>
    <cellStyle name="Normal 4 3 3 2 2 2 5" xfId="8344"/>
    <cellStyle name="Normal 4 3 3 2 2 2 5 2" xfId="28275"/>
    <cellStyle name="Normal 4 3 3 2 2 2 6" xfId="24557"/>
    <cellStyle name="Normal 4 3 3 2 2 3" xfId="3888"/>
    <cellStyle name="Normal 4 3 3 2 2 3 2" xfId="20494"/>
    <cellStyle name="Normal 4 3 3 2 2 3 2 2" xfId="36715"/>
    <cellStyle name="Normal 4 3 3 2 2 3 3" xfId="12936"/>
    <cellStyle name="Normal 4 3 3 2 2 3 3 2" xfId="30027"/>
    <cellStyle name="Normal 4 3 3 2 2 3 4" xfId="26055"/>
    <cellStyle name="Normal 4 3 3 2 2 4" xfId="15530"/>
    <cellStyle name="Normal 4 3 3 2 2 4 2" xfId="31752"/>
    <cellStyle name="Normal 4 3 3 2 2 5" xfId="18737"/>
    <cellStyle name="Normal 4 3 3 2 2 5 2" xfId="34958"/>
    <cellStyle name="Normal 4 3 3 2 2 6" xfId="8343"/>
    <cellStyle name="Normal 4 3 3 2 2 6 2" xfId="28274"/>
    <cellStyle name="Normal 4 3 3 2 2 7" xfId="21561"/>
    <cellStyle name="Normal 4 3 3 2 2 7 2" xfId="37773"/>
    <cellStyle name="Normal 4 3 3 2 2 8" xfId="23059"/>
    <cellStyle name="Normal 4 3 3 2 3" xfId="1241"/>
    <cellStyle name="Normal 4 3 3 2 3 2" xfId="2740"/>
    <cellStyle name="Normal 4 3 3 2 3 2 2" xfId="20496"/>
    <cellStyle name="Normal 4 3 3 2 3 2 2 2" xfId="36717"/>
    <cellStyle name="Normal 4 3 3 2 3 2 3" xfId="12938"/>
    <cellStyle name="Normal 4 3 3 2 3 2 3 2" xfId="30029"/>
    <cellStyle name="Normal 4 3 3 2 3 2 4" xfId="24908"/>
    <cellStyle name="Normal 4 3 3 2 3 3" xfId="4239"/>
    <cellStyle name="Normal 4 3 3 2 3 3 2" xfId="16323"/>
    <cellStyle name="Normal 4 3 3 2 3 3 2 2" xfId="32544"/>
    <cellStyle name="Normal 4 3 3 2 3 3 3" xfId="26406"/>
    <cellStyle name="Normal 4 3 3 2 3 4" xfId="18739"/>
    <cellStyle name="Normal 4 3 3 2 3 4 2" xfId="34960"/>
    <cellStyle name="Normal 4 3 3 2 3 5" xfId="8345"/>
    <cellStyle name="Normal 4 3 3 2 3 5 2" xfId="28276"/>
    <cellStyle name="Normal 4 3 3 2 3 6" xfId="21912"/>
    <cellStyle name="Normal 4 3 3 2 3 6 2" xfId="38124"/>
    <cellStyle name="Normal 4 3 3 2 3 7" xfId="23410"/>
    <cellStyle name="Normal 4 3 3 2 4" xfId="1592"/>
    <cellStyle name="Normal 4 3 3 2 4 2" xfId="3091"/>
    <cellStyle name="Normal 4 3 3 2 4 2 2" xfId="20493"/>
    <cellStyle name="Normal 4 3 3 2 4 2 2 2" xfId="36714"/>
    <cellStyle name="Normal 4 3 3 2 4 2 3" xfId="25259"/>
    <cellStyle name="Normal 4 3 3 2 4 3" xfId="4590"/>
    <cellStyle name="Normal 4 3 3 2 4 3 2" xfId="26757"/>
    <cellStyle name="Normal 4 3 3 2 4 4" xfId="12935"/>
    <cellStyle name="Normal 4 3 3 2 4 4 2" xfId="30026"/>
    <cellStyle name="Normal 4 3 3 2 4 5" xfId="22263"/>
    <cellStyle name="Normal 4 3 3 2 4 5 2" xfId="38475"/>
    <cellStyle name="Normal 4 3 3 2 4 6" xfId="23761"/>
    <cellStyle name="Normal 4 3 3 2 5" xfId="2038"/>
    <cellStyle name="Normal 4 3 3 2 5 2" xfId="14738"/>
    <cellStyle name="Normal 4 3 3 2 5 2 2" xfId="30960"/>
    <cellStyle name="Normal 4 3 3 2 5 3" xfId="24206"/>
    <cellStyle name="Normal 4 3 3 2 6" xfId="3537"/>
    <cellStyle name="Normal 4 3 3 2 6 2" xfId="18736"/>
    <cellStyle name="Normal 4 3 3 2 6 2 2" xfId="34957"/>
    <cellStyle name="Normal 4 3 3 2 6 3" xfId="25704"/>
    <cellStyle name="Normal 4 3 3 2 7" xfId="8342"/>
    <cellStyle name="Normal 4 3 3 2 7 2" xfId="28273"/>
    <cellStyle name="Normal 4 3 3 2 8" xfId="21210"/>
    <cellStyle name="Normal 4 3 3 2 8 2" xfId="37422"/>
    <cellStyle name="Normal 4 3 3 2 9" xfId="22708"/>
    <cellStyle name="Normal 4 3 3 3" xfId="656"/>
    <cellStyle name="Normal 4 3 3 3 2" xfId="1007"/>
    <cellStyle name="Normal 4 3 3 3 2 2" xfId="2506"/>
    <cellStyle name="Normal 4 3 3 3 2 2 2" xfId="12941"/>
    <cellStyle name="Normal 4 3 3 3 2 2 2 2" xfId="20499"/>
    <cellStyle name="Normal 4 3 3 3 2 2 2 2 2" xfId="36720"/>
    <cellStyle name="Normal 4 3 3 3 2 2 2 3" xfId="30032"/>
    <cellStyle name="Normal 4 3 3 3 2 2 3" xfId="17379"/>
    <cellStyle name="Normal 4 3 3 3 2 2 3 2" xfId="33600"/>
    <cellStyle name="Normal 4 3 3 3 2 2 4" xfId="18742"/>
    <cellStyle name="Normal 4 3 3 3 2 2 4 2" xfId="34963"/>
    <cellStyle name="Normal 4 3 3 3 2 2 5" xfId="8348"/>
    <cellStyle name="Normal 4 3 3 3 2 2 5 2" xfId="28279"/>
    <cellStyle name="Normal 4 3 3 3 2 2 6" xfId="24674"/>
    <cellStyle name="Normal 4 3 3 3 2 3" xfId="4005"/>
    <cellStyle name="Normal 4 3 3 3 2 3 2" xfId="20498"/>
    <cellStyle name="Normal 4 3 3 3 2 3 2 2" xfId="36719"/>
    <cellStyle name="Normal 4 3 3 3 2 3 3" xfId="12940"/>
    <cellStyle name="Normal 4 3 3 3 2 3 3 2" xfId="30031"/>
    <cellStyle name="Normal 4 3 3 3 2 3 4" xfId="26172"/>
    <cellStyle name="Normal 4 3 3 3 2 4" xfId="15794"/>
    <cellStyle name="Normal 4 3 3 3 2 4 2" xfId="32016"/>
    <cellStyle name="Normal 4 3 3 3 2 5" xfId="18741"/>
    <cellStyle name="Normal 4 3 3 3 2 5 2" xfId="34962"/>
    <cellStyle name="Normal 4 3 3 3 2 6" xfId="8347"/>
    <cellStyle name="Normal 4 3 3 3 2 6 2" xfId="28278"/>
    <cellStyle name="Normal 4 3 3 3 2 7" xfId="21678"/>
    <cellStyle name="Normal 4 3 3 3 2 7 2" xfId="37890"/>
    <cellStyle name="Normal 4 3 3 3 2 8" xfId="23176"/>
    <cellStyle name="Normal 4 3 3 3 3" xfId="1358"/>
    <cellStyle name="Normal 4 3 3 3 3 2" xfId="2857"/>
    <cellStyle name="Normal 4 3 3 3 3 2 2" xfId="20500"/>
    <cellStyle name="Normal 4 3 3 3 3 2 2 2" xfId="36721"/>
    <cellStyle name="Normal 4 3 3 3 3 2 3" xfId="12942"/>
    <cellStyle name="Normal 4 3 3 3 3 2 3 2" xfId="30033"/>
    <cellStyle name="Normal 4 3 3 3 3 2 4" xfId="25025"/>
    <cellStyle name="Normal 4 3 3 3 3 3" xfId="4356"/>
    <cellStyle name="Normal 4 3 3 3 3 3 2" xfId="16587"/>
    <cellStyle name="Normal 4 3 3 3 3 3 2 2" xfId="32808"/>
    <cellStyle name="Normal 4 3 3 3 3 3 3" xfId="26523"/>
    <cellStyle name="Normal 4 3 3 3 3 4" xfId="18743"/>
    <cellStyle name="Normal 4 3 3 3 3 4 2" xfId="34964"/>
    <cellStyle name="Normal 4 3 3 3 3 5" xfId="8349"/>
    <cellStyle name="Normal 4 3 3 3 3 5 2" xfId="28280"/>
    <cellStyle name="Normal 4 3 3 3 3 6" xfId="22029"/>
    <cellStyle name="Normal 4 3 3 3 3 6 2" xfId="38241"/>
    <cellStyle name="Normal 4 3 3 3 3 7" xfId="23527"/>
    <cellStyle name="Normal 4 3 3 3 4" xfId="1709"/>
    <cellStyle name="Normal 4 3 3 3 4 2" xfId="3208"/>
    <cellStyle name="Normal 4 3 3 3 4 2 2" xfId="20497"/>
    <cellStyle name="Normal 4 3 3 3 4 2 2 2" xfId="36718"/>
    <cellStyle name="Normal 4 3 3 3 4 2 3" xfId="25376"/>
    <cellStyle name="Normal 4 3 3 3 4 3" xfId="4707"/>
    <cellStyle name="Normal 4 3 3 3 4 3 2" xfId="26874"/>
    <cellStyle name="Normal 4 3 3 3 4 4" xfId="12939"/>
    <cellStyle name="Normal 4 3 3 3 4 4 2" xfId="30030"/>
    <cellStyle name="Normal 4 3 3 3 4 5" xfId="22380"/>
    <cellStyle name="Normal 4 3 3 3 4 5 2" xfId="38592"/>
    <cellStyle name="Normal 4 3 3 3 4 6" xfId="23878"/>
    <cellStyle name="Normal 4 3 3 3 5" xfId="2155"/>
    <cellStyle name="Normal 4 3 3 3 5 2" xfId="15002"/>
    <cellStyle name="Normal 4 3 3 3 5 2 2" xfId="31224"/>
    <cellStyle name="Normal 4 3 3 3 5 3" xfId="24323"/>
    <cellStyle name="Normal 4 3 3 3 6" xfId="3654"/>
    <cellStyle name="Normal 4 3 3 3 6 2" xfId="18740"/>
    <cellStyle name="Normal 4 3 3 3 6 2 2" xfId="34961"/>
    <cellStyle name="Normal 4 3 3 3 6 3" xfId="25821"/>
    <cellStyle name="Normal 4 3 3 3 7" xfId="8346"/>
    <cellStyle name="Normal 4 3 3 3 7 2" xfId="28277"/>
    <cellStyle name="Normal 4 3 3 3 8" xfId="21327"/>
    <cellStyle name="Normal 4 3 3 3 8 2" xfId="37539"/>
    <cellStyle name="Normal 4 3 3 3 9" xfId="22825"/>
    <cellStyle name="Normal 4 3 3 4" xfId="773"/>
    <cellStyle name="Normal 4 3 3 4 2" xfId="2272"/>
    <cellStyle name="Normal 4 3 3 4 2 2" xfId="12944"/>
    <cellStyle name="Normal 4 3 3 4 2 2 2" xfId="20502"/>
    <cellStyle name="Normal 4 3 3 4 2 2 2 2" xfId="36723"/>
    <cellStyle name="Normal 4 3 3 4 2 2 3" xfId="30035"/>
    <cellStyle name="Normal 4 3 3 4 2 3" xfId="16851"/>
    <cellStyle name="Normal 4 3 3 4 2 3 2" xfId="33072"/>
    <cellStyle name="Normal 4 3 3 4 2 4" xfId="18745"/>
    <cellStyle name="Normal 4 3 3 4 2 4 2" xfId="34966"/>
    <cellStyle name="Normal 4 3 3 4 2 5" xfId="8351"/>
    <cellStyle name="Normal 4 3 3 4 2 5 2" xfId="28282"/>
    <cellStyle name="Normal 4 3 3 4 2 6" xfId="24440"/>
    <cellStyle name="Normal 4 3 3 4 3" xfId="3771"/>
    <cellStyle name="Normal 4 3 3 4 3 2" xfId="20501"/>
    <cellStyle name="Normal 4 3 3 4 3 2 2" xfId="36722"/>
    <cellStyle name="Normal 4 3 3 4 3 3" xfId="12943"/>
    <cellStyle name="Normal 4 3 3 4 3 3 2" xfId="30034"/>
    <cellStyle name="Normal 4 3 3 4 3 4" xfId="25938"/>
    <cellStyle name="Normal 4 3 3 4 4" xfId="15266"/>
    <cellStyle name="Normal 4 3 3 4 4 2" xfId="31488"/>
    <cellStyle name="Normal 4 3 3 4 5" xfId="18744"/>
    <cellStyle name="Normal 4 3 3 4 5 2" xfId="34965"/>
    <cellStyle name="Normal 4 3 3 4 6" xfId="8350"/>
    <cellStyle name="Normal 4 3 3 4 6 2" xfId="28281"/>
    <cellStyle name="Normal 4 3 3 4 7" xfId="21444"/>
    <cellStyle name="Normal 4 3 3 4 7 2" xfId="37656"/>
    <cellStyle name="Normal 4 3 3 4 8" xfId="22942"/>
    <cellStyle name="Normal 4 3 3 5" xfId="1124"/>
    <cellStyle name="Normal 4 3 3 5 2" xfId="2623"/>
    <cellStyle name="Normal 4 3 3 5 2 2" xfId="20503"/>
    <cellStyle name="Normal 4 3 3 5 2 2 2" xfId="36724"/>
    <cellStyle name="Normal 4 3 3 5 2 3" xfId="12945"/>
    <cellStyle name="Normal 4 3 3 5 2 3 2" xfId="30036"/>
    <cellStyle name="Normal 4 3 3 5 2 4" xfId="24791"/>
    <cellStyle name="Normal 4 3 3 5 3" xfId="4122"/>
    <cellStyle name="Normal 4 3 3 5 3 2" xfId="16059"/>
    <cellStyle name="Normal 4 3 3 5 3 2 2" xfId="32280"/>
    <cellStyle name="Normal 4 3 3 5 3 3" xfId="26289"/>
    <cellStyle name="Normal 4 3 3 5 4" xfId="18746"/>
    <cellStyle name="Normal 4 3 3 5 4 2" xfId="34967"/>
    <cellStyle name="Normal 4 3 3 5 5" xfId="8352"/>
    <cellStyle name="Normal 4 3 3 5 5 2" xfId="28283"/>
    <cellStyle name="Normal 4 3 3 5 6" xfId="21795"/>
    <cellStyle name="Normal 4 3 3 5 6 2" xfId="38007"/>
    <cellStyle name="Normal 4 3 3 5 7" xfId="23293"/>
    <cellStyle name="Normal 4 3 3 6" xfId="1475"/>
    <cellStyle name="Normal 4 3 3 6 2" xfId="2974"/>
    <cellStyle name="Normal 4 3 3 6 2 2" xfId="20492"/>
    <cellStyle name="Normal 4 3 3 6 2 2 2" xfId="36713"/>
    <cellStyle name="Normal 4 3 3 6 2 3" xfId="25142"/>
    <cellStyle name="Normal 4 3 3 6 3" xfId="4473"/>
    <cellStyle name="Normal 4 3 3 6 3 2" xfId="26640"/>
    <cellStyle name="Normal 4 3 3 6 4" xfId="12934"/>
    <cellStyle name="Normal 4 3 3 6 4 2" xfId="30025"/>
    <cellStyle name="Normal 4 3 3 6 5" xfId="22146"/>
    <cellStyle name="Normal 4 3 3 6 5 2" xfId="38358"/>
    <cellStyle name="Normal 4 3 3 6 6" xfId="23644"/>
    <cellStyle name="Normal 4 3 3 7" xfId="1921"/>
    <cellStyle name="Normal 4 3 3 7 2" xfId="14474"/>
    <cellStyle name="Normal 4 3 3 7 2 2" xfId="30696"/>
    <cellStyle name="Normal 4 3 3 7 3" xfId="24089"/>
    <cellStyle name="Normal 4 3 3 8" xfId="3420"/>
    <cellStyle name="Normal 4 3 3 8 2" xfId="18735"/>
    <cellStyle name="Normal 4 3 3 8 2 2" xfId="34956"/>
    <cellStyle name="Normal 4 3 3 8 3" xfId="25587"/>
    <cellStyle name="Normal 4 3 3 9" xfId="8341"/>
    <cellStyle name="Normal 4 3 3 9 2" xfId="28272"/>
    <cellStyle name="Normal 4 3 4" xfId="432"/>
    <cellStyle name="Normal 4 3 4 10" xfId="21105"/>
    <cellStyle name="Normal 4 3 4 10 2" xfId="37317"/>
    <cellStyle name="Normal 4 3 4 11" xfId="22603"/>
    <cellStyle name="Normal 4 3 4 2" xfId="550"/>
    <cellStyle name="Normal 4 3 4 2 2" xfId="902"/>
    <cellStyle name="Normal 4 3 4 2 2 2" xfId="2401"/>
    <cellStyle name="Normal 4 3 4 2 2 2 2" xfId="20506"/>
    <cellStyle name="Normal 4 3 4 2 2 2 2 2" xfId="36727"/>
    <cellStyle name="Normal 4 3 4 2 2 2 3" xfId="12948"/>
    <cellStyle name="Normal 4 3 4 2 2 2 3 2" xfId="30039"/>
    <cellStyle name="Normal 4 3 4 2 2 2 4" xfId="24569"/>
    <cellStyle name="Normal 4 3 4 2 2 3" xfId="3900"/>
    <cellStyle name="Normal 4 3 4 2 2 3 2" xfId="16983"/>
    <cellStyle name="Normal 4 3 4 2 2 3 2 2" xfId="33204"/>
    <cellStyle name="Normal 4 3 4 2 2 3 3" xfId="26067"/>
    <cellStyle name="Normal 4 3 4 2 2 4" xfId="18749"/>
    <cellStyle name="Normal 4 3 4 2 2 4 2" xfId="34970"/>
    <cellStyle name="Normal 4 3 4 2 2 5" xfId="8355"/>
    <cellStyle name="Normal 4 3 4 2 2 5 2" xfId="28286"/>
    <cellStyle name="Normal 4 3 4 2 2 6" xfId="21573"/>
    <cellStyle name="Normal 4 3 4 2 2 6 2" xfId="37785"/>
    <cellStyle name="Normal 4 3 4 2 2 7" xfId="23071"/>
    <cellStyle name="Normal 4 3 4 2 3" xfId="1253"/>
    <cellStyle name="Normal 4 3 4 2 3 2" xfId="2752"/>
    <cellStyle name="Normal 4 3 4 2 3 2 2" xfId="20505"/>
    <cellStyle name="Normal 4 3 4 2 3 2 2 2" xfId="36726"/>
    <cellStyle name="Normal 4 3 4 2 3 2 3" xfId="24920"/>
    <cellStyle name="Normal 4 3 4 2 3 3" xfId="4251"/>
    <cellStyle name="Normal 4 3 4 2 3 3 2" xfId="26418"/>
    <cellStyle name="Normal 4 3 4 2 3 4" xfId="12947"/>
    <cellStyle name="Normal 4 3 4 2 3 4 2" xfId="30038"/>
    <cellStyle name="Normal 4 3 4 2 3 5" xfId="21924"/>
    <cellStyle name="Normal 4 3 4 2 3 5 2" xfId="38136"/>
    <cellStyle name="Normal 4 3 4 2 3 6" xfId="23422"/>
    <cellStyle name="Normal 4 3 4 2 4" xfId="1604"/>
    <cellStyle name="Normal 4 3 4 2 4 2" xfId="3103"/>
    <cellStyle name="Normal 4 3 4 2 4 2 2" xfId="25271"/>
    <cellStyle name="Normal 4 3 4 2 4 3" xfId="4602"/>
    <cellStyle name="Normal 4 3 4 2 4 3 2" xfId="26769"/>
    <cellStyle name="Normal 4 3 4 2 4 4" xfId="15398"/>
    <cellStyle name="Normal 4 3 4 2 4 4 2" xfId="31620"/>
    <cellStyle name="Normal 4 3 4 2 4 5" xfId="22275"/>
    <cellStyle name="Normal 4 3 4 2 4 5 2" xfId="38487"/>
    <cellStyle name="Normal 4 3 4 2 4 6" xfId="23773"/>
    <cellStyle name="Normal 4 3 4 2 5" xfId="2050"/>
    <cellStyle name="Normal 4 3 4 2 5 2" xfId="18748"/>
    <cellStyle name="Normal 4 3 4 2 5 2 2" xfId="34969"/>
    <cellStyle name="Normal 4 3 4 2 5 3" xfId="24218"/>
    <cellStyle name="Normal 4 3 4 2 6" xfId="3549"/>
    <cellStyle name="Normal 4 3 4 2 6 2" xfId="25716"/>
    <cellStyle name="Normal 4 3 4 2 7" xfId="8354"/>
    <cellStyle name="Normal 4 3 4 2 7 2" xfId="28285"/>
    <cellStyle name="Normal 4 3 4 2 8" xfId="21222"/>
    <cellStyle name="Normal 4 3 4 2 8 2" xfId="37434"/>
    <cellStyle name="Normal 4 3 4 2 9" xfId="22720"/>
    <cellStyle name="Normal 4 3 4 3" xfId="668"/>
    <cellStyle name="Normal 4 3 4 3 2" xfId="1019"/>
    <cellStyle name="Normal 4 3 4 3 2 2" xfId="2518"/>
    <cellStyle name="Normal 4 3 4 3 2 2 2" xfId="20507"/>
    <cellStyle name="Normal 4 3 4 3 2 2 2 2" xfId="36728"/>
    <cellStyle name="Normal 4 3 4 3 2 2 3" xfId="24686"/>
    <cellStyle name="Normal 4 3 4 3 2 3" xfId="4017"/>
    <cellStyle name="Normal 4 3 4 3 2 3 2" xfId="26184"/>
    <cellStyle name="Normal 4 3 4 3 2 4" xfId="12949"/>
    <cellStyle name="Normal 4 3 4 3 2 4 2" xfId="30040"/>
    <cellStyle name="Normal 4 3 4 3 2 5" xfId="21690"/>
    <cellStyle name="Normal 4 3 4 3 2 5 2" xfId="37902"/>
    <cellStyle name="Normal 4 3 4 3 2 6" xfId="23188"/>
    <cellStyle name="Normal 4 3 4 3 3" xfId="1370"/>
    <cellStyle name="Normal 4 3 4 3 3 2" xfId="2869"/>
    <cellStyle name="Normal 4 3 4 3 3 2 2" xfId="25037"/>
    <cellStyle name="Normal 4 3 4 3 3 3" xfId="4368"/>
    <cellStyle name="Normal 4 3 4 3 3 3 2" xfId="26535"/>
    <cellStyle name="Normal 4 3 4 3 3 4" xfId="16191"/>
    <cellStyle name="Normal 4 3 4 3 3 4 2" xfId="32412"/>
    <cellStyle name="Normal 4 3 4 3 3 5" xfId="22041"/>
    <cellStyle name="Normal 4 3 4 3 3 5 2" xfId="38253"/>
    <cellStyle name="Normal 4 3 4 3 3 6" xfId="23539"/>
    <cellStyle name="Normal 4 3 4 3 4" xfId="1721"/>
    <cellStyle name="Normal 4 3 4 3 4 2" xfId="3220"/>
    <cellStyle name="Normal 4 3 4 3 4 2 2" xfId="25388"/>
    <cellStyle name="Normal 4 3 4 3 4 3" xfId="4719"/>
    <cellStyle name="Normal 4 3 4 3 4 3 2" xfId="26886"/>
    <cellStyle name="Normal 4 3 4 3 4 4" xfId="18750"/>
    <cellStyle name="Normal 4 3 4 3 4 4 2" xfId="34971"/>
    <cellStyle name="Normal 4 3 4 3 4 5" xfId="22392"/>
    <cellStyle name="Normal 4 3 4 3 4 5 2" xfId="38604"/>
    <cellStyle name="Normal 4 3 4 3 4 6" xfId="23890"/>
    <cellStyle name="Normal 4 3 4 3 5" xfId="2167"/>
    <cellStyle name="Normal 4 3 4 3 5 2" xfId="24335"/>
    <cellStyle name="Normal 4 3 4 3 6" xfId="3666"/>
    <cellStyle name="Normal 4 3 4 3 6 2" xfId="25833"/>
    <cellStyle name="Normal 4 3 4 3 7" xfId="8356"/>
    <cellStyle name="Normal 4 3 4 3 7 2" xfId="28287"/>
    <cellStyle name="Normal 4 3 4 3 8" xfId="21339"/>
    <cellStyle name="Normal 4 3 4 3 8 2" xfId="37551"/>
    <cellStyle name="Normal 4 3 4 3 9" xfId="22837"/>
    <cellStyle name="Normal 4 3 4 4" xfId="785"/>
    <cellStyle name="Normal 4 3 4 4 2" xfId="2284"/>
    <cellStyle name="Normal 4 3 4 4 2 2" xfId="20504"/>
    <cellStyle name="Normal 4 3 4 4 2 2 2" xfId="36725"/>
    <cellStyle name="Normal 4 3 4 4 2 3" xfId="24452"/>
    <cellStyle name="Normal 4 3 4 4 3" xfId="3783"/>
    <cellStyle name="Normal 4 3 4 4 3 2" xfId="25950"/>
    <cellStyle name="Normal 4 3 4 4 4" xfId="12946"/>
    <cellStyle name="Normal 4 3 4 4 4 2" xfId="30037"/>
    <cellStyle name="Normal 4 3 4 4 5" xfId="21456"/>
    <cellStyle name="Normal 4 3 4 4 5 2" xfId="37668"/>
    <cellStyle name="Normal 4 3 4 4 6" xfId="22954"/>
    <cellStyle name="Normal 4 3 4 5" xfId="1136"/>
    <cellStyle name="Normal 4 3 4 5 2" xfId="2635"/>
    <cellStyle name="Normal 4 3 4 5 2 2" xfId="24803"/>
    <cellStyle name="Normal 4 3 4 5 3" xfId="4134"/>
    <cellStyle name="Normal 4 3 4 5 3 2" xfId="26301"/>
    <cellStyle name="Normal 4 3 4 5 4" xfId="14606"/>
    <cellStyle name="Normal 4 3 4 5 4 2" xfId="30828"/>
    <cellStyle name="Normal 4 3 4 5 5" xfId="21807"/>
    <cellStyle name="Normal 4 3 4 5 5 2" xfId="38019"/>
    <cellStyle name="Normal 4 3 4 5 6" xfId="23305"/>
    <cellStyle name="Normal 4 3 4 6" xfId="1487"/>
    <cellStyle name="Normal 4 3 4 6 2" xfId="2986"/>
    <cellStyle name="Normal 4 3 4 6 2 2" xfId="25154"/>
    <cellStyle name="Normal 4 3 4 6 3" xfId="4485"/>
    <cellStyle name="Normal 4 3 4 6 3 2" xfId="26652"/>
    <cellStyle name="Normal 4 3 4 6 4" xfId="18747"/>
    <cellStyle name="Normal 4 3 4 6 4 2" xfId="34968"/>
    <cellStyle name="Normal 4 3 4 6 5" xfId="22158"/>
    <cellStyle name="Normal 4 3 4 6 5 2" xfId="38370"/>
    <cellStyle name="Normal 4 3 4 6 6" xfId="23656"/>
    <cellStyle name="Normal 4 3 4 7" xfId="1933"/>
    <cellStyle name="Normal 4 3 4 7 2" xfId="24101"/>
    <cellStyle name="Normal 4 3 4 8" xfId="3432"/>
    <cellStyle name="Normal 4 3 4 8 2" xfId="25599"/>
    <cellStyle name="Normal 4 3 4 9" xfId="8353"/>
    <cellStyle name="Normal 4 3 4 9 2" xfId="28284"/>
    <cellStyle name="Normal 4 3 5" xfId="448"/>
    <cellStyle name="Normal 4 3 5 10" xfId="21121"/>
    <cellStyle name="Normal 4 3 5 10 2" xfId="37333"/>
    <cellStyle name="Normal 4 3 5 11" xfId="22619"/>
    <cellStyle name="Normal 4 3 5 2" xfId="566"/>
    <cellStyle name="Normal 4 3 5 2 2" xfId="918"/>
    <cellStyle name="Normal 4 3 5 2 2 2" xfId="2417"/>
    <cellStyle name="Normal 4 3 5 2 2 2 2" xfId="20510"/>
    <cellStyle name="Normal 4 3 5 2 2 2 2 2" xfId="36731"/>
    <cellStyle name="Normal 4 3 5 2 2 2 3" xfId="12952"/>
    <cellStyle name="Normal 4 3 5 2 2 2 3 2" xfId="30043"/>
    <cellStyle name="Normal 4 3 5 2 2 2 4" xfId="24585"/>
    <cellStyle name="Normal 4 3 5 2 2 3" xfId="3916"/>
    <cellStyle name="Normal 4 3 5 2 2 3 2" xfId="17247"/>
    <cellStyle name="Normal 4 3 5 2 2 3 2 2" xfId="33468"/>
    <cellStyle name="Normal 4 3 5 2 2 3 3" xfId="26083"/>
    <cellStyle name="Normal 4 3 5 2 2 4" xfId="18753"/>
    <cellStyle name="Normal 4 3 5 2 2 4 2" xfId="34974"/>
    <cellStyle name="Normal 4 3 5 2 2 5" xfId="8359"/>
    <cellStyle name="Normal 4 3 5 2 2 5 2" xfId="28290"/>
    <cellStyle name="Normal 4 3 5 2 2 6" xfId="21589"/>
    <cellStyle name="Normal 4 3 5 2 2 6 2" xfId="37801"/>
    <cellStyle name="Normal 4 3 5 2 2 7" xfId="23087"/>
    <cellStyle name="Normal 4 3 5 2 3" xfId="1269"/>
    <cellStyle name="Normal 4 3 5 2 3 2" xfId="2768"/>
    <cellStyle name="Normal 4 3 5 2 3 2 2" xfId="20509"/>
    <cellStyle name="Normal 4 3 5 2 3 2 2 2" xfId="36730"/>
    <cellStyle name="Normal 4 3 5 2 3 2 3" xfId="24936"/>
    <cellStyle name="Normal 4 3 5 2 3 3" xfId="4267"/>
    <cellStyle name="Normal 4 3 5 2 3 3 2" xfId="26434"/>
    <cellStyle name="Normal 4 3 5 2 3 4" xfId="12951"/>
    <cellStyle name="Normal 4 3 5 2 3 4 2" xfId="30042"/>
    <cellStyle name="Normal 4 3 5 2 3 5" xfId="21940"/>
    <cellStyle name="Normal 4 3 5 2 3 5 2" xfId="38152"/>
    <cellStyle name="Normal 4 3 5 2 3 6" xfId="23438"/>
    <cellStyle name="Normal 4 3 5 2 4" xfId="1620"/>
    <cellStyle name="Normal 4 3 5 2 4 2" xfId="3119"/>
    <cellStyle name="Normal 4 3 5 2 4 2 2" xfId="25287"/>
    <cellStyle name="Normal 4 3 5 2 4 3" xfId="4618"/>
    <cellStyle name="Normal 4 3 5 2 4 3 2" xfId="26785"/>
    <cellStyle name="Normal 4 3 5 2 4 4" xfId="15662"/>
    <cellStyle name="Normal 4 3 5 2 4 4 2" xfId="31884"/>
    <cellStyle name="Normal 4 3 5 2 4 5" xfId="22291"/>
    <cellStyle name="Normal 4 3 5 2 4 5 2" xfId="38503"/>
    <cellStyle name="Normal 4 3 5 2 4 6" xfId="23789"/>
    <cellStyle name="Normal 4 3 5 2 5" xfId="2066"/>
    <cellStyle name="Normal 4 3 5 2 5 2" xfId="18752"/>
    <cellStyle name="Normal 4 3 5 2 5 2 2" xfId="34973"/>
    <cellStyle name="Normal 4 3 5 2 5 3" xfId="24234"/>
    <cellStyle name="Normal 4 3 5 2 6" xfId="3565"/>
    <cellStyle name="Normal 4 3 5 2 6 2" xfId="25732"/>
    <cellStyle name="Normal 4 3 5 2 7" xfId="8358"/>
    <cellStyle name="Normal 4 3 5 2 7 2" xfId="28289"/>
    <cellStyle name="Normal 4 3 5 2 8" xfId="21238"/>
    <cellStyle name="Normal 4 3 5 2 8 2" xfId="37450"/>
    <cellStyle name="Normal 4 3 5 2 9" xfId="22736"/>
    <cellStyle name="Normal 4 3 5 3" xfId="684"/>
    <cellStyle name="Normal 4 3 5 3 2" xfId="1035"/>
    <cellStyle name="Normal 4 3 5 3 2 2" xfId="2534"/>
    <cellStyle name="Normal 4 3 5 3 2 2 2" xfId="20511"/>
    <cellStyle name="Normal 4 3 5 3 2 2 2 2" xfId="36732"/>
    <cellStyle name="Normal 4 3 5 3 2 2 3" xfId="24702"/>
    <cellStyle name="Normal 4 3 5 3 2 3" xfId="4033"/>
    <cellStyle name="Normal 4 3 5 3 2 3 2" xfId="26200"/>
    <cellStyle name="Normal 4 3 5 3 2 4" xfId="12953"/>
    <cellStyle name="Normal 4 3 5 3 2 4 2" xfId="30044"/>
    <cellStyle name="Normal 4 3 5 3 2 5" xfId="21706"/>
    <cellStyle name="Normal 4 3 5 3 2 5 2" xfId="37918"/>
    <cellStyle name="Normal 4 3 5 3 2 6" xfId="23204"/>
    <cellStyle name="Normal 4 3 5 3 3" xfId="1386"/>
    <cellStyle name="Normal 4 3 5 3 3 2" xfId="2885"/>
    <cellStyle name="Normal 4 3 5 3 3 2 2" xfId="25053"/>
    <cellStyle name="Normal 4 3 5 3 3 3" xfId="4384"/>
    <cellStyle name="Normal 4 3 5 3 3 3 2" xfId="26551"/>
    <cellStyle name="Normal 4 3 5 3 3 4" xfId="16455"/>
    <cellStyle name="Normal 4 3 5 3 3 4 2" xfId="32676"/>
    <cellStyle name="Normal 4 3 5 3 3 5" xfId="22057"/>
    <cellStyle name="Normal 4 3 5 3 3 5 2" xfId="38269"/>
    <cellStyle name="Normal 4 3 5 3 3 6" xfId="23555"/>
    <cellStyle name="Normal 4 3 5 3 4" xfId="1737"/>
    <cellStyle name="Normal 4 3 5 3 4 2" xfId="3236"/>
    <cellStyle name="Normal 4 3 5 3 4 2 2" xfId="25404"/>
    <cellStyle name="Normal 4 3 5 3 4 3" xfId="4735"/>
    <cellStyle name="Normal 4 3 5 3 4 3 2" xfId="26902"/>
    <cellStyle name="Normal 4 3 5 3 4 4" xfId="18754"/>
    <cellStyle name="Normal 4 3 5 3 4 4 2" xfId="34975"/>
    <cellStyle name="Normal 4 3 5 3 4 5" xfId="22408"/>
    <cellStyle name="Normal 4 3 5 3 4 5 2" xfId="38620"/>
    <cellStyle name="Normal 4 3 5 3 4 6" xfId="23906"/>
    <cellStyle name="Normal 4 3 5 3 5" xfId="2183"/>
    <cellStyle name="Normal 4 3 5 3 5 2" xfId="24351"/>
    <cellStyle name="Normal 4 3 5 3 6" xfId="3682"/>
    <cellStyle name="Normal 4 3 5 3 6 2" xfId="25849"/>
    <cellStyle name="Normal 4 3 5 3 7" xfId="8360"/>
    <cellStyle name="Normal 4 3 5 3 7 2" xfId="28291"/>
    <cellStyle name="Normal 4 3 5 3 8" xfId="21355"/>
    <cellStyle name="Normal 4 3 5 3 8 2" xfId="37567"/>
    <cellStyle name="Normal 4 3 5 3 9" xfId="22853"/>
    <cellStyle name="Normal 4 3 5 4" xfId="801"/>
    <cellStyle name="Normal 4 3 5 4 2" xfId="2300"/>
    <cellStyle name="Normal 4 3 5 4 2 2" xfId="20508"/>
    <cellStyle name="Normal 4 3 5 4 2 2 2" xfId="36729"/>
    <cellStyle name="Normal 4 3 5 4 2 3" xfId="24468"/>
    <cellStyle name="Normal 4 3 5 4 3" xfId="3799"/>
    <cellStyle name="Normal 4 3 5 4 3 2" xfId="25966"/>
    <cellStyle name="Normal 4 3 5 4 4" xfId="12950"/>
    <cellStyle name="Normal 4 3 5 4 4 2" xfId="30041"/>
    <cellStyle name="Normal 4 3 5 4 5" xfId="21472"/>
    <cellStyle name="Normal 4 3 5 4 5 2" xfId="37684"/>
    <cellStyle name="Normal 4 3 5 4 6" xfId="22970"/>
    <cellStyle name="Normal 4 3 5 5" xfId="1152"/>
    <cellStyle name="Normal 4 3 5 5 2" xfId="2651"/>
    <cellStyle name="Normal 4 3 5 5 2 2" xfId="24819"/>
    <cellStyle name="Normal 4 3 5 5 3" xfId="4150"/>
    <cellStyle name="Normal 4 3 5 5 3 2" xfId="26317"/>
    <cellStyle name="Normal 4 3 5 5 4" xfId="14870"/>
    <cellStyle name="Normal 4 3 5 5 4 2" xfId="31092"/>
    <cellStyle name="Normal 4 3 5 5 5" xfId="21823"/>
    <cellStyle name="Normal 4 3 5 5 5 2" xfId="38035"/>
    <cellStyle name="Normal 4 3 5 5 6" xfId="23321"/>
    <cellStyle name="Normal 4 3 5 6" xfId="1503"/>
    <cellStyle name="Normal 4 3 5 6 2" xfId="3002"/>
    <cellStyle name="Normal 4 3 5 6 2 2" xfId="25170"/>
    <cellStyle name="Normal 4 3 5 6 3" xfId="4501"/>
    <cellStyle name="Normal 4 3 5 6 3 2" xfId="26668"/>
    <cellStyle name="Normal 4 3 5 6 4" xfId="18751"/>
    <cellStyle name="Normal 4 3 5 6 4 2" xfId="34972"/>
    <cellStyle name="Normal 4 3 5 6 5" xfId="22174"/>
    <cellStyle name="Normal 4 3 5 6 5 2" xfId="38386"/>
    <cellStyle name="Normal 4 3 5 6 6" xfId="23672"/>
    <cellStyle name="Normal 4 3 5 7" xfId="1949"/>
    <cellStyle name="Normal 4 3 5 7 2" xfId="24117"/>
    <cellStyle name="Normal 4 3 5 8" xfId="3448"/>
    <cellStyle name="Normal 4 3 5 8 2" xfId="25615"/>
    <cellStyle name="Normal 4 3 5 9" xfId="8357"/>
    <cellStyle name="Normal 4 3 5 9 2" xfId="28288"/>
    <cellStyle name="Normal 4 3 6" xfId="474"/>
    <cellStyle name="Normal 4 3 6 10" xfId="21147"/>
    <cellStyle name="Normal 4 3 6 10 2" xfId="37359"/>
    <cellStyle name="Normal 4 3 6 11" xfId="22645"/>
    <cellStyle name="Normal 4 3 6 2" xfId="592"/>
    <cellStyle name="Normal 4 3 6 2 2" xfId="944"/>
    <cellStyle name="Normal 4 3 6 2 2 2" xfId="2443"/>
    <cellStyle name="Normal 4 3 6 2 2 2 2" xfId="20513"/>
    <cellStyle name="Normal 4 3 6 2 2 2 2 2" xfId="36734"/>
    <cellStyle name="Normal 4 3 6 2 2 2 3" xfId="24611"/>
    <cellStyle name="Normal 4 3 6 2 2 3" xfId="3942"/>
    <cellStyle name="Normal 4 3 6 2 2 3 2" xfId="26109"/>
    <cellStyle name="Normal 4 3 6 2 2 4" xfId="12955"/>
    <cellStyle name="Normal 4 3 6 2 2 4 2" xfId="30046"/>
    <cellStyle name="Normal 4 3 6 2 2 5" xfId="21615"/>
    <cellStyle name="Normal 4 3 6 2 2 5 2" xfId="37827"/>
    <cellStyle name="Normal 4 3 6 2 2 6" xfId="23113"/>
    <cellStyle name="Normal 4 3 6 2 3" xfId="1295"/>
    <cellStyle name="Normal 4 3 6 2 3 2" xfId="2794"/>
    <cellStyle name="Normal 4 3 6 2 3 2 2" xfId="24962"/>
    <cellStyle name="Normal 4 3 6 2 3 3" xfId="4293"/>
    <cellStyle name="Normal 4 3 6 2 3 3 2" xfId="26460"/>
    <cellStyle name="Normal 4 3 6 2 3 4" xfId="16719"/>
    <cellStyle name="Normal 4 3 6 2 3 4 2" xfId="32940"/>
    <cellStyle name="Normal 4 3 6 2 3 5" xfId="21966"/>
    <cellStyle name="Normal 4 3 6 2 3 5 2" xfId="38178"/>
    <cellStyle name="Normal 4 3 6 2 3 6" xfId="23464"/>
    <cellStyle name="Normal 4 3 6 2 4" xfId="1646"/>
    <cellStyle name="Normal 4 3 6 2 4 2" xfId="3145"/>
    <cellStyle name="Normal 4 3 6 2 4 2 2" xfId="25313"/>
    <cellStyle name="Normal 4 3 6 2 4 3" xfId="4644"/>
    <cellStyle name="Normal 4 3 6 2 4 3 2" xfId="26811"/>
    <cellStyle name="Normal 4 3 6 2 4 4" xfId="18756"/>
    <cellStyle name="Normal 4 3 6 2 4 4 2" xfId="34977"/>
    <cellStyle name="Normal 4 3 6 2 4 5" xfId="22317"/>
    <cellStyle name="Normal 4 3 6 2 4 5 2" xfId="38529"/>
    <cellStyle name="Normal 4 3 6 2 4 6" xfId="23815"/>
    <cellStyle name="Normal 4 3 6 2 5" xfId="2092"/>
    <cellStyle name="Normal 4 3 6 2 5 2" xfId="24260"/>
    <cellStyle name="Normal 4 3 6 2 6" xfId="3591"/>
    <cellStyle name="Normal 4 3 6 2 6 2" xfId="25758"/>
    <cellStyle name="Normal 4 3 6 2 7" xfId="8362"/>
    <cellStyle name="Normal 4 3 6 2 7 2" xfId="28293"/>
    <cellStyle name="Normal 4 3 6 2 8" xfId="21264"/>
    <cellStyle name="Normal 4 3 6 2 8 2" xfId="37476"/>
    <cellStyle name="Normal 4 3 6 2 9" xfId="22762"/>
    <cellStyle name="Normal 4 3 6 3" xfId="710"/>
    <cellStyle name="Normal 4 3 6 3 2" xfId="1061"/>
    <cellStyle name="Normal 4 3 6 3 2 2" xfId="2560"/>
    <cellStyle name="Normal 4 3 6 3 2 2 2" xfId="24728"/>
    <cellStyle name="Normal 4 3 6 3 2 3" xfId="4059"/>
    <cellStyle name="Normal 4 3 6 3 2 3 2" xfId="26226"/>
    <cellStyle name="Normal 4 3 6 3 2 4" xfId="20512"/>
    <cellStyle name="Normal 4 3 6 3 2 4 2" xfId="36733"/>
    <cellStyle name="Normal 4 3 6 3 2 5" xfId="21732"/>
    <cellStyle name="Normal 4 3 6 3 2 5 2" xfId="37944"/>
    <cellStyle name="Normal 4 3 6 3 2 6" xfId="23230"/>
    <cellStyle name="Normal 4 3 6 3 3" xfId="1412"/>
    <cellStyle name="Normal 4 3 6 3 3 2" xfId="2911"/>
    <cellStyle name="Normal 4 3 6 3 3 2 2" xfId="25079"/>
    <cellStyle name="Normal 4 3 6 3 3 3" xfId="4410"/>
    <cellStyle name="Normal 4 3 6 3 3 3 2" xfId="26577"/>
    <cellStyle name="Normal 4 3 6 3 3 4" xfId="22083"/>
    <cellStyle name="Normal 4 3 6 3 3 4 2" xfId="38295"/>
    <cellStyle name="Normal 4 3 6 3 3 5" xfId="23581"/>
    <cellStyle name="Normal 4 3 6 3 4" xfId="1763"/>
    <cellStyle name="Normal 4 3 6 3 4 2" xfId="3262"/>
    <cellStyle name="Normal 4 3 6 3 4 2 2" xfId="25430"/>
    <cellStyle name="Normal 4 3 6 3 4 3" xfId="4761"/>
    <cellStyle name="Normal 4 3 6 3 4 3 2" xfId="26928"/>
    <cellStyle name="Normal 4 3 6 3 4 4" xfId="22434"/>
    <cellStyle name="Normal 4 3 6 3 4 4 2" xfId="38646"/>
    <cellStyle name="Normal 4 3 6 3 4 5" xfId="23932"/>
    <cellStyle name="Normal 4 3 6 3 5" xfId="2209"/>
    <cellStyle name="Normal 4 3 6 3 5 2" xfId="24377"/>
    <cellStyle name="Normal 4 3 6 3 6" xfId="3708"/>
    <cellStyle name="Normal 4 3 6 3 6 2" xfId="25875"/>
    <cellStyle name="Normal 4 3 6 3 7" xfId="12954"/>
    <cellStyle name="Normal 4 3 6 3 7 2" xfId="30045"/>
    <cellStyle name="Normal 4 3 6 3 8" xfId="21381"/>
    <cellStyle name="Normal 4 3 6 3 8 2" xfId="37593"/>
    <cellStyle name="Normal 4 3 6 3 9" xfId="22879"/>
    <cellStyle name="Normal 4 3 6 4" xfId="827"/>
    <cellStyle name="Normal 4 3 6 4 2" xfId="2326"/>
    <cellStyle name="Normal 4 3 6 4 2 2" xfId="24494"/>
    <cellStyle name="Normal 4 3 6 4 3" xfId="3825"/>
    <cellStyle name="Normal 4 3 6 4 3 2" xfId="25992"/>
    <cellStyle name="Normal 4 3 6 4 4" xfId="15134"/>
    <cellStyle name="Normal 4 3 6 4 4 2" xfId="31356"/>
    <cellStyle name="Normal 4 3 6 4 5" xfId="21498"/>
    <cellStyle name="Normal 4 3 6 4 5 2" xfId="37710"/>
    <cellStyle name="Normal 4 3 6 4 6" xfId="22996"/>
    <cellStyle name="Normal 4 3 6 5" xfId="1178"/>
    <cellStyle name="Normal 4 3 6 5 2" xfId="2677"/>
    <cellStyle name="Normal 4 3 6 5 2 2" xfId="24845"/>
    <cellStyle name="Normal 4 3 6 5 3" xfId="4176"/>
    <cellStyle name="Normal 4 3 6 5 3 2" xfId="26343"/>
    <cellStyle name="Normal 4 3 6 5 4" xfId="18755"/>
    <cellStyle name="Normal 4 3 6 5 4 2" xfId="34976"/>
    <cellStyle name="Normal 4 3 6 5 5" xfId="21849"/>
    <cellStyle name="Normal 4 3 6 5 5 2" xfId="38061"/>
    <cellStyle name="Normal 4 3 6 5 6" xfId="23347"/>
    <cellStyle name="Normal 4 3 6 6" xfId="1529"/>
    <cellStyle name="Normal 4 3 6 6 2" xfId="3028"/>
    <cellStyle name="Normal 4 3 6 6 2 2" xfId="25196"/>
    <cellStyle name="Normal 4 3 6 6 3" xfId="4527"/>
    <cellStyle name="Normal 4 3 6 6 3 2" xfId="26694"/>
    <cellStyle name="Normal 4 3 6 6 4" xfId="22200"/>
    <cellStyle name="Normal 4 3 6 6 4 2" xfId="38412"/>
    <cellStyle name="Normal 4 3 6 6 5" xfId="23698"/>
    <cellStyle name="Normal 4 3 6 7" xfId="1975"/>
    <cellStyle name="Normal 4 3 6 7 2" xfId="24143"/>
    <cellStyle name="Normal 4 3 6 8" xfId="3474"/>
    <cellStyle name="Normal 4 3 6 8 2" xfId="25641"/>
    <cellStyle name="Normal 4 3 6 9" xfId="8361"/>
    <cellStyle name="Normal 4 3 6 9 2" xfId="28292"/>
    <cellStyle name="Normal 4 3 7" xfId="487"/>
    <cellStyle name="Normal 4 3 7 10" xfId="21160"/>
    <cellStyle name="Normal 4 3 7 10 2" xfId="37372"/>
    <cellStyle name="Normal 4 3 7 11" xfId="22658"/>
    <cellStyle name="Normal 4 3 7 2" xfId="605"/>
    <cellStyle name="Normal 4 3 7 2 2" xfId="957"/>
    <cellStyle name="Normal 4 3 7 2 2 2" xfId="2456"/>
    <cellStyle name="Normal 4 3 7 2 2 2 2" xfId="24624"/>
    <cellStyle name="Normal 4 3 7 2 2 3" xfId="3955"/>
    <cellStyle name="Normal 4 3 7 2 2 3 2" xfId="26122"/>
    <cellStyle name="Normal 4 3 7 2 2 4" xfId="20514"/>
    <cellStyle name="Normal 4 3 7 2 2 4 2" xfId="36735"/>
    <cellStyle name="Normal 4 3 7 2 2 5" xfId="21628"/>
    <cellStyle name="Normal 4 3 7 2 2 5 2" xfId="37840"/>
    <cellStyle name="Normal 4 3 7 2 2 6" xfId="23126"/>
    <cellStyle name="Normal 4 3 7 2 3" xfId="1308"/>
    <cellStyle name="Normal 4 3 7 2 3 2" xfId="2807"/>
    <cellStyle name="Normal 4 3 7 2 3 2 2" xfId="24975"/>
    <cellStyle name="Normal 4 3 7 2 3 3" xfId="4306"/>
    <cellStyle name="Normal 4 3 7 2 3 3 2" xfId="26473"/>
    <cellStyle name="Normal 4 3 7 2 3 4" xfId="21979"/>
    <cellStyle name="Normal 4 3 7 2 3 4 2" xfId="38191"/>
    <cellStyle name="Normal 4 3 7 2 3 5" xfId="23477"/>
    <cellStyle name="Normal 4 3 7 2 4" xfId="1659"/>
    <cellStyle name="Normal 4 3 7 2 4 2" xfId="3158"/>
    <cellStyle name="Normal 4 3 7 2 4 2 2" xfId="25326"/>
    <cellStyle name="Normal 4 3 7 2 4 3" xfId="4657"/>
    <cellStyle name="Normal 4 3 7 2 4 3 2" xfId="26824"/>
    <cellStyle name="Normal 4 3 7 2 4 4" xfId="22330"/>
    <cellStyle name="Normal 4 3 7 2 4 4 2" xfId="38542"/>
    <cellStyle name="Normal 4 3 7 2 4 5" xfId="23828"/>
    <cellStyle name="Normal 4 3 7 2 5" xfId="2105"/>
    <cellStyle name="Normal 4 3 7 2 5 2" xfId="24273"/>
    <cellStyle name="Normal 4 3 7 2 6" xfId="3604"/>
    <cellStyle name="Normal 4 3 7 2 6 2" xfId="25771"/>
    <cellStyle name="Normal 4 3 7 2 7" xfId="12956"/>
    <cellStyle name="Normal 4 3 7 2 7 2" xfId="30047"/>
    <cellStyle name="Normal 4 3 7 2 8" xfId="21277"/>
    <cellStyle name="Normal 4 3 7 2 8 2" xfId="37489"/>
    <cellStyle name="Normal 4 3 7 2 9" xfId="22775"/>
    <cellStyle name="Normal 4 3 7 3" xfId="723"/>
    <cellStyle name="Normal 4 3 7 3 2" xfId="1074"/>
    <cellStyle name="Normal 4 3 7 3 2 2" xfId="2573"/>
    <cellStyle name="Normal 4 3 7 3 2 2 2" xfId="24741"/>
    <cellStyle name="Normal 4 3 7 3 2 3" xfId="4072"/>
    <cellStyle name="Normal 4 3 7 3 2 3 2" xfId="26239"/>
    <cellStyle name="Normal 4 3 7 3 2 4" xfId="21745"/>
    <cellStyle name="Normal 4 3 7 3 2 4 2" xfId="37957"/>
    <cellStyle name="Normal 4 3 7 3 2 5" xfId="23243"/>
    <cellStyle name="Normal 4 3 7 3 3" xfId="1425"/>
    <cellStyle name="Normal 4 3 7 3 3 2" xfId="2924"/>
    <cellStyle name="Normal 4 3 7 3 3 2 2" xfId="25092"/>
    <cellStyle name="Normal 4 3 7 3 3 3" xfId="4423"/>
    <cellStyle name="Normal 4 3 7 3 3 3 2" xfId="26590"/>
    <cellStyle name="Normal 4 3 7 3 3 4" xfId="22096"/>
    <cellStyle name="Normal 4 3 7 3 3 4 2" xfId="38308"/>
    <cellStyle name="Normal 4 3 7 3 3 5" xfId="23594"/>
    <cellStyle name="Normal 4 3 7 3 4" xfId="1776"/>
    <cellStyle name="Normal 4 3 7 3 4 2" xfId="3275"/>
    <cellStyle name="Normal 4 3 7 3 4 2 2" xfId="25443"/>
    <cellStyle name="Normal 4 3 7 3 4 3" xfId="4774"/>
    <cellStyle name="Normal 4 3 7 3 4 3 2" xfId="26941"/>
    <cellStyle name="Normal 4 3 7 3 4 4" xfId="22447"/>
    <cellStyle name="Normal 4 3 7 3 4 4 2" xfId="38659"/>
    <cellStyle name="Normal 4 3 7 3 4 5" xfId="23945"/>
    <cellStyle name="Normal 4 3 7 3 5" xfId="2222"/>
    <cellStyle name="Normal 4 3 7 3 5 2" xfId="24390"/>
    <cellStyle name="Normal 4 3 7 3 6" xfId="3721"/>
    <cellStyle name="Normal 4 3 7 3 6 2" xfId="25888"/>
    <cellStyle name="Normal 4 3 7 3 7" xfId="15927"/>
    <cellStyle name="Normal 4 3 7 3 7 2" xfId="32148"/>
    <cellStyle name="Normal 4 3 7 3 8" xfId="21394"/>
    <cellStyle name="Normal 4 3 7 3 8 2" xfId="37606"/>
    <cellStyle name="Normal 4 3 7 3 9" xfId="22892"/>
    <cellStyle name="Normal 4 3 7 4" xfId="840"/>
    <cellStyle name="Normal 4 3 7 4 2" xfId="2339"/>
    <cellStyle name="Normal 4 3 7 4 2 2" xfId="24507"/>
    <cellStyle name="Normal 4 3 7 4 3" xfId="3838"/>
    <cellStyle name="Normal 4 3 7 4 3 2" xfId="26005"/>
    <cellStyle name="Normal 4 3 7 4 4" xfId="18757"/>
    <cellStyle name="Normal 4 3 7 4 4 2" xfId="34978"/>
    <cellStyle name="Normal 4 3 7 4 5" xfId="21511"/>
    <cellStyle name="Normal 4 3 7 4 5 2" xfId="37723"/>
    <cellStyle name="Normal 4 3 7 4 6" xfId="23009"/>
    <cellStyle name="Normal 4 3 7 5" xfId="1191"/>
    <cellStyle name="Normal 4 3 7 5 2" xfId="2690"/>
    <cellStyle name="Normal 4 3 7 5 2 2" xfId="24858"/>
    <cellStyle name="Normal 4 3 7 5 3" xfId="4189"/>
    <cellStyle name="Normal 4 3 7 5 3 2" xfId="26356"/>
    <cellStyle name="Normal 4 3 7 5 4" xfId="21862"/>
    <cellStyle name="Normal 4 3 7 5 4 2" xfId="38074"/>
    <cellStyle name="Normal 4 3 7 5 5" xfId="23360"/>
    <cellStyle name="Normal 4 3 7 6" xfId="1542"/>
    <cellStyle name="Normal 4 3 7 6 2" xfId="3041"/>
    <cellStyle name="Normal 4 3 7 6 2 2" xfId="25209"/>
    <cellStyle name="Normal 4 3 7 6 3" xfId="4540"/>
    <cellStyle name="Normal 4 3 7 6 3 2" xfId="26707"/>
    <cellStyle name="Normal 4 3 7 6 4" xfId="22213"/>
    <cellStyle name="Normal 4 3 7 6 4 2" xfId="38425"/>
    <cellStyle name="Normal 4 3 7 6 5" xfId="23711"/>
    <cellStyle name="Normal 4 3 7 7" xfId="1988"/>
    <cellStyle name="Normal 4 3 7 7 2" xfId="24156"/>
    <cellStyle name="Normal 4 3 7 8" xfId="3487"/>
    <cellStyle name="Normal 4 3 7 8 2" xfId="25654"/>
    <cellStyle name="Normal 4 3 7 9" xfId="8363"/>
    <cellStyle name="Normal 4 3 7 9 2" xfId="28294"/>
    <cellStyle name="Normal 4 3 8" xfId="514"/>
    <cellStyle name="Normal 4 3 8 2" xfId="866"/>
    <cellStyle name="Normal 4 3 8 2 2" xfId="2365"/>
    <cellStyle name="Normal 4 3 8 2 2 2" xfId="24533"/>
    <cellStyle name="Normal 4 3 8 2 3" xfId="3864"/>
    <cellStyle name="Normal 4 3 8 2 3 2" xfId="26031"/>
    <cellStyle name="Normal 4 3 8 2 4" xfId="20467"/>
    <cellStyle name="Normal 4 3 8 2 4 2" xfId="36688"/>
    <cellStyle name="Normal 4 3 8 2 5" xfId="21537"/>
    <cellStyle name="Normal 4 3 8 2 5 2" xfId="37749"/>
    <cellStyle name="Normal 4 3 8 2 6" xfId="23035"/>
    <cellStyle name="Normal 4 3 8 3" xfId="1217"/>
    <cellStyle name="Normal 4 3 8 3 2" xfId="2716"/>
    <cellStyle name="Normal 4 3 8 3 2 2" xfId="24884"/>
    <cellStyle name="Normal 4 3 8 3 3" xfId="4215"/>
    <cellStyle name="Normal 4 3 8 3 3 2" xfId="26382"/>
    <cellStyle name="Normal 4 3 8 3 4" xfId="21888"/>
    <cellStyle name="Normal 4 3 8 3 4 2" xfId="38100"/>
    <cellStyle name="Normal 4 3 8 3 5" xfId="23386"/>
    <cellStyle name="Normal 4 3 8 4" xfId="1568"/>
    <cellStyle name="Normal 4 3 8 4 2" xfId="3067"/>
    <cellStyle name="Normal 4 3 8 4 2 2" xfId="25235"/>
    <cellStyle name="Normal 4 3 8 4 3" xfId="4566"/>
    <cellStyle name="Normal 4 3 8 4 3 2" xfId="26733"/>
    <cellStyle name="Normal 4 3 8 4 4" xfId="22239"/>
    <cellStyle name="Normal 4 3 8 4 4 2" xfId="38451"/>
    <cellStyle name="Normal 4 3 8 4 5" xfId="23737"/>
    <cellStyle name="Normal 4 3 8 5" xfId="2014"/>
    <cellStyle name="Normal 4 3 8 5 2" xfId="24182"/>
    <cellStyle name="Normal 4 3 8 6" xfId="3513"/>
    <cellStyle name="Normal 4 3 8 6 2" xfId="25680"/>
    <cellStyle name="Normal 4 3 8 7" xfId="12909"/>
    <cellStyle name="Normal 4 3 8 7 2" xfId="30000"/>
    <cellStyle name="Normal 4 3 8 8" xfId="21186"/>
    <cellStyle name="Normal 4 3 8 8 2" xfId="37398"/>
    <cellStyle name="Normal 4 3 8 9" xfId="22684"/>
    <cellStyle name="Normal 4 3 9" xfId="632"/>
    <cellStyle name="Normal 4 3 9 2" xfId="983"/>
    <cellStyle name="Normal 4 3 9 2 2" xfId="2482"/>
    <cellStyle name="Normal 4 3 9 2 2 2" xfId="24650"/>
    <cellStyle name="Normal 4 3 9 2 3" xfId="3981"/>
    <cellStyle name="Normal 4 3 9 2 3 2" xfId="26148"/>
    <cellStyle name="Normal 4 3 9 2 4" xfId="21654"/>
    <cellStyle name="Normal 4 3 9 2 4 2" xfId="37866"/>
    <cellStyle name="Normal 4 3 9 2 5" xfId="23152"/>
    <cellStyle name="Normal 4 3 9 3" xfId="1334"/>
    <cellStyle name="Normal 4 3 9 3 2" xfId="2833"/>
    <cellStyle name="Normal 4 3 9 3 2 2" xfId="25001"/>
    <cellStyle name="Normal 4 3 9 3 3" xfId="4332"/>
    <cellStyle name="Normal 4 3 9 3 3 2" xfId="26499"/>
    <cellStyle name="Normal 4 3 9 3 4" xfId="22005"/>
    <cellStyle name="Normal 4 3 9 3 4 2" xfId="38217"/>
    <cellStyle name="Normal 4 3 9 3 5" xfId="23503"/>
    <cellStyle name="Normal 4 3 9 4" xfId="1685"/>
    <cellStyle name="Normal 4 3 9 4 2" xfId="3184"/>
    <cellStyle name="Normal 4 3 9 4 2 2" xfId="25352"/>
    <cellStyle name="Normal 4 3 9 4 3" xfId="4683"/>
    <cellStyle name="Normal 4 3 9 4 3 2" xfId="26850"/>
    <cellStyle name="Normal 4 3 9 4 4" xfId="22356"/>
    <cellStyle name="Normal 4 3 9 4 4 2" xfId="38568"/>
    <cellStyle name="Normal 4 3 9 4 5" xfId="23854"/>
    <cellStyle name="Normal 4 3 9 5" xfId="2131"/>
    <cellStyle name="Normal 4 3 9 5 2" xfId="24299"/>
    <cellStyle name="Normal 4 3 9 6" xfId="3630"/>
    <cellStyle name="Normal 4 3 9 6 2" xfId="25797"/>
    <cellStyle name="Normal 4 3 9 7" xfId="14342"/>
    <cellStyle name="Normal 4 3 9 7 2" xfId="30564"/>
    <cellStyle name="Normal 4 3 9 8" xfId="21303"/>
    <cellStyle name="Normal 4 3 9 8 2" xfId="37515"/>
    <cellStyle name="Normal 4 3 9 9" xfId="22801"/>
    <cellStyle name="Normal 4 4" xfId="405"/>
    <cellStyle name="Normal 4 4 10" xfId="8364"/>
    <cellStyle name="Normal 4 4 10 2" xfId="28295"/>
    <cellStyle name="Normal 4 4 11" xfId="21078"/>
    <cellStyle name="Normal 4 4 11 2" xfId="37290"/>
    <cellStyle name="Normal 4 4 12" xfId="22576"/>
    <cellStyle name="Normal 4 4 2" xfId="457"/>
    <cellStyle name="Normal 4 4 2 10" xfId="21130"/>
    <cellStyle name="Normal 4 4 2 10 2" xfId="37342"/>
    <cellStyle name="Normal 4 4 2 11" xfId="22628"/>
    <cellStyle name="Normal 4 4 2 2" xfId="575"/>
    <cellStyle name="Normal 4 4 2 2 2" xfId="927"/>
    <cellStyle name="Normal 4 4 2 2 2 2" xfId="2426"/>
    <cellStyle name="Normal 4 4 2 2 2 2 2" xfId="12961"/>
    <cellStyle name="Normal 4 4 2 2 2 2 2 2" xfId="20519"/>
    <cellStyle name="Normal 4 4 2 2 2 2 2 2 2" xfId="36740"/>
    <cellStyle name="Normal 4 4 2 2 2 2 2 3" xfId="30052"/>
    <cellStyle name="Normal 4 4 2 2 2 2 3" xfId="17148"/>
    <cellStyle name="Normal 4 4 2 2 2 2 3 2" xfId="33369"/>
    <cellStyle name="Normal 4 4 2 2 2 2 4" xfId="18762"/>
    <cellStyle name="Normal 4 4 2 2 2 2 4 2" xfId="34983"/>
    <cellStyle name="Normal 4 4 2 2 2 2 5" xfId="8368"/>
    <cellStyle name="Normal 4 4 2 2 2 2 5 2" xfId="28299"/>
    <cellStyle name="Normal 4 4 2 2 2 2 6" xfId="24594"/>
    <cellStyle name="Normal 4 4 2 2 2 3" xfId="3925"/>
    <cellStyle name="Normal 4 4 2 2 2 3 2" xfId="20518"/>
    <cellStyle name="Normal 4 4 2 2 2 3 2 2" xfId="36739"/>
    <cellStyle name="Normal 4 4 2 2 2 3 3" xfId="12960"/>
    <cellStyle name="Normal 4 4 2 2 2 3 3 2" xfId="30051"/>
    <cellStyle name="Normal 4 4 2 2 2 3 4" xfId="26092"/>
    <cellStyle name="Normal 4 4 2 2 2 4" xfId="15563"/>
    <cellStyle name="Normal 4 4 2 2 2 4 2" xfId="31785"/>
    <cellStyle name="Normal 4 4 2 2 2 5" xfId="18761"/>
    <cellStyle name="Normal 4 4 2 2 2 5 2" xfId="34982"/>
    <cellStyle name="Normal 4 4 2 2 2 6" xfId="8367"/>
    <cellStyle name="Normal 4 4 2 2 2 6 2" xfId="28298"/>
    <cellStyle name="Normal 4 4 2 2 2 7" xfId="21598"/>
    <cellStyle name="Normal 4 4 2 2 2 7 2" xfId="37810"/>
    <cellStyle name="Normal 4 4 2 2 2 8" xfId="23096"/>
    <cellStyle name="Normal 4 4 2 2 3" xfId="1278"/>
    <cellStyle name="Normal 4 4 2 2 3 2" xfId="2777"/>
    <cellStyle name="Normal 4 4 2 2 3 2 2" xfId="20520"/>
    <cellStyle name="Normal 4 4 2 2 3 2 2 2" xfId="36741"/>
    <cellStyle name="Normal 4 4 2 2 3 2 3" xfId="12962"/>
    <cellStyle name="Normal 4 4 2 2 3 2 3 2" xfId="30053"/>
    <cellStyle name="Normal 4 4 2 2 3 2 4" xfId="24945"/>
    <cellStyle name="Normal 4 4 2 2 3 3" xfId="4276"/>
    <cellStyle name="Normal 4 4 2 2 3 3 2" xfId="16356"/>
    <cellStyle name="Normal 4 4 2 2 3 3 2 2" xfId="32577"/>
    <cellStyle name="Normal 4 4 2 2 3 3 3" xfId="26443"/>
    <cellStyle name="Normal 4 4 2 2 3 4" xfId="18763"/>
    <cellStyle name="Normal 4 4 2 2 3 4 2" xfId="34984"/>
    <cellStyle name="Normal 4 4 2 2 3 5" xfId="8369"/>
    <cellStyle name="Normal 4 4 2 2 3 5 2" xfId="28300"/>
    <cellStyle name="Normal 4 4 2 2 3 6" xfId="21949"/>
    <cellStyle name="Normal 4 4 2 2 3 6 2" xfId="38161"/>
    <cellStyle name="Normal 4 4 2 2 3 7" xfId="23447"/>
    <cellStyle name="Normal 4 4 2 2 4" xfId="1629"/>
    <cellStyle name="Normal 4 4 2 2 4 2" xfId="3128"/>
    <cellStyle name="Normal 4 4 2 2 4 2 2" xfId="20517"/>
    <cellStyle name="Normal 4 4 2 2 4 2 2 2" xfId="36738"/>
    <cellStyle name="Normal 4 4 2 2 4 2 3" xfId="25296"/>
    <cellStyle name="Normal 4 4 2 2 4 3" xfId="4627"/>
    <cellStyle name="Normal 4 4 2 2 4 3 2" xfId="26794"/>
    <cellStyle name="Normal 4 4 2 2 4 4" xfId="12959"/>
    <cellStyle name="Normal 4 4 2 2 4 4 2" xfId="30050"/>
    <cellStyle name="Normal 4 4 2 2 4 5" xfId="22300"/>
    <cellStyle name="Normal 4 4 2 2 4 5 2" xfId="38512"/>
    <cellStyle name="Normal 4 4 2 2 4 6" xfId="23798"/>
    <cellStyle name="Normal 4 4 2 2 5" xfId="2075"/>
    <cellStyle name="Normal 4 4 2 2 5 2" xfId="14771"/>
    <cellStyle name="Normal 4 4 2 2 5 2 2" xfId="30993"/>
    <cellStyle name="Normal 4 4 2 2 5 3" xfId="24243"/>
    <cellStyle name="Normal 4 4 2 2 6" xfId="3574"/>
    <cellStyle name="Normal 4 4 2 2 6 2" xfId="18760"/>
    <cellStyle name="Normal 4 4 2 2 6 2 2" xfId="34981"/>
    <cellStyle name="Normal 4 4 2 2 6 3" xfId="25741"/>
    <cellStyle name="Normal 4 4 2 2 7" xfId="8366"/>
    <cellStyle name="Normal 4 4 2 2 7 2" xfId="28297"/>
    <cellStyle name="Normal 4 4 2 2 8" xfId="21247"/>
    <cellStyle name="Normal 4 4 2 2 8 2" xfId="37459"/>
    <cellStyle name="Normal 4 4 2 2 9" xfId="22745"/>
    <cellStyle name="Normal 4 4 2 3" xfId="693"/>
    <cellStyle name="Normal 4 4 2 3 2" xfId="1044"/>
    <cellStyle name="Normal 4 4 2 3 2 2" xfId="2543"/>
    <cellStyle name="Normal 4 4 2 3 2 2 2" xfId="12965"/>
    <cellStyle name="Normal 4 4 2 3 2 2 2 2" xfId="20523"/>
    <cellStyle name="Normal 4 4 2 3 2 2 2 2 2" xfId="36744"/>
    <cellStyle name="Normal 4 4 2 3 2 2 2 3" xfId="30056"/>
    <cellStyle name="Normal 4 4 2 3 2 2 3" xfId="17412"/>
    <cellStyle name="Normal 4 4 2 3 2 2 3 2" xfId="33633"/>
    <cellStyle name="Normal 4 4 2 3 2 2 4" xfId="18766"/>
    <cellStyle name="Normal 4 4 2 3 2 2 4 2" xfId="34987"/>
    <cellStyle name="Normal 4 4 2 3 2 2 5" xfId="8372"/>
    <cellStyle name="Normal 4 4 2 3 2 2 5 2" xfId="28303"/>
    <cellStyle name="Normal 4 4 2 3 2 2 6" xfId="24711"/>
    <cellStyle name="Normal 4 4 2 3 2 3" xfId="4042"/>
    <cellStyle name="Normal 4 4 2 3 2 3 2" xfId="20522"/>
    <cellStyle name="Normal 4 4 2 3 2 3 2 2" xfId="36743"/>
    <cellStyle name="Normal 4 4 2 3 2 3 3" xfId="12964"/>
    <cellStyle name="Normal 4 4 2 3 2 3 3 2" xfId="30055"/>
    <cellStyle name="Normal 4 4 2 3 2 3 4" xfId="26209"/>
    <cellStyle name="Normal 4 4 2 3 2 4" xfId="15827"/>
    <cellStyle name="Normal 4 4 2 3 2 4 2" xfId="32049"/>
    <cellStyle name="Normal 4 4 2 3 2 5" xfId="18765"/>
    <cellStyle name="Normal 4 4 2 3 2 5 2" xfId="34986"/>
    <cellStyle name="Normal 4 4 2 3 2 6" xfId="8371"/>
    <cellStyle name="Normal 4 4 2 3 2 6 2" xfId="28302"/>
    <cellStyle name="Normal 4 4 2 3 2 7" xfId="21715"/>
    <cellStyle name="Normal 4 4 2 3 2 7 2" xfId="37927"/>
    <cellStyle name="Normal 4 4 2 3 2 8" xfId="23213"/>
    <cellStyle name="Normal 4 4 2 3 3" xfId="1395"/>
    <cellStyle name="Normal 4 4 2 3 3 2" xfId="2894"/>
    <cellStyle name="Normal 4 4 2 3 3 2 2" xfId="20524"/>
    <cellStyle name="Normal 4 4 2 3 3 2 2 2" xfId="36745"/>
    <cellStyle name="Normal 4 4 2 3 3 2 3" xfId="12966"/>
    <cellStyle name="Normal 4 4 2 3 3 2 3 2" xfId="30057"/>
    <cellStyle name="Normal 4 4 2 3 3 2 4" xfId="25062"/>
    <cellStyle name="Normal 4 4 2 3 3 3" xfId="4393"/>
    <cellStyle name="Normal 4 4 2 3 3 3 2" xfId="16620"/>
    <cellStyle name="Normal 4 4 2 3 3 3 2 2" xfId="32841"/>
    <cellStyle name="Normal 4 4 2 3 3 3 3" xfId="26560"/>
    <cellStyle name="Normal 4 4 2 3 3 4" xfId="18767"/>
    <cellStyle name="Normal 4 4 2 3 3 4 2" xfId="34988"/>
    <cellStyle name="Normal 4 4 2 3 3 5" xfId="8373"/>
    <cellStyle name="Normal 4 4 2 3 3 5 2" xfId="28304"/>
    <cellStyle name="Normal 4 4 2 3 3 6" xfId="22066"/>
    <cellStyle name="Normal 4 4 2 3 3 6 2" xfId="38278"/>
    <cellStyle name="Normal 4 4 2 3 3 7" xfId="23564"/>
    <cellStyle name="Normal 4 4 2 3 4" xfId="1746"/>
    <cellStyle name="Normal 4 4 2 3 4 2" xfId="3245"/>
    <cellStyle name="Normal 4 4 2 3 4 2 2" xfId="20521"/>
    <cellStyle name="Normal 4 4 2 3 4 2 2 2" xfId="36742"/>
    <cellStyle name="Normal 4 4 2 3 4 2 3" xfId="25413"/>
    <cellStyle name="Normal 4 4 2 3 4 3" xfId="4744"/>
    <cellStyle name="Normal 4 4 2 3 4 3 2" xfId="26911"/>
    <cellStyle name="Normal 4 4 2 3 4 4" xfId="12963"/>
    <cellStyle name="Normal 4 4 2 3 4 4 2" xfId="30054"/>
    <cellStyle name="Normal 4 4 2 3 4 5" xfId="22417"/>
    <cellStyle name="Normal 4 4 2 3 4 5 2" xfId="38629"/>
    <cellStyle name="Normal 4 4 2 3 4 6" xfId="23915"/>
    <cellStyle name="Normal 4 4 2 3 5" xfId="2192"/>
    <cellStyle name="Normal 4 4 2 3 5 2" xfId="15035"/>
    <cellStyle name="Normal 4 4 2 3 5 2 2" xfId="31257"/>
    <cellStyle name="Normal 4 4 2 3 5 3" xfId="24360"/>
    <cellStyle name="Normal 4 4 2 3 6" xfId="3691"/>
    <cellStyle name="Normal 4 4 2 3 6 2" xfId="18764"/>
    <cellStyle name="Normal 4 4 2 3 6 2 2" xfId="34985"/>
    <cellStyle name="Normal 4 4 2 3 6 3" xfId="25858"/>
    <cellStyle name="Normal 4 4 2 3 7" xfId="8370"/>
    <cellStyle name="Normal 4 4 2 3 7 2" xfId="28301"/>
    <cellStyle name="Normal 4 4 2 3 8" xfId="21364"/>
    <cellStyle name="Normal 4 4 2 3 8 2" xfId="37576"/>
    <cellStyle name="Normal 4 4 2 3 9" xfId="22862"/>
    <cellStyle name="Normal 4 4 2 4" xfId="810"/>
    <cellStyle name="Normal 4 4 2 4 2" xfId="2309"/>
    <cellStyle name="Normal 4 4 2 4 2 2" xfId="12968"/>
    <cellStyle name="Normal 4 4 2 4 2 2 2" xfId="20526"/>
    <cellStyle name="Normal 4 4 2 4 2 2 2 2" xfId="36747"/>
    <cellStyle name="Normal 4 4 2 4 2 2 3" xfId="30059"/>
    <cellStyle name="Normal 4 4 2 4 2 3" xfId="16884"/>
    <cellStyle name="Normal 4 4 2 4 2 3 2" xfId="33105"/>
    <cellStyle name="Normal 4 4 2 4 2 4" xfId="18769"/>
    <cellStyle name="Normal 4 4 2 4 2 4 2" xfId="34990"/>
    <cellStyle name="Normal 4 4 2 4 2 5" xfId="8375"/>
    <cellStyle name="Normal 4 4 2 4 2 5 2" xfId="28306"/>
    <cellStyle name="Normal 4 4 2 4 2 6" xfId="24477"/>
    <cellStyle name="Normal 4 4 2 4 3" xfId="3808"/>
    <cellStyle name="Normal 4 4 2 4 3 2" xfId="20525"/>
    <cellStyle name="Normal 4 4 2 4 3 2 2" xfId="36746"/>
    <cellStyle name="Normal 4 4 2 4 3 3" xfId="12967"/>
    <cellStyle name="Normal 4 4 2 4 3 3 2" xfId="30058"/>
    <cellStyle name="Normal 4 4 2 4 3 4" xfId="25975"/>
    <cellStyle name="Normal 4 4 2 4 4" xfId="15299"/>
    <cellStyle name="Normal 4 4 2 4 4 2" xfId="31521"/>
    <cellStyle name="Normal 4 4 2 4 5" xfId="18768"/>
    <cellStyle name="Normal 4 4 2 4 5 2" xfId="34989"/>
    <cellStyle name="Normal 4 4 2 4 6" xfId="8374"/>
    <cellStyle name="Normal 4 4 2 4 6 2" xfId="28305"/>
    <cellStyle name="Normal 4 4 2 4 7" xfId="21481"/>
    <cellStyle name="Normal 4 4 2 4 7 2" xfId="37693"/>
    <cellStyle name="Normal 4 4 2 4 8" xfId="22979"/>
    <cellStyle name="Normal 4 4 2 5" xfId="1161"/>
    <cellStyle name="Normal 4 4 2 5 2" xfId="2660"/>
    <cellStyle name="Normal 4 4 2 5 2 2" xfId="20527"/>
    <cellStyle name="Normal 4 4 2 5 2 2 2" xfId="36748"/>
    <cellStyle name="Normal 4 4 2 5 2 3" xfId="12969"/>
    <cellStyle name="Normal 4 4 2 5 2 3 2" xfId="30060"/>
    <cellStyle name="Normal 4 4 2 5 2 4" xfId="24828"/>
    <cellStyle name="Normal 4 4 2 5 3" xfId="4159"/>
    <cellStyle name="Normal 4 4 2 5 3 2" xfId="16092"/>
    <cellStyle name="Normal 4 4 2 5 3 2 2" xfId="32313"/>
    <cellStyle name="Normal 4 4 2 5 3 3" xfId="26326"/>
    <cellStyle name="Normal 4 4 2 5 4" xfId="18770"/>
    <cellStyle name="Normal 4 4 2 5 4 2" xfId="34991"/>
    <cellStyle name="Normal 4 4 2 5 5" xfId="8376"/>
    <cellStyle name="Normal 4 4 2 5 5 2" xfId="28307"/>
    <cellStyle name="Normal 4 4 2 5 6" xfId="21832"/>
    <cellStyle name="Normal 4 4 2 5 6 2" xfId="38044"/>
    <cellStyle name="Normal 4 4 2 5 7" xfId="23330"/>
    <cellStyle name="Normal 4 4 2 6" xfId="1512"/>
    <cellStyle name="Normal 4 4 2 6 2" xfId="3011"/>
    <cellStyle name="Normal 4 4 2 6 2 2" xfId="20516"/>
    <cellStyle name="Normal 4 4 2 6 2 2 2" xfId="36737"/>
    <cellStyle name="Normal 4 4 2 6 2 3" xfId="25179"/>
    <cellStyle name="Normal 4 4 2 6 3" xfId="4510"/>
    <cellStyle name="Normal 4 4 2 6 3 2" xfId="26677"/>
    <cellStyle name="Normal 4 4 2 6 4" xfId="12958"/>
    <cellStyle name="Normal 4 4 2 6 4 2" xfId="30049"/>
    <cellStyle name="Normal 4 4 2 6 5" xfId="22183"/>
    <cellStyle name="Normal 4 4 2 6 5 2" xfId="38395"/>
    <cellStyle name="Normal 4 4 2 6 6" xfId="23681"/>
    <cellStyle name="Normal 4 4 2 7" xfId="1958"/>
    <cellStyle name="Normal 4 4 2 7 2" xfId="14507"/>
    <cellStyle name="Normal 4 4 2 7 2 2" xfId="30729"/>
    <cellStyle name="Normal 4 4 2 7 3" xfId="24126"/>
    <cellStyle name="Normal 4 4 2 8" xfId="3457"/>
    <cellStyle name="Normal 4 4 2 8 2" xfId="18759"/>
    <cellStyle name="Normal 4 4 2 8 2 2" xfId="34980"/>
    <cellStyle name="Normal 4 4 2 8 3" xfId="25624"/>
    <cellStyle name="Normal 4 4 2 9" xfId="8365"/>
    <cellStyle name="Normal 4 4 2 9 2" xfId="28296"/>
    <cellStyle name="Normal 4 4 3" xfId="523"/>
    <cellStyle name="Normal 4 4 3 2" xfId="875"/>
    <cellStyle name="Normal 4 4 3 2 2" xfId="2374"/>
    <cellStyle name="Normal 4 4 3 2 2 2" xfId="12972"/>
    <cellStyle name="Normal 4 4 3 2 2 2 2" xfId="20530"/>
    <cellStyle name="Normal 4 4 3 2 2 2 2 2" xfId="36751"/>
    <cellStyle name="Normal 4 4 3 2 2 2 3" xfId="30063"/>
    <cellStyle name="Normal 4 4 3 2 2 3" xfId="17016"/>
    <cellStyle name="Normal 4 4 3 2 2 3 2" xfId="33237"/>
    <cellStyle name="Normal 4 4 3 2 2 4" xfId="18773"/>
    <cellStyle name="Normal 4 4 3 2 2 4 2" xfId="34994"/>
    <cellStyle name="Normal 4 4 3 2 2 5" xfId="8379"/>
    <cellStyle name="Normal 4 4 3 2 2 5 2" xfId="28310"/>
    <cellStyle name="Normal 4 4 3 2 2 6" xfId="24542"/>
    <cellStyle name="Normal 4 4 3 2 3" xfId="3873"/>
    <cellStyle name="Normal 4 4 3 2 3 2" xfId="20529"/>
    <cellStyle name="Normal 4 4 3 2 3 2 2" xfId="36750"/>
    <cellStyle name="Normal 4 4 3 2 3 3" xfId="12971"/>
    <cellStyle name="Normal 4 4 3 2 3 3 2" xfId="30062"/>
    <cellStyle name="Normal 4 4 3 2 3 4" xfId="26040"/>
    <cellStyle name="Normal 4 4 3 2 4" xfId="15431"/>
    <cellStyle name="Normal 4 4 3 2 4 2" xfId="31653"/>
    <cellStyle name="Normal 4 4 3 2 5" xfId="18772"/>
    <cellStyle name="Normal 4 4 3 2 5 2" xfId="34993"/>
    <cellStyle name="Normal 4 4 3 2 6" xfId="8378"/>
    <cellStyle name="Normal 4 4 3 2 6 2" xfId="28309"/>
    <cellStyle name="Normal 4 4 3 2 7" xfId="21546"/>
    <cellStyle name="Normal 4 4 3 2 7 2" xfId="37758"/>
    <cellStyle name="Normal 4 4 3 2 8" xfId="23044"/>
    <cellStyle name="Normal 4 4 3 3" xfId="1226"/>
    <cellStyle name="Normal 4 4 3 3 2" xfId="2725"/>
    <cellStyle name="Normal 4 4 3 3 2 2" xfId="20531"/>
    <cellStyle name="Normal 4 4 3 3 2 2 2" xfId="36752"/>
    <cellStyle name="Normal 4 4 3 3 2 3" xfId="12973"/>
    <cellStyle name="Normal 4 4 3 3 2 3 2" xfId="30064"/>
    <cellStyle name="Normal 4 4 3 3 2 4" xfId="24893"/>
    <cellStyle name="Normal 4 4 3 3 3" xfId="4224"/>
    <cellStyle name="Normal 4 4 3 3 3 2" xfId="16224"/>
    <cellStyle name="Normal 4 4 3 3 3 2 2" xfId="32445"/>
    <cellStyle name="Normal 4 4 3 3 3 3" xfId="26391"/>
    <cellStyle name="Normal 4 4 3 3 4" xfId="18774"/>
    <cellStyle name="Normal 4 4 3 3 4 2" xfId="34995"/>
    <cellStyle name="Normal 4 4 3 3 5" xfId="8380"/>
    <cellStyle name="Normal 4 4 3 3 5 2" xfId="28311"/>
    <cellStyle name="Normal 4 4 3 3 6" xfId="21897"/>
    <cellStyle name="Normal 4 4 3 3 6 2" xfId="38109"/>
    <cellStyle name="Normal 4 4 3 3 7" xfId="23395"/>
    <cellStyle name="Normal 4 4 3 4" xfId="1577"/>
    <cellStyle name="Normal 4 4 3 4 2" xfId="3076"/>
    <cellStyle name="Normal 4 4 3 4 2 2" xfId="20528"/>
    <cellStyle name="Normal 4 4 3 4 2 2 2" xfId="36749"/>
    <cellStyle name="Normal 4 4 3 4 2 3" xfId="25244"/>
    <cellStyle name="Normal 4 4 3 4 3" xfId="4575"/>
    <cellStyle name="Normal 4 4 3 4 3 2" xfId="26742"/>
    <cellStyle name="Normal 4 4 3 4 4" xfId="12970"/>
    <cellStyle name="Normal 4 4 3 4 4 2" xfId="30061"/>
    <cellStyle name="Normal 4 4 3 4 5" xfId="22248"/>
    <cellStyle name="Normal 4 4 3 4 5 2" xfId="38460"/>
    <cellStyle name="Normal 4 4 3 4 6" xfId="23746"/>
    <cellStyle name="Normal 4 4 3 5" xfId="2023"/>
    <cellStyle name="Normal 4 4 3 5 2" xfId="14639"/>
    <cellStyle name="Normal 4 4 3 5 2 2" xfId="30861"/>
    <cellStyle name="Normal 4 4 3 5 3" xfId="24191"/>
    <cellStyle name="Normal 4 4 3 6" xfId="3522"/>
    <cellStyle name="Normal 4 4 3 6 2" xfId="18771"/>
    <cellStyle name="Normal 4 4 3 6 2 2" xfId="34992"/>
    <cellStyle name="Normal 4 4 3 6 3" xfId="25689"/>
    <cellStyle name="Normal 4 4 3 7" xfId="8377"/>
    <cellStyle name="Normal 4 4 3 7 2" xfId="28308"/>
    <cellStyle name="Normal 4 4 3 8" xfId="21195"/>
    <cellStyle name="Normal 4 4 3 8 2" xfId="37407"/>
    <cellStyle name="Normal 4 4 3 9" xfId="22693"/>
    <cellStyle name="Normal 4 4 4" xfId="641"/>
    <cellStyle name="Normal 4 4 4 2" xfId="992"/>
    <cellStyle name="Normal 4 4 4 2 2" xfId="2491"/>
    <cellStyle name="Normal 4 4 4 2 2 2" xfId="12976"/>
    <cellStyle name="Normal 4 4 4 2 2 2 2" xfId="20534"/>
    <cellStyle name="Normal 4 4 4 2 2 2 2 2" xfId="36755"/>
    <cellStyle name="Normal 4 4 4 2 2 2 3" xfId="30067"/>
    <cellStyle name="Normal 4 4 4 2 2 3" xfId="17280"/>
    <cellStyle name="Normal 4 4 4 2 2 3 2" xfId="33501"/>
    <cellStyle name="Normal 4 4 4 2 2 4" xfId="18777"/>
    <cellStyle name="Normal 4 4 4 2 2 4 2" xfId="34998"/>
    <cellStyle name="Normal 4 4 4 2 2 5" xfId="8383"/>
    <cellStyle name="Normal 4 4 4 2 2 5 2" xfId="28314"/>
    <cellStyle name="Normal 4 4 4 2 2 6" xfId="24659"/>
    <cellStyle name="Normal 4 4 4 2 3" xfId="3990"/>
    <cellStyle name="Normal 4 4 4 2 3 2" xfId="20533"/>
    <cellStyle name="Normal 4 4 4 2 3 2 2" xfId="36754"/>
    <cellStyle name="Normal 4 4 4 2 3 3" xfId="12975"/>
    <cellStyle name="Normal 4 4 4 2 3 3 2" xfId="30066"/>
    <cellStyle name="Normal 4 4 4 2 3 4" xfId="26157"/>
    <cellStyle name="Normal 4 4 4 2 4" xfId="15695"/>
    <cellStyle name="Normal 4 4 4 2 4 2" xfId="31917"/>
    <cellStyle name="Normal 4 4 4 2 5" xfId="18776"/>
    <cellStyle name="Normal 4 4 4 2 5 2" xfId="34997"/>
    <cellStyle name="Normal 4 4 4 2 6" xfId="8382"/>
    <cellStyle name="Normal 4 4 4 2 6 2" xfId="28313"/>
    <cellStyle name="Normal 4 4 4 2 7" xfId="21663"/>
    <cellStyle name="Normal 4 4 4 2 7 2" xfId="37875"/>
    <cellStyle name="Normal 4 4 4 2 8" xfId="23161"/>
    <cellStyle name="Normal 4 4 4 3" xfId="1343"/>
    <cellStyle name="Normal 4 4 4 3 2" xfId="2842"/>
    <cellStyle name="Normal 4 4 4 3 2 2" xfId="20535"/>
    <cellStyle name="Normal 4 4 4 3 2 2 2" xfId="36756"/>
    <cellStyle name="Normal 4 4 4 3 2 3" xfId="12977"/>
    <cellStyle name="Normal 4 4 4 3 2 3 2" xfId="30068"/>
    <cellStyle name="Normal 4 4 4 3 2 4" xfId="25010"/>
    <cellStyle name="Normal 4 4 4 3 3" xfId="4341"/>
    <cellStyle name="Normal 4 4 4 3 3 2" xfId="16488"/>
    <cellStyle name="Normal 4 4 4 3 3 2 2" xfId="32709"/>
    <cellStyle name="Normal 4 4 4 3 3 3" xfId="26508"/>
    <cellStyle name="Normal 4 4 4 3 4" xfId="18778"/>
    <cellStyle name="Normal 4 4 4 3 4 2" xfId="34999"/>
    <cellStyle name="Normal 4 4 4 3 5" xfId="8384"/>
    <cellStyle name="Normal 4 4 4 3 5 2" xfId="28315"/>
    <cellStyle name="Normal 4 4 4 3 6" xfId="22014"/>
    <cellStyle name="Normal 4 4 4 3 6 2" xfId="38226"/>
    <cellStyle name="Normal 4 4 4 3 7" xfId="23512"/>
    <cellStyle name="Normal 4 4 4 4" xfId="1694"/>
    <cellStyle name="Normal 4 4 4 4 2" xfId="3193"/>
    <cellStyle name="Normal 4 4 4 4 2 2" xfId="20532"/>
    <cellStyle name="Normal 4 4 4 4 2 2 2" xfId="36753"/>
    <cellStyle name="Normal 4 4 4 4 2 3" xfId="25361"/>
    <cellStyle name="Normal 4 4 4 4 3" xfId="4692"/>
    <cellStyle name="Normal 4 4 4 4 3 2" xfId="26859"/>
    <cellStyle name="Normal 4 4 4 4 4" xfId="12974"/>
    <cellStyle name="Normal 4 4 4 4 4 2" xfId="30065"/>
    <cellStyle name="Normal 4 4 4 4 5" xfId="22365"/>
    <cellStyle name="Normal 4 4 4 4 5 2" xfId="38577"/>
    <cellStyle name="Normal 4 4 4 4 6" xfId="23863"/>
    <cellStyle name="Normal 4 4 4 5" xfId="2140"/>
    <cellStyle name="Normal 4 4 4 5 2" xfId="14903"/>
    <cellStyle name="Normal 4 4 4 5 2 2" xfId="31125"/>
    <cellStyle name="Normal 4 4 4 5 3" xfId="24308"/>
    <cellStyle name="Normal 4 4 4 6" xfId="3639"/>
    <cellStyle name="Normal 4 4 4 6 2" xfId="18775"/>
    <cellStyle name="Normal 4 4 4 6 2 2" xfId="34996"/>
    <cellStyle name="Normal 4 4 4 6 3" xfId="25806"/>
    <cellStyle name="Normal 4 4 4 7" xfId="8381"/>
    <cellStyle name="Normal 4 4 4 7 2" xfId="28312"/>
    <cellStyle name="Normal 4 4 4 8" xfId="21312"/>
    <cellStyle name="Normal 4 4 4 8 2" xfId="37524"/>
    <cellStyle name="Normal 4 4 4 9" xfId="22810"/>
    <cellStyle name="Normal 4 4 5" xfId="758"/>
    <cellStyle name="Normal 4 4 5 2" xfId="2257"/>
    <cellStyle name="Normal 4 4 5 2 2" xfId="12979"/>
    <cellStyle name="Normal 4 4 5 2 2 2" xfId="20537"/>
    <cellStyle name="Normal 4 4 5 2 2 2 2" xfId="36758"/>
    <cellStyle name="Normal 4 4 5 2 2 3" xfId="30070"/>
    <cellStyle name="Normal 4 4 5 2 3" xfId="16752"/>
    <cellStyle name="Normal 4 4 5 2 3 2" xfId="32973"/>
    <cellStyle name="Normal 4 4 5 2 4" xfId="18780"/>
    <cellStyle name="Normal 4 4 5 2 4 2" xfId="35001"/>
    <cellStyle name="Normal 4 4 5 2 5" xfId="8386"/>
    <cellStyle name="Normal 4 4 5 2 5 2" xfId="28317"/>
    <cellStyle name="Normal 4 4 5 2 6" xfId="24425"/>
    <cellStyle name="Normal 4 4 5 3" xfId="3756"/>
    <cellStyle name="Normal 4 4 5 3 2" xfId="20536"/>
    <cellStyle name="Normal 4 4 5 3 2 2" xfId="36757"/>
    <cellStyle name="Normal 4 4 5 3 3" xfId="12978"/>
    <cellStyle name="Normal 4 4 5 3 3 2" xfId="30069"/>
    <cellStyle name="Normal 4 4 5 3 4" xfId="25923"/>
    <cellStyle name="Normal 4 4 5 4" xfId="15167"/>
    <cellStyle name="Normal 4 4 5 4 2" xfId="31389"/>
    <cellStyle name="Normal 4 4 5 5" xfId="18779"/>
    <cellStyle name="Normal 4 4 5 5 2" xfId="35000"/>
    <cellStyle name="Normal 4 4 5 6" xfId="8385"/>
    <cellStyle name="Normal 4 4 5 6 2" xfId="28316"/>
    <cellStyle name="Normal 4 4 5 7" xfId="21429"/>
    <cellStyle name="Normal 4 4 5 7 2" xfId="37641"/>
    <cellStyle name="Normal 4 4 5 8" xfId="22927"/>
    <cellStyle name="Normal 4 4 6" xfId="1109"/>
    <cellStyle name="Normal 4 4 6 2" xfId="2608"/>
    <cellStyle name="Normal 4 4 6 2 2" xfId="20538"/>
    <cellStyle name="Normal 4 4 6 2 2 2" xfId="36759"/>
    <cellStyle name="Normal 4 4 6 2 3" xfId="12980"/>
    <cellStyle name="Normal 4 4 6 2 3 2" xfId="30071"/>
    <cellStyle name="Normal 4 4 6 2 4" xfId="24776"/>
    <cellStyle name="Normal 4 4 6 3" xfId="4107"/>
    <cellStyle name="Normal 4 4 6 3 2" xfId="15960"/>
    <cellStyle name="Normal 4 4 6 3 2 2" xfId="32181"/>
    <cellStyle name="Normal 4 4 6 3 3" xfId="26274"/>
    <cellStyle name="Normal 4 4 6 4" xfId="18781"/>
    <cellStyle name="Normal 4 4 6 4 2" xfId="35002"/>
    <cellStyle name="Normal 4 4 6 5" xfId="8387"/>
    <cellStyle name="Normal 4 4 6 5 2" xfId="28318"/>
    <cellStyle name="Normal 4 4 6 6" xfId="21780"/>
    <cellStyle name="Normal 4 4 6 6 2" xfId="37992"/>
    <cellStyle name="Normal 4 4 6 7" xfId="23278"/>
    <cellStyle name="Normal 4 4 7" xfId="1460"/>
    <cellStyle name="Normal 4 4 7 2" xfId="2959"/>
    <cellStyle name="Normal 4 4 7 2 2" xfId="20515"/>
    <cellStyle name="Normal 4 4 7 2 2 2" xfId="36736"/>
    <cellStyle name="Normal 4 4 7 2 3" xfId="25127"/>
    <cellStyle name="Normal 4 4 7 3" xfId="4458"/>
    <cellStyle name="Normal 4 4 7 3 2" xfId="26625"/>
    <cellStyle name="Normal 4 4 7 4" xfId="12957"/>
    <cellStyle name="Normal 4 4 7 4 2" xfId="30048"/>
    <cellStyle name="Normal 4 4 7 5" xfId="22131"/>
    <cellStyle name="Normal 4 4 7 5 2" xfId="38343"/>
    <cellStyle name="Normal 4 4 7 6" xfId="23629"/>
    <cellStyle name="Normal 4 4 8" xfId="1906"/>
    <cellStyle name="Normal 4 4 8 2" xfId="14375"/>
    <cellStyle name="Normal 4 4 8 2 2" xfId="30597"/>
    <cellStyle name="Normal 4 4 8 3" xfId="24074"/>
    <cellStyle name="Normal 4 4 9" xfId="3405"/>
    <cellStyle name="Normal 4 4 9 2" xfId="18758"/>
    <cellStyle name="Normal 4 4 9 2 2" xfId="34979"/>
    <cellStyle name="Normal 4 4 9 3" xfId="25572"/>
    <cellStyle name="Normal 4 5" xfId="417"/>
    <cellStyle name="Normal 4 5 10" xfId="21090"/>
    <cellStyle name="Normal 4 5 10 2" xfId="37302"/>
    <cellStyle name="Normal 4 5 11" xfId="22588"/>
    <cellStyle name="Normal 4 5 2" xfId="535"/>
    <cellStyle name="Normal 4 5 2 2" xfId="887"/>
    <cellStyle name="Normal 4 5 2 2 2" xfId="2386"/>
    <cellStyle name="Normal 4 5 2 2 2 2" xfId="12984"/>
    <cellStyle name="Normal 4 5 2 2 2 2 2" xfId="20542"/>
    <cellStyle name="Normal 4 5 2 2 2 2 2 2" xfId="36763"/>
    <cellStyle name="Normal 4 5 2 2 2 2 3" xfId="30075"/>
    <cellStyle name="Normal 4 5 2 2 2 3" xfId="17082"/>
    <cellStyle name="Normal 4 5 2 2 2 3 2" xfId="33303"/>
    <cellStyle name="Normal 4 5 2 2 2 4" xfId="18785"/>
    <cellStyle name="Normal 4 5 2 2 2 4 2" xfId="35006"/>
    <cellStyle name="Normal 4 5 2 2 2 5" xfId="8391"/>
    <cellStyle name="Normal 4 5 2 2 2 5 2" xfId="28322"/>
    <cellStyle name="Normal 4 5 2 2 2 6" xfId="24554"/>
    <cellStyle name="Normal 4 5 2 2 3" xfId="3885"/>
    <cellStyle name="Normal 4 5 2 2 3 2" xfId="20541"/>
    <cellStyle name="Normal 4 5 2 2 3 2 2" xfId="36762"/>
    <cellStyle name="Normal 4 5 2 2 3 3" xfId="12983"/>
    <cellStyle name="Normal 4 5 2 2 3 3 2" xfId="30074"/>
    <cellStyle name="Normal 4 5 2 2 3 4" xfId="26052"/>
    <cellStyle name="Normal 4 5 2 2 4" xfId="15497"/>
    <cellStyle name="Normal 4 5 2 2 4 2" xfId="31719"/>
    <cellStyle name="Normal 4 5 2 2 5" xfId="18784"/>
    <cellStyle name="Normal 4 5 2 2 5 2" xfId="35005"/>
    <cellStyle name="Normal 4 5 2 2 6" xfId="8390"/>
    <cellStyle name="Normal 4 5 2 2 6 2" xfId="28321"/>
    <cellStyle name="Normal 4 5 2 2 7" xfId="21558"/>
    <cellStyle name="Normal 4 5 2 2 7 2" xfId="37770"/>
    <cellStyle name="Normal 4 5 2 2 8" xfId="23056"/>
    <cellStyle name="Normal 4 5 2 3" xfId="1238"/>
    <cellStyle name="Normal 4 5 2 3 2" xfId="2737"/>
    <cellStyle name="Normal 4 5 2 3 2 2" xfId="20543"/>
    <cellStyle name="Normal 4 5 2 3 2 2 2" xfId="36764"/>
    <cellStyle name="Normal 4 5 2 3 2 3" xfId="12985"/>
    <cellStyle name="Normal 4 5 2 3 2 3 2" xfId="30076"/>
    <cellStyle name="Normal 4 5 2 3 2 4" xfId="24905"/>
    <cellStyle name="Normal 4 5 2 3 3" xfId="4236"/>
    <cellStyle name="Normal 4 5 2 3 3 2" xfId="16290"/>
    <cellStyle name="Normal 4 5 2 3 3 2 2" xfId="32511"/>
    <cellStyle name="Normal 4 5 2 3 3 3" xfId="26403"/>
    <cellStyle name="Normal 4 5 2 3 4" xfId="18786"/>
    <cellStyle name="Normal 4 5 2 3 4 2" xfId="35007"/>
    <cellStyle name="Normal 4 5 2 3 5" xfId="8392"/>
    <cellStyle name="Normal 4 5 2 3 5 2" xfId="28323"/>
    <cellStyle name="Normal 4 5 2 3 6" xfId="21909"/>
    <cellStyle name="Normal 4 5 2 3 6 2" xfId="38121"/>
    <cellStyle name="Normal 4 5 2 3 7" xfId="23407"/>
    <cellStyle name="Normal 4 5 2 4" xfId="1589"/>
    <cellStyle name="Normal 4 5 2 4 2" xfId="3088"/>
    <cellStyle name="Normal 4 5 2 4 2 2" xfId="20540"/>
    <cellStyle name="Normal 4 5 2 4 2 2 2" xfId="36761"/>
    <cellStyle name="Normal 4 5 2 4 2 3" xfId="25256"/>
    <cellStyle name="Normal 4 5 2 4 3" xfId="4587"/>
    <cellStyle name="Normal 4 5 2 4 3 2" xfId="26754"/>
    <cellStyle name="Normal 4 5 2 4 4" xfId="12982"/>
    <cellStyle name="Normal 4 5 2 4 4 2" xfId="30073"/>
    <cellStyle name="Normal 4 5 2 4 5" xfId="22260"/>
    <cellStyle name="Normal 4 5 2 4 5 2" xfId="38472"/>
    <cellStyle name="Normal 4 5 2 4 6" xfId="23758"/>
    <cellStyle name="Normal 4 5 2 5" xfId="2035"/>
    <cellStyle name="Normal 4 5 2 5 2" xfId="14705"/>
    <cellStyle name="Normal 4 5 2 5 2 2" xfId="30927"/>
    <cellStyle name="Normal 4 5 2 5 3" xfId="24203"/>
    <cellStyle name="Normal 4 5 2 6" xfId="3534"/>
    <cellStyle name="Normal 4 5 2 6 2" xfId="18783"/>
    <cellStyle name="Normal 4 5 2 6 2 2" xfId="35004"/>
    <cellStyle name="Normal 4 5 2 6 3" xfId="25701"/>
    <cellStyle name="Normal 4 5 2 7" xfId="8389"/>
    <cellStyle name="Normal 4 5 2 7 2" xfId="28320"/>
    <cellStyle name="Normal 4 5 2 8" xfId="21207"/>
    <cellStyle name="Normal 4 5 2 8 2" xfId="37419"/>
    <cellStyle name="Normal 4 5 2 9" xfId="22705"/>
    <cellStyle name="Normal 4 5 3" xfId="653"/>
    <cellStyle name="Normal 4 5 3 2" xfId="1004"/>
    <cellStyle name="Normal 4 5 3 2 2" xfId="2503"/>
    <cellStyle name="Normal 4 5 3 2 2 2" xfId="12988"/>
    <cellStyle name="Normal 4 5 3 2 2 2 2" xfId="20546"/>
    <cellStyle name="Normal 4 5 3 2 2 2 2 2" xfId="36767"/>
    <cellStyle name="Normal 4 5 3 2 2 2 3" xfId="30079"/>
    <cellStyle name="Normal 4 5 3 2 2 3" xfId="17346"/>
    <cellStyle name="Normal 4 5 3 2 2 3 2" xfId="33567"/>
    <cellStyle name="Normal 4 5 3 2 2 4" xfId="18789"/>
    <cellStyle name="Normal 4 5 3 2 2 4 2" xfId="35010"/>
    <cellStyle name="Normal 4 5 3 2 2 5" xfId="8395"/>
    <cellStyle name="Normal 4 5 3 2 2 5 2" xfId="28326"/>
    <cellStyle name="Normal 4 5 3 2 2 6" xfId="24671"/>
    <cellStyle name="Normal 4 5 3 2 3" xfId="4002"/>
    <cellStyle name="Normal 4 5 3 2 3 2" xfId="20545"/>
    <cellStyle name="Normal 4 5 3 2 3 2 2" xfId="36766"/>
    <cellStyle name="Normal 4 5 3 2 3 3" xfId="12987"/>
    <cellStyle name="Normal 4 5 3 2 3 3 2" xfId="30078"/>
    <cellStyle name="Normal 4 5 3 2 3 4" xfId="26169"/>
    <cellStyle name="Normal 4 5 3 2 4" xfId="15761"/>
    <cellStyle name="Normal 4 5 3 2 4 2" xfId="31983"/>
    <cellStyle name="Normal 4 5 3 2 5" xfId="18788"/>
    <cellStyle name="Normal 4 5 3 2 5 2" xfId="35009"/>
    <cellStyle name="Normal 4 5 3 2 6" xfId="8394"/>
    <cellStyle name="Normal 4 5 3 2 6 2" xfId="28325"/>
    <cellStyle name="Normal 4 5 3 2 7" xfId="21675"/>
    <cellStyle name="Normal 4 5 3 2 7 2" xfId="37887"/>
    <cellStyle name="Normal 4 5 3 2 8" xfId="23173"/>
    <cellStyle name="Normal 4 5 3 3" xfId="1355"/>
    <cellStyle name="Normal 4 5 3 3 2" xfId="2854"/>
    <cellStyle name="Normal 4 5 3 3 2 2" xfId="20547"/>
    <cellStyle name="Normal 4 5 3 3 2 2 2" xfId="36768"/>
    <cellStyle name="Normal 4 5 3 3 2 3" xfId="12989"/>
    <cellStyle name="Normal 4 5 3 3 2 3 2" xfId="30080"/>
    <cellStyle name="Normal 4 5 3 3 2 4" xfId="25022"/>
    <cellStyle name="Normal 4 5 3 3 3" xfId="4353"/>
    <cellStyle name="Normal 4 5 3 3 3 2" xfId="16554"/>
    <cellStyle name="Normal 4 5 3 3 3 2 2" xfId="32775"/>
    <cellStyle name="Normal 4 5 3 3 3 3" xfId="26520"/>
    <cellStyle name="Normal 4 5 3 3 4" xfId="18790"/>
    <cellStyle name="Normal 4 5 3 3 4 2" xfId="35011"/>
    <cellStyle name="Normal 4 5 3 3 5" xfId="8396"/>
    <cellStyle name="Normal 4 5 3 3 5 2" xfId="28327"/>
    <cellStyle name="Normal 4 5 3 3 6" xfId="22026"/>
    <cellStyle name="Normal 4 5 3 3 6 2" xfId="38238"/>
    <cellStyle name="Normal 4 5 3 3 7" xfId="23524"/>
    <cellStyle name="Normal 4 5 3 4" xfId="1706"/>
    <cellStyle name="Normal 4 5 3 4 2" xfId="3205"/>
    <cellStyle name="Normal 4 5 3 4 2 2" xfId="20544"/>
    <cellStyle name="Normal 4 5 3 4 2 2 2" xfId="36765"/>
    <cellStyle name="Normal 4 5 3 4 2 3" xfId="25373"/>
    <cellStyle name="Normal 4 5 3 4 3" xfId="4704"/>
    <cellStyle name="Normal 4 5 3 4 3 2" xfId="26871"/>
    <cellStyle name="Normal 4 5 3 4 4" xfId="12986"/>
    <cellStyle name="Normal 4 5 3 4 4 2" xfId="30077"/>
    <cellStyle name="Normal 4 5 3 4 5" xfId="22377"/>
    <cellStyle name="Normal 4 5 3 4 5 2" xfId="38589"/>
    <cellStyle name="Normal 4 5 3 4 6" xfId="23875"/>
    <cellStyle name="Normal 4 5 3 5" xfId="2152"/>
    <cellStyle name="Normal 4 5 3 5 2" xfId="14969"/>
    <cellStyle name="Normal 4 5 3 5 2 2" xfId="31191"/>
    <cellStyle name="Normal 4 5 3 5 3" xfId="24320"/>
    <cellStyle name="Normal 4 5 3 6" xfId="3651"/>
    <cellStyle name="Normal 4 5 3 6 2" xfId="18787"/>
    <cellStyle name="Normal 4 5 3 6 2 2" xfId="35008"/>
    <cellStyle name="Normal 4 5 3 6 3" xfId="25818"/>
    <cellStyle name="Normal 4 5 3 7" xfId="8393"/>
    <cellStyle name="Normal 4 5 3 7 2" xfId="28324"/>
    <cellStyle name="Normal 4 5 3 8" xfId="21324"/>
    <cellStyle name="Normal 4 5 3 8 2" xfId="37536"/>
    <cellStyle name="Normal 4 5 3 9" xfId="22822"/>
    <cellStyle name="Normal 4 5 4" xfId="770"/>
    <cellStyle name="Normal 4 5 4 2" xfId="2269"/>
    <cellStyle name="Normal 4 5 4 2 2" xfId="12991"/>
    <cellStyle name="Normal 4 5 4 2 2 2" xfId="20549"/>
    <cellStyle name="Normal 4 5 4 2 2 2 2" xfId="36770"/>
    <cellStyle name="Normal 4 5 4 2 2 3" xfId="30082"/>
    <cellStyle name="Normal 4 5 4 2 3" xfId="16818"/>
    <cellStyle name="Normal 4 5 4 2 3 2" xfId="33039"/>
    <cellStyle name="Normal 4 5 4 2 4" xfId="18792"/>
    <cellStyle name="Normal 4 5 4 2 4 2" xfId="35013"/>
    <cellStyle name="Normal 4 5 4 2 5" xfId="8398"/>
    <cellStyle name="Normal 4 5 4 2 5 2" xfId="28329"/>
    <cellStyle name="Normal 4 5 4 2 6" xfId="24437"/>
    <cellStyle name="Normal 4 5 4 3" xfId="3768"/>
    <cellStyle name="Normal 4 5 4 3 2" xfId="20548"/>
    <cellStyle name="Normal 4 5 4 3 2 2" xfId="36769"/>
    <cellStyle name="Normal 4 5 4 3 3" xfId="12990"/>
    <cellStyle name="Normal 4 5 4 3 3 2" xfId="30081"/>
    <cellStyle name="Normal 4 5 4 3 4" xfId="25935"/>
    <cellStyle name="Normal 4 5 4 4" xfId="15233"/>
    <cellStyle name="Normal 4 5 4 4 2" xfId="31455"/>
    <cellStyle name="Normal 4 5 4 5" xfId="18791"/>
    <cellStyle name="Normal 4 5 4 5 2" xfId="35012"/>
    <cellStyle name="Normal 4 5 4 6" xfId="8397"/>
    <cellStyle name="Normal 4 5 4 6 2" xfId="28328"/>
    <cellStyle name="Normal 4 5 4 7" xfId="21441"/>
    <cellStyle name="Normal 4 5 4 7 2" xfId="37653"/>
    <cellStyle name="Normal 4 5 4 8" xfId="22939"/>
    <cellStyle name="Normal 4 5 5" xfId="1121"/>
    <cellStyle name="Normal 4 5 5 2" xfId="2620"/>
    <cellStyle name="Normal 4 5 5 2 2" xfId="20550"/>
    <cellStyle name="Normal 4 5 5 2 2 2" xfId="36771"/>
    <cellStyle name="Normal 4 5 5 2 3" xfId="12992"/>
    <cellStyle name="Normal 4 5 5 2 3 2" xfId="30083"/>
    <cellStyle name="Normal 4 5 5 2 4" xfId="24788"/>
    <cellStyle name="Normal 4 5 5 3" xfId="4119"/>
    <cellStyle name="Normal 4 5 5 3 2" xfId="16026"/>
    <cellStyle name="Normal 4 5 5 3 2 2" xfId="32247"/>
    <cellStyle name="Normal 4 5 5 3 3" xfId="26286"/>
    <cellStyle name="Normal 4 5 5 4" xfId="18793"/>
    <cellStyle name="Normal 4 5 5 4 2" xfId="35014"/>
    <cellStyle name="Normal 4 5 5 5" xfId="8399"/>
    <cellStyle name="Normal 4 5 5 5 2" xfId="28330"/>
    <cellStyle name="Normal 4 5 5 6" xfId="21792"/>
    <cellStyle name="Normal 4 5 5 6 2" xfId="38004"/>
    <cellStyle name="Normal 4 5 5 7" xfId="23290"/>
    <cellStyle name="Normal 4 5 6" xfId="1472"/>
    <cellStyle name="Normal 4 5 6 2" xfId="2971"/>
    <cellStyle name="Normal 4 5 6 2 2" xfId="20539"/>
    <cellStyle name="Normal 4 5 6 2 2 2" xfId="36760"/>
    <cellStyle name="Normal 4 5 6 2 3" xfId="25139"/>
    <cellStyle name="Normal 4 5 6 3" xfId="4470"/>
    <cellStyle name="Normal 4 5 6 3 2" xfId="26637"/>
    <cellStyle name="Normal 4 5 6 4" xfId="12981"/>
    <cellStyle name="Normal 4 5 6 4 2" xfId="30072"/>
    <cellStyle name="Normal 4 5 6 5" xfId="22143"/>
    <cellStyle name="Normal 4 5 6 5 2" xfId="38355"/>
    <cellStyle name="Normal 4 5 6 6" xfId="23641"/>
    <cellStyle name="Normal 4 5 7" xfId="1918"/>
    <cellStyle name="Normal 4 5 7 2" xfId="14441"/>
    <cellStyle name="Normal 4 5 7 2 2" xfId="30663"/>
    <cellStyle name="Normal 4 5 7 3" xfId="24086"/>
    <cellStyle name="Normal 4 5 8" xfId="3417"/>
    <cellStyle name="Normal 4 5 8 2" xfId="18782"/>
    <cellStyle name="Normal 4 5 8 2 2" xfId="35003"/>
    <cellStyle name="Normal 4 5 8 3" xfId="25584"/>
    <cellStyle name="Normal 4 5 9" xfId="8388"/>
    <cellStyle name="Normal 4 5 9 2" xfId="28319"/>
    <cellStyle name="Normal 4 6" xfId="426"/>
    <cellStyle name="Normal 4 6 10" xfId="21099"/>
    <cellStyle name="Normal 4 6 10 2" xfId="37311"/>
    <cellStyle name="Normal 4 6 11" xfId="22597"/>
    <cellStyle name="Normal 4 6 2" xfId="544"/>
    <cellStyle name="Normal 4 6 2 2" xfId="896"/>
    <cellStyle name="Normal 4 6 2 2 2" xfId="2395"/>
    <cellStyle name="Normal 4 6 2 2 2 2" xfId="20553"/>
    <cellStyle name="Normal 4 6 2 2 2 2 2" xfId="36774"/>
    <cellStyle name="Normal 4 6 2 2 2 3" xfId="12995"/>
    <cellStyle name="Normal 4 6 2 2 2 3 2" xfId="30086"/>
    <cellStyle name="Normal 4 6 2 2 2 4" xfId="24563"/>
    <cellStyle name="Normal 4 6 2 2 3" xfId="3894"/>
    <cellStyle name="Normal 4 6 2 2 3 2" xfId="16950"/>
    <cellStyle name="Normal 4 6 2 2 3 2 2" xfId="33171"/>
    <cellStyle name="Normal 4 6 2 2 3 3" xfId="26061"/>
    <cellStyle name="Normal 4 6 2 2 4" xfId="18796"/>
    <cellStyle name="Normal 4 6 2 2 4 2" xfId="35017"/>
    <cellStyle name="Normal 4 6 2 2 5" xfId="8402"/>
    <cellStyle name="Normal 4 6 2 2 5 2" xfId="28333"/>
    <cellStyle name="Normal 4 6 2 2 6" xfId="21567"/>
    <cellStyle name="Normal 4 6 2 2 6 2" xfId="37779"/>
    <cellStyle name="Normal 4 6 2 2 7" xfId="23065"/>
    <cellStyle name="Normal 4 6 2 3" xfId="1247"/>
    <cellStyle name="Normal 4 6 2 3 2" xfId="2746"/>
    <cellStyle name="Normal 4 6 2 3 2 2" xfId="20552"/>
    <cellStyle name="Normal 4 6 2 3 2 2 2" xfId="36773"/>
    <cellStyle name="Normal 4 6 2 3 2 3" xfId="24914"/>
    <cellStyle name="Normal 4 6 2 3 3" xfId="4245"/>
    <cellStyle name="Normal 4 6 2 3 3 2" xfId="26412"/>
    <cellStyle name="Normal 4 6 2 3 4" xfId="12994"/>
    <cellStyle name="Normal 4 6 2 3 4 2" xfId="30085"/>
    <cellStyle name="Normal 4 6 2 3 5" xfId="21918"/>
    <cellStyle name="Normal 4 6 2 3 5 2" xfId="38130"/>
    <cellStyle name="Normal 4 6 2 3 6" xfId="23416"/>
    <cellStyle name="Normal 4 6 2 4" xfId="1598"/>
    <cellStyle name="Normal 4 6 2 4 2" xfId="3097"/>
    <cellStyle name="Normal 4 6 2 4 2 2" xfId="25265"/>
    <cellStyle name="Normal 4 6 2 4 3" xfId="4596"/>
    <cellStyle name="Normal 4 6 2 4 3 2" xfId="26763"/>
    <cellStyle name="Normal 4 6 2 4 4" xfId="15365"/>
    <cellStyle name="Normal 4 6 2 4 4 2" xfId="31587"/>
    <cellStyle name="Normal 4 6 2 4 5" xfId="22269"/>
    <cellStyle name="Normal 4 6 2 4 5 2" xfId="38481"/>
    <cellStyle name="Normal 4 6 2 4 6" xfId="23767"/>
    <cellStyle name="Normal 4 6 2 5" xfId="2044"/>
    <cellStyle name="Normal 4 6 2 5 2" xfId="18795"/>
    <cellStyle name="Normal 4 6 2 5 2 2" xfId="35016"/>
    <cellStyle name="Normal 4 6 2 5 3" xfId="24212"/>
    <cellStyle name="Normal 4 6 2 6" xfId="3543"/>
    <cellStyle name="Normal 4 6 2 6 2" xfId="25710"/>
    <cellStyle name="Normal 4 6 2 7" xfId="8401"/>
    <cellStyle name="Normal 4 6 2 7 2" xfId="28332"/>
    <cellStyle name="Normal 4 6 2 8" xfId="21216"/>
    <cellStyle name="Normal 4 6 2 8 2" xfId="37428"/>
    <cellStyle name="Normal 4 6 2 9" xfId="22714"/>
    <cellStyle name="Normal 4 6 3" xfId="662"/>
    <cellStyle name="Normal 4 6 3 2" xfId="1013"/>
    <cellStyle name="Normal 4 6 3 2 2" xfId="2512"/>
    <cellStyle name="Normal 4 6 3 2 2 2" xfId="20554"/>
    <cellStyle name="Normal 4 6 3 2 2 2 2" xfId="36775"/>
    <cellStyle name="Normal 4 6 3 2 2 3" xfId="24680"/>
    <cellStyle name="Normal 4 6 3 2 3" xfId="4011"/>
    <cellStyle name="Normal 4 6 3 2 3 2" xfId="26178"/>
    <cellStyle name="Normal 4 6 3 2 4" xfId="12996"/>
    <cellStyle name="Normal 4 6 3 2 4 2" xfId="30087"/>
    <cellStyle name="Normal 4 6 3 2 5" xfId="21684"/>
    <cellStyle name="Normal 4 6 3 2 5 2" xfId="37896"/>
    <cellStyle name="Normal 4 6 3 2 6" xfId="23182"/>
    <cellStyle name="Normal 4 6 3 3" xfId="1364"/>
    <cellStyle name="Normal 4 6 3 3 2" xfId="2863"/>
    <cellStyle name="Normal 4 6 3 3 2 2" xfId="25031"/>
    <cellStyle name="Normal 4 6 3 3 3" xfId="4362"/>
    <cellStyle name="Normal 4 6 3 3 3 2" xfId="26529"/>
    <cellStyle name="Normal 4 6 3 3 4" xfId="16158"/>
    <cellStyle name="Normal 4 6 3 3 4 2" xfId="32379"/>
    <cellStyle name="Normal 4 6 3 3 5" xfId="22035"/>
    <cellStyle name="Normal 4 6 3 3 5 2" xfId="38247"/>
    <cellStyle name="Normal 4 6 3 3 6" xfId="23533"/>
    <cellStyle name="Normal 4 6 3 4" xfId="1715"/>
    <cellStyle name="Normal 4 6 3 4 2" xfId="3214"/>
    <cellStyle name="Normal 4 6 3 4 2 2" xfId="25382"/>
    <cellStyle name="Normal 4 6 3 4 3" xfId="4713"/>
    <cellStyle name="Normal 4 6 3 4 3 2" xfId="26880"/>
    <cellStyle name="Normal 4 6 3 4 4" xfId="18797"/>
    <cellStyle name="Normal 4 6 3 4 4 2" xfId="35018"/>
    <cellStyle name="Normal 4 6 3 4 5" xfId="22386"/>
    <cellStyle name="Normal 4 6 3 4 5 2" xfId="38598"/>
    <cellStyle name="Normal 4 6 3 4 6" xfId="23884"/>
    <cellStyle name="Normal 4 6 3 5" xfId="2161"/>
    <cellStyle name="Normal 4 6 3 5 2" xfId="24329"/>
    <cellStyle name="Normal 4 6 3 6" xfId="3660"/>
    <cellStyle name="Normal 4 6 3 6 2" xfId="25827"/>
    <cellStyle name="Normal 4 6 3 7" xfId="8403"/>
    <cellStyle name="Normal 4 6 3 7 2" xfId="28334"/>
    <cellStyle name="Normal 4 6 3 8" xfId="21333"/>
    <cellStyle name="Normal 4 6 3 8 2" xfId="37545"/>
    <cellStyle name="Normal 4 6 3 9" xfId="22831"/>
    <cellStyle name="Normal 4 6 4" xfId="779"/>
    <cellStyle name="Normal 4 6 4 2" xfId="2278"/>
    <cellStyle name="Normal 4 6 4 2 2" xfId="20551"/>
    <cellStyle name="Normal 4 6 4 2 2 2" xfId="36772"/>
    <cellStyle name="Normal 4 6 4 2 3" xfId="24446"/>
    <cellStyle name="Normal 4 6 4 3" xfId="3777"/>
    <cellStyle name="Normal 4 6 4 3 2" xfId="25944"/>
    <cellStyle name="Normal 4 6 4 4" xfId="12993"/>
    <cellStyle name="Normal 4 6 4 4 2" xfId="30084"/>
    <cellStyle name="Normal 4 6 4 5" xfId="21450"/>
    <cellStyle name="Normal 4 6 4 5 2" xfId="37662"/>
    <cellStyle name="Normal 4 6 4 6" xfId="22948"/>
    <cellStyle name="Normal 4 6 5" xfId="1130"/>
    <cellStyle name="Normal 4 6 5 2" xfId="2629"/>
    <cellStyle name="Normal 4 6 5 2 2" xfId="24797"/>
    <cellStyle name="Normal 4 6 5 3" xfId="4128"/>
    <cellStyle name="Normal 4 6 5 3 2" xfId="26295"/>
    <cellStyle name="Normal 4 6 5 4" xfId="14573"/>
    <cellStyle name="Normal 4 6 5 4 2" xfId="30795"/>
    <cellStyle name="Normal 4 6 5 5" xfId="21801"/>
    <cellStyle name="Normal 4 6 5 5 2" xfId="38013"/>
    <cellStyle name="Normal 4 6 5 6" xfId="23299"/>
    <cellStyle name="Normal 4 6 6" xfId="1481"/>
    <cellStyle name="Normal 4 6 6 2" xfId="2980"/>
    <cellStyle name="Normal 4 6 6 2 2" xfId="25148"/>
    <cellStyle name="Normal 4 6 6 3" xfId="4479"/>
    <cellStyle name="Normal 4 6 6 3 2" xfId="26646"/>
    <cellStyle name="Normal 4 6 6 4" xfId="18794"/>
    <cellStyle name="Normal 4 6 6 4 2" xfId="35015"/>
    <cellStyle name="Normal 4 6 6 5" xfId="22152"/>
    <cellStyle name="Normal 4 6 6 5 2" xfId="38364"/>
    <cellStyle name="Normal 4 6 6 6" xfId="23650"/>
    <cellStyle name="Normal 4 6 7" xfId="1927"/>
    <cellStyle name="Normal 4 6 7 2" xfId="24095"/>
    <cellStyle name="Normal 4 6 8" xfId="3426"/>
    <cellStyle name="Normal 4 6 8 2" xfId="25593"/>
    <cellStyle name="Normal 4 6 9" xfId="8400"/>
    <cellStyle name="Normal 4 6 9 2" xfId="28331"/>
    <cellStyle name="Normal 4 7" xfId="438"/>
    <cellStyle name="Normal 4 7 10" xfId="21111"/>
    <cellStyle name="Normal 4 7 10 2" xfId="37323"/>
    <cellStyle name="Normal 4 7 11" xfId="22609"/>
    <cellStyle name="Normal 4 7 2" xfId="556"/>
    <cellStyle name="Normal 4 7 2 2" xfId="908"/>
    <cellStyle name="Normal 4 7 2 2 2" xfId="2407"/>
    <cellStyle name="Normal 4 7 2 2 2 2" xfId="20557"/>
    <cellStyle name="Normal 4 7 2 2 2 2 2" xfId="36778"/>
    <cellStyle name="Normal 4 7 2 2 2 3" xfId="12999"/>
    <cellStyle name="Normal 4 7 2 2 2 3 2" xfId="30090"/>
    <cellStyle name="Normal 4 7 2 2 2 4" xfId="24575"/>
    <cellStyle name="Normal 4 7 2 2 3" xfId="3906"/>
    <cellStyle name="Normal 4 7 2 2 3 2" xfId="17214"/>
    <cellStyle name="Normal 4 7 2 2 3 2 2" xfId="33435"/>
    <cellStyle name="Normal 4 7 2 2 3 3" xfId="26073"/>
    <cellStyle name="Normal 4 7 2 2 4" xfId="18800"/>
    <cellStyle name="Normal 4 7 2 2 4 2" xfId="35021"/>
    <cellStyle name="Normal 4 7 2 2 5" xfId="8406"/>
    <cellStyle name="Normal 4 7 2 2 5 2" xfId="28337"/>
    <cellStyle name="Normal 4 7 2 2 6" xfId="21579"/>
    <cellStyle name="Normal 4 7 2 2 6 2" xfId="37791"/>
    <cellStyle name="Normal 4 7 2 2 7" xfId="23077"/>
    <cellStyle name="Normal 4 7 2 3" xfId="1259"/>
    <cellStyle name="Normal 4 7 2 3 2" xfId="2758"/>
    <cellStyle name="Normal 4 7 2 3 2 2" xfId="20556"/>
    <cellStyle name="Normal 4 7 2 3 2 2 2" xfId="36777"/>
    <cellStyle name="Normal 4 7 2 3 2 3" xfId="24926"/>
    <cellStyle name="Normal 4 7 2 3 3" xfId="4257"/>
    <cellStyle name="Normal 4 7 2 3 3 2" xfId="26424"/>
    <cellStyle name="Normal 4 7 2 3 4" xfId="12998"/>
    <cellStyle name="Normal 4 7 2 3 4 2" xfId="30089"/>
    <cellStyle name="Normal 4 7 2 3 5" xfId="21930"/>
    <cellStyle name="Normal 4 7 2 3 5 2" xfId="38142"/>
    <cellStyle name="Normal 4 7 2 3 6" xfId="23428"/>
    <cellStyle name="Normal 4 7 2 4" xfId="1610"/>
    <cellStyle name="Normal 4 7 2 4 2" xfId="3109"/>
    <cellStyle name="Normal 4 7 2 4 2 2" xfId="25277"/>
    <cellStyle name="Normal 4 7 2 4 3" xfId="4608"/>
    <cellStyle name="Normal 4 7 2 4 3 2" xfId="26775"/>
    <cellStyle name="Normal 4 7 2 4 4" xfId="15629"/>
    <cellStyle name="Normal 4 7 2 4 4 2" xfId="31851"/>
    <cellStyle name="Normal 4 7 2 4 5" xfId="22281"/>
    <cellStyle name="Normal 4 7 2 4 5 2" xfId="38493"/>
    <cellStyle name="Normal 4 7 2 4 6" xfId="23779"/>
    <cellStyle name="Normal 4 7 2 5" xfId="2056"/>
    <cellStyle name="Normal 4 7 2 5 2" xfId="18799"/>
    <cellStyle name="Normal 4 7 2 5 2 2" xfId="35020"/>
    <cellStyle name="Normal 4 7 2 5 3" xfId="24224"/>
    <cellStyle name="Normal 4 7 2 6" xfId="3555"/>
    <cellStyle name="Normal 4 7 2 6 2" xfId="25722"/>
    <cellStyle name="Normal 4 7 2 7" xfId="8405"/>
    <cellStyle name="Normal 4 7 2 7 2" xfId="28336"/>
    <cellStyle name="Normal 4 7 2 8" xfId="21228"/>
    <cellStyle name="Normal 4 7 2 8 2" xfId="37440"/>
    <cellStyle name="Normal 4 7 2 9" xfId="22726"/>
    <cellStyle name="Normal 4 7 3" xfId="674"/>
    <cellStyle name="Normal 4 7 3 2" xfId="1025"/>
    <cellStyle name="Normal 4 7 3 2 2" xfId="2524"/>
    <cellStyle name="Normal 4 7 3 2 2 2" xfId="20558"/>
    <cellStyle name="Normal 4 7 3 2 2 2 2" xfId="36779"/>
    <cellStyle name="Normal 4 7 3 2 2 3" xfId="24692"/>
    <cellStyle name="Normal 4 7 3 2 3" xfId="4023"/>
    <cellStyle name="Normal 4 7 3 2 3 2" xfId="26190"/>
    <cellStyle name="Normal 4 7 3 2 4" xfId="13000"/>
    <cellStyle name="Normal 4 7 3 2 4 2" xfId="30091"/>
    <cellStyle name="Normal 4 7 3 2 5" xfId="21696"/>
    <cellStyle name="Normal 4 7 3 2 5 2" xfId="37908"/>
    <cellStyle name="Normal 4 7 3 2 6" xfId="23194"/>
    <cellStyle name="Normal 4 7 3 3" xfId="1376"/>
    <cellStyle name="Normal 4 7 3 3 2" xfId="2875"/>
    <cellStyle name="Normal 4 7 3 3 2 2" xfId="25043"/>
    <cellStyle name="Normal 4 7 3 3 3" xfId="4374"/>
    <cellStyle name="Normal 4 7 3 3 3 2" xfId="26541"/>
    <cellStyle name="Normal 4 7 3 3 4" xfId="16422"/>
    <cellStyle name="Normal 4 7 3 3 4 2" xfId="32643"/>
    <cellStyle name="Normal 4 7 3 3 5" xfId="22047"/>
    <cellStyle name="Normal 4 7 3 3 5 2" xfId="38259"/>
    <cellStyle name="Normal 4 7 3 3 6" xfId="23545"/>
    <cellStyle name="Normal 4 7 3 4" xfId="1727"/>
    <cellStyle name="Normal 4 7 3 4 2" xfId="3226"/>
    <cellStyle name="Normal 4 7 3 4 2 2" xfId="25394"/>
    <cellStyle name="Normal 4 7 3 4 3" xfId="4725"/>
    <cellStyle name="Normal 4 7 3 4 3 2" xfId="26892"/>
    <cellStyle name="Normal 4 7 3 4 4" xfId="18801"/>
    <cellStyle name="Normal 4 7 3 4 4 2" xfId="35022"/>
    <cellStyle name="Normal 4 7 3 4 5" xfId="22398"/>
    <cellStyle name="Normal 4 7 3 4 5 2" xfId="38610"/>
    <cellStyle name="Normal 4 7 3 4 6" xfId="23896"/>
    <cellStyle name="Normal 4 7 3 5" xfId="2173"/>
    <cellStyle name="Normal 4 7 3 5 2" xfId="24341"/>
    <cellStyle name="Normal 4 7 3 6" xfId="3672"/>
    <cellStyle name="Normal 4 7 3 6 2" xfId="25839"/>
    <cellStyle name="Normal 4 7 3 7" xfId="8407"/>
    <cellStyle name="Normal 4 7 3 7 2" xfId="28338"/>
    <cellStyle name="Normal 4 7 3 8" xfId="21345"/>
    <cellStyle name="Normal 4 7 3 8 2" xfId="37557"/>
    <cellStyle name="Normal 4 7 3 9" xfId="22843"/>
    <cellStyle name="Normal 4 7 4" xfId="791"/>
    <cellStyle name="Normal 4 7 4 2" xfId="2290"/>
    <cellStyle name="Normal 4 7 4 2 2" xfId="20555"/>
    <cellStyle name="Normal 4 7 4 2 2 2" xfId="36776"/>
    <cellStyle name="Normal 4 7 4 2 3" xfId="24458"/>
    <cellStyle name="Normal 4 7 4 3" xfId="3789"/>
    <cellStyle name="Normal 4 7 4 3 2" xfId="25956"/>
    <cellStyle name="Normal 4 7 4 4" xfId="12997"/>
    <cellStyle name="Normal 4 7 4 4 2" xfId="30088"/>
    <cellStyle name="Normal 4 7 4 5" xfId="21462"/>
    <cellStyle name="Normal 4 7 4 5 2" xfId="37674"/>
    <cellStyle name="Normal 4 7 4 6" xfId="22960"/>
    <cellStyle name="Normal 4 7 5" xfId="1142"/>
    <cellStyle name="Normal 4 7 5 2" xfId="2641"/>
    <cellStyle name="Normal 4 7 5 2 2" xfId="24809"/>
    <cellStyle name="Normal 4 7 5 3" xfId="4140"/>
    <cellStyle name="Normal 4 7 5 3 2" xfId="26307"/>
    <cellStyle name="Normal 4 7 5 4" xfId="14837"/>
    <cellStyle name="Normal 4 7 5 4 2" xfId="31059"/>
    <cellStyle name="Normal 4 7 5 5" xfId="21813"/>
    <cellStyle name="Normal 4 7 5 5 2" xfId="38025"/>
    <cellStyle name="Normal 4 7 5 6" xfId="23311"/>
    <cellStyle name="Normal 4 7 6" xfId="1493"/>
    <cellStyle name="Normal 4 7 6 2" xfId="2992"/>
    <cellStyle name="Normal 4 7 6 2 2" xfId="25160"/>
    <cellStyle name="Normal 4 7 6 3" xfId="4491"/>
    <cellStyle name="Normal 4 7 6 3 2" xfId="26658"/>
    <cellStyle name="Normal 4 7 6 4" xfId="18798"/>
    <cellStyle name="Normal 4 7 6 4 2" xfId="35019"/>
    <cellStyle name="Normal 4 7 6 5" xfId="22164"/>
    <cellStyle name="Normal 4 7 6 5 2" xfId="38376"/>
    <cellStyle name="Normal 4 7 6 6" xfId="23662"/>
    <cellStyle name="Normal 4 7 7" xfId="1939"/>
    <cellStyle name="Normal 4 7 7 2" xfId="24107"/>
    <cellStyle name="Normal 4 7 8" xfId="3438"/>
    <cellStyle name="Normal 4 7 8 2" xfId="25605"/>
    <cellStyle name="Normal 4 7 9" xfId="8404"/>
    <cellStyle name="Normal 4 7 9 2" xfId="28335"/>
    <cellStyle name="Normal 4 8" xfId="443"/>
    <cellStyle name="Normal 4 8 10" xfId="21116"/>
    <cellStyle name="Normal 4 8 10 2" xfId="37328"/>
    <cellStyle name="Normal 4 8 11" xfId="22614"/>
    <cellStyle name="Normal 4 8 2" xfId="561"/>
    <cellStyle name="Normal 4 8 2 2" xfId="913"/>
    <cellStyle name="Normal 4 8 2 2 2" xfId="2412"/>
    <cellStyle name="Normal 4 8 2 2 2 2" xfId="20560"/>
    <cellStyle name="Normal 4 8 2 2 2 2 2" xfId="36781"/>
    <cellStyle name="Normal 4 8 2 2 2 3" xfId="24580"/>
    <cellStyle name="Normal 4 8 2 2 3" xfId="3911"/>
    <cellStyle name="Normal 4 8 2 2 3 2" xfId="26078"/>
    <cellStyle name="Normal 4 8 2 2 4" xfId="13002"/>
    <cellStyle name="Normal 4 8 2 2 4 2" xfId="30093"/>
    <cellStyle name="Normal 4 8 2 2 5" xfId="21584"/>
    <cellStyle name="Normal 4 8 2 2 5 2" xfId="37796"/>
    <cellStyle name="Normal 4 8 2 2 6" xfId="23082"/>
    <cellStyle name="Normal 4 8 2 3" xfId="1264"/>
    <cellStyle name="Normal 4 8 2 3 2" xfId="2763"/>
    <cellStyle name="Normal 4 8 2 3 2 2" xfId="24931"/>
    <cellStyle name="Normal 4 8 2 3 3" xfId="4262"/>
    <cellStyle name="Normal 4 8 2 3 3 2" xfId="26429"/>
    <cellStyle name="Normal 4 8 2 3 4" xfId="16686"/>
    <cellStyle name="Normal 4 8 2 3 4 2" xfId="32907"/>
    <cellStyle name="Normal 4 8 2 3 5" xfId="21935"/>
    <cellStyle name="Normal 4 8 2 3 5 2" xfId="38147"/>
    <cellStyle name="Normal 4 8 2 3 6" xfId="23433"/>
    <cellStyle name="Normal 4 8 2 4" xfId="1615"/>
    <cellStyle name="Normal 4 8 2 4 2" xfId="3114"/>
    <cellStyle name="Normal 4 8 2 4 2 2" xfId="25282"/>
    <cellStyle name="Normal 4 8 2 4 3" xfId="4613"/>
    <cellStyle name="Normal 4 8 2 4 3 2" xfId="26780"/>
    <cellStyle name="Normal 4 8 2 4 4" xfId="18803"/>
    <cellStyle name="Normal 4 8 2 4 4 2" xfId="35024"/>
    <cellStyle name="Normal 4 8 2 4 5" xfId="22286"/>
    <cellStyle name="Normal 4 8 2 4 5 2" xfId="38498"/>
    <cellStyle name="Normal 4 8 2 4 6" xfId="23784"/>
    <cellStyle name="Normal 4 8 2 5" xfId="2061"/>
    <cellStyle name="Normal 4 8 2 5 2" xfId="24229"/>
    <cellStyle name="Normal 4 8 2 6" xfId="3560"/>
    <cellStyle name="Normal 4 8 2 6 2" xfId="25727"/>
    <cellStyle name="Normal 4 8 2 7" xfId="8409"/>
    <cellStyle name="Normal 4 8 2 7 2" xfId="28340"/>
    <cellStyle name="Normal 4 8 2 8" xfId="21233"/>
    <cellStyle name="Normal 4 8 2 8 2" xfId="37445"/>
    <cellStyle name="Normal 4 8 2 9" xfId="22731"/>
    <cellStyle name="Normal 4 8 3" xfId="679"/>
    <cellStyle name="Normal 4 8 3 2" xfId="1030"/>
    <cellStyle name="Normal 4 8 3 2 2" xfId="2529"/>
    <cellStyle name="Normal 4 8 3 2 2 2" xfId="24697"/>
    <cellStyle name="Normal 4 8 3 2 3" xfId="4028"/>
    <cellStyle name="Normal 4 8 3 2 3 2" xfId="26195"/>
    <cellStyle name="Normal 4 8 3 2 4" xfId="20559"/>
    <cellStyle name="Normal 4 8 3 2 4 2" xfId="36780"/>
    <cellStyle name="Normal 4 8 3 2 5" xfId="21701"/>
    <cellStyle name="Normal 4 8 3 2 5 2" xfId="37913"/>
    <cellStyle name="Normal 4 8 3 2 6" xfId="23199"/>
    <cellStyle name="Normal 4 8 3 3" xfId="1381"/>
    <cellStyle name="Normal 4 8 3 3 2" xfId="2880"/>
    <cellStyle name="Normal 4 8 3 3 2 2" xfId="25048"/>
    <cellStyle name="Normal 4 8 3 3 3" xfId="4379"/>
    <cellStyle name="Normal 4 8 3 3 3 2" xfId="26546"/>
    <cellStyle name="Normal 4 8 3 3 4" xfId="22052"/>
    <cellStyle name="Normal 4 8 3 3 4 2" xfId="38264"/>
    <cellStyle name="Normal 4 8 3 3 5" xfId="23550"/>
    <cellStyle name="Normal 4 8 3 4" xfId="1732"/>
    <cellStyle name="Normal 4 8 3 4 2" xfId="3231"/>
    <cellStyle name="Normal 4 8 3 4 2 2" xfId="25399"/>
    <cellStyle name="Normal 4 8 3 4 3" xfId="4730"/>
    <cellStyle name="Normal 4 8 3 4 3 2" xfId="26897"/>
    <cellStyle name="Normal 4 8 3 4 4" xfId="22403"/>
    <cellStyle name="Normal 4 8 3 4 4 2" xfId="38615"/>
    <cellStyle name="Normal 4 8 3 4 5" xfId="23901"/>
    <cellStyle name="Normal 4 8 3 5" xfId="2178"/>
    <cellStyle name="Normal 4 8 3 5 2" xfId="24346"/>
    <cellStyle name="Normal 4 8 3 6" xfId="3677"/>
    <cellStyle name="Normal 4 8 3 6 2" xfId="25844"/>
    <cellStyle name="Normal 4 8 3 7" xfId="13001"/>
    <cellStyle name="Normal 4 8 3 7 2" xfId="30092"/>
    <cellStyle name="Normal 4 8 3 8" xfId="21350"/>
    <cellStyle name="Normal 4 8 3 8 2" xfId="37562"/>
    <cellStyle name="Normal 4 8 3 9" xfId="22848"/>
    <cellStyle name="Normal 4 8 4" xfId="796"/>
    <cellStyle name="Normal 4 8 4 2" xfId="2295"/>
    <cellStyle name="Normal 4 8 4 2 2" xfId="24463"/>
    <cellStyle name="Normal 4 8 4 3" xfId="3794"/>
    <cellStyle name="Normal 4 8 4 3 2" xfId="25961"/>
    <cellStyle name="Normal 4 8 4 4" xfId="15101"/>
    <cellStyle name="Normal 4 8 4 4 2" xfId="31323"/>
    <cellStyle name="Normal 4 8 4 5" xfId="21467"/>
    <cellStyle name="Normal 4 8 4 5 2" xfId="37679"/>
    <cellStyle name="Normal 4 8 4 6" xfId="22965"/>
    <cellStyle name="Normal 4 8 5" xfId="1147"/>
    <cellStyle name="Normal 4 8 5 2" xfId="2646"/>
    <cellStyle name="Normal 4 8 5 2 2" xfId="24814"/>
    <cellStyle name="Normal 4 8 5 3" xfId="4145"/>
    <cellStyle name="Normal 4 8 5 3 2" xfId="26312"/>
    <cellStyle name="Normal 4 8 5 4" xfId="18802"/>
    <cellStyle name="Normal 4 8 5 4 2" xfId="35023"/>
    <cellStyle name="Normal 4 8 5 5" xfId="21818"/>
    <cellStyle name="Normal 4 8 5 5 2" xfId="38030"/>
    <cellStyle name="Normal 4 8 5 6" xfId="23316"/>
    <cellStyle name="Normal 4 8 6" xfId="1498"/>
    <cellStyle name="Normal 4 8 6 2" xfId="2997"/>
    <cellStyle name="Normal 4 8 6 2 2" xfId="25165"/>
    <cellStyle name="Normal 4 8 6 3" xfId="4496"/>
    <cellStyle name="Normal 4 8 6 3 2" xfId="26663"/>
    <cellStyle name="Normal 4 8 6 4" xfId="22169"/>
    <cellStyle name="Normal 4 8 6 4 2" xfId="38381"/>
    <cellStyle name="Normal 4 8 6 5" xfId="23667"/>
    <cellStyle name="Normal 4 8 7" xfId="1944"/>
    <cellStyle name="Normal 4 8 7 2" xfId="24112"/>
    <cellStyle name="Normal 4 8 8" xfId="3443"/>
    <cellStyle name="Normal 4 8 8 2" xfId="25610"/>
    <cellStyle name="Normal 4 8 9" xfId="8408"/>
    <cellStyle name="Normal 4 8 9 2" xfId="28339"/>
    <cellStyle name="Normal 4 9" xfId="465"/>
    <cellStyle name="Normal 4 9 10" xfId="21138"/>
    <cellStyle name="Normal 4 9 10 2" xfId="37350"/>
    <cellStyle name="Normal 4 9 11" xfId="22636"/>
    <cellStyle name="Normal 4 9 2" xfId="583"/>
    <cellStyle name="Normal 4 9 2 2" xfId="935"/>
    <cellStyle name="Normal 4 9 2 2 2" xfId="2434"/>
    <cellStyle name="Normal 4 9 2 2 2 2" xfId="24602"/>
    <cellStyle name="Normal 4 9 2 2 3" xfId="3933"/>
    <cellStyle name="Normal 4 9 2 2 3 2" xfId="26100"/>
    <cellStyle name="Normal 4 9 2 2 4" xfId="20561"/>
    <cellStyle name="Normal 4 9 2 2 4 2" xfId="36782"/>
    <cellStyle name="Normal 4 9 2 2 5" xfId="21606"/>
    <cellStyle name="Normal 4 9 2 2 5 2" xfId="37818"/>
    <cellStyle name="Normal 4 9 2 2 6" xfId="23104"/>
    <cellStyle name="Normal 4 9 2 3" xfId="1286"/>
    <cellStyle name="Normal 4 9 2 3 2" xfId="2785"/>
    <cellStyle name="Normal 4 9 2 3 2 2" xfId="24953"/>
    <cellStyle name="Normal 4 9 2 3 3" xfId="4284"/>
    <cellStyle name="Normal 4 9 2 3 3 2" xfId="26451"/>
    <cellStyle name="Normal 4 9 2 3 4" xfId="21957"/>
    <cellStyle name="Normal 4 9 2 3 4 2" xfId="38169"/>
    <cellStyle name="Normal 4 9 2 3 5" xfId="23455"/>
    <cellStyle name="Normal 4 9 2 4" xfId="1637"/>
    <cellStyle name="Normal 4 9 2 4 2" xfId="3136"/>
    <cellStyle name="Normal 4 9 2 4 2 2" xfId="25304"/>
    <cellStyle name="Normal 4 9 2 4 3" xfId="4635"/>
    <cellStyle name="Normal 4 9 2 4 3 2" xfId="26802"/>
    <cellStyle name="Normal 4 9 2 4 4" xfId="22308"/>
    <cellStyle name="Normal 4 9 2 4 4 2" xfId="38520"/>
    <cellStyle name="Normal 4 9 2 4 5" xfId="23806"/>
    <cellStyle name="Normal 4 9 2 5" xfId="2083"/>
    <cellStyle name="Normal 4 9 2 5 2" xfId="24251"/>
    <cellStyle name="Normal 4 9 2 6" xfId="3582"/>
    <cellStyle name="Normal 4 9 2 6 2" xfId="25749"/>
    <cellStyle name="Normal 4 9 2 7" xfId="13003"/>
    <cellStyle name="Normal 4 9 2 7 2" xfId="30094"/>
    <cellStyle name="Normal 4 9 2 8" xfId="21255"/>
    <cellStyle name="Normal 4 9 2 8 2" xfId="37467"/>
    <cellStyle name="Normal 4 9 2 9" xfId="22753"/>
    <cellStyle name="Normal 4 9 3" xfId="701"/>
    <cellStyle name="Normal 4 9 3 2" xfId="1052"/>
    <cellStyle name="Normal 4 9 3 2 2" xfId="2551"/>
    <cellStyle name="Normal 4 9 3 2 2 2" xfId="24719"/>
    <cellStyle name="Normal 4 9 3 2 3" xfId="4050"/>
    <cellStyle name="Normal 4 9 3 2 3 2" xfId="26217"/>
    <cellStyle name="Normal 4 9 3 2 4" xfId="21723"/>
    <cellStyle name="Normal 4 9 3 2 4 2" xfId="37935"/>
    <cellStyle name="Normal 4 9 3 2 5" xfId="23221"/>
    <cellStyle name="Normal 4 9 3 3" xfId="1403"/>
    <cellStyle name="Normal 4 9 3 3 2" xfId="2902"/>
    <cellStyle name="Normal 4 9 3 3 2 2" xfId="25070"/>
    <cellStyle name="Normal 4 9 3 3 3" xfId="4401"/>
    <cellStyle name="Normal 4 9 3 3 3 2" xfId="26568"/>
    <cellStyle name="Normal 4 9 3 3 4" xfId="22074"/>
    <cellStyle name="Normal 4 9 3 3 4 2" xfId="38286"/>
    <cellStyle name="Normal 4 9 3 3 5" xfId="23572"/>
    <cellStyle name="Normal 4 9 3 4" xfId="1754"/>
    <cellStyle name="Normal 4 9 3 4 2" xfId="3253"/>
    <cellStyle name="Normal 4 9 3 4 2 2" xfId="25421"/>
    <cellStyle name="Normal 4 9 3 4 3" xfId="4752"/>
    <cellStyle name="Normal 4 9 3 4 3 2" xfId="26919"/>
    <cellStyle name="Normal 4 9 3 4 4" xfId="22425"/>
    <cellStyle name="Normal 4 9 3 4 4 2" xfId="38637"/>
    <cellStyle name="Normal 4 9 3 4 5" xfId="23923"/>
    <cellStyle name="Normal 4 9 3 5" xfId="2200"/>
    <cellStyle name="Normal 4 9 3 5 2" xfId="24368"/>
    <cellStyle name="Normal 4 9 3 6" xfId="3699"/>
    <cellStyle name="Normal 4 9 3 6 2" xfId="25866"/>
    <cellStyle name="Normal 4 9 3 7" xfId="15894"/>
    <cellStyle name="Normal 4 9 3 7 2" xfId="32115"/>
    <cellStyle name="Normal 4 9 3 8" xfId="21372"/>
    <cellStyle name="Normal 4 9 3 8 2" xfId="37584"/>
    <cellStyle name="Normal 4 9 3 9" xfId="22870"/>
    <cellStyle name="Normal 4 9 4" xfId="818"/>
    <cellStyle name="Normal 4 9 4 2" xfId="2317"/>
    <cellStyle name="Normal 4 9 4 2 2" xfId="24485"/>
    <cellStyle name="Normal 4 9 4 3" xfId="3816"/>
    <cellStyle name="Normal 4 9 4 3 2" xfId="25983"/>
    <cellStyle name="Normal 4 9 4 4" xfId="18804"/>
    <cellStyle name="Normal 4 9 4 4 2" xfId="35025"/>
    <cellStyle name="Normal 4 9 4 5" xfId="21489"/>
    <cellStyle name="Normal 4 9 4 5 2" xfId="37701"/>
    <cellStyle name="Normal 4 9 4 6" xfId="22987"/>
    <cellStyle name="Normal 4 9 5" xfId="1169"/>
    <cellStyle name="Normal 4 9 5 2" xfId="2668"/>
    <cellStyle name="Normal 4 9 5 2 2" xfId="24836"/>
    <cellStyle name="Normal 4 9 5 3" xfId="4167"/>
    <cellStyle name="Normal 4 9 5 3 2" xfId="26334"/>
    <cellStyle name="Normal 4 9 5 4" xfId="21840"/>
    <cellStyle name="Normal 4 9 5 4 2" xfId="38052"/>
    <cellStyle name="Normal 4 9 5 5" xfId="23338"/>
    <cellStyle name="Normal 4 9 6" xfId="1520"/>
    <cellStyle name="Normal 4 9 6 2" xfId="3019"/>
    <cellStyle name="Normal 4 9 6 2 2" xfId="25187"/>
    <cellStyle name="Normal 4 9 6 3" xfId="4518"/>
    <cellStyle name="Normal 4 9 6 3 2" xfId="26685"/>
    <cellStyle name="Normal 4 9 6 4" xfId="22191"/>
    <cellStyle name="Normal 4 9 6 4 2" xfId="38403"/>
    <cellStyle name="Normal 4 9 6 5" xfId="23689"/>
    <cellStyle name="Normal 4 9 7" xfId="1966"/>
    <cellStyle name="Normal 4 9 7 2" xfId="24134"/>
    <cellStyle name="Normal 4 9 8" xfId="3465"/>
    <cellStyle name="Normal 4 9 8 2" xfId="25632"/>
    <cellStyle name="Normal 4 9 9" xfId="8410"/>
    <cellStyle name="Normal 4 9 9 2" xfId="28341"/>
    <cellStyle name="Normal 40" xfId="39595"/>
    <cellStyle name="Normal 41" xfId="39596"/>
    <cellStyle name="Normal 42" xfId="39597"/>
    <cellStyle name="Normal 43" xfId="39598"/>
    <cellStyle name="Normal 44" xfId="39599"/>
    <cellStyle name="Normal 45" xfId="39600"/>
    <cellStyle name="Normal 46" xfId="39601"/>
    <cellStyle name="Normal 47" xfId="39602"/>
    <cellStyle name="Normal 48" xfId="39603"/>
    <cellStyle name="Normal 49" xfId="39604"/>
    <cellStyle name="Normal 5" xfId="202"/>
    <cellStyle name="Normal 5 10" xfId="14297"/>
    <cellStyle name="Normal 5 10 2" xfId="30533"/>
    <cellStyle name="Normal 5 11" xfId="4859"/>
    <cellStyle name="Normal 5 12" xfId="21003"/>
    <cellStyle name="Normal 5 12 2" xfId="37215"/>
    <cellStyle name="Normal 5 13" xfId="22501"/>
    <cellStyle name="Normal 5 14" xfId="38705"/>
    <cellStyle name="Normal 5 15" xfId="39502"/>
    <cellStyle name="Normal 5 16" xfId="39551"/>
    <cellStyle name="Normal 5 17" xfId="295"/>
    <cellStyle name="Normal 5 2" xfId="203"/>
    <cellStyle name="Normal 5 2 10" xfId="13004"/>
    <cellStyle name="Normal 5 2 11" xfId="14298"/>
    <cellStyle name="Normal 5 2 11 2" xfId="30534"/>
    <cellStyle name="Normal 5 2 12" xfId="4922"/>
    <cellStyle name="Normal 5 2 13" xfId="380"/>
    <cellStyle name="Normal 5 2 2" xfId="204"/>
    <cellStyle name="Normal 5 2 2 2" xfId="13005"/>
    <cellStyle name="Normal 5 2 2 3" xfId="5682"/>
    <cellStyle name="Normal 5 2 3" xfId="8411"/>
    <cellStyle name="Normal 5 2 3 10" xfId="18805"/>
    <cellStyle name="Normal 5 2 3 10 2" xfId="35026"/>
    <cellStyle name="Normal 5 2 3 11" xfId="28342"/>
    <cellStyle name="Normal 5 2 3 2" xfId="8412"/>
    <cellStyle name="Normal 5 2 3 2 10" xfId="28343"/>
    <cellStyle name="Normal 5 2 3 2 2" xfId="8413"/>
    <cellStyle name="Normal 5 2 3 2 2 2" xfId="8414"/>
    <cellStyle name="Normal 5 2 3 2 2 2 2" xfId="8415"/>
    <cellStyle name="Normal 5 2 3 2 2 2 2 2" xfId="8416"/>
    <cellStyle name="Normal 5 2 3 2 2 2 2 2 2" xfId="13011"/>
    <cellStyle name="Normal 5 2 3 2 2 2 2 2 2 2" xfId="20567"/>
    <cellStyle name="Normal 5 2 3 2 2 2 2 2 2 2 2" xfId="36788"/>
    <cellStyle name="Normal 5 2 3 2 2 2 2 2 2 3" xfId="30100"/>
    <cellStyle name="Normal 5 2 3 2 2 2 2 2 3" xfId="17184"/>
    <cellStyle name="Normal 5 2 3 2 2 2 2 2 3 2" xfId="33405"/>
    <cellStyle name="Normal 5 2 3 2 2 2 2 2 4" xfId="18810"/>
    <cellStyle name="Normal 5 2 3 2 2 2 2 2 4 2" xfId="35031"/>
    <cellStyle name="Normal 5 2 3 2 2 2 2 2 5" xfId="28347"/>
    <cellStyle name="Normal 5 2 3 2 2 2 2 3" xfId="13010"/>
    <cellStyle name="Normal 5 2 3 2 2 2 2 3 2" xfId="20566"/>
    <cellStyle name="Normal 5 2 3 2 2 2 2 3 2 2" xfId="36787"/>
    <cellStyle name="Normal 5 2 3 2 2 2 2 3 3" xfId="30099"/>
    <cellStyle name="Normal 5 2 3 2 2 2 2 4" xfId="15599"/>
    <cellStyle name="Normal 5 2 3 2 2 2 2 4 2" xfId="31821"/>
    <cellStyle name="Normal 5 2 3 2 2 2 2 5" xfId="18809"/>
    <cellStyle name="Normal 5 2 3 2 2 2 2 5 2" xfId="35030"/>
    <cellStyle name="Normal 5 2 3 2 2 2 2 6" xfId="28346"/>
    <cellStyle name="Normal 5 2 3 2 2 2 3" xfId="8417"/>
    <cellStyle name="Normal 5 2 3 2 2 2 3 2" xfId="13012"/>
    <cellStyle name="Normal 5 2 3 2 2 2 3 2 2" xfId="20568"/>
    <cellStyle name="Normal 5 2 3 2 2 2 3 2 2 2" xfId="36789"/>
    <cellStyle name="Normal 5 2 3 2 2 2 3 2 3" xfId="30101"/>
    <cellStyle name="Normal 5 2 3 2 2 2 3 3" xfId="16392"/>
    <cellStyle name="Normal 5 2 3 2 2 2 3 3 2" xfId="32613"/>
    <cellStyle name="Normal 5 2 3 2 2 2 3 4" xfId="18811"/>
    <cellStyle name="Normal 5 2 3 2 2 2 3 4 2" xfId="35032"/>
    <cellStyle name="Normal 5 2 3 2 2 2 3 5" xfId="28348"/>
    <cellStyle name="Normal 5 2 3 2 2 2 4" xfId="13009"/>
    <cellStyle name="Normal 5 2 3 2 2 2 4 2" xfId="20565"/>
    <cellStyle name="Normal 5 2 3 2 2 2 4 2 2" xfId="36786"/>
    <cellStyle name="Normal 5 2 3 2 2 2 4 3" xfId="30098"/>
    <cellStyle name="Normal 5 2 3 2 2 2 5" xfId="14807"/>
    <cellStyle name="Normal 5 2 3 2 2 2 5 2" xfId="31029"/>
    <cellStyle name="Normal 5 2 3 2 2 2 6" xfId="18808"/>
    <cellStyle name="Normal 5 2 3 2 2 2 6 2" xfId="35029"/>
    <cellStyle name="Normal 5 2 3 2 2 2 7" xfId="28345"/>
    <cellStyle name="Normal 5 2 3 2 2 3" xfId="8418"/>
    <cellStyle name="Normal 5 2 3 2 2 3 2" xfId="8419"/>
    <cellStyle name="Normal 5 2 3 2 2 3 2 2" xfId="8420"/>
    <cellStyle name="Normal 5 2 3 2 2 3 2 2 2" xfId="13015"/>
    <cellStyle name="Normal 5 2 3 2 2 3 2 2 2 2" xfId="20571"/>
    <cellStyle name="Normal 5 2 3 2 2 3 2 2 2 2 2" xfId="36792"/>
    <cellStyle name="Normal 5 2 3 2 2 3 2 2 2 3" xfId="30104"/>
    <cellStyle name="Normal 5 2 3 2 2 3 2 2 3" xfId="17448"/>
    <cellStyle name="Normal 5 2 3 2 2 3 2 2 3 2" xfId="33669"/>
    <cellStyle name="Normal 5 2 3 2 2 3 2 2 4" xfId="18814"/>
    <cellStyle name="Normal 5 2 3 2 2 3 2 2 4 2" xfId="35035"/>
    <cellStyle name="Normal 5 2 3 2 2 3 2 2 5" xfId="28351"/>
    <cellStyle name="Normal 5 2 3 2 2 3 2 3" xfId="13014"/>
    <cellStyle name="Normal 5 2 3 2 2 3 2 3 2" xfId="20570"/>
    <cellStyle name="Normal 5 2 3 2 2 3 2 3 2 2" xfId="36791"/>
    <cellStyle name="Normal 5 2 3 2 2 3 2 3 3" xfId="30103"/>
    <cellStyle name="Normal 5 2 3 2 2 3 2 4" xfId="15863"/>
    <cellStyle name="Normal 5 2 3 2 2 3 2 4 2" xfId="32085"/>
    <cellStyle name="Normal 5 2 3 2 2 3 2 5" xfId="18813"/>
    <cellStyle name="Normal 5 2 3 2 2 3 2 5 2" xfId="35034"/>
    <cellStyle name="Normal 5 2 3 2 2 3 2 6" xfId="28350"/>
    <cellStyle name="Normal 5 2 3 2 2 3 3" xfId="8421"/>
    <cellStyle name="Normal 5 2 3 2 2 3 3 2" xfId="13016"/>
    <cellStyle name="Normal 5 2 3 2 2 3 3 2 2" xfId="20572"/>
    <cellStyle name="Normal 5 2 3 2 2 3 3 2 2 2" xfId="36793"/>
    <cellStyle name="Normal 5 2 3 2 2 3 3 2 3" xfId="30105"/>
    <cellStyle name="Normal 5 2 3 2 2 3 3 3" xfId="16656"/>
    <cellStyle name="Normal 5 2 3 2 2 3 3 3 2" xfId="32877"/>
    <cellStyle name="Normal 5 2 3 2 2 3 3 4" xfId="18815"/>
    <cellStyle name="Normal 5 2 3 2 2 3 3 4 2" xfId="35036"/>
    <cellStyle name="Normal 5 2 3 2 2 3 3 5" xfId="28352"/>
    <cellStyle name="Normal 5 2 3 2 2 3 4" xfId="13013"/>
    <cellStyle name="Normal 5 2 3 2 2 3 4 2" xfId="20569"/>
    <cellStyle name="Normal 5 2 3 2 2 3 4 2 2" xfId="36790"/>
    <cellStyle name="Normal 5 2 3 2 2 3 4 3" xfId="30102"/>
    <cellStyle name="Normal 5 2 3 2 2 3 5" xfId="15071"/>
    <cellStyle name="Normal 5 2 3 2 2 3 5 2" xfId="31293"/>
    <cellStyle name="Normal 5 2 3 2 2 3 6" xfId="18812"/>
    <cellStyle name="Normal 5 2 3 2 2 3 6 2" xfId="35033"/>
    <cellStyle name="Normal 5 2 3 2 2 3 7" xfId="28349"/>
    <cellStyle name="Normal 5 2 3 2 2 4" xfId="8422"/>
    <cellStyle name="Normal 5 2 3 2 2 4 2" xfId="8423"/>
    <cellStyle name="Normal 5 2 3 2 2 4 2 2" xfId="13018"/>
    <cellStyle name="Normal 5 2 3 2 2 4 2 2 2" xfId="20574"/>
    <cellStyle name="Normal 5 2 3 2 2 4 2 2 2 2" xfId="36795"/>
    <cellStyle name="Normal 5 2 3 2 2 4 2 2 3" xfId="30107"/>
    <cellStyle name="Normal 5 2 3 2 2 4 2 3" xfId="16920"/>
    <cellStyle name="Normal 5 2 3 2 2 4 2 3 2" xfId="33141"/>
    <cellStyle name="Normal 5 2 3 2 2 4 2 4" xfId="18817"/>
    <cellStyle name="Normal 5 2 3 2 2 4 2 4 2" xfId="35038"/>
    <cellStyle name="Normal 5 2 3 2 2 4 2 5" xfId="28354"/>
    <cellStyle name="Normal 5 2 3 2 2 4 3" xfId="13017"/>
    <cellStyle name="Normal 5 2 3 2 2 4 3 2" xfId="20573"/>
    <cellStyle name="Normal 5 2 3 2 2 4 3 2 2" xfId="36794"/>
    <cellStyle name="Normal 5 2 3 2 2 4 3 3" xfId="30106"/>
    <cellStyle name="Normal 5 2 3 2 2 4 4" xfId="15335"/>
    <cellStyle name="Normal 5 2 3 2 2 4 4 2" xfId="31557"/>
    <cellStyle name="Normal 5 2 3 2 2 4 5" xfId="18816"/>
    <cellStyle name="Normal 5 2 3 2 2 4 5 2" xfId="35037"/>
    <cellStyle name="Normal 5 2 3 2 2 4 6" xfId="28353"/>
    <cellStyle name="Normal 5 2 3 2 2 5" xfId="8424"/>
    <cellStyle name="Normal 5 2 3 2 2 5 2" xfId="13019"/>
    <cellStyle name="Normal 5 2 3 2 2 5 2 2" xfId="20575"/>
    <cellStyle name="Normal 5 2 3 2 2 5 2 2 2" xfId="36796"/>
    <cellStyle name="Normal 5 2 3 2 2 5 2 3" xfId="30108"/>
    <cellStyle name="Normal 5 2 3 2 2 5 3" xfId="16128"/>
    <cellStyle name="Normal 5 2 3 2 2 5 3 2" xfId="32349"/>
    <cellStyle name="Normal 5 2 3 2 2 5 4" xfId="18818"/>
    <cellStyle name="Normal 5 2 3 2 2 5 4 2" xfId="35039"/>
    <cellStyle name="Normal 5 2 3 2 2 5 5" xfId="28355"/>
    <cellStyle name="Normal 5 2 3 2 2 6" xfId="13008"/>
    <cellStyle name="Normal 5 2 3 2 2 6 2" xfId="20564"/>
    <cellStyle name="Normal 5 2 3 2 2 6 2 2" xfId="36785"/>
    <cellStyle name="Normal 5 2 3 2 2 6 3" xfId="30097"/>
    <cellStyle name="Normal 5 2 3 2 2 7" xfId="14543"/>
    <cellStyle name="Normal 5 2 3 2 2 7 2" xfId="30765"/>
    <cellStyle name="Normal 5 2 3 2 2 8" xfId="18807"/>
    <cellStyle name="Normal 5 2 3 2 2 8 2" xfId="35028"/>
    <cellStyle name="Normal 5 2 3 2 2 9" xfId="28344"/>
    <cellStyle name="Normal 5 2 3 2 3" xfId="8425"/>
    <cellStyle name="Normal 5 2 3 2 3 2" xfId="8426"/>
    <cellStyle name="Normal 5 2 3 2 3 2 2" xfId="8427"/>
    <cellStyle name="Normal 5 2 3 2 3 2 2 2" xfId="13022"/>
    <cellStyle name="Normal 5 2 3 2 3 2 2 2 2" xfId="20578"/>
    <cellStyle name="Normal 5 2 3 2 3 2 2 2 2 2" xfId="36799"/>
    <cellStyle name="Normal 5 2 3 2 3 2 2 2 3" xfId="30111"/>
    <cellStyle name="Normal 5 2 3 2 3 2 2 3" xfId="17052"/>
    <cellStyle name="Normal 5 2 3 2 3 2 2 3 2" xfId="33273"/>
    <cellStyle name="Normal 5 2 3 2 3 2 2 4" xfId="18821"/>
    <cellStyle name="Normal 5 2 3 2 3 2 2 4 2" xfId="35042"/>
    <cellStyle name="Normal 5 2 3 2 3 2 2 5" xfId="28358"/>
    <cellStyle name="Normal 5 2 3 2 3 2 3" xfId="13021"/>
    <cellStyle name="Normal 5 2 3 2 3 2 3 2" xfId="20577"/>
    <cellStyle name="Normal 5 2 3 2 3 2 3 2 2" xfId="36798"/>
    <cellStyle name="Normal 5 2 3 2 3 2 3 3" xfId="30110"/>
    <cellStyle name="Normal 5 2 3 2 3 2 4" xfId="15467"/>
    <cellStyle name="Normal 5 2 3 2 3 2 4 2" xfId="31689"/>
    <cellStyle name="Normal 5 2 3 2 3 2 5" xfId="18820"/>
    <cellStyle name="Normal 5 2 3 2 3 2 5 2" xfId="35041"/>
    <cellStyle name="Normal 5 2 3 2 3 2 6" xfId="28357"/>
    <cellStyle name="Normal 5 2 3 2 3 3" xfId="8428"/>
    <cellStyle name="Normal 5 2 3 2 3 3 2" xfId="13023"/>
    <cellStyle name="Normal 5 2 3 2 3 3 2 2" xfId="20579"/>
    <cellStyle name="Normal 5 2 3 2 3 3 2 2 2" xfId="36800"/>
    <cellStyle name="Normal 5 2 3 2 3 3 2 3" xfId="30112"/>
    <cellStyle name="Normal 5 2 3 2 3 3 3" xfId="16260"/>
    <cellStyle name="Normal 5 2 3 2 3 3 3 2" xfId="32481"/>
    <cellStyle name="Normal 5 2 3 2 3 3 4" xfId="18822"/>
    <cellStyle name="Normal 5 2 3 2 3 3 4 2" xfId="35043"/>
    <cellStyle name="Normal 5 2 3 2 3 3 5" xfId="28359"/>
    <cellStyle name="Normal 5 2 3 2 3 4" xfId="13020"/>
    <cellStyle name="Normal 5 2 3 2 3 4 2" xfId="20576"/>
    <cellStyle name="Normal 5 2 3 2 3 4 2 2" xfId="36797"/>
    <cellStyle name="Normal 5 2 3 2 3 4 3" xfId="30109"/>
    <cellStyle name="Normal 5 2 3 2 3 5" xfId="14675"/>
    <cellStyle name="Normal 5 2 3 2 3 5 2" xfId="30897"/>
    <cellStyle name="Normal 5 2 3 2 3 6" xfId="18819"/>
    <cellStyle name="Normal 5 2 3 2 3 6 2" xfId="35040"/>
    <cellStyle name="Normal 5 2 3 2 3 7" xfId="28356"/>
    <cellStyle name="Normal 5 2 3 2 4" xfId="8429"/>
    <cellStyle name="Normal 5 2 3 2 4 2" xfId="8430"/>
    <cellStyle name="Normal 5 2 3 2 4 2 2" xfId="8431"/>
    <cellStyle name="Normal 5 2 3 2 4 2 2 2" xfId="13026"/>
    <cellStyle name="Normal 5 2 3 2 4 2 2 2 2" xfId="20582"/>
    <cellStyle name="Normal 5 2 3 2 4 2 2 2 2 2" xfId="36803"/>
    <cellStyle name="Normal 5 2 3 2 4 2 2 2 3" xfId="30115"/>
    <cellStyle name="Normal 5 2 3 2 4 2 2 3" xfId="17316"/>
    <cellStyle name="Normal 5 2 3 2 4 2 2 3 2" xfId="33537"/>
    <cellStyle name="Normal 5 2 3 2 4 2 2 4" xfId="18825"/>
    <cellStyle name="Normal 5 2 3 2 4 2 2 4 2" xfId="35046"/>
    <cellStyle name="Normal 5 2 3 2 4 2 2 5" xfId="28362"/>
    <cellStyle name="Normal 5 2 3 2 4 2 3" xfId="13025"/>
    <cellStyle name="Normal 5 2 3 2 4 2 3 2" xfId="20581"/>
    <cellStyle name="Normal 5 2 3 2 4 2 3 2 2" xfId="36802"/>
    <cellStyle name="Normal 5 2 3 2 4 2 3 3" xfId="30114"/>
    <cellStyle name="Normal 5 2 3 2 4 2 4" xfId="15731"/>
    <cellStyle name="Normal 5 2 3 2 4 2 4 2" xfId="31953"/>
    <cellStyle name="Normal 5 2 3 2 4 2 5" xfId="18824"/>
    <cellStyle name="Normal 5 2 3 2 4 2 5 2" xfId="35045"/>
    <cellStyle name="Normal 5 2 3 2 4 2 6" xfId="28361"/>
    <cellStyle name="Normal 5 2 3 2 4 3" xfId="8432"/>
    <cellStyle name="Normal 5 2 3 2 4 3 2" xfId="13027"/>
    <cellStyle name="Normal 5 2 3 2 4 3 2 2" xfId="20583"/>
    <cellStyle name="Normal 5 2 3 2 4 3 2 2 2" xfId="36804"/>
    <cellStyle name="Normal 5 2 3 2 4 3 2 3" xfId="30116"/>
    <cellStyle name="Normal 5 2 3 2 4 3 3" xfId="16524"/>
    <cellStyle name="Normal 5 2 3 2 4 3 3 2" xfId="32745"/>
    <cellStyle name="Normal 5 2 3 2 4 3 4" xfId="18826"/>
    <cellStyle name="Normal 5 2 3 2 4 3 4 2" xfId="35047"/>
    <cellStyle name="Normal 5 2 3 2 4 3 5" xfId="28363"/>
    <cellStyle name="Normal 5 2 3 2 4 4" xfId="13024"/>
    <cellStyle name="Normal 5 2 3 2 4 4 2" xfId="20580"/>
    <cellStyle name="Normal 5 2 3 2 4 4 2 2" xfId="36801"/>
    <cellStyle name="Normal 5 2 3 2 4 4 3" xfId="30113"/>
    <cellStyle name="Normal 5 2 3 2 4 5" xfId="14939"/>
    <cellStyle name="Normal 5 2 3 2 4 5 2" xfId="31161"/>
    <cellStyle name="Normal 5 2 3 2 4 6" xfId="18823"/>
    <cellStyle name="Normal 5 2 3 2 4 6 2" xfId="35044"/>
    <cellStyle name="Normal 5 2 3 2 4 7" xfId="28360"/>
    <cellStyle name="Normal 5 2 3 2 5" xfId="8433"/>
    <cellStyle name="Normal 5 2 3 2 5 2" xfId="8434"/>
    <cellStyle name="Normal 5 2 3 2 5 2 2" xfId="13029"/>
    <cellStyle name="Normal 5 2 3 2 5 2 2 2" xfId="20585"/>
    <cellStyle name="Normal 5 2 3 2 5 2 2 2 2" xfId="36806"/>
    <cellStyle name="Normal 5 2 3 2 5 2 2 3" xfId="30118"/>
    <cellStyle name="Normal 5 2 3 2 5 2 3" xfId="16788"/>
    <cellStyle name="Normal 5 2 3 2 5 2 3 2" xfId="33009"/>
    <cellStyle name="Normal 5 2 3 2 5 2 4" xfId="18828"/>
    <cellStyle name="Normal 5 2 3 2 5 2 4 2" xfId="35049"/>
    <cellStyle name="Normal 5 2 3 2 5 2 5" xfId="28365"/>
    <cellStyle name="Normal 5 2 3 2 5 3" xfId="13028"/>
    <cellStyle name="Normal 5 2 3 2 5 3 2" xfId="20584"/>
    <cellStyle name="Normal 5 2 3 2 5 3 2 2" xfId="36805"/>
    <cellStyle name="Normal 5 2 3 2 5 3 3" xfId="30117"/>
    <cellStyle name="Normal 5 2 3 2 5 4" xfId="15203"/>
    <cellStyle name="Normal 5 2 3 2 5 4 2" xfId="31425"/>
    <cellStyle name="Normal 5 2 3 2 5 5" xfId="18827"/>
    <cellStyle name="Normal 5 2 3 2 5 5 2" xfId="35048"/>
    <cellStyle name="Normal 5 2 3 2 5 6" xfId="28364"/>
    <cellStyle name="Normal 5 2 3 2 6" xfId="8435"/>
    <cellStyle name="Normal 5 2 3 2 6 2" xfId="13030"/>
    <cellStyle name="Normal 5 2 3 2 6 2 2" xfId="20586"/>
    <cellStyle name="Normal 5 2 3 2 6 2 2 2" xfId="36807"/>
    <cellStyle name="Normal 5 2 3 2 6 2 3" xfId="30119"/>
    <cellStyle name="Normal 5 2 3 2 6 3" xfId="15996"/>
    <cellStyle name="Normal 5 2 3 2 6 3 2" xfId="32217"/>
    <cellStyle name="Normal 5 2 3 2 6 4" xfId="18829"/>
    <cellStyle name="Normal 5 2 3 2 6 4 2" xfId="35050"/>
    <cellStyle name="Normal 5 2 3 2 6 5" xfId="28366"/>
    <cellStyle name="Normal 5 2 3 2 7" xfId="13007"/>
    <cellStyle name="Normal 5 2 3 2 7 2" xfId="20563"/>
    <cellStyle name="Normal 5 2 3 2 7 2 2" xfId="36784"/>
    <cellStyle name="Normal 5 2 3 2 7 3" xfId="30096"/>
    <cellStyle name="Normal 5 2 3 2 8" xfId="14411"/>
    <cellStyle name="Normal 5 2 3 2 8 2" xfId="30633"/>
    <cellStyle name="Normal 5 2 3 2 9" xfId="18806"/>
    <cellStyle name="Normal 5 2 3 2 9 2" xfId="35027"/>
    <cellStyle name="Normal 5 2 3 3" xfId="8436"/>
    <cellStyle name="Normal 5 2 3 3 2" xfId="8437"/>
    <cellStyle name="Normal 5 2 3 3 2 2" xfId="8438"/>
    <cellStyle name="Normal 5 2 3 3 2 2 2" xfId="8439"/>
    <cellStyle name="Normal 5 2 3 3 2 2 2 2" xfId="13034"/>
    <cellStyle name="Normal 5 2 3 3 2 2 2 2 2" xfId="20590"/>
    <cellStyle name="Normal 5 2 3 3 2 2 2 2 2 2" xfId="36811"/>
    <cellStyle name="Normal 5 2 3 3 2 2 2 2 3" xfId="30123"/>
    <cellStyle name="Normal 5 2 3 3 2 2 2 3" xfId="17118"/>
    <cellStyle name="Normal 5 2 3 3 2 2 2 3 2" xfId="33339"/>
    <cellStyle name="Normal 5 2 3 3 2 2 2 4" xfId="18833"/>
    <cellStyle name="Normal 5 2 3 3 2 2 2 4 2" xfId="35054"/>
    <cellStyle name="Normal 5 2 3 3 2 2 2 5" xfId="28370"/>
    <cellStyle name="Normal 5 2 3 3 2 2 3" xfId="13033"/>
    <cellStyle name="Normal 5 2 3 3 2 2 3 2" xfId="20589"/>
    <cellStyle name="Normal 5 2 3 3 2 2 3 2 2" xfId="36810"/>
    <cellStyle name="Normal 5 2 3 3 2 2 3 3" xfId="30122"/>
    <cellStyle name="Normal 5 2 3 3 2 2 4" xfId="15533"/>
    <cellStyle name="Normal 5 2 3 3 2 2 4 2" xfId="31755"/>
    <cellStyle name="Normal 5 2 3 3 2 2 5" xfId="18832"/>
    <cellStyle name="Normal 5 2 3 3 2 2 5 2" xfId="35053"/>
    <cellStyle name="Normal 5 2 3 3 2 2 6" xfId="28369"/>
    <cellStyle name="Normal 5 2 3 3 2 3" xfId="8440"/>
    <cellStyle name="Normal 5 2 3 3 2 3 2" xfId="13035"/>
    <cellStyle name="Normal 5 2 3 3 2 3 2 2" xfId="20591"/>
    <cellStyle name="Normal 5 2 3 3 2 3 2 2 2" xfId="36812"/>
    <cellStyle name="Normal 5 2 3 3 2 3 2 3" xfId="30124"/>
    <cellStyle name="Normal 5 2 3 3 2 3 3" xfId="16326"/>
    <cellStyle name="Normal 5 2 3 3 2 3 3 2" xfId="32547"/>
    <cellStyle name="Normal 5 2 3 3 2 3 4" xfId="18834"/>
    <cellStyle name="Normal 5 2 3 3 2 3 4 2" xfId="35055"/>
    <cellStyle name="Normal 5 2 3 3 2 3 5" xfId="28371"/>
    <cellStyle name="Normal 5 2 3 3 2 4" xfId="13032"/>
    <cellStyle name="Normal 5 2 3 3 2 4 2" xfId="20588"/>
    <cellStyle name="Normal 5 2 3 3 2 4 2 2" xfId="36809"/>
    <cellStyle name="Normal 5 2 3 3 2 4 3" xfId="30121"/>
    <cellStyle name="Normal 5 2 3 3 2 5" xfId="14741"/>
    <cellStyle name="Normal 5 2 3 3 2 5 2" xfId="30963"/>
    <cellStyle name="Normal 5 2 3 3 2 6" xfId="18831"/>
    <cellStyle name="Normal 5 2 3 3 2 6 2" xfId="35052"/>
    <cellStyle name="Normal 5 2 3 3 2 7" xfId="28368"/>
    <cellStyle name="Normal 5 2 3 3 3" xfId="8441"/>
    <cellStyle name="Normal 5 2 3 3 3 2" xfId="8442"/>
    <cellStyle name="Normal 5 2 3 3 3 2 2" xfId="8443"/>
    <cellStyle name="Normal 5 2 3 3 3 2 2 2" xfId="13038"/>
    <cellStyle name="Normal 5 2 3 3 3 2 2 2 2" xfId="20594"/>
    <cellStyle name="Normal 5 2 3 3 3 2 2 2 2 2" xfId="36815"/>
    <cellStyle name="Normal 5 2 3 3 3 2 2 2 3" xfId="30127"/>
    <cellStyle name="Normal 5 2 3 3 3 2 2 3" xfId="17382"/>
    <cellStyle name="Normal 5 2 3 3 3 2 2 3 2" xfId="33603"/>
    <cellStyle name="Normal 5 2 3 3 3 2 2 4" xfId="18837"/>
    <cellStyle name="Normal 5 2 3 3 3 2 2 4 2" xfId="35058"/>
    <cellStyle name="Normal 5 2 3 3 3 2 2 5" xfId="28374"/>
    <cellStyle name="Normal 5 2 3 3 3 2 3" xfId="13037"/>
    <cellStyle name="Normal 5 2 3 3 3 2 3 2" xfId="20593"/>
    <cellStyle name="Normal 5 2 3 3 3 2 3 2 2" xfId="36814"/>
    <cellStyle name="Normal 5 2 3 3 3 2 3 3" xfId="30126"/>
    <cellStyle name="Normal 5 2 3 3 3 2 4" xfId="15797"/>
    <cellStyle name="Normal 5 2 3 3 3 2 4 2" xfId="32019"/>
    <cellStyle name="Normal 5 2 3 3 3 2 5" xfId="18836"/>
    <cellStyle name="Normal 5 2 3 3 3 2 5 2" xfId="35057"/>
    <cellStyle name="Normal 5 2 3 3 3 2 6" xfId="28373"/>
    <cellStyle name="Normal 5 2 3 3 3 3" xfId="8444"/>
    <cellStyle name="Normal 5 2 3 3 3 3 2" xfId="13039"/>
    <cellStyle name="Normal 5 2 3 3 3 3 2 2" xfId="20595"/>
    <cellStyle name="Normal 5 2 3 3 3 3 2 2 2" xfId="36816"/>
    <cellStyle name="Normal 5 2 3 3 3 3 2 3" xfId="30128"/>
    <cellStyle name="Normal 5 2 3 3 3 3 3" xfId="16590"/>
    <cellStyle name="Normal 5 2 3 3 3 3 3 2" xfId="32811"/>
    <cellStyle name="Normal 5 2 3 3 3 3 4" xfId="18838"/>
    <cellStyle name="Normal 5 2 3 3 3 3 4 2" xfId="35059"/>
    <cellStyle name="Normal 5 2 3 3 3 3 5" xfId="28375"/>
    <cellStyle name="Normal 5 2 3 3 3 4" xfId="13036"/>
    <cellStyle name="Normal 5 2 3 3 3 4 2" xfId="20592"/>
    <cellStyle name="Normal 5 2 3 3 3 4 2 2" xfId="36813"/>
    <cellStyle name="Normal 5 2 3 3 3 4 3" xfId="30125"/>
    <cellStyle name="Normal 5 2 3 3 3 5" xfId="15005"/>
    <cellStyle name="Normal 5 2 3 3 3 5 2" xfId="31227"/>
    <cellStyle name="Normal 5 2 3 3 3 6" xfId="18835"/>
    <cellStyle name="Normal 5 2 3 3 3 6 2" xfId="35056"/>
    <cellStyle name="Normal 5 2 3 3 3 7" xfId="28372"/>
    <cellStyle name="Normal 5 2 3 3 4" xfId="8445"/>
    <cellStyle name="Normal 5 2 3 3 4 2" xfId="8446"/>
    <cellStyle name="Normal 5 2 3 3 4 2 2" xfId="13041"/>
    <cellStyle name="Normal 5 2 3 3 4 2 2 2" xfId="20597"/>
    <cellStyle name="Normal 5 2 3 3 4 2 2 2 2" xfId="36818"/>
    <cellStyle name="Normal 5 2 3 3 4 2 2 3" xfId="30130"/>
    <cellStyle name="Normal 5 2 3 3 4 2 3" xfId="16854"/>
    <cellStyle name="Normal 5 2 3 3 4 2 3 2" xfId="33075"/>
    <cellStyle name="Normal 5 2 3 3 4 2 4" xfId="18840"/>
    <cellStyle name="Normal 5 2 3 3 4 2 4 2" xfId="35061"/>
    <cellStyle name="Normal 5 2 3 3 4 2 5" xfId="28377"/>
    <cellStyle name="Normal 5 2 3 3 4 3" xfId="13040"/>
    <cellStyle name="Normal 5 2 3 3 4 3 2" xfId="20596"/>
    <cellStyle name="Normal 5 2 3 3 4 3 2 2" xfId="36817"/>
    <cellStyle name="Normal 5 2 3 3 4 3 3" xfId="30129"/>
    <cellStyle name="Normal 5 2 3 3 4 4" xfId="15269"/>
    <cellStyle name="Normal 5 2 3 3 4 4 2" xfId="31491"/>
    <cellStyle name="Normal 5 2 3 3 4 5" xfId="18839"/>
    <cellStyle name="Normal 5 2 3 3 4 5 2" xfId="35060"/>
    <cellStyle name="Normal 5 2 3 3 4 6" xfId="28376"/>
    <cellStyle name="Normal 5 2 3 3 5" xfId="8447"/>
    <cellStyle name="Normal 5 2 3 3 5 2" xfId="13042"/>
    <cellStyle name="Normal 5 2 3 3 5 2 2" xfId="20598"/>
    <cellStyle name="Normal 5 2 3 3 5 2 2 2" xfId="36819"/>
    <cellStyle name="Normal 5 2 3 3 5 2 3" xfId="30131"/>
    <cellStyle name="Normal 5 2 3 3 5 3" xfId="16062"/>
    <cellStyle name="Normal 5 2 3 3 5 3 2" xfId="32283"/>
    <cellStyle name="Normal 5 2 3 3 5 4" xfId="18841"/>
    <cellStyle name="Normal 5 2 3 3 5 4 2" xfId="35062"/>
    <cellStyle name="Normal 5 2 3 3 5 5" xfId="28378"/>
    <cellStyle name="Normal 5 2 3 3 6" xfId="13031"/>
    <cellStyle name="Normal 5 2 3 3 6 2" xfId="20587"/>
    <cellStyle name="Normal 5 2 3 3 6 2 2" xfId="36808"/>
    <cellStyle name="Normal 5 2 3 3 6 3" xfId="30120"/>
    <cellStyle name="Normal 5 2 3 3 7" xfId="14477"/>
    <cellStyle name="Normal 5 2 3 3 7 2" xfId="30699"/>
    <cellStyle name="Normal 5 2 3 3 8" xfId="18830"/>
    <cellStyle name="Normal 5 2 3 3 8 2" xfId="35051"/>
    <cellStyle name="Normal 5 2 3 3 9" xfId="28367"/>
    <cellStyle name="Normal 5 2 3 4" xfId="8448"/>
    <cellStyle name="Normal 5 2 3 4 2" xfId="8449"/>
    <cellStyle name="Normal 5 2 3 4 2 2" xfId="8450"/>
    <cellStyle name="Normal 5 2 3 4 2 2 2" xfId="13045"/>
    <cellStyle name="Normal 5 2 3 4 2 2 2 2" xfId="20601"/>
    <cellStyle name="Normal 5 2 3 4 2 2 2 2 2" xfId="36822"/>
    <cellStyle name="Normal 5 2 3 4 2 2 2 3" xfId="30134"/>
    <cellStyle name="Normal 5 2 3 4 2 2 3" xfId="16986"/>
    <cellStyle name="Normal 5 2 3 4 2 2 3 2" xfId="33207"/>
    <cellStyle name="Normal 5 2 3 4 2 2 4" xfId="18844"/>
    <cellStyle name="Normal 5 2 3 4 2 2 4 2" xfId="35065"/>
    <cellStyle name="Normal 5 2 3 4 2 2 5" xfId="28381"/>
    <cellStyle name="Normal 5 2 3 4 2 3" xfId="13044"/>
    <cellStyle name="Normal 5 2 3 4 2 3 2" xfId="20600"/>
    <cellStyle name="Normal 5 2 3 4 2 3 2 2" xfId="36821"/>
    <cellStyle name="Normal 5 2 3 4 2 3 3" xfId="30133"/>
    <cellStyle name="Normal 5 2 3 4 2 4" xfId="15401"/>
    <cellStyle name="Normal 5 2 3 4 2 4 2" xfId="31623"/>
    <cellStyle name="Normal 5 2 3 4 2 5" xfId="18843"/>
    <cellStyle name="Normal 5 2 3 4 2 5 2" xfId="35064"/>
    <cellStyle name="Normal 5 2 3 4 2 6" xfId="28380"/>
    <cellStyle name="Normal 5 2 3 4 3" xfId="8451"/>
    <cellStyle name="Normal 5 2 3 4 3 2" xfId="13046"/>
    <cellStyle name="Normal 5 2 3 4 3 2 2" xfId="20602"/>
    <cellStyle name="Normal 5 2 3 4 3 2 2 2" xfId="36823"/>
    <cellStyle name="Normal 5 2 3 4 3 2 3" xfId="30135"/>
    <cellStyle name="Normal 5 2 3 4 3 3" xfId="16194"/>
    <cellStyle name="Normal 5 2 3 4 3 3 2" xfId="32415"/>
    <cellStyle name="Normal 5 2 3 4 3 4" xfId="18845"/>
    <cellStyle name="Normal 5 2 3 4 3 4 2" xfId="35066"/>
    <cellStyle name="Normal 5 2 3 4 3 5" xfId="28382"/>
    <cellStyle name="Normal 5 2 3 4 4" xfId="13043"/>
    <cellStyle name="Normal 5 2 3 4 4 2" xfId="20599"/>
    <cellStyle name="Normal 5 2 3 4 4 2 2" xfId="36820"/>
    <cellStyle name="Normal 5 2 3 4 4 3" xfId="30132"/>
    <cellStyle name="Normal 5 2 3 4 5" xfId="14609"/>
    <cellStyle name="Normal 5 2 3 4 5 2" xfId="30831"/>
    <cellStyle name="Normal 5 2 3 4 6" xfId="18842"/>
    <cellStyle name="Normal 5 2 3 4 6 2" xfId="35063"/>
    <cellStyle name="Normal 5 2 3 4 7" xfId="28379"/>
    <cellStyle name="Normal 5 2 3 5" xfId="8452"/>
    <cellStyle name="Normal 5 2 3 5 2" xfId="8453"/>
    <cellStyle name="Normal 5 2 3 5 2 2" xfId="8454"/>
    <cellStyle name="Normal 5 2 3 5 2 2 2" xfId="13049"/>
    <cellStyle name="Normal 5 2 3 5 2 2 2 2" xfId="20605"/>
    <cellStyle name="Normal 5 2 3 5 2 2 2 2 2" xfId="36826"/>
    <cellStyle name="Normal 5 2 3 5 2 2 2 3" xfId="30138"/>
    <cellStyle name="Normal 5 2 3 5 2 2 3" xfId="17250"/>
    <cellStyle name="Normal 5 2 3 5 2 2 3 2" xfId="33471"/>
    <cellStyle name="Normal 5 2 3 5 2 2 4" xfId="18848"/>
    <cellStyle name="Normal 5 2 3 5 2 2 4 2" xfId="35069"/>
    <cellStyle name="Normal 5 2 3 5 2 2 5" xfId="28385"/>
    <cellStyle name="Normal 5 2 3 5 2 3" xfId="13048"/>
    <cellStyle name="Normal 5 2 3 5 2 3 2" xfId="20604"/>
    <cellStyle name="Normal 5 2 3 5 2 3 2 2" xfId="36825"/>
    <cellStyle name="Normal 5 2 3 5 2 3 3" xfId="30137"/>
    <cellStyle name="Normal 5 2 3 5 2 4" xfId="15665"/>
    <cellStyle name="Normal 5 2 3 5 2 4 2" xfId="31887"/>
    <cellStyle name="Normal 5 2 3 5 2 5" xfId="18847"/>
    <cellStyle name="Normal 5 2 3 5 2 5 2" xfId="35068"/>
    <cellStyle name="Normal 5 2 3 5 2 6" xfId="28384"/>
    <cellStyle name="Normal 5 2 3 5 3" xfId="8455"/>
    <cellStyle name="Normal 5 2 3 5 3 2" xfId="13050"/>
    <cellStyle name="Normal 5 2 3 5 3 2 2" xfId="20606"/>
    <cellStyle name="Normal 5 2 3 5 3 2 2 2" xfId="36827"/>
    <cellStyle name="Normal 5 2 3 5 3 2 3" xfId="30139"/>
    <cellStyle name="Normal 5 2 3 5 3 3" xfId="16458"/>
    <cellStyle name="Normal 5 2 3 5 3 3 2" xfId="32679"/>
    <cellStyle name="Normal 5 2 3 5 3 4" xfId="18849"/>
    <cellStyle name="Normal 5 2 3 5 3 4 2" xfId="35070"/>
    <cellStyle name="Normal 5 2 3 5 3 5" xfId="28386"/>
    <cellStyle name="Normal 5 2 3 5 4" xfId="13047"/>
    <cellStyle name="Normal 5 2 3 5 4 2" xfId="20603"/>
    <cellStyle name="Normal 5 2 3 5 4 2 2" xfId="36824"/>
    <cellStyle name="Normal 5 2 3 5 4 3" xfId="30136"/>
    <cellStyle name="Normal 5 2 3 5 5" xfId="14873"/>
    <cellStyle name="Normal 5 2 3 5 5 2" xfId="31095"/>
    <cellStyle name="Normal 5 2 3 5 6" xfId="18846"/>
    <cellStyle name="Normal 5 2 3 5 6 2" xfId="35067"/>
    <cellStyle name="Normal 5 2 3 5 7" xfId="28383"/>
    <cellStyle name="Normal 5 2 3 6" xfId="8456"/>
    <cellStyle name="Normal 5 2 3 6 2" xfId="8457"/>
    <cellStyle name="Normal 5 2 3 6 2 2" xfId="13052"/>
    <cellStyle name="Normal 5 2 3 6 2 2 2" xfId="20608"/>
    <cellStyle name="Normal 5 2 3 6 2 2 2 2" xfId="36829"/>
    <cellStyle name="Normal 5 2 3 6 2 2 3" xfId="30141"/>
    <cellStyle name="Normal 5 2 3 6 2 3" xfId="16722"/>
    <cellStyle name="Normal 5 2 3 6 2 3 2" xfId="32943"/>
    <cellStyle name="Normal 5 2 3 6 2 4" xfId="18851"/>
    <cellStyle name="Normal 5 2 3 6 2 4 2" xfId="35072"/>
    <cellStyle name="Normal 5 2 3 6 2 5" xfId="28388"/>
    <cellStyle name="Normal 5 2 3 6 3" xfId="13051"/>
    <cellStyle name="Normal 5 2 3 6 3 2" xfId="20607"/>
    <cellStyle name="Normal 5 2 3 6 3 2 2" xfId="36828"/>
    <cellStyle name="Normal 5 2 3 6 3 3" xfId="30140"/>
    <cellStyle name="Normal 5 2 3 6 4" xfId="15137"/>
    <cellStyle name="Normal 5 2 3 6 4 2" xfId="31359"/>
    <cellStyle name="Normal 5 2 3 6 5" xfId="18850"/>
    <cellStyle name="Normal 5 2 3 6 5 2" xfId="35071"/>
    <cellStyle name="Normal 5 2 3 6 6" xfId="28387"/>
    <cellStyle name="Normal 5 2 3 7" xfId="8458"/>
    <cellStyle name="Normal 5 2 3 7 2" xfId="13053"/>
    <cellStyle name="Normal 5 2 3 7 2 2" xfId="20609"/>
    <cellStyle name="Normal 5 2 3 7 2 2 2" xfId="36830"/>
    <cellStyle name="Normal 5 2 3 7 2 3" xfId="30142"/>
    <cellStyle name="Normal 5 2 3 7 3" xfId="15930"/>
    <cellStyle name="Normal 5 2 3 7 3 2" xfId="32151"/>
    <cellStyle name="Normal 5 2 3 7 4" xfId="18852"/>
    <cellStyle name="Normal 5 2 3 7 4 2" xfId="35073"/>
    <cellStyle name="Normal 5 2 3 7 5" xfId="28389"/>
    <cellStyle name="Normal 5 2 3 8" xfId="13006"/>
    <cellStyle name="Normal 5 2 3 8 2" xfId="20562"/>
    <cellStyle name="Normal 5 2 3 8 2 2" xfId="36783"/>
    <cellStyle name="Normal 5 2 3 8 3" xfId="30095"/>
    <cellStyle name="Normal 5 2 3 9" xfId="14345"/>
    <cellStyle name="Normal 5 2 3 9 2" xfId="30567"/>
    <cellStyle name="Normal 5 2 4" xfId="8459"/>
    <cellStyle name="Normal 5 2 4 10" xfId="28390"/>
    <cellStyle name="Normal 5 2 4 2" xfId="8460"/>
    <cellStyle name="Normal 5 2 4 2 2" xfId="8461"/>
    <cellStyle name="Normal 5 2 4 2 2 2" xfId="8462"/>
    <cellStyle name="Normal 5 2 4 2 2 2 2" xfId="8463"/>
    <cellStyle name="Normal 5 2 4 2 2 2 2 2" xfId="13058"/>
    <cellStyle name="Normal 5 2 4 2 2 2 2 2 2" xfId="20614"/>
    <cellStyle name="Normal 5 2 4 2 2 2 2 2 2 2" xfId="36835"/>
    <cellStyle name="Normal 5 2 4 2 2 2 2 2 3" xfId="30147"/>
    <cellStyle name="Normal 5 2 4 2 2 2 2 3" xfId="17151"/>
    <cellStyle name="Normal 5 2 4 2 2 2 2 3 2" xfId="33372"/>
    <cellStyle name="Normal 5 2 4 2 2 2 2 4" xfId="18857"/>
    <cellStyle name="Normal 5 2 4 2 2 2 2 4 2" xfId="35078"/>
    <cellStyle name="Normal 5 2 4 2 2 2 2 5" xfId="28394"/>
    <cellStyle name="Normal 5 2 4 2 2 2 3" xfId="13057"/>
    <cellStyle name="Normal 5 2 4 2 2 2 3 2" xfId="20613"/>
    <cellStyle name="Normal 5 2 4 2 2 2 3 2 2" xfId="36834"/>
    <cellStyle name="Normal 5 2 4 2 2 2 3 3" xfId="30146"/>
    <cellStyle name="Normal 5 2 4 2 2 2 4" xfId="15566"/>
    <cellStyle name="Normal 5 2 4 2 2 2 4 2" xfId="31788"/>
    <cellStyle name="Normal 5 2 4 2 2 2 5" xfId="18856"/>
    <cellStyle name="Normal 5 2 4 2 2 2 5 2" xfId="35077"/>
    <cellStyle name="Normal 5 2 4 2 2 2 6" xfId="28393"/>
    <cellStyle name="Normal 5 2 4 2 2 3" xfId="8464"/>
    <cellStyle name="Normal 5 2 4 2 2 3 2" xfId="13059"/>
    <cellStyle name="Normal 5 2 4 2 2 3 2 2" xfId="20615"/>
    <cellStyle name="Normal 5 2 4 2 2 3 2 2 2" xfId="36836"/>
    <cellStyle name="Normal 5 2 4 2 2 3 2 3" xfId="30148"/>
    <cellStyle name="Normal 5 2 4 2 2 3 3" xfId="16359"/>
    <cellStyle name="Normal 5 2 4 2 2 3 3 2" xfId="32580"/>
    <cellStyle name="Normal 5 2 4 2 2 3 4" xfId="18858"/>
    <cellStyle name="Normal 5 2 4 2 2 3 4 2" xfId="35079"/>
    <cellStyle name="Normal 5 2 4 2 2 3 5" xfId="28395"/>
    <cellStyle name="Normal 5 2 4 2 2 4" xfId="13056"/>
    <cellStyle name="Normal 5 2 4 2 2 4 2" xfId="20612"/>
    <cellStyle name="Normal 5 2 4 2 2 4 2 2" xfId="36833"/>
    <cellStyle name="Normal 5 2 4 2 2 4 3" xfId="30145"/>
    <cellStyle name="Normal 5 2 4 2 2 5" xfId="14774"/>
    <cellStyle name="Normal 5 2 4 2 2 5 2" xfId="30996"/>
    <cellStyle name="Normal 5 2 4 2 2 6" xfId="18855"/>
    <cellStyle name="Normal 5 2 4 2 2 6 2" xfId="35076"/>
    <cellStyle name="Normal 5 2 4 2 2 7" xfId="28392"/>
    <cellStyle name="Normal 5 2 4 2 3" xfId="8465"/>
    <cellStyle name="Normal 5 2 4 2 3 2" xfId="8466"/>
    <cellStyle name="Normal 5 2 4 2 3 2 2" xfId="8467"/>
    <cellStyle name="Normal 5 2 4 2 3 2 2 2" xfId="13062"/>
    <cellStyle name="Normal 5 2 4 2 3 2 2 2 2" xfId="20618"/>
    <cellStyle name="Normal 5 2 4 2 3 2 2 2 2 2" xfId="36839"/>
    <cellStyle name="Normal 5 2 4 2 3 2 2 2 3" xfId="30151"/>
    <cellStyle name="Normal 5 2 4 2 3 2 2 3" xfId="17415"/>
    <cellStyle name="Normal 5 2 4 2 3 2 2 3 2" xfId="33636"/>
    <cellStyle name="Normal 5 2 4 2 3 2 2 4" xfId="18861"/>
    <cellStyle name="Normal 5 2 4 2 3 2 2 4 2" xfId="35082"/>
    <cellStyle name="Normal 5 2 4 2 3 2 2 5" xfId="28398"/>
    <cellStyle name="Normal 5 2 4 2 3 2 3" xfId="13061"/>
    <cellStyle name="Normal 5 2 4 2 3 2 3 2" xfId="20617"/>
    <cellStyle name="Normal 5 2 4 2 3 2 3 2 2" xfId="36838"/>
    <cellStyle name="Normal 5 2 4 2 3 2 3 3" xfId="30150"/>
    <cellStyle name="Normal 5 2 4 2 3 2 4" xfId="15830"/>
    <cellStyle name="Normal 5 2 4 2 3 2 4 2" xfId="32052"/>
    <cellStyle name="Normal 5 2 4 2 3 2 5" xfId="18860"/>
    <cellStyle name="Normal 5 2 4 2 3 2 5 2" xfId="35081"/>
    <cellStyle name="Normal 5 2 4 2 3 2 6" xfId="28397"/>
    <cellStyle name="Normal 5 2 4 2 3 3" xfId="8468"/>
    <cellStyle name="Normal 5 2 4 2 3 3 2" xfId="13063"/>
    <cellStyle name="Normal 5 2 4 2 3 3 2 2" xfId="20619"/>
    <cellStyle name="Normal 5 2 4 2 3 3 2 2 2" xfId="36840"/>
    <cellStyle name="Normal 5 2 4 2 3 3 2 3" xfId="30152"/>
    <cellStyle name="Normal 5 2 4 2 3 3 3" xfId="16623"/>
    <cellStyle name="Normal 5 2 4 2 3 3 3 2" xfId="32844"/>
    <cellStyle name="Normal 5 2 4 2 3 3 4" xfId="18862"/>
    <cellStyle name="Normal 5 2 4 2 3 3 4 2" xfId="35083"/>
    <cellStyle name="Normal 5 2 4 2 3 3 5" xfId="28399"/>
    <cellStyle name="Normal 5 2 4 2 3 4" xfId="13060"/>
    <cellStyle name="Normal 5 2 4 2 3 4 2" xfId="20616"/>
    <cellStyle name="Normal 5 2 4 2 3 4 2 2" xfId="36837"/>
    <cellStyle name="Normal 5 2 4 2 3 4 3" xfId="30149"/>
    <cellStyle name="Normal 5 2 4 2 3 5" xfId="15038"/>
    <cellStyle name="Normal 5 2 4 2 3 5 2" xfId="31260"/>
    <cellStyle name="Normal 5 2 4 2 3 6" xfId="18859"/>
    <cellStyle name="Normal 5 2 4 2 3 6 2" xfId="35080"/>
    <cellStyle name="Normal 5 2 4 2 3 7" xfId="28396"/>
    <cellStyle name="Normal 5 2 4 2 4" xfId="8469"/>
    <cellStyle name="Normal 5 2 4 2 4 2" xfId="8470"/>
    <cellStyle name="Normal 5 2 4 2 4 2 2" xfId="13065"/>
    <cellStyle name="Normal 5 2 4 2 4 2 2 2" xfId="20621"/>
    <cellStyle name="Normal 5 2 4 2 4 2 2 2 2" xfId="36842"/>
    <cellStyle name="Normal 5 2 4 2 4 2 2 3" xfId="30154"/>
    <cellStyle name="Normal 5 2 4 2 4 2 3" xfId="16887"/>
    <cellStyle name="Normal 5 2 4 2 4 2 3 2" xfId="33108"/>
    <cellStyle name="Normal 5 2 4 2 4 2 4" xfId="18864"/>
    <cellStyle name="Normal 5 2 4 2 4 2 4 2" xfId="35085"/>
    <cellStyle name="Normal 5 2 4 2 4 2 5" xfId="28401"/>
    <cellStyle name="Normal 5 2 4 2 4 3" xfId="13064"/>
    <cellStyle name="Normal 5 2 4 2 4 3 2" xfId="20620"/>
    <cellStyle name="Normal 5 2 4 2 4 3 2 2" xfId="36841"/>
    <cellStyle name="Normal 5 2 4 2 4 3 3" xfId="30153"/>
    <cellStyle name="Normal 5 2 4 2 4 4" xfId="15302"/>
    <cellStyle name="Normal 5 2 4 2 4 4 2" xfId="31524"/>
    <cellStyle name="Normal 5 2 4 2 4 5" xfId="18863"/>
    <cellStyle name="Normal 5 2 4 2 4 5 2" xfId="35084"/>
    <cellStyle name="Normal 5 2 4 2 4 6" xfId="28400"/>
    <cellStyle name="Normal 5 2 4 2 5" xfId="8471"/>
    <cellStyle name="Normal 5 2 4 2 5 2" xfId="13066"/>
    <cellStyle name="Normal 5 2 4 2 5 2 2" xfId="20622"/>
    <cellStyle name="Normal 5 2 4 2 5 2 2 2" xfId="36843"/>
    <cellStyle name="Normal 5 2 4 2 5 2 3" xfId="30155"/>
    <cellStyle name="Normal 5 2 4 2 5 3" xfId="16095"/>
    <cellStyle name="Normal 5 2 4 2 5 3 2" xfId="32316"/>
    <cellStyle name="Normal 5 2 4 2 5 4" xfId="18865"/>
    <cellStyle name="Normal 5 2 4 2 5 4 2" xfId="35086"/>
    <cellStyle name="Normal 5 2 4 2 5 5" xfId="28402"/>
    <cellStyle name="Normal 5 2 4 2 6" xfId="13055"/>
    <cellStyle name="Normal 5 2 4 2 6 2" xfId="20611"/>
    <cellStyle name="Normal 5 2 4 2 6 2 2" xfId="36832"/>
    <cellStyle name="Normal 5 2 4 2 6 3" xfId="30144"/>
    <cellStyle name="Normal 5 2 4 2 7" xfId="14510"/>
    <cellStyle name="Normal 5 2 4 2 7 2" xfId="30732"/>
    <cellStyle name="Normal 5 2 4 2 8" xfId="18854"/>
    <cellStyle name="Normal 5 2 4 2 8 2" xfId="35075"/>
    <cellStyle name="Normal 5 2 4 2 9" xfId="28391"/>
    <cellStyle name="Normal 5 2 4 3" xfId="8472"/>
    <cellStyle name="Normal 5 2 4 3 2" xfId="8473"/>
    <cellStyle name="Normal 5 2 4 3 2 2" xfId="8474"/>
    <cellStyle name="Normal 5 2 4 3 2 2 2" xfId="13069"/>
    <cellStyle name="Normal 5 2 4 3 2 2 2 2" xfId="20625"/>
    <cellStyle name="Normal 5 2 4 3 2 2 2 2 2" xfId="36846"/>
    <cellStyle name="Normal 5 2 4 3 2 2 2 3" xfId="30158"/>
    <cellStyle name="Normal 5 2 4 3 2 2 3" xfId="17019"/>
    <cellStyle name="Normal 5 2 4 3 2 2 3 2" xfId="33240"/>
    <cellStyle name="Normal 5 2 4 3 2 2 4" xfId="18868"/>
    <cellStyle name="Normal 5 2 4 3 2 2 4 2" xfId="35089"/>
    <cellStyle name="Normal 5 2 4 3 2 2 5" xfId="28405"/>
    <cellStyle name="Normal 5 2 4 3 2 3" xfId="13068"/>
    <cellStyle name="Normal 5 2 4 3 2 3 2" xfId="20624"/>
    <cellStyle name="Normal 5 2 4 3 2 3 2 2" xfId="36845"/>
    <cellStyle name="Normal 5 2 4 3 2 3 3" xfId="30157"/>
    <cellStyle name="Normal 5 2 4 3 2 4" xfId="15434"/>
    <cellStyle name="Normal 5 2 4 3 2 4 2" xfId="31656"/>
    <cellStyle name="Normal 5 2 4 3 2 5" xfId="18867"/>
    <cellStyle name="Normal 5 2 4 3 2 5 2" xfId="35088"/>
    <cellStyle name="Normal 5 2 4 3 2 6" xfId="28404"/>
    <cellStyle name="Normal 5 2 4 3 3" xfId="8475"/>
    <cellStyle name="Normal 5 2 4 3 3 2" xfId="13070"/>
    <cellStyle name="Normal 5 2 4 3 3 2 2" xfId="20626"/>
    <cellStyle name="Normal 5 2 4 3 3 2 2 2" xfId="36847"/>
    <cellStyle name="Normal 5 2 4 3 3 2 3" xfId="30159"/>
    <cellStyle name="Normal 5 2 4 3 3 3" xfId="16227"/>
    <cellStyle name="Normal 5 2 4 3 3 3 2" xfId="32448"/>
    <cellStyle name="Normal 5 2 4 3 3 4" xfId="18869"/>
    <cellStyle name="Normal 5 2 4 3 3 4 2" xfId="35090"/>
    <cellStyle name="Normal 5 2 4 3 3 5" xfId="28406"/>
    <cellStyle name="Normal 5 2 4 3 4" xfId="13067"/>
    <cellStyle name="Normal 5 2 4 3 4 2" xfId="20623"/>
    <cellStyle name="Normal 5 2 4 3 4 2 2" xfId="36844"/>
    <cellStyle name="Normal 5 2 4 3 4 3" xfId="30156"/>
    <cellStyle name="Normal 5 2 4 3 5" xfId="14642"/>
    <cellStyle name="Normal 5 2 4 3 5 2" xfId="30864"/>
    <cellStyle name="Normal 5 2 4 3 6" xfId="18866"/>
    <cellStyle name="Normal 5 2 4 3 6 2" xfId="35087"/>
    <cellStyle name="Normal 5 2 4 3 7" xfId="28403"/>
    <cellStyle name="Normal 5 2 4 4" xfId="8476"/>
    <cellStyle name="Normal 5 2 4 4 2" xfId="8477"/>
    <cellStyle name="Normal 5 2 4 4 2 2" xfId="8478"/>
    <cellStyle name="Normal 5 2 4 4 2 2 2" xfId="13073"/>
    <cellStyle name="Normal 5 2 4 4 2 2 2 2" xfId="20629"/>
    <cellStyle name="Normal 5 2 4 4 2 2 2 2 2" xfId="36850"/>
    <cellStyle name="Normal 5 2 4 4 2 2 2 3" xfId="30162"/>
    <cellStyle name="Normal 5 2 4 4 2 2 3" xfId="17283"/>
    <cellStyle name="Normal 5 2 4 4 2 2 3 2" xfId="33504"/>
    <cellStyle name="Normal 5 2 4 4 2 2 4" xfId="18872"/>
    <cellStyle name="Normal 5 2 4 4 2 2 4 2" xfId="35093"/>
    <cellStyle name="Normal 5 2 4 4 2 2 5" xfId="28409"/>
    <cellStyle name="Normal 5 2 4 4 2 3" xfId="13072"/>
    <cellStyle name="Normal 5 2 4 4 2 3 2" xfId="20628"/>
    <cellStyle name="Normal 5 2 4 4 2 3 2 2" xfId="36849"/>
    <cellStyle name="Normal 5 2 4 4 2 3 3" xfId="30161"/>
    <cellStyle name="Normal 5 2 4 4 2 4" xfId="15698"/>
    <cellStyle name="Normal 5 2 4 4 2 4 2" xfId="31920"/>
    <cellStyle name="Normal 5 2 4 4 2 5" xfId="18871"/>
    <cellStyle name="Normal 5 2 4 4 2 5 2" xfId="35092"/>
    <cellStyle name="Normal 5 2 4 4 2 6" xfId="28408"/>
    <cellStyle name="Normal 5 2 4 4 3" xfId="8479"/>
    <cellStyle name="Normal 5 2 4 4 3 2" xfId="13074"/>
    <cellStyle name="Normal 5 2 4 4 3 2 2" xfId="20630"/>
    <cellStyle name="Normal 5 2 4 4 3 2 2 2" xfId="36851"/>
    <cellStyle name="Normal 5 2 4 4 3 2 3" xfId="30163"/>
    <cellStyle name="Normal 5 2 4 4 3 3" xfId="16491"/>
    <cellStyle name="Normal 5 2 4 4 3 3 2" xfId="32712"/>
    <cellStyle name="Normal 5 2 4 4 3 4" xfId="18873"/>
    <cellStyle name="Normal 5 2 4 4 3 4 2" xfId="35094"/>
    <cellStyle name="Normal 5 2 4 4 3 5" xfId="28410"/>
    <cellStyle name="Normal 5 2 4 4 4" xfId="13071"/>
    <cellStyle name="Normal 5 2 4 4 4 2" xfId="20627"/>
    <cellStyle name="Normal 5 2 4 4 4 2 2" xfId="36848"/>
    <cellStyle name="Normal 5 2 4 4 4 3" xfId="30160"/>
    <cellStyle name="Normal 5 2 4 4 5" xfId="14906"/>
    <cellStyle name="Normal 5 2 4 4 5 2" xfId="31128"/>
    <cellStyle name="Normal 5 2 4 4 6" xfId="18870"/>
    <cellStyle name="Normal 5 2 4 4 6 2" xfId="35091"/>
    <cellStyle name="Normal 5 2 4 4 7" xfId="28407"/>
    <cellStyle name="Normal 5 2 4 5" xfId="8480"/>
    <cellStyle name="Normal 5 2 4 5 2" xfId="8481"/>
    <cellStyle name="Normal 5 2 4 5 2 2" xfId="13076"/>
    <cellStyle name="Normal 5 2 4 5 2 2 2" xfId="20632"/>
    <cellStyle name="Normal 5 2 4 5 2 2 2 2" xfId="36853"/>
    <cellStyle name="Normal 5 2 4 5 2 2 3" xfId="30165"/>
    <cellStyle name="Normal 5 2 4 5 2 3" xfId="16755"/>
    <cellStyle name="Normal 5 2 4 5 2 3 2" xfId="32976"/>
    <cellStyle name="Normal 5 2 4 5 2 4" xfId="18875"/>
    <cellStyle name="Normal 5 2 4 5 2 4 2" xfId="35096"/>
    <cellStyle name="Normal 5 2 4 5 2 5" xfId="28412"/>
    <cellStyle name="Normal 5 2 4 5 3" xfId="13075"/>
    <cellStyle name="Normal 5 2 4 5 3 2" xfId="20631"/>
    <cellStyle name="Normal 5 2 4 5 3 2 2" xfId="36852"/>
    <cellStyle name="Normal 5 2 4 5 3 3" xfId="30164"/>
    <cellStyle name="Normal 5 2 4 5 4" xfId="15170"/>
    <cellStyle name="Normal 5 2 4 5 4 2" xfId="31392"/>
    <cellStyle name="Normal 5 2 4 5 5" xfId="18874"/>
    <cellStyle name="Normal 5 2 4 5 5 2" xfId="35095"/>
    <cellStyle name="Normal 5 2 4 5 6" xfId="28411"/>
    <cellStyle name="Normal 5 2 4 6" xfId="8482"/>
    <cellStyle name="Normal 5 2 4 6 2" xfId="13077"/>
    <cellStyle name="Normal 5 2 4 6 2 2" xfId="20633"/>
    <cellStyle name="Normal 5 2 4 6 2 2 2" xfId="36854"/>
    <cellStyle name="Normal 5 2 4 6 2 3" xfId="30166"/>
    <cellStyle name="Normal 5 2 4 6 3" xfId="15963"/>
    <cellStyle name="Normal 5 2 4 6 3 2" xfId="32184"/>
    <cellStyle name="Normal 5 2 4 6 4" xfId="18876"/>
    <cellStyle name="Normal 5 2 4 6 4 2" xfId="35097"/>
    <cellStyle name="Normal 5 2 4 6 5" xfId="28413"/>
    <cellStyle name="Normal 5 2 4 7" xfId="13054"/>
    <cellStyle name="Normal 5 2 4 7 2" xfId="20610"/>
    <cellStyle name="Normal 5 2 4 7 2 2" xfId="36831"/>
    <cellStyle name="Normal 5 2 4 7 3" xfId="30143"/>
    <cellStyle name="Normal 5 2 4 8" xfId="14378"/>
    <cellStyle name="Normal 5 2 4 8 2" xfId="30600"/>
    <cellStyle name="Normal 5 2 4 9" xfId="18853"/>
    <cellStyle name="Normal 5 2 4 9 2" xfId="35074"/>
    <cellStyle name="Normal 5 2 5" xfId="8483"/>
    <cellStyle name="Normal 5 2 5 2" xfId="8484"/>
    <cellStyle name="Normal 5 2 5 2 2" xfId="8485"/>
    <cellStyle name="Normal 5 2 5 2 2 2" xfId="8486"/>
    <cellStyle name="Normal 5 2 5 2 2 2 2" xfId="13081"/>
    <cellStyle name="Normal 5 2 5 2 2 2 2 2" xfId="20637"/>
    <cellStyle name="Normal 5 2 5 2 2 2 2 2 2" xfId="36858"/>
    <cellStyle name="Normal 5 2 5 2 2 2 2 3" xfId="30170"/>
    <cellStyle name="Normal 5 2 5 2 2 2 3" xfId="17085"/>
    <cellStyle name="Normal 5 2 5 2 2 2 3 2" xfId="33306"/>
    <cellStyle name="Normal 5 2 5 2 2 2 4" xfId="18880"/>
    <cellStyle name="Normal 5 2 5 2 2 2 4 2" xfId="35101"/>
    <cellStyle name="Normal 5 2 5 2 2 2 5" xfId="28417"/>
    <cellStyle name="Normal 5 2 5 2 2 3" xfId="13080"/>
    <cellStyle name="Normal 5 2 5 2 2 3 2" xfId="20636"/>
    <cellStyle name="Normal 5 2 5 2 2 3 2 2" xfId="36857"/>
    <cellStyle name="Normal 5 2 5 2 2 3 3" xfId="30169"/>
    <cellStyle name="Normal 5 2 5 2 2 4" xfId="15500"/>
    <cellStyle name="Normal 5 2 5 2 2 4 2" xfId="31722"/>
    <cellStyle name="Normal 5 2 5 2 2 5" xfId="18879"/>
    <cellStyle name="Normal 5 2 5 2 2 5 2" xfId="35100"/>
    <cellStyle name="Normal 5 2 5 2 2 6" xfId="28416"/>
    <cellStyle name="Normal 5 2 5 2 3" xfId="8487"/>
    <cellStyle name="Normal 5 2 5 2 3 2" xfId="13082"/>
    <cellStyle name="Normal 5 2 5 2 3 2 2" xfId="20638"/>
    <cellStyle name="Normal 5 2 5 2 3 2 2 2" xfId="36859"/>
    <cellStyle name="Normal 5 2 5 2 3 2 3" xfId="30171"/>
    <cellStyle name="Normal 5 2 5 2 3 3" xfId="16293"/>
    <cellStyle name="Normal 5 2 5 2 3 3 2" xfId="32514"/>
    <cellStyle name="Normal 5 2 5 2 3 4" xfId="18881"/>
    <cellStyle name="Normal 5 2 5 2 3 4 2" xfId="35102"/>
    <cellStyle name="Normal 5 2 5 2 3 5" xfId="28418"/>
    <cellStyle name="Normal 5 2 5 2 4" xfId="13079"/>
    <cellStyle name="Normal 5 2 5 2 4 2" xfId="20635"/>
    <cellStyle name="Normal 5 2 5 2 4 2 2" xfId="36856"/>
    <cellStyle name="Normal 5 2 5 2 4 3" xfId="30168"/>
    <cellStyle name="Normal 5 2 5 2 5" xfId="14708"/>
    <cellStyle name="Normal 5 2 5 2 5 2" xfId="30930"/>
    <cellStyle name="Normal 5 2 5 2 6" xfId="18878"/>
    <cellStyle name="Normal 5 2 5 2 6 2" xfId="35099"/>
    <cellStyle name="Normal 5 2 5 2 7" xfId="28415"/>
    <cellStyle name="Normal 5 2 5 3" xfId="8488"/>
    <cellStyle name="Normal 5 2 5 3 2" xfId="8489"/>
    <cellStyle name="Normal 5 2 5 3 2 2" xfId="8490"/>
    <cellStyle name="Normal 5 2 5 3 2 2 2" xfId="13085"/>
    <cellStyle name="Normal 5 2 5 3 2 2 2 2" xfId="20641"/>
    <cellStyle name="Normal 5 2 5 3 2 2 2 2 2" xfId="36862"/>
    <cellStyle name="Normal 5 2 5 3 2 2 2 3" xfId="30174"/>
    <cellStyle name="Normal 5 2 5 3 2 2 3" xfId="17349"/>
    <cellStyle name="Normal 5 2 5 3 2 2 3 2" xfId="33570"/>
    <cellStyle name="Normal 5 2 5 3 2 2 4" xfId="18884"/>
    <cellStyle name="Normal 5 2 5 3 2 2 4 2" xfId="35105"/>
    <cellStyle name="Normal 5 2 5 3 2 2 5" xfId="28421"/>
    <cellStyle name="Normal 5 2 5 3 2 3" xfId="13084"/>
    <cellStyle name="Normal 5 2 5 3 2 3 2" xfId="20640"/>
    <cellStyle name="Normal 5 2 5 3 2 3 2 2" xfId="36861"/>
    <cellStyle name="Normal 5 2 5 3 2 3 3" xfId="30173"/>
    <cellStyle name="Normal 5 2 5 3 2 4" xfId="15764"/>
    <cellStyle name="Normal 5 2 5 3 2 4 2" xfId="31986"/>
    <cellStyle name="Normal 5 2 5 3 2 5" xfId="18883"/>
    <cellStyle name="Normal 5 2 5 3 2 5 2" xfId="35104"/>
    <cellStyle name="Normal 5 2 5 3 2 6" xfId="28420"/>
    <cellStyle name="Normal 5 2 5 3 3" xfId="8491"/>
    <cellStyle name="Normal 5 2 5 3 3 2" xfId="13086"/>
    <cellStyle name="Normal 5 2 5 3 3 2 2" xfId="20642"/>
    <cellStyle name="Normal 5 2 5 3 3 2 2 2" xfId="36863"/>
    <cellStyle name="Normal 5 2 5 3 3 2 3" xfId="30175"/>
    <cellStyle name="Normal 5 2 5 3 3 3" xfId="16557"/>
    <cellStyle name="Normal 5 2 5 3 3 3 2" xfId="32778"/>
    <cellStyle name="Normal 5 2 5 3 3 4" xfId="18885"/>
    <cellStyle name="Normal 5 2 5 3 3 4 2" xfId="35106"/>
    <cellStyle name="Normal 5 2 5 3 3 5" xfId="28422"/>
    <cellStyle name="Normal 5 2 5 3 4" xfId="13083"/>
    <cellStyle name="Normal 5 2 5 3 4 2" xfId="20639"/>
    <cellStyle name="Normal 5 2 5 3 4 2 2" xfId="36860"/>
    <cellStyle name="Normal 5 2 5 3 4 3" xfId="30172"/>
    <cellStyle name="Normal 5 2 5 3 5" xfId="14972"/>
    <cellStyle name="Normal 5 2 5 3 5 2" xfId="31194"/>
    <cellStyle name="Normal 5 2 5 3 6" xfId="18882"/>
    <cellStyle name="Normal 5 2 5 3 6 2" xfId="35103"/>
    <cellStyle name="Normal 5 2 5 3 7" xfId="28419"/>
    <cellStyle name="Normal 5 2 5 4" xfId="8492"/>
    <cellStyle name="Normal 5 2 5 4 2" xfId="8493"/>
    <cellStyle name="Normal 5 2 5 4 2 2" xfId="13088"/>
    <cellStyle name="Normal 5 2 5 4 2 2 2" xfId="20644"/>
    <cellStyle name="Normal 5 2 5 4 2 2 2 2" xfId="36865"/>
    <cellStyle name="Normal 5 2 5 4 2 2 3" xfId="30177"/>
    <cellStyle name="Normal 5 2 5 4 2 3" xfId="16821"/>
    <cellStyle name="Normal 5 2 5 4 2 3 2" xfId="33042"/>
    <cellStyle name="Normal 5 2 5 4 2 4" xfId="18887"/>
    <cellStyle name="Normal 5 2 5 4 2 4 2" xfId="35108"/>
    <cellStyle name="Normal 5 2 5 4 2 5" xfId="28424"/>
    <cellStyle name="Normal 5 2 5 4 3" xfId="13087"/>
    <cellStyle name="Normal 5 2 5 4 3 2" xfId="20643"/>
    <cellStyle name="Normal 5 2 5 4 3 2 2" xfId="36864"/>
    <cellStyle name="Normal 5 2 5 4 3 3" xfId="30176"/>
    <cellStyle name="Normal 5 2 5 4 4" xfId="15236"/>
    <cellStyle name="Normal 5 2 5 4 4 2" xfId="31458"/>
    <cellStyle name="Normal 5 2 5 4 5" xfId="18886"/>
    <cellStyle name="Normal 5 2 5 4 5 2" xfId="35107"/>
    <cellStyle name="Normal 5 2 5 4 6" xfId="28423"/>
    <cellStyle name="Normal 5 2 5 5" xfId="8494"/>
    <cellStyle name="Normal 5 2 5 5 2" xfId="13089"/>
    <cellStyle name="Normal 5 2 5 5 2 2" xfId="20645"/>
    <cellStyle name="Normal 5 2 5 5 2 2 2" xfId="36866"/>
    <cellStyle name="Normal 5 2 5 5 2 3" xfId="30178"/>
    <cellStyle name="Normal 5 2 5 5 3" xfId="16029"/>
    <cellStyle name="Normal 5 2 5 5 3 2" xfId="32250"/>
    <cellStyle name="Normal 5 2 5 5 4" xfId="18888"/>
    <cellStyle name="Normal 5 2 5 5 4 2" xfId="35109"/>
    <cellStyle name="Normal 5 2 5 5 5" xfId="28425"/>
    <cellStyle name="Normal 5 2 5 6" xfId="13078"/>
    <cellStyle name="Normal 5 2 5 6 2" xfId="20634"/>
    <cellStyle name="Normal 5 2 5 6 2 2" xfId="36855"/>
    <cellStyle name="Normal 5 2 5 6 3" xfId="30167"/>
    <cellStyle name="Normal 5 2 5 7" xfId="14444"/>
    <cellStyle name="Normal 5 2 5 7 2" xfId="30666"/>
    <cellStyle name="Normal 5 2 5 8" xfId="18877"/>
    <cellStyle name="Normal 5 2 5 8 2" xfId="35098"/>
    <cellStyle name="Normal 5 2 5 9" xfId="28414"/>
    <cellStyle name="Normal 5 2 6" xfId="8495"/>
    <cellStyle name="Normal 5 2 6 2" xfId="8496"/>
    <cellStyle name="Normal 5 2 6 2 2" xfId="8497"/>
    <cellStyle name="Normal 5 2 6 2 2 2" xfId="13092"/>
    <cellStyle name="Normal 5 2 6 2 2 2 2" xfId="20648"/>
    <cellStyle name="Normal 5 2 6 2 2 2 2 2" xfId="36869"/>
    <cellStyle name="Normal 5 2 6 2 2 2 3" xfId="30181"/>
    <cellStyle name="Normal 5 2 6 2 2 3" xfId="16953"/>
    <cellStyle name="Normal 5 2 6 2 2 3 2" xfId="33174"/>
    <cellStyle name="Normal 5 2 6 2 2 4" xfId="18891"/>
    <cellStyle name="Normal 5 2 6 2 2 4 2" xfId="35112"/>
    <cellStyle name="Normal 5 2 6 2 2 5" xfId="28428"/>
    <cellStyle name="Normal 5 2 6 2 3" xfId="13091"/>
    <cellStyle name="Normal 5 2 6 2 3 2" xfId="20647"/>
    <cellStyle name="Normal 5 2 6 2 3 2 2" xfId="36868"/>
    <cellStyle name="Normal 5 2 6 2 3 3" xfId="30180"/>
    <cellStyle name="Normal 5 2 6 2 4" xfId="15368"/>
    <cellStyle name="Normal 5 2 6 2 4 2" xfId="31590"/>
    <cellStyle name="Normal 5 2 6 2 5" xfId="18890"/>
    <cellStyle name="Normal 5 2 6 2 5 2" xfId="35111"/>
    <cellStyle name="Normal 5 2 6 2 6" xfId="28427"/>
    <cellStyle name="Normal 5 2 6 3" xfId="8498"/>
    <cellStyle name="Normal 5 2 6 3 2" xfId="13093"/>
    <cellStyle name="Normal 5 2 6 3 2 2" xfId="20649"/>
    <cellStyle name="Normal 5 2 6 3 2 2 2" xfId="36870"/>
    <cellStyle name="Normal 5 2 6 3 2 3" xfId="30182"/>
    <cellStyle name="Normal 5 2 6 3 3" xfId="16161"/>
    <cellStyle name="Normal 5 2 6 3 3 2" xfId="32382"/>
    <cellStyle name="Normal 5 2 6 3 4" xfId="18892"/>
    <cellStyle name="Normal 5 2 6 3 4 2" xfId="35113"/>
    <cellStyle name="Normal 5 2 6 3 5" xfId="28429"/>
    <cellStyle name="Normal 5 2 6 4" xfId="13090"/>
    <cellStyle name="Normal 5 2 6 4 2" xfId="20646"/>
    <cellStyle name="Normal 5 2 6 4 2 2" xfId="36867"/>
    <cellStyle name="Normal 5 2 6 4 3" xfId="30179"/>
    <cellStyle name="Normal 5 2 6 5" xfId="14576"/>
    <cellStyle name="Normal 5 2 6 5 2" xfId="30798"/>
    <cellStyle name="Normal 5 2 6 6" xfId="18889"/>
    <cellStyle name="Normal 5 2 6 6 2" xfId="35110"/>
    <cellStyle name="Normal 5 2 6 7" xfId="28426"/>
    <cellStyle name="Normal 5 2 7" xfId="8499"/>
    <cellStyle name="Normal 5 2 7 2" xfId="8500"/>
    <cellStyle name="Normal 5 2 7 2 2" xfId="8501"/>
    <cellStyle name="Normal 5 2 7 2 2 2" xfId="13096"/>
    <cellStyle name="Normal 5 2 7 2 2 2 2" xfId="20652"/>
    <cellStyle name="Normal 5 2 7 2 2 2 2 2" xfId="36873"/>
    <cellStyle name="Normal 5 2 7 2 2 2 3" xfId="30185"/>
    <cellStyle name="Normal 5 2 7 2 2 3" xfId="17217"/>
    <cellStyle name="Normal 5 2 7 2 2 3 2" xfId="33438"/>
    <cellStyle name="Normal 5 2 7 2 2 4" xfId="18895"/>
    <cellStyle name="Normal 5 2 7 2 2 4 2" xfId="35116"/>
    <cellStyle name="Normal 5 2 7 2 2 5" xfId="28432"/>
    <cellStyle name="Normal 5 2 7 2 3" xfId="13095"/>
    <cellStyle name="Normal 5 2 7 2 3 2" xfId="20651"/>
    <cellStyle name="Normal 5 2 7 2 3 2 2" xfId="36872"/>
    <cellStyle name="Normal 5 2 7 2 3 3" xfId="30184"/>
    <cellStyle name="Normal 5 2 7 2 4" xfId="15632"/>
    <cellStyle name="Normal 5 2 7 2 4 2" xfId="31854"/>
    <cellStyle name="Normal 5 2 7 2 5" xfId="18894"/>
    <cellStyle name="Normal 5 2 7 2 5 2" xfId="35115"/>
    <cellStyle name="Normal 5 2 7 2 6" xfId="28431"/>
    <cellStyle name="Normal 5 2 7 3" xfId="8502"/>
    <cellStyle name="Normal 5 2 7 3 2" xfId="13097"/>
    <cellStyle name="Normal 5 2 7 3 2 2" xfId="20653"/>
    <cellStyle name="Normal 5 2 7 3 2 2 2" xfId="36874"/>
    <cellStyle name="Normal 5 2 7 3 2 3" xfId="30186"/>
    <cellStyle name="Normal 5 2 7 3 3" xfId="16425"/>
    <cellStyle name="Normal 5 2 7 3 3 2" xfId="32646"/>
    <cellStyle name="Normal 5 2 7 3 4" xfId="18896"/>
    <cellStyle name="Normal 5 2 7 3 4 2" xfId="35117"/>
    <cellStyle name="Normal 5 2 7 3 5" xfId="28433"/>
    <cellStyle name="Normal 5 2 7 4" xfId="13094"/>
    <cellStyle name="Normal 5 2 7 4 2" xfId="20650"/>
    <cellStyle name="Normal 5 2 7 4 2 2" xfId="36871"/>
    <cellStyle name="Normal 5 2 7 4 3" xfId="30183"/>
    <cellStyle name="Normal 5 2 7 5" xfId="14840"/>
    <cellStyle name="Normal 5 2 7 5 2" xfId="31062"/>
    <cellStyle name="Normal 5 2 7 6" xfId="18893"/>
    <cellStyle name="Normal 5 2 7 6 2" xfId="35114"/>
    <cellStyle name="Normal 5 2 7 7" xfId="28430"/>
    <cellStyle name="Normal 5 2 8" xfId="8503"/>
    <cellStyle name="Normal 5 2 8 2" xfId="8504"/>
    <cellStyle name="Normal 5 2 8 2 2" xfId="13099"/>
    <cellStyle name="Normal 5 2 8 2 2 2" xfId="20655"/>
    <cellStyle name="Normal 5 2 8 2 2 2 2" xfId="36876"/>
    <cellStyle name="Normal 5 2 8 2 2 3" xfId="30188"/>
    <cellStyle name="Normal 5 2 8 2 3" xfId="16689"/>
    <cellStyle name="Normal 5 2 8 2 3 2" xfId="32910"/>
    <cellStyle name="Normal 5 2 8 2 4" xfId="18898"/>
    <cellStyle name="Normal 5 2 8 2 4 2" xfId="35119"/>
    <cellStyle name="Normal 5 2 8 2 5" xfId="28435"/>
    <cellStyle name="Normal 5 2 8 3" xfId="13098"/>
    <cellStyle name="Normal 5 2 8 3 2" xfId="20654"/>
    <cellStyle name="Normal 5 2 8 3 2 2" xfId="36875"/>
    <cellStyle name="Normal 5 2 8 3 3" xfId="30187"/>
    <cellStyle name="Normal 5 2 8 4" xfId="15104"/>
    <cellStyle name="Normal 5 2 8 4 2" xfId="31326"/>
    <cellStyle name="Normal 5 2 8 5" xfId="18897"/>
    <cellStyle name="Normal 5 2 8 5 2" xfId="35118"/>
    <cellStyle name="Normal 5 2 8 6" xfId="28434"/>
    <cellStyle name="Normal 5 2 9" xfId="8505"/>
    <cellStyle name="Normal 5 2 9 2" xfId="13100"/>
    <cellStyle name="Normal 5 2 9 2 2" xfId="20656"/>
    <cellStyle name="Normal 5 2 9 2 2 2" xfId="36877"/>
    <cellStyle name="Normal 5 2 9 2 3" xfId="30189"/>
    <cellStyle name="Normal 5 2 9 3" xfId="15897"/>
    <cellStyle name="Normal 5 2 9 3 2" xfId="32118"/>
    <cellStyle name="Normal 5 2 9 4" xfId="18899"/>
    <cellStyle name="Normal 5 2 9 4 2" xfId="35120"/>
    <cellStyle name="Normal 5 2 9 5" xfId="28436"/>
    <cellStyle name="Normal 5 3" xfId="205"/>
    <cellStyle name="Normal 5 3 10" xfId="18900"/>
    <cellStyle name="Normal 5 3 10 2" xfId="35121"/>
    <cellStyle name="Normal 5 3 11" xfId="8506"/>
    <cellStyle name="Normal 5 3 11 2" xfId="28437"/>
    <cellStyle name="Normal 5 3 12" xfId="4912"/>
    <cellStyle name="Normal 5 3 13" xfId="21031"/>
    <cellStyle name="Normal 5 3 13 2" xfId="37243"/>
    <cellStyle name="Normal 5 3 14" xfId="22529"/>
    <cellStyle name="Normal 5 3 15" xfId="324"/>
    <cellStyle name="Normal 5 3 2" xfId="1859"/>
    <cellStyle name="Normal 5 3 2 10" xfId="8507"/>
    <cellStyle name="Normal 5 3 2 10 2" xfId="28438"/>
    <cellStyle name="Normal 5 3 2 11" xfId="24027"/>
    <cellStyle name="Normal 5 3 2 2" xfId="8508"/>
    <cellStyle name="Normal 5 3 2 2 2" xfId="8509"/>
    <cellStyle name="Normal 5 3 2 2 2 2" xfId="8510"/>
    <cellStyle name="Normal 5 3 2 2 2 2 2" xfId="8511"/>
    <cellStyle name="Normal 5 3 2 2 2 2 2 2" xfId="13106"/>
    <cellStyle name="Normal 5 3 2 2 2 2 2 2 2" xfId="20662"/>
    <cellStyle name="Normal 5 3 2 2 2 2 2 2 2 2" xfId="36883"/>
    <cellStyle name="Normal 5 3 2 2 2 2 2 2 3" xfId="30195"/>
    <cellStyle name="Normal 5 3 2 2 2 2 2 3" xfId="17183"/>
    <cellStyle name="Normal 5 3 2 2 2 2 2 3 2" xfId="33404"/>
    <cellStyle name="Normal 5 3 2 2 2 2 2 4" xfId="18905"/>
    <cellStyle name="Normal 5 3 2 2 2 2 2 4 2" xfId="35126"/>
    <cellStyle name="Normal 5 3 2 2 2 2 2 5" xfId="28442"/>
    <cellStyle name="Normal 5 3 2 2 2 2 3" xfId="13105"/>
    <cellStyle name="Normal 5 3 2 2 2 2 3 2" xfId="20661"/>
    <cellStyle name="Normal 5 3 2 2 2 2 3 2 2" xfId="36882"/>
    <cellStyle name="Normal 5 3 2 2 2 2 3 3" xfId="30194"/>
    <cellStyle name="Normal 5 3 2 2 2 2 4" xfId="15598"/>
    <cellStyle name="Normal 5 3 2 2 2 2 4 2" xfId="31820"/>
    <cellStyle name="Normal 5 3 2 2 2 2 5" xfId="18904"/>
    <cellStyle name="Normal 5 3 2 2 2 2 5 2" xfId="35125"/>
    <cellStyle name="Normal 5 3 2 2 2 2 6" xfId="28441"/>
    <cellStyle name="Normal 5 3 2 2 2 3" xfId="8512"/>
    <cellStyle name="Normal 5 3 2 2 2 3 2" xfId="13107"/>
    <cellStyle name="Normal 5 3 2 2 2 3 2 2" xfId="20663"/>
    <cellStyle name="Normal 5 3 2 2 2 3 2 2 2" xfId="36884"/>
    <cellStyle name="Normal 5 3 2 2 2 3 2 3" xfId="30196"/>
    <cellStyle name="Normal 5 3 2 2 2 3 3" xfId="16391"/>
    <cellStyle name="Normal 5 3 2 2 2 3 3 2" xfId="32612"/>
    <cellStyle name="Normal 5 3 2 2 2 3 4" xfId="18906"/>
    <cellStyle name="Normal 5 3 2 2 2 3 4 2" xfId="35127"/>
    <cellStyle name="Normal 5 3 2 2 2 3 5" xfId="28443"/>
    <cellStyle name="Normal 5 3 2 2 2 4" xfId="13104"/>
    <cellStyle name="Normal 5 3 2 2 2 4 2" xfId="20660"/>
    <cellStyle name="Normal 5 3 2 2 2 4 2 2" xfId="36881"/>
    <cellStyle name="Normal 5 3 2 2 2 4 3" xfId="30193"/>
    <cellStyle name="Normal 5 3 2 2 2 5" xfId="14806"/>
    <cellStyle name="Normal 5 3 2 2 2 5 2" xfId="31028"/>
    <cellStyle name="Normal 5 3 2 2 2 6" xfId="18903"/>
    <cellStyle name="Normal 5 3 2 2 2 6 2" xfId="35124"/>
    <cellStyle name="Normal 5 3 2 2 2 7" xfId="28440"/>
    <cellStyle name="Normal 5 3 2 2 3" xfId="8513"/>
    <cellStyle name="Normal 5 3 2 2 3 2" xfId="8514"/>
    <cellStyle name="Normal 5 3 2 2 3 2 2" xfId="8515"/>
    <cellStyle name="Normal 5 3 2 2 3 2 2 2" xfId="13110"/>
    <cellStyle name="Normal 5 3 2 2 3 2 2 2 2" xfId="20666"/>
    <cellStyle name="Normal 5 3 2 2 3 2 2 2 2 2" xfId="36887"/>
    <cellStyle name="Normal 5 3 2 2 3 2 2 2 3" xfId="30199"/>
    <cellStyle name="Normal 5 3 2 2 3 2 2 3" xfId="17447"/>
    <cellStyle name="Normal 5 3 2 2 3 2 2 3 2" xfId="33668"/>
    <cellStyle name="Normal 5 3 2 2 3 2 2 4" xfId="18909"/>
    <cellStyle name="Normal 5 3 2 2 3 2 2 4 2" xfId="35130"/>
    <cellStyle name="Normal 5 3 2 2 3 2 2 5" xfId="28446"/>
    <cellStyle name="Normal 5 3 2 2 3 2 3" xfId="13109"/>
    <cellStyle name="Normal 5 3 2 2 3 2 3 2" xfId="20665"/>
    <cellStyle name="Normal 5 3 2 2 3 2 3 2 2" xfId="36886"/>
    <cellStyle name="Normal 5 3 2 2 3 2 3 3" xfId="30198"/>
    <cellStyle name="Normal 5 3 2 2 3 2 4" xfId="15862"/>
    <cellStyle name="Normal 5 3 2 2 3 2 4 2" xfId="32084"/>
    <cellStyle name="Normal 5 3 2 2 3 2 5" xfId="18908"/>
    <cellStyle name="Normal 5 3 2 2 3 2 5 2" xfId="35129"/>
    <cellStyle name="Normal 5 3 2 2 3 2 6" xfId="28445"/>
    <cellStyle name="Normal 5 3 2 2 3 3" xfId="8516"/>
    <cellStyle name="Normal 5 3 2 2 3 3 2" xfId="13111"/>
    <cellStyle name="Normal 5 3 2 2 3 3 2 2" xfId="20667"/>
    <cellStyle name="Normal 5 3 2 2 3 3 2 2 2" xfId="36888"/>
    <cellStyle name="Normal 5 3 2 2 3 3 2 3" xfId="30200"/>
    <cellStyle name="Normal 5 3 2 2 3 3 3" xfId="16655"/>
    <cellStyle name="Normal 5 3 2 2 3 3 3 2" xfId="32876"/>
    <cellStyle name="Normal 5 3 2 2 3 3 4" xfId="18910"/>
    <cellStyle name="Normal 5 3 2 2 3 3 4 2" xfId="35131"/>
    <cellStyle name="Normal 5 3 2 2 3 3 5" xfId="28447"/>
    <cellStyle name="Normal 5 3 2 2 3 4" xfId="13108"/>
    <cellStyle name="Normal 5 3 2 2 3 4 2" xfId="20664"/>
    <cellStyle name="Normal 5 3 2 2 3 4 2 2" xfId="36885"/>
    <cellStyle name="Normal 5 3 2 2 3 4 3" xfId="30197"/>
    <cellStyle name="Normal 5 3 2 2 3 5" xfId="15070"/>
    <cellStyle name="Normal 5 3 2 2 3 5 2" xfId="31292"/>
    <cellStyle name="Normal 5 3 2 2 3 6" xfId="18907"/>
    <cellStyle name="Normal 5 3 2 2 3 6 2" xfId="35128"/>
    <cellStyle name="Normal 5 3 2 2 3 7" xfId="28444"/>
    <cellStyle name="Normal 5 3 2 2 4" xfId="8517"/>
    <cellStyle name="Normal 5 3 2 2 4 2" xfId="8518"/>
    <cellStyle name="Normal 5 3 2 2 4 2 2" xfId="13113"/>
    <cellStyle name="Normal 5 3 2 2 4 2 2 2" xfId="20669"/>
    <cellStyle name="Normal 5 3 2 2 4 2 2 2 2" xfId="36890"/>
    <cellStyle name="Normal 5 3 2 2 4 2 2 3" xfId="30202"/>
    <cellStyle name="Normal 5 3 2 2 4 2 3" xfId="16919"/>
    <cellStyle name="Normal 5 3 2 2 4 2 3 2" xfId="33140"/>
    <cellStyle name="Normal 5 3 2 2 4 2 4" xfId="18912"/>
    <cellStyle name="Normal 5 3 2 2 4 2 4 2" xfId="35133"/>
    <cellStyle name="Normal 5 3 2 2 4 2 5" xfId="28449"/>
    <cellStyle name="Normal 5 3 2 2 4 3" xfId="13112"/>
    <cellStyle name="Normal 5 3 2 2 4 3 2" xfId="20668"/>
    <cellStyle name="Normal 5 3 2 2 4 3 2 2" xfId="36889"/>
    <cellStyle name="Normal 5 3 2 2 4 3 3" xfId="30201"/>
    <cellStyle name="Normal 5 3 2 2 4 4" xfId="15334"/>
    <cellStyle name="Normal 5 3 2 2 4 4 2" xfId="31556"/>
    <cellStyle name="Normal 5 3 2 2 4 5" xfId="18911"/>
    <cellStyle name="Normal 5 3 2 2 4 5 2" xfId="35132"/>
    <cellStyle name="Normal 5 3 2 2 4 6" xfId="28448"/>
    <cellStyle name="Normal 5 3 2 2 5" xfId="8519"/>
    <cellStyle name="Normal 5 3 2 2 5 2" xfId="13114"/>
    <cellStyle name="Normal 5 3 2 2 5 2 2" xfId="20670"/>
    <cellStyle name="Normal 5 3 2 2 5 2 2 2" xfId="36891"/>
    <cellStyle name="Normal 5 3 2 2 5 2 3" xfId="30203"/>
    <cellStyle name="Normal 5 3 2 2 5 3" xfId="16127"/>
    <cellStyle name="Normal 5 3 2 2 5 3 2" xfId="32348"/>
    <cellStyle name="Normal 5 3 2 2 5 4" xfId="18913"/>
    <cellStyle name="Normal 5 3 2 2 5 4 2" xfId="35134"/>
    <cellStyle name="Normal 5 3 2 2 5 5" xfId="28450"/>
    <cellStyle name="Normal 5 3 2 2 6" xfId="13103"/>
    <cellStyle name="Normal 5 3 2 2 6 2" xfId="20659"/>
    <cellStyle name="Normal 5 3 2 2 6 2 2" xfId="36880"/>
    <cellStyle name="Normal 5 3 2 2 6 3" xfId="30192"/>
    <cellStyle name="Normal 5 3 2 2 7" xfId="14542"/>
    <cellStyle name="Normal 5 3 2 2 7 2" xfId="30764"/>
    <cellStyle name="Normal 5 3 2 2 8" xfId="18902"/>
    <cellStyle name="Normal 5 3 2 2 8 2" xfId="35123"/>
    <cellStyle name="Normal 5 3 2 2 9" xfId="28439"/>
    <cellStyle name="Normal 5 3 2 3" xfId="8520"/>
    <cellStyle name="Normal 5 3 2 3 2" xfId="8521"/>
    <cellStyle name="Normal 5 3 2 3 2 2" xfId="8522"/>
    <cellStyle name="Normal 5 3 2 3 2 2 2" xfId="13117"/>
    <cellStyle name="Normal 5 3 2 3 2 2 2 2" xfId="20673"/>
    <cellStyle name="Normal 5 3 2 3 2 2 2 2 2" xfId="36894"/>
    <cellStyle name="Normal 5 3 2 3 2 2 2 3" xfId="30206"/>
    <cellStyle name="Normal 5 3 2 3 2 2 3" xfId="17051"/>
    <cellStyle name="Normal 5 3 2 3 2 2 3 2" xfId="33272"/>
    <cellStyle name="Normal 5 3 2 3 2 2 4" xfId="18916"/>
    <cellStyle name="Normal 5 3 2 3 2 2 4 2" xfId="35137"/>
    <cellStyle name="Normal 5 3 2 3 2 2 5" xfId="28453"/>
    <cellStyle name="Normal 5 3 2 3 2 3" xfId="13116"/>
    <cellStyle name="Normal 5 3 2 3 2 3 2" xfId="20672"/>
    <cellStyle name="Normal 5 3 2 3 2 3 2 2" xfId="36893"/>
    <cellStyle name="Normal 5 3 2 3 2 3 3" xfId="30205"/>
    <cellStyle name="Normal 5 3 2 3 2 4" xfId="15466"/>
    <cellStyle name="Normal 5 3 2 3 2 4 2" xfId="31688"/>
    <cellStyle name="Normal 5 3 2 3 2 5" xfId="18915"/>
    <cellStyle name="Normal 5 3 2 3 2 5 2" xfId="35136"/>
    <cellStyle name="Normal 5 3 2 3 2 6" xfId="28452"/>
    <cellStyle name="Normal 5 3 2 3 3" xfId="8523"/>
    <cellStyle name="Normal 5 3 2 3 3 2" xfId="13118"/>
    <cellStyle name="Normal 5 3 2 3 3 2 2" xfId="20674"/>
    <cellStyle name="Normal 5 3 2 3 3 2 2 2" xfId="36895"/>
    <cellStyle name="Normal 5 3 2 3 3 2 3" xfId="30207"/>
    <cellStyle name="Normal 5 3 2 3 3 3" xfId="16259"/>
    <cellStyle name="Normal 5 3 2 3 3 3 2" xfId="32480"/>
    <cellStyle name="Normal 5 3 2 3 3 4" xfId="18917"/>
    <cellStyle name="Normal 5 3 2 3 3 4 2" xfId="35138"/>
    <cellStyle name="Normal 5 3 2 3 3 5" xfId="28454"/>
    <cellStyle name="Normal 5 3 2 3 4" xfId="13115"/>
    <cellStyle name="Normal 5 3 2 3 4 2" xfId="20671"/>
    <cellStyle name="Normal 5 3 2 3 4 2 2" xfId="36892"/>
    <cellStyle name="Normal 5 3 2 3 4 3" xfId="30204"/>
    <cellStyle name="Normal 5 3 2 3 5" xfId="14674"/>
    <cellStyle name="Normal 5 3 2 3 5 2" xfId="30896"/>
    <cellStyle name="Normal 5 3 2 3 6" xfId="18914"/>
    <cellStyle name="Normal 5 3 2 3 6 2" xfId="35135"/>
    <cellStyle name="Normal 5 3 2 3 7" xfId="28451"/>
    <cellStyle name="Normal 5 3 2 4" xfId="8524"/>
    <cellStyle name="Normal 5 3 2 4 2" xfId="8525"/>
    <cellStyle name="Normal 5 3 2 4 2 2" xfId="8526"/>
    <cellStyle name="Normal 5 3 2 4 2 2 2" xfId="13121"/>
    <cellStyle name="Normal 5 3 2 4 2 2 2 2" xfId="20677"/>
    <cellStyle name="Normal 5 3 2 4 2 2 2 2 2" xfId="36898"/>
    <cellStyle name="Normal 5 3 2 4 2 2 2 3" xfId="30210"/>
    <cellStyle name="Normal 5 3 2 4 2 2 3" xfId="17315"/>
    <cellStyle name="Normal 5 3 2 4 2 2 3 2" xfId="33536"/>
    <cellStyle name="Normal 5 3 2 4 2 2 4" xfId="18920"/>
    <cellStyle name="Normal 5 3 2 4 2 2 4 2" xfId="35141"/>
    <cellStyle name="Normal 5 3 2 4 2 2 5" xfId="28457"/>
    <cellStyle name="Normal 5 3 2 4 2 3" xfId="13120"/>
    <cellStyle name="Normal 5 3 2 4 2 3 2" xfId="20676"/>
    <cellStyle name="Normal 5 3 2 4 2 3 2 2" xfId="36897"/>
    <cellStyle name="Normal 5 3 2 4 2 3 3" xfId="30209"/>
    <cellStyle name="Normal 5 3 2 4 2 4" xfId="15730"/>
    <cellStyle name="Normal 5 3 2 4 2 4 2" xfId="31952"/>
    <cellStyle name="Normal 5 3 2 4 2 5" xfId="18919"/>
    <cellStyle name="Normal 5 3 2 4 2 5 2" xfId="35140"/>
    <cellStyle name="Normal 5 3 2 4 2 6" xfId="28456"/>
    <cellStyle name="Normal 5 3 2 4 3" xfId="8527"/>
    <cellStyle name="Normal 5 3 2 4 3 2" xfId="13122"/>
    <cellStyle name="Normal 5 3 2 4 3 2 2" xfId="20678"/>
    <cellStyle name="Normal 5 3 2 4 3 2 2 2" xfId="36899"/>
    <cellStyle name="Normal 5 3 2 4 3 2 3" xfId="30211"/>
    <cellStyle name="Normal 5 3 2 4 3 3" xfId="16523"/>
    <cellStyle name="Normal 5 3 2 4 3 3 2" xfId="32744"/>
    <cellStyle name="Normal 5 3 2 4 3 4" xfId="18921"/>
    <cellStyle name="Normal 5 3 2 4 3 4 2" xfId="35142"/>
    <cellStyle name="Normal 5 3 2 4 3 5" xfId="28458"/>
    <cellStyle name="Normal 5 3 2 4 4" xfId="13119"/>
    <cellStyle name="Normal 5 3 2 4 4 2" xfId="20675"/>
    <cellStyle name="Normal 5 3 2 4 4 2 2" xfId="36896"/>
    <cellStyle name="Normal 5 3 2 4 4 3" xfId="30208"/>
    <cellStyle name="Normal 5 3 2 4 5" xfId="14938"/>
    <cellStyle name="Normal 5 3 2 4 5 2" xfId="31160"/>
    <cellStyle name="Normal 5 3 2 4 6" xfId="18918"/>
    <cellStyle name="Normal 5 3 2 4 6 2" xfId="35139"/>
    <cellStyle name="Normal 5 3 2 4 7" xfId="28455"/>
    <cellStyle name="Normal 5 3 2 5" xfId="8528"/>
    <cellStyle name="Normal 5 3 2 5 2" xfId="8529"/>
    <cellStyle name="Normal 5 3 2 5 2 2" xfId="13124"/>
    <cellStyle name="Normal 5 3 2 5 2 2 2" xfId="20680"/>
    <cellStyle name="Normal 5 3 2 5 2 2 2 2" xfId="36901"/>
    <cellStyle name="Normal 5 3 2 5 2 2 3" xfId="30213"/>
    <cellStyle name="Normal 5 3 2 5 2 3" xfId="16787"/>
    <cellStyle name="Normal 5 3 2 5 2 3 2" xfId="33008"/>
    <cellStyle name="Normal 5 3 2 5 2 4" xfId="18923"/>
    <cellStyle name="Normal 5 3 2 5 2 4 2" xfId="35144"/>
    <cellStyle name="Normal 5 3 2 5 2 5" xfId="28460"/>
    <cellStyle name="Normal 5 3 2 5 3" xfId="13123"/>
    <cellStyle name="Normal 5 3 2 5 3 2" xfId="20679"/>
    <cellStyle name="Normal 5 3 2 5 3 2 2" xfId="36900"/>
    <cellStyle name="Normal 5 3 2 5 3 3" xfId="30212"/>
    <cellStyle name="Normal 5 3 2 5 4" xfId="15202"/>
    <cellStyle name="Normal 5 3 2 5 4 2" xfId="31424"/>
    <cellStyle name="Normal 5 3 2 5 5" xfId="18922"/>
    <cellStyle name="Normal 5 3 2 5 5 2" xfId="35143"/>
    <cellStyle name="Normal 5 3 2 5 6" xfId="28459"/>
    <cellStyle name="Normal 5 3 2 6" xfId="8530"/>
    <cellStyle name="Normal 5 3 2 6 2" xfId="13125"/>
    <cellStyle name="Normal 5 3 2 6 2 2" xfId="20681"/>
    <cellStyle name="Normal 5 3 2 6 2 2 2" xfId="36902"/>
    <cellStyle name="Normal 5 3 2 6 2 3" xfId="30214"/>
    <cellStyle name="Normal 5 3 2 6 3" xfId="15995"/>
    <cellStyle name="Normal 5 3 2 6 3 2" xfId="32216"/>
    <cellStyle name="Normal 5 3 2 6 4" xfId="18924"/>
    <cellStyle name="Normal 5 3 2 6 4 2" xfId="35145"/>
    <cellStyle name="Normal 5 3 2 6 5" xfId="28461"/>
    <cellStyle name="Normal 5 3 2 7" xfId="13102"/>
    <cellStyle name="Normal 5 3 2 7 2" xfId="20658"/>
    <cellStyle name="Normal 5 3 2 7 2 2" xfId="36879"/>
    <cellStyle name="Normal 5 3 2 7 3" xfId="30191"/>
    <cellStyle name="Normal 5 3 2 8" xfId="14410"/>
    <cellStyle name="Normal 5 3 2 8 2" xfId="30632"/>
    <cellStyle name="Normal 5 3 2 9" xfId="18901"/>
    <cellStyle name="Normal 5 3 2 9 2" xfId="35122"/>
    <cellStyle name="Normal 5 3 3" xfId="3358"/>
    <cellStyle name="Normal 5 3 3 10" xfId="25525"/>
    <cellStyle name="Normal 5 3 3 2" xfId="8532"/>
    <cellStyle name="Normal 5 3 3 2 2" xfId="8533"/>
    <cellStyle name="Normal 5 3 3 2 2 2" xfId="8534"/>
    <cellStyle name="Normal 5 3 3 2 2 2 2" xfId="13129"/>
    <cellStyle name="Normal 5 3 3 2 2 2 2 2" xfId="20685"/>
    <cellStyle name="Normal 5 3 3 2 2 2 2 2 2" xfId="36906"/>
    <cellStyle name="Normal 5 3 3 2 2 2 2 3" xfId="30218"/>
    <cellStyle name="Normal 5 3 3 2 2 2 3" xfId="17117"/>
    <cellStyle name="Normal 5 3 3 2 2 2 3 2" xfId="33338"/>
    <cellStyle name="Normal 5 3 3 2 2 2 4" xfId="18928"/>
    <cellStyle name="Normal 5 3 3 2 2 2 4 2" xfId="35149"/>
    <cellStyle name="Normal 5 3 3 2 2 2 5" xfId="28465"/>
    <cellStyle name="Normal 5 3 3 2 2 3" xfId="13128"/>
    <cellStyle name="Normal 5 3 3 2 2 3 2" xfId="20684"/>
    <cellStyle name="Normal 5 3 3 2 2 3 2 2" xfId="36905"/>
    <cellStyle name="Normal 5 3 3 2 2 3 3" xfId="30217"/>
    <cellStyle name="Normal 5 3 3 2 2 4" xfId="15532"/>
    <cellStyle name="Normal 5 3 3 2 2 4 2" xfId="31754"/>
    <cellStyle name="Normal 5 3 3 2 2 5" xfId="18927"/>
    <cellStyle name="Normal 5 3 3 2 2 5 2" xfId="35148"/>
    <cellStyle name="Normal 5 3 3 2 2 6" xfId="28464"/>
    <cellStyle name="Normal 5 3 3 2 3" xfId="8535"/>
    <cellStyle name="Normal 5 3 3 2 3 2" xfId="13130"/>
    <cellStyle name="Normal 5 3 3 2 3 2 2" xfId="20686"/>
    <cellStyle name="Normal 5 3 3 2 3 2 2 2" xfId="36907"/>
    <cellStyle name="Normal 5 3 3 2 3 2 3" xfId="30219"/>
    <cellStyle name="Normal 5 3 3 2 3 3" xfId="16325"/>
    <cellStyle name="Normal 5 3 3 2 3 3 2" xfId="32546"/>
    <cellStyle name="Normal 5 3 3 2 3 4" xfId="18929"/>
    <cellStyle name="Normal 5 3 3 2 3 4 2" xfId="35150"/>
    <cellStyle name="Normal 5 3 3 2 3 5" xfId="28466"/>
    <cellStyle name="Normal 5 3 3 2 4" xfId="13127"/>
    <cellStyle name="Normal 5 3 3 2 4 2" xfId="20683"/>
    <cellStyle name="Normal 5 3 3 2 4 2 2" xfId="36904"/>
    <cellStyle name="Normal 5 3 3 2 4 3" xfId="30216"/>
    <cellStyle name="Normal 5 3 3 2 5" xfId="14740"/>
    <cellStyle name="Normal 5 3 3 2 5 2" xfId="30962"/>
    <cellStyle name="Normal 5 3 3 2 6" xfId="18926"/>
    <cellStyle name="Normal 5 3 3 2 6 2" xfId="35147"/>
    <cellStyle name="Normal 5 3 3 2 7" xfId="28463"/>
    <cellStyle name="Normal 5 3 3 3" xfId="8536"/>
    <cellStyle name="Normal 5 3 3 3 2" xfId="8537"/>
    <cellStyle name="Normal 5 3 3 3 2 2" xfId="8538"/>
    <cellStyle name="Normal 5 3 3 3 2 2 2" xfId="13133"/>
    <cellStyle name="Normal 5 3 3 3 2 2 2 2" xfId="20689"/>
    <cellStyle name="Normal 5 3 3 3 2 2 2 2 2" xfId="36910"/>
    <cellStyle name="Normal 5 3 3 3 2 2 2 3" xfId="30222"/>
    <cellStyle name="Normal 5 3 3 3 2 2 3" xfId="17381"/>
    <cellStyle name="Normal 5 3 3 3 2 2 3 2" xfId="33602"/>
    <cellStyle name="Normal 5 3 3 3 2 2 4" xfId="18932"/>
    <cellStyle name="Normal 5 3 3 3 2 2 4 2" xfId="35153"/>
    <cellStyle name="Normal 5 3 3 3 2 2 5" xfId="28469"/>
    <cellStyle name="Normal 5 3 3 3 2 3" xfId="13132"/>
    <cellStyle name="Normal 5 3 3 3 2 3 2" xfId="20688"/>
    <cellStyle name="Normal 5 3 3 3 2 3 2 2" xfId="36909"/>
    <cellStyle name="Normal 5 3 3 3 2 3 3" xfId="30221"/>
    <cellStyle name="Normal 5 3 3 3 2 4" xfId="15796"/>
    <cellStyle name="Normal 5 3 3 3 2 4 2" xfId="32018"/>
    <cellStyle name="Normal 5 3 3 3 2 5" xfId="18931"/>
    <cellStyle name="Normal 5 3 3 3 2 5 2" xfId="35152"/>
    <cellStyle name="Normal 5 3 3 3 2 6" xfId="28468"/>
    <cellStyle name="Normal 5 3 3 3 3" xfId="8539"/>
    <cellStyle name="Normal 5 3 3 3 3 2" xfId="13134"/>
    <cellStyle name="Normal 5 3 3 3 3 2 2" xfId="20690"/>
    <cellStyle name="Normal 5 3 3 3 3 2 2 2" xfId="36911"/>
    <cellStyle name="Normal 5 3 3 3 3 2 3" xfId="30223"/>
    <cellStyle name="Normal 5 3 3 3 3 3" xfId="16589"/>
    <cellStyle name="Normal 5 3 3 3 3 3 2" xfId="32810"/>
    <cellStyle name="Normal 5 3 3 3 3 4" xfId="18933"/>
    <cellStyle name="Normal 5 3 3 3 3 4 2" xfId="35154"/>
    <cellStyle name="Normal 5 3 3 3 3 5" xfId="28470"/>
    <cellStyle name="Normal 5 3 3 3 4" xfId="13131"/>
    <cellStyle name="Normal 5 3 3 3 4 2" xfId="20687"/>
    <cellStyle name="Normal 5 3 3 3 4 2 2" xfId="36908"/>
    <cellStyle name="Normal 5 3 3 3 4 3" xfId="30220"/>
    <cellStyle name="Normal 5 3 3 3 5" xfId="15004"/>
    <cellStyle name="Normal 5 3 3 3 5 2" xfId="31226"/>
    <cellStyle name="Normal 5 3 3 3 6" xfId="18930"/>
    <cellStyle name="Normal 5 3 3 3 6 2" xfId="35151"/>
    <cellStyle name="Normal 5 3 3 3 7" xfId="28467"/>
    <cellStyle name="Normal 5 3 3 4" xfId="8540"/>
    <cellStyle name="Normal 5 3 3 4 2" xfId="8541"/>
    <cellStyle name="Normal 5 3 3 4 2 2" xfId="13136"/>
    <cellStyle name="Normal 5 3 3 4 2 2 2" xfId="20692"/>
    <cellStyle name="Normal 5 3 3 4 2 2 2 2" xfId="36913"/>
    <cellStyle name="Normal 5 3 3 4 2 2 3" xfId="30225"/>
    <cellStyle name="Normal 5 3 3 4 2 3" xfId="16853"/>
    <cellStyle name="Normal 5 3 3 4 2 3 2" xfId="33074"/>
    <cellStyle name="Normal 5 3 3 4 2 4" xfId="18935"/>
    <cellStyle name="Normal 5 3 3 4 2 4 2" xfId="35156"/>
    <cellStyle name="Normal 5 3 3 4 2 5" xfId="28472"/>
    <cellStyle name="Normal 5 3 3 4 3" xfId="13135"/>
    <cellStyle name="Normal 5 3 3 4 3 2" xfId="20691"/>
    <cellStyle name="Normal 5 3 3 4 3 2 2" xfId="36912"/>
    <cellStyle name="Normal 5 3 3 4 3 3" xfId="30224"/>
    <cellStyle name="Normal 5 3 3 4 4" xfId="15268"/>
    <cellStyle name="Normal 5 3 3 4 4 2" xfId="31490"/>
    <cellStyle name="Normal 5 3 3 4 5" xfId="18934"/>
    <cellStyle name="Normal 5 3 3 4 5 2" xfId="35155"/>
    <cellStyle name="Normal 5 3 3 4 6" xfId="28471"/>
    <cellStyle name="Normal 5 3 3 5" xfId="8542"/>
    <cellStyle name="Normal 5 3 3 5 2" xfId="13137"/>
    <cellStyle name="Normal 5 3 3 5 2 2" xfId="20693"/>
    <cellStyle name="Normal 5 3 3 5 2 2 2" xfId="36914"/>
    <cellStyle name="Normal 5 3 3 5 2 3" xfId="30226"/>
    <cellStyle name="Normal 5 3 3 5 3" xfId="16061"/>
    <cellStyle name="Normal 5 3 3 5 3 2" xfId="32282"/>
    <cellStyle name="Normal 5 3 3 5 4" xfId="18936"/>
    <cellStyle name="Normal 5 3 3 5 4 2" xfId="35157"/>
    <cellStyle name="Normal 5 3 3 5 5" xfId="28473"/>
    <cellStyle name="Normal 5 3 3 6" xfId="13126"/>
    <cellStyle name="Normal 5 3 3 6 2" xfId="20682"/>
    <cellStyle name="Normal 5 3 3 6 2 2" xfId="36903"/>
    <cellStyle name="Normal 5 3 3 6 3" xfId="30215"/>
    <cellStyle name="Normal 5 3 3 7" xfId="14476"/>
    <cellStyle name="Normal 5 3 3 7 2" xfId="30698"/>
    <cellStyle name="Normal 5 3 3 8" xfId="18925"/>
    <cellStyle name="Normal 5 3 3 8 2" xfId="35146"/>
    <cellStyle name="Normal 5 3 3 9" xfId="8531"/>
    <cellStyle name="Normal 5 3 3 9 2" xfId="28462"/>
    <cellStyle name="Normal 5 3 4" xfId="8543"/>
    <cellStyle name="Normal 5 3 4 2" xfId="8544"/>
    <cellStyle name="Normal 5 3 4 2 2" xfId="8545"/>
    <cellStyle name="Normal 5 3 4 2 2 2" xfId="13140"/>
    <cellStyle name="Normal 5 3 4 2 2 2 2" xfId="20696"/>
    <cellStyle name="Normal 5 3 4 2 2 2 2 2" xfId="36917"/>
    <cellStyle name="Normal 5 3 4 2 2 2 3" xfId="30229"/>
    <cellStyle name="Normal 5 3 4 2 2 3" xfId="16985"/>
    <cellStyle name="Normal 5 3 4 2 2 3 2" xfId="33206"/>
    <cellStyle name="Normal 5 3 4 2 2 4" xfId="18939"/>
    <cellStyle name="Normal 5 3 4 2 2 4 2" xfId="35160"/>
    <cellStyle name="Normal 5 3 4 2 2 5" xfId="28476"/>
    <cellStyle name="Normal 5 3 4 2 3" xfId="13139"/>
    <cellStyle name="Normal 5 3 4 2 3 2" xfId="20695"/>
    <cellStyle name="Normal 5 3 4 2 3 2 2" xfId="36916"/>
    <cellStyle name="Normal 5 3 4 2 3 3" xfId="30228"/>
    <cellStyle name="Normal 5 3 4 2 4" xfId="15400"/>
    <cellStyle name="Normal 5 3 4 2 4 2" xfId="31622"/>
    <cellStyle name="Normal 5 3 4 2 5" xfId="18938"/>
    <cellStyle name="Normal 5 3 4 2 5 2" xfId="35159"/>
    <cellStyle name="Normal 5 3 4 2 6" xfId="28475"/>
    <cellStyle name="Normal 5 3 4 3" xfId="8546"/>
    <cellStyle name="Normal 5 3 4 3 2" xfId="13141"/>
    <cellStyle name="Normal 5 3 4 3 2 2" xfId="20697"/>
    <cellStyle name="Normal 5 3 4 3 2 2 2" xfId="36918"/>
    <cellStyle name="Normal 5 3 4 3 2 3" xfId="30230"/>
    <cellStyle name="Normal 5 3 4 3 3" xfId="16193"/>
    <cellStyle name="Normal 5 3 4 3 3 2" xfId="32414"/>
    <cellStyle name="Normal 5 3 4 3 4" xfId="18940"/>
    <cellStyle name="Normal 5 3 4 3 4 2" xfId="35161"/>
    <cellStyle name="Normal 5 3 4 3 5" xfId="28477"/>
    <cellStyle name="Normal 5 3 4 4" xfId="13138"/>
    <cellStyle name="Normal 5 3 4 4 2" xfId="20694"/>
    <cellStyle name="Normal 5 3 4 4 2 2" xfId="36915"/>
    <cellStyle name="Normal 5 3 4 4 3" xfId="30227"/>
    <cellStyle name="Normal 5 3 4 5" xfId="14608"/>
    <cellStyle name="Normal 5 3 4 5 2" xfId="30830"/>
    <cellStyle name="Normal 5 3 4 6" xfId="18937"/>
    <cellStyle name="Normal 5 3 4 6 2" xfId="35158"/>
    <cellStyle name="Normal 5 3 4 7" xfId="28474"/>
    <cellStyle name="Normal 5 3 5" xfId="8547"/>
    <cellStyle name="Normal 5 3 5 2" xfId="8548"/>
    <cellStyle name="Normal 5 3 5 2 2" xfId="8549"/>
    <cellStyle name="Normal 5 3 5 2 2 2" xfId="13144"/>
    <cellStyle name="Normal 5 3 5 2 2 2 2" xfId="20700"/>
    <cellStyle name="Normal 5 3 5 2 2 2 2 2" xfId="36921"/>
    <cellStyle name="Normal 5 3 5 2 2 2 3" xfId="30233"/>
    <cellStyle name="Normal 5 3 5 2 2 3" xfId="17249"/>
    <cellStyle name="Normal 5 3 5 2 2 3 2" xfId="33470"/>
    <cellStyle name="Normal 5 3 5 2 2 4" xfId="18943"/>
    <cellStyle name="Normal 5 3 5 2 2 4 2" xfId="35164"/>
    <cellStyle name="Normal 5 3 5 2 2 5" xfId="28480"/>
    <cellStyle name="Normal 5 3 5 2 3" xfId="13143"/>
    <cellStyle name="Normal 5 3 5 2 3 2" xfId="20699"/>
    <cellStyle name="Normal 5 3 5 2 3 2 2" xfId="36920"/>
    <cellStyle name="Normal 5 3 5 2 3 3" xfId="30232"/>
    <cellStyle name="Normal 5 3 5 2 4" xfId="15664"/>
    <cellStyle name="Normal 5 3 5 2 4 2" xfId="31886"/>
    <cellStyle name="Normal 5 3 5 2 5" xfId="18942"/>
    <cellStyle name="Normal 5 3 5 2 5 2" xfId="35163"/>
    <cellStyle name="Normal 5 3 5 2 6" xfId="28479"/>
    <cellStyle name="Normal 5 3 5 3" xfId="8550"/>
    <cellStyle name="Normal 5 3 5 3 2" xfId="13145"/>
    <cellStyle name="Normal 5 3 5 3 2 2" xfId="20701"/>
    <cellStyle name="Normal 5 3 5 3 2 2 2" xfId="36922"/>
    <cellStyle name="Normal 5 3 5 3 2 3" xfId="30234"/>
    <cellStyle name="Normal 5 3 5 3 3" xfId="16457"/>
    <cellStyle name="Normal 5 3 5 3 3 2" xfId="32678"/>
    <cellStyle name="Normal 5 3 5 3 4" xfId="18944"/>
    <cellStyle name="Normal 5 3 5 3 4 2" xfId="35165"/>
    <cellStyle name="Normal 5 3 5 3 5" xfId="28481"/>
    <cellStyle name="Normal 5 3 5 4" xfId="13142"/>
    <cellStyle name="Normal 5 3 5 4 2" xfId="20698"/>
    <cellStyle name="Normal 5 3 5 4 2 2" xfId="36919"/>
    <cellStyle name="Normal 5 3 5 4 3" xfId="30231"/>
    <cellStyle name="Normal 5 3 5 5" xfId="14872"/>
    <cellStyle name="Normal 5 3 5 5 2" xfId="31094"/>
    <cellStyle name="Normal 5 3 5 6" xfId="18941"/>
    <cellStyle name="Normal 5 3 5 6 2" xfId="35162"/>
    <cellStyle name="Normal 5 3 5 7" xfId="28478"/>
    <cellStyle name="Normal 5 3 6" xfId="8551"/>
    <cellStyle name="Normal 5 3 6 2" xfId="8552"/>
    <cellStyle name="Normal 5 3 6 2 2" xfId="13147"/>
    <cellStyle name="Normal 5 3 6 2 2 2" xfId="20703"/>
    <cellStyle name="Normal 5 3 6 2 2 2 2" xfId="36924"/>
    <cellStyle name="Normal 5 3 6 2 2 3" xfId="30236"/>
    <cellStyle name="Normal 5 3 6 2 3" xfId="16721"/>
    <cellStyle name="Normal 5 3 6 2 3 2" xfId="32942"/>
    <cellStyle name="Normal 5 3 6 2 4" xfId="18946"/>
    <cellStyle name="Normal 5 3 6 2 4 2" xfId="35167"/>
    <cellStyle name="Normal 5 3 6 2 5" xfId="28483"/>
    <cellStyle name="Normal 5 3 6 3" xfId="13146"/>
    <cellStyle name="Normal 5 3 6 3 2" xfId="20702"/>
    <cellStyle name="Normal 5 3 6 3 2 2" xfId="36923"/>
    <cellStyle name="Normal 5 3 6 3 3" xfId="30235"/>
    <cellStyle name="Normal 5 3 6 4" xfId="15136"/>
    <cellStyle name="Normal 5 3 6 4 2" xfId="31358"/>
    <cellStyle name="Normal 5 3 6 5" xfId="18945"/>
    <cellStyle name="Normal 5 3 6 5 2" xfId="35166"/>
    <cellStyle name="Normal 5 3 6 6" xfId="28482"/>
    <cellStyle name="Normal 5 3 7" xfId="8553"/>
    <cellStyle name="Normal 5 3 7 2" xfId="13148"/>
    <cellStyle name="Normal 5 3 7 2 2" xfId="20704"/>
    <cellStyle name="Normal 5 3 7 2 2 2" xfId="36925"/>
    <cellStyle name="Normal 5 3 7 2 3" xfId="30237"/>
    <cellStyle name="Normal 5 3 7 3" xfId="15929"/>
    <cellStyle name="Normal 5 3 7 3 2" xfId="32150"/>
    <cellStyle name="Normal 5 3 7 4" xfId="18947"/>
    <cellStyle name="Normal 5 3 7 4 2" xfId="35168"/>
    <cellStyle name="Normal 5 3 7 5" xfId="28484"/>
    <cellStyle name="Normal 5 3 8" xfId="13101"/>
    <cellStyle name="Normal 5 3 8 2" xfId="20657"/>
    <cellStyle name="Normal 5 3 8 2 2" xfId="36878"/>
    <cellStyle name="Normal 5 3 8 3" xfId="30190"/>
    <cellStyle name="Normal 5 3 9" xfId="14344"/>
    <cellStyle name="Normal 5 3 9 2" xfId="30566"/>
    <cellStyle name="Normal 5 4" xfId="1785"/>
    <cellStyle name="Normal 5 4 10" xfId="8554"/>
    <cellStyle name="Normal 5 4 10 2" xfId="28485"/>
    <cellStyle name="Normal 5 4 11" xfId="22455"/>
    <cellStyle name="Normal 5 4 11 2" xfId="38667"/>
    <cellStyle name="Normal 5 4 12" xfId="23953"/>
    <cellStyle name="Normal 5 4 2" xfId="3284"/>
    <cellStyle name="Normal 5 4 2 10" xfId="25451"/>
    <cellStyle name="Normal 5 4 2 2" xfId="8556"/>
    <cellStyle name="Normal 5 4 2 2 2" xfId="8557"/>
    <cellStyle name="Normal 5 4 2 2 2 2" xfId="8558"/>
    <cellStyle name="Normal 5 4 2 2 2 2 2" xfId="13153"/>
    <cellStyle name="Normal 5 4 2 2 2 2 2 2" xfId="20709"/>
    <cellStyle name="Normal 5 4 2 2 2 2 2 2 2" xfId="36930"/>
    <cellStyle name="Normal 5 4 2 2 2 2 2 3" xfId="30242"/>
    <cellStyle name="Normal 5 4 2 2 2 2 3" xfId="17150"/>
    <cellStyle name="Normal 5 4 2 2 2 2 3 2" xfId="33371"/>
    <cellStyle name="Normal 5 4 2 2 2 2 4" xfId="18952"/>
    <cellStyle name="Normal 5 4 2 2 2 2 4 2" xfId="35173"/>
    <cellStyle name="Normal 5 4 2 2 2 2 5" xfId="28489"/>
    <cellStyle name="Normal 5 4 2 2 2 3" xfId="13152"/>
    <cellStyle name="Normal 5 4 2 2 2 3 2" xfId="20708"/>
    <cellStyle name="Normal 5 4 2 2 2 3 2 2" xfId="36929"/>
    <cellStyle name="Normal 5 4 2 2 2 3 3" xfId="30241"/>
    <cellStyle name="Normal 5 4 2 2 2 4" xfId="15565"/>
    <cellStyle name="Normal 5 4 2 2 2 4 2" xfId="31787"/>
    <cellStyle name="Normal 5 4 2 2 2 5" xfId="18951"/>
    <cellStyle name="Normal 5 4 2 2 2 5 2" xfId="35172"/>
    <cellStyle name="Normal 5 4 2 2 2 6" xfId="28488"/>
    <cellStyle name="Normal 5 4 2 2 3" xfId="8559"/>
    <cellStyle name="Normal 5 4 2 2 3 2" xfId="13154"/>
    <cellStyle name="Normal 5 4 2 2 3 2 2" xfId="20710"/>
    <cellStyle name="Normal 5 4 2 2 3 2 2 2" xfId="36931"/>
    <cellStyle name="Normal 5 4 2 2 3 2 3" xfId="30243"/>
    <cellStyle name="Normal 5 4 2 2 3 3" xfId="16358"/>
    <cellStyle name="Normal 5 4 2 2 3 3 2" xfId="32579"/>
    <cellStyle name="Normal 5 4 2 2 3 4" xfId="18953"/>
    <cellStyle name="Normal 5 4 2 2 3 4 2" xfId="35174"/>
    <cellStyle name="Normal 5 4 2 2 3 5" xfId="28490"/>
    <cellStyle name="Normal 5 4 2 2 4" xfId="13151"/>
    <cellStyle name="Normal 5 4 2 2 4 2" xfId="20707"/>
    <cellStyle name="Normal 5 4 2 2 4 2 2" xfId="36928"/>
    <cellStyle name="Normal 5 4 2 2 4 3" xfId="30240"/>
    <cellStyle name="Normal 5 4 2 2 5" xfId="14773"/>
    <cellStyle name="Normal 5 4 2 2 5 2" xfId="30995"/>
    <cellStyle name="Normal 5 4 2 2 6" xfId="18950"/>
    <cellStyle name="Normal 5 4 2 2 6 2" xfId="35171"/>
    <cellStyle name="Normal 5 4 2 2 7" xfId="28487"/>
    <cellStyle name="Normal 5 4 2 3" xfId="8560"/>
    <cellStyle name="Normal 5 4 2 3 2" xfId="8561"/>
    <cellStyle name="Normal 5 4 2 3 2 2" xfId="8562"/>
    <cellStyle name="Normal 5 4 2 3 2 2 2" xfId="13157"/>
    <cellStyle name="Normal 5 4 2 3 2 2 2 2" xfId="20713"/>
    <cellStyle name="Normal 5 4 2 3 2 2 2 2 2" xfId="36934"/>
    <cellStyle name="Normal 5 4 2 3 2 2 2 3" xfId="30246"/>
    <cellStyle name="Normal 5 4 2 3 2 2 3" xfId="17414"/>
    <cellStyle name="Normal 5 4 2 3 2 2 3 2" xfId="33635"/>
    <cellStyle name="Normal 5 4 2 3 2 2 4" xfId="18956"/>
    <cellStyle name="Normal 5 4 2 3 2 2 4 2" xfId="35177"/>
    <cellStyle name="Normal 5 4 2 3 2 2 5" xfId="28493"/>
    <cellStyle name="Normal 5 4 2 3 2 3" xfId="13156"/>
    <cellStyle name="Normal 5 4 2 3 2 3 2" xfId="20712"/>
    <cellStyle name="Normal 5 4 2 3 2 3 2 2" xfId="36933"/>
    <cellStyle name="Normal 5 4 2 3 2 3 3" xfId="30245"/>
    <cellStyle name="Normal 5 4 2 3 2 4" xfId="15829"/>
    <cellStyle name="Normal 5 4 2 3 2 4 2" xfId="32051"/>
    <cellStyle name="Normal 5 4 2 3 2 5" xfId="18955"/>
    <cellStyle name="Normal 5 4 2 3 2 5 2" xfId="35176"/>
    <cellStyle name="Normal 5 4 2 3 2 6" xfId="28492"/>
    <cellStyle name="Normal 5 4 2 3 3" xfId="8563"/>
    <cellStyle name="Normal 5 4 2 3 3 2" xfId="13158"/>
    <cellStyle name="Normal 5 4 2 3 3 2 2" xfId="20714"/>
    <cellStyle name="Normal 5 4 2 3 3 2 2 2" xfId="36935"/>
    <cellStyle name="Normal 5 4 2 3 3 2 3" xfId="30247"/>
    <cellStyle name="Normal 5 4 2 3 3 3" xfId="16622"/>
    <cellStyle name="Normal 5 4 2 3 3 3 2" xfId="32843"/>
    <cellStyle name="Normal 5 4 2 3 3 4" xfId="18957"/>
    <cellStyle name="Normal 5 4 2 3 3 4 2" xfId="35178"/>
    <cellStyle name="Normal 5 4 2 3 3 5" xfId="28494"/>
    <cellStyle name="Normal 5 4 2 3 4" xfId="13155"/>
    <cellStyle name="Normal 5 4 2 3 4 2" xfId="20711"/>
    <cellStyle name="Normal 5 4 2 3 4 2 2" xfId="36932"/>
    <cellStyle name="Normal 5 4 2 3 4 3" xfId="30244"/>
    <cellStyle name="Normal 5 4 2 3 5" xfId="15037"/>
    <cellStyle name="Normal 5 4 2 3 5 2" xfId="31259"/>
    <cellStyle name="Normal 5 4 2 3 6" xfId="18954"/>
    <cellStyle name="Normal 5 4 2 3 6 2" xfId="35175"/>
    <cellStyle name="Normal 5 4 2 3 7" xfId="28491"/>
    <cellStyle name="Normal 5 4 2 4" xfId="8564"/>
    <cellStyle name="Normal 5 4 2 4 2" xfId="8565"/>
    <cellStyle name="Normal 5 4 2 4 2 2" xfId="13160"/>
    <cellStyle name="Normal 5 4 2 4 2 2 2" xfId="20716"/>
    <cellStyle name="Normal 5 4 2 4 2 2 2 2" xfId="36937"/>
    <cellStyle name="Normal 5 4 2 4 2 2 3" xfId="30249"/>
    <cellStyle name="Normal 5 4 2 4 2 3" xfId="16886"/>
    <cellStyle name="Normal 5 4 2 4 2 3 2" xfId="33107"/>
    <cellStyle name="Normal 5 4 2 4 2 4" xfId="18959"/>
    <cellStyle name="Normal 5 4 2 4 2 4 2" xfId="35180"/>
    <cellStyle name="Normal 5 4 2 4 2 5" xfId="28496"/>
    <cellStyle name="Normal 5 4 2 4 3" xfId="13159"/>
    <cellStyle name="Normal 5 4 2 4 3 2" xfId="20715"/>
    <cellStyle name="Normal 5 4 2 4 3 2 2" xfId="36936"/>
    <cellStyle name="Normal 5 4 2 4 3 3" xfId="30248"/>
    <cellStyle name="Normal 5 4 2 4 4" xfId="15301"/>
    <cellStyle name="Normal 5 4 2 4 4 2" xfId="31523"/>
    <cellStyle name="Normal 5 4 2 4 5" xfId="18958"/>
    <cellStyle name="Normal 5 4 2 4 5 2" xfId="35179"/>
    <cellStyle name="Normal 5 4 2 4 6" xfId="28495"/>
    <cellStyle name="Normal 5 4 2 5" xfId="8566"/>
    <cellStyle name="Normal 5 4 2 5 2" xfId="13161"/>
    <cellStyle name="Normal 5 4 2 5 2 2" xfId="20717"/>
    <cellStyle name="Normal 5 4 2 5 2 2 2" xfId="36938"/>
    <cellStyle name="Normal 5 4 2 5 2 3" xfId="30250"/>
    <cellStyle name="Normal 5 4 2 5 3" xfId="16094"/>
    <cellStyle name="Normal 5 4 2 5 3 2" xfId="32315"/>
    <cellStyle name="Normal 5 4 2 5 4" xfId="18960"/>
    <cellStyle name="Normal 5 4 2 5 4 2" xfId="35181"/>
    <cellStyle name="Normal 5 4 2 5 5" xfId="28497"/>
    <cellStyle name="Normal 5 4 2 6" xfId="13150"/>
    <cellStyle name="Normal 5 4 2 6 2" xfId="20706"/>
    <cellStyle name="Normal 5 4 2 6 2 2" xfId="36927"/>
    <cellStyle name="Normal 5 4 2 6 3" xfId="30239"/>
    <cellStyle name="Normal 5 4 2 7" xfId="14509"/>
    <cellStyle name="Normal 5 4 2 7 2" xfId="30731"/>
    <cellStyle name="Normal 5 4 2 8" xfId="18949"/>
    <cellStyle name="Normal 5 4 2 8 2" xfId="35170"/>
    <cellStyle name="Normal 5 4 2 9" xfId="8555"/>
    <cellStyle name="Normal 5 4 2 9 2" xfId="28486"/>
    <cellStyle name="Normal 5 4 3" xfId="4782"/>
    <cellStyle name="Normal 5 4 3 2" xfId="8568"/>
    <cellStyle name="Normal 5 4 3 2 2" xfId="8569"/>
    <cellStyle name="Normal 5 4 3 2 2 2" xfId="13164"/>
    <cellStyle name="Normal 5 4 3 2 2 2 2" xfId="20720"/>
    <cellStyle name="Normal 5 4 3 2 2 2 2 2" xfId="36941"/>
    <cellStyle name="Normal 5 4 3 2 2 2 3" xfId="30253"/>
    <cellStyle name="Normal 5 4 3 2 2 3" xfId="17018"/>
    <cellStyle name="Normal 5 4 3 2 2 3 2" xfId="33239"/>
    <cellStyle name="Normal 5 4 3 2 2 4" xfId="18963"/>
    <cellStyle name="Normal 5 4 3 2 2 4 2" xfId="35184"/>
    <cellStyle name="Normal 5 4 3 2 2 5" xfId="28500"/>
    <cellStyle name="Normal 5 4 3 2 3" xfId="13163"/>
    <cellStyle name="Normal 5 4 3 2 3 2" xfId="20719"/>
    <cellStyle name="Normal 5 4 3 2 3 2 2" xfId="36940"/>
    <cellStyle name="Normal 5 4 3 2 3 3" xfId="30252"/>
    <cellStyle name="Normal 5 4 3 2 4" xfId="15433"/>
    <cellStyle name="Normal 5 4 3 2 4 2" xfId="31655"/>
    <cellStyle name="Normal 5 4 3 2 5" xfId="18962"/>
    <cellStyle name="Normal 5 4 3 2 5 2" xfId="35183"/>
    <cellStyle name="Normal 5 4 3 2 6" xfId="28499"/>
    <cellStyle name="Normal 5 4 3 3" xfId="8570"/>
    <cellStyle name="Normal 5 4 3 3 2" xfId="13165"/>
    <cellStyle name="Normal 5 4 3 3 2 2" xfId="20721"/>
    <cellStyle name="Normal 5 4 3 3 2 2 2" xfId="36942"/>
    <cellStyle name="Normal 5 4 3 3 2 3" xfId="30254"/>
    <cellStyle name="Normal 5 4 3 3 3" xfId="16226"/>
    <cellStyle name="Normal 5 4 3 3 3 2" xfId="32447"/>
    <cellStyle name="Normal 5 4 3 3 4" xfId="18964"/>
    <cellStyle name="Normal 5 4 3 3 4 2" xfId="35185"/>
    <cellStyle name="Normal 5 4 3 3 5" xfId="28501"/>
    <cellStyle name="Normal 5 4 3 4" xfId="13162"/>
    <cellStyle name="Normal 5 4 3 4 2" xfId="20718"/>
    <cellStyle name="Normal 5 4 3 4 2 2" xfId="36939"/>
    <cellStyle name="Normal 5 4 3 4 3" xfId="30251"/>
    <cellStyle name="Normal 5 4 3 5" xfId="14641"/>
    <cellStyle name="Normal 5 4 3 5 2" xfId="30863"/>
    <cellStyle name="Normal 5 4 3 6" xfId="18961"/>
    <cellStyle name="Normal 5 4 3 6 2" xfId="35182"/>
    <cellStyle name="Normal 5 4 3 7" xfId="8567"/>
    <cellStyle name="Normal 5 4 3 7 2" xfId="28498"/>
    <cellStyle name="Normal 5 4 3 8" xfId="26949"/>
    <cellStyle name="Normal 5 4 4" xfId="8571"/>
    <cellStyle name="Normal 5 4 4 2" xfId="8572"/>
    <cellStyle name="Normal 5 4 4 2 2" xfId="8573"/>
    <cellStyle name="Normal 5 4 4 2 2 2" xfId="13168"/>
    <cellStyle name="Normal 5 4 4 2 2 2 2" xfId="20724"/>
    <cellStyle name="Normal 5 4 4 2 2 2 2 2" xfId="36945"/>
    <cellStyle name="Normal 5 4 4 2 2 2 3" xfId="30257"/>
    <cellStyle name="Normal 5 4 4 2 2 3" xfId="17282"/>
    <cellStyle name="Normal 5 4 4 2 2 3 2" xfId="33503"/>
    <cellStyle name="Normal 5 4 4 2 2 4" xfId="18967"/>
    <cellStyle name="Normal 5 4 4 2 2 4 2" xfId="35188"/>
    <cellStyle name="Normal 5 4 4 2 2 5" xfId="28504"/>
    <cellStyle name="Normal 5 4 4 2 3" xfId="13167"/>
    <cellStyle name="Normal 5 4 4 2 3 2" xfId="20723"/>
    <cellStyle name="Normal 5 4 4 2 3 2 2" xfId="36944"/>
    <cellStyle name="Normal 5 4 4 2 3 3" xfId="30256"/>
    <cellStyle name="Normal 5 4 4 2 4" xfId="15697"/>
    <cellStyle name="Normal 5 4 4 2 4 2" xfId="31919"/>
    <cellStyle name="Normal 5 4 4 2 5" xfId="18966"/>
    <cellStyle name="Normal 5 4 4 2 5 2" xfId="35187"/>
    <cellStyle name="Normal 5 4 4 2 6" xfId="28503"/>
    <cellStyle name="Normal 5 4 4 3" xfId="8574"/>
    <cellStyle name="Normal 5 4 4 3 2" xfId="13169"/>
    <cellStyle name="Normal 5 4 4 3 2 2" xfId="20725"/>
    <cellStyle name="Normal 5 4 4 3 2 2 2" xfId="36946"/>
    <cellStyle name="Normal 5 4 4 3 2 3" xfId="30258"/>
    <cellStyle name="Normal 5 4 4 3 3" xfId="16490"/>
    <cellStyle name="Normal 5 4 4 3 3 2" xfId="32711"/>
    <cellStyle name="Normal 5 4 4 3 4" xfId="18968"/>
    <cellStyle name="Normal 5 4 4 3 4 2" xfId="35189"/>
    <cellStyle name="Normal 5 4 4 3 5" xfId="28505"/>
    <cellStyle name="Normal 5 4 4 4" xfId="13166"/>
    <cellStyle name="Normal 5 4 4 4 2" xfId="20722"/>
    <cellStyle name="Normal 5 4 4 4 2 2" xfId="36943"/>
    <cellStyle name="Normal 5 4 4 4 3" xfId="30255"/>
    <cellStyle name="Normal 5 4 4 5" xfId="14905"/>
    <cellStyle name="Normal 5 4 4 5 2" xfId="31127"/>
    <cellStyle name="Normal 5 4 4 6" xfId="18965"/>
    <cellStyle name="Normal 5 4 4 6 2" xfId="35186"/>
    <cellStyle name="Normal 5 4 4 7" xfId="28502"/>
    <cellStyle name="Normal 5 4 5" xfId="8575"/>
    <cellStyle name="Normal 5 4 5 2" xfId="8576"/>
    <cellStyle name="Normal 5 4 5 2 2" xfId="13171"/>
    <cellStyle name="Normal 5 4 5 2 2 2" xfId="20727"/>
    <cellStyle name="Normal 5 4 5 2 2 2 2" xfId="36948"/>
    <cellStyle name="Normal 5 4 5 2 2 3" xfId="30260"/>
    <cellStyle name="Normal 5 4 5 2 3" xfId="16754"/>
    <cellStyle name="Normal 5 4 5 2 3 2" xfId="32975"/>
    <cellStyle name="Normal 5 4 5 2 4" xfId="18970"/>
    <cellStyle name="Normal 5 4 5 2 4 2" xfId="35191"/>
    <cellStyle name="Normal 5 4 5 2 5" xfId="28507"/>
    <cellStyle name="Normal 5 4 5 3" xfId="13170"/>
    <cellStyle name="Normal 5 4 5 3 2" xfId="20726"/>
    <cellStyle name="Normal 5 4 5 3 2 2" xfId="36947"/>
    <cellStyle name="Normal 5 4 5 3 3" xfId="30259"/>
    <cellStyle name="Normal 5 4 5 4" xfId="15169"/>
    <cellStyle name="Normal 5 4 5 4 2" xfId="31391"/>
    <cellStyle name="Normal 5 4 5 5" xfId="18969"/>
    <cellStyle name="Normal 5 4 5 5 2" xfId="35190"/>
    <cellStyle name="Normal 5 4 5 6" xfId="28506"/>
    <cellStyle name="Normal 5 4 6" xfId="8577"/>
    <cellStyle name="Normal 5 4 6 2" xfId="13172"/>
    <cellStyle name="Normal 5 4 6 2 2" xfId="20728"/>
    <cellStyle name="Normal 5 4 6 2 2 2" xfId="36949"/>
    <cellStyle name="Normal 5 4 6 2 3" xfId="30261"/>
    <cellStyle name="Normal 5 4 6 3" xfId="15962"/>
    <cellStyle name="Normal 5 4 6 3 2" xfId="32183"/>
    <cellStyle name="Normal 5 4 6 4" xfId="18971"/>
    <cellStyle name="Normal 5 4 6 4 2" xfId="35192"/>
    <cellStyle name="Normal 5 4 6 5" xfId="28508"/>
    <cellStyle name="Normal 5 4 7" xfId="13149"/>
    <cellStyle name="Normal 5 4 7 2" xfId="20705"/>
    <cellStyle name="Normal 5 4 7 2 2" xfId="36926"/>
    <cellStyle name="Normal 5 4 7 3" xfId="30238"/>
    <cellStyle name="Normal 5 4 8" xfId="14377"/>
    <cellStyle name="Normal 5 4 8 2" xfId="30599"/>
    <cellStyle name="Normal 5 4 9" xfId="18948"/>
    <cellStyle name="Normal 5 4 9 2" xfId="35169"/>
    <cellStyle name="Normal 5 5" xfId="1831"/>
    <cellStyle name="Normal 5 5 10" xfId="23999"/>
    <cellStyle name="Normal 5 5 2" xfId="8579"/>
    <cellStyle name="Normal 5 5 2 2" xfId="8580"/>
    <cellStyle name="Normal 5 5 2 2 2" xfId="8581"/>
    <cellStyle name="Normal 5 5 2 2 2 2" xfId="13176"/>
    <cellStyle name="Normal 5 5 2 2 2 2 2" xfId="20732"/>
    <cellStyle name="Normal 5 5 2 2 2 2 2 2" xfId="36953"/>
    <cellStyle name="Normal 5 5 2 2 2 2 3" xfId="30265"/>
    <cellStyle name="Normal 5 5 2 2 2 3" xfId="17084"/>
    <cellStyle name="Normal 5 5 2 2 2 3 2" xfId="33305"/>
    <cellStyle name="Normal 5 5 2 2 2 4" xfId="18975"/>
    <cellStyle name="Normal 5 5 2 2 2 4 2" xfId="35196"/>
    <cellStyle name="Normal 5 5 2 2 2 5" xfId="28512"/>
    <cellStyle name="Normal 5 5 2 2 3" xfId="13175"/>
    <cellStyle name="Normal 5 5 2 2 3 2" xfId="20731"/>
    <cellStyle name="Normal 5 5 2 2 3 2 2" xfId="36952"/>
    <cellStyle name="Normal 5 5 2 2 3 3" xfId="30264"/>
    <cellStyle name="Normal 5 5 2 2 4" xfId="15499"/>
    <cellStyle name="Normal 5 5 2 2 4 2" xfId="31721"/>
    <cellStyle name="Normal 5 5 2 2 5" xfId="18974"/>
    <cellStyle name="Normal 5 5 2 2 5 2" xfId="35195"/>
    <cellStyle name="Normal 5 5 2 2 6" xfId="28511"/>
    <cellStyle name="Normal 5 5 2 3" xfId="8582"/>
    <cellStyle name="Normal 5 5 2 3 2" xfId="13177"/>
    <cellStyle name="Normal 5 5 2 3 2 2" xfId="20733"/>
    <cellStyle name="Normal 5 5 2 3 2 2 2" xfId="36954"/>
    <cellStyle name="Normal 5 5 2 3 2 3" xfId="30266"/>
    <cellStyle name="Normal 5 5 2 3 3" xfId="16292"/>
    <cellStyle name="Normal 5 5 2 3 3 2" xfId="32513"/>
    <cellStyle name="Normal 5 5 2 3 4" xfId="18976"/>
    <cellStyle name="Normal 5 5 2 3 4 2" xfId="35197"/>
    <cellStyle name="Normal 5 5 2 3 5" xfId="28513"/>
    <cellStyle name="Normal 5 5 2 4" xfId="13174"/>
    <cellStyle name="Normal 5 5 2 4 2" xfId="20730"/>
    <cellStyle name="Normal 5 5 2 4 2 2" xfId="36951"/>
    <cellStyle name="Normal 5 5 2 4 3" xfId="30263"/>
    <cellStyle name="Normal 5 5 2 5" xfId="14707"/>
    <cellStyle name="Normal 5 5 2 5 2" xfId="30929"/>
    <cellStyle name="Normal 5 5 2 6" xfId="18973"/>
    <cellStyle name="Normal 5 5 2 6 2" xfId="35194"/>
    <cellStyle name="Normal 5 5 2 7" xfId="28510"/>
    <cellStyle name="Normal 5 5 3" xfId="8583"/>
    <cellStyle name="Normal 5 5 3 2" xfId="8584"/>
    <cellStyle name="Normal 5 5 3 2 2" xfId="8585"/>
    <cellStyle name="Normal 5 5 3 2 2 2" xfId="13180"/>
    <cellStyle name="Normal 5 5 3 2 2 2 2" xfId="20736"/>
    <cellStyle name="Normal 5 5 3 2 2 2 2 2" xfId="36957"/>
    <cellStyle name="Normal 5 5 3 2 2 2 3" xfId="30269"/>
    <cellStyle name="Normal 5 5 3 2 2 3" xfId="17348"/>
    <cellStyle name="Normal 5 5 3 2 2 3 2" xfId="33569"/>
    <cellStyle name="Normal 5 5 3 2 2 4" xfId="18979"/>
    <cellStyle name="Normal 5 5 3 2 2 4 2" xfId="35200"/>
    <cellStyle name="Normal 5 5 3 2 2 5" xfId="28516"/>
    <cellStyle name="Normal 5 5 3 2 3" xfId="13179"/>
    <cellStyle name="Normal 5 5 3 2 3 2" xfId="20735"/>
    <cellStyle name="Normal 5 5 3 2 3 2 2" xfId="36956"/>
    <cellStyle name="Normal 5 5 3 2 3 3" xfId="30268"/>
    <cellStyle name="Normal 5 5 3 2 4" xfId="15763"/>
    <cellStyle name="Normal 5 5 3 2 4 2" xfId="31985"/>
    <cellStyle name="Normal 5 5 3 2 5" xfId="18978"/>
    <cellStyle name="Normal 5 5 3 2 5 2" xfId="35199"/>
    <cellStyle name="Normal 5 5 3 2 6" xfId="28515"/>
    <cellStyle name="Normal 5 5 3 3" xfId="8586"/>
    <cellStyle name="Normal 5 5 3 3 2" xfId="13181"/>
    <cellStyle name="Normal 5 5 3 3 2 2" xfId="20737"/>
    <cellStyle name="Normal 5 5 3 3 2 2 2" xfId="36958"/>
    <cellStyle name="Normal 5 5 3 3 2 3" xfId="30270"/>
    <cellStyle name="Normal 5 5 3 3 3" xfId="16556"/>
    <cellStyle name="Normal 5 5 3 3 3 2" xfId="32777"/>
    <cellStyle name="Normal 5 5 3 3 4" xfId="18980"/>
    <cellStyle name="Normal 5 5 3 3 4 2" xfId="35201"/>
    <cellStyle name="Normal 5 5 3 3 5" xfId="28517"/>
    <cellStyle name="Normal 5 5 3 4" xfId="13178"/>
    <cellStyle name="Normal 5 5 3 4 2" xfId="20734"/>
    <cellStyle name="Normal 5 5 3 4 2 2" xfId="36955"/>
    <cellStyle name="Normal 5 5 3 4 3" xfId="30267"/>
    <cellStyle name="Normal 5 5 3 5" xfId="14971"/>
    <cellStyle name="Normal 5 5 3 5 2" xfId="31193"/>
    <cellStyle name="Normal 5 5 3 6" xfId="18977"/>
    <cellStyle name="Normal 5 5 3 6 2" xfId="35198"/>
    <cellStyle name="Normal 5 5 3 7" xfId="28514"/>
    <cellStyle name="Normal 5 5 4" xfId="8587"/>
    <cellStyle name="Normal 5 5 4 2" xfId="8588"/>
    <cellStyle name="Normal 5 5 4 2 2" xfId="13183"/>
    <cellStyle name="Normal 5 5 4 2 2 2" xfId="20739"/>
    <cellStyle name="Normal 5 5 4 2 2 2 2" xfId="36960"/>
    <cellStyle name="Normal 5 5 4 2 2 3" xfId="30272"/>
    <cellStyle name="Normal 5 5 4 2 3" xfId="16820"/>
    <cellStyle name="Normal 5 5 4 2 3 2" xfId="33041"/>
    <cellStyle name="Normal 5 5 4 2 4" xfId="18982"/>
    <cellStyle name="Normal 5 5 4 2 4 2" xfId="35203"/>
    <cellStyle name="Normal 5 5 4 2 5" xfId="28519"/>
    <cellStyle name="Normal 5 5 4 3" xfId="13182"/>
    <cellStyle name="Normal 5 5 4 3 2" xfId="20738"/>
    <cellStyle name="Normal 5 5 4 3 2 2" xfId="36959"/>
    <cellStyle name="Normal 5 5 4 3 3" xfId="30271"/>
    <cellStyle name="Normal 5 5 4 4" xfId="15235"/>
    <cellStyle name="Normal 5 5 4 4 2" xfId="31457"/>
    <cellStyle name="Normal 5 5 4 5" xfId="18981"/>
    <cellStyle name="Normal 5 5 4 5 2" xfId="35202"/>
    <cellStyle name="Normal 5 5 4 6" xfId="28518"/>
    <cellStyle name="Normal 5 5 5" xfId="8589"/>
    <cellStyle name="Normal 5 5 5 2" xfId="13184"/>
    <cellStyle name="Normal 5 5 5 2 2" xfId="20740"/>
    <cellStyle name="Normal 5 5 5 2 2 2" xfId="36961"/>
    <cellStyle name="Normal 5 5 5 2 3" xfId="30273"/>
    <cellStyle name="Normal 5 5 5 3" xfId="16028"/>
    <cellStyle name="Normal 5 5 5 3 2" xfId="32249"/>
    <cellStyle name="Normal 5 5 5 4" xfId="18983"/>
    <cellStyle name="Normal 5 5 5 4 2" xfId="35204"/>
    <cellStyle name="Normal 5 5 5 5" xfId="28520"/>
    <cellStyle name="Normal 5 5 6" xfId="13173"/>
    <cellStyle name="Normal 5 5 6 2" xfId="20729"/>
    <cellStyle name="Normal 5 5 6 2 2" xfId="36950"/>
    <cellStyle name="Normal 5 5 6 3" xfId="30262"/>
    <cellStyle name="Normal 5 5 7" xfId="14443"/>
    <cellStyle name="Normal 5 5 7 2" xfId="30665"/>
    <cellStyle name="Normal 5 5 8" xfId="18972"/>
    <cellStyle name="Normal 5 5 8 2" xfId="35193"/>
    <cellStyle name="Normal 5 5 9" xfId="8578"/>
    <cellStyle name="Normal 5 5 9 2" xfId="28509"/>
    <cellStyle name="Normal 5 6" xfId="3330"/>
    <cellStyle name="Normal 5 6 2" xfId="8591"/>
    <cellStyle name="Normal 5 6 2 2" xfId="8592"/>
    <cellStyle name="Normal 5 6 2 2 2" xfId="13187"/>
    <cellStyle name="Normal 5 6 2 2 2 2" xfId="20743"/>
    <cellStyle name="Normal 5 6 2 2 2 2 2" xfId="36964"/>
    <cellStyle name="Normal 5 6 2 2 2 3" xfId="30276"/>
    <cellStyle name="Normal 5 6 2 2 3" xfId="16952"/>
    <cellStyle name="Normal 5 6 2 2 3 2" xfId="33173"/>
    <cellStyle name="Normal 5 6 2 2 4" xfId="18986"/>
    <cellStyle name="Normal 5 6 2 2 4 2" xfId="35207"/>
    <cellStyle name="Normal 5 6 2 2 5" xfId="28523"/>
    <cellStyle name="Normal 5 6 2 3" xfId="13186"/>
    <cellStyle name="Normal 5 6 2 3 2" xfId="20742"/>
    <cellStyle name="Normal 5 6 2 3 2 2" xfId="36963"/>
    <cellStyle name="Normal 5 6 2 3 3" xfId="30275"/>
    <cellStyle name="Normal 5 6 2 4" xfId="15367"/>
    <cellStyle name="Normal 5 6 2 4 2" xfId="31589"/>
    <cellStyle name="Normal 5 6 2 5" xfId="18985"/>
    <cellStyle name="Normal 5 6 2 5 2" xfId="35206"/>
    <cellStyle name="Normal 5 6 2 6" xfId="28522"/>
    <cellStyle name="Normal 5 6 3" xfId="8593"/>
    <cellStyle name="Normal 5 6 3 2" xfId="13188"/>
    <cellStyle name="Normal 5 6 3 2 2" xfId="20744"/>
    <cellStyle name="Normal 5 6 3 2 2 2" xfId="36965"/>
    <cellStyle name="Normal 5 6 3 2 3" xfId="30277"/>
    <cellStyle name="Normal 5 6 3 3" xfId="16160"/>
    <cellStyle name="Normal 5 6 3 3 2" xfId="32381"/>
    <cellStyle name="Normal 5 6 3 4" xfId="18987"/>
    <cellStyle name="Normal 5 6 3 4 2" xfId="35208"/>
    <cellStyle name="Normal 5 6 3 5" xfId="28524"/>
    <cellStyle name="Normal 5 6 4" xfId="13185"/>
    <cellStyle name="Normal 5 6 4 2" xfId="20741"/>
    <cellStyle name="Normal 5 6 4 2 2" xfId="36962"/>
    <cellStyle name="Normal 5 6 4 3" xfId="30274"/>
    <cellStyle name="Normal 5 6 5" xfId="14575"/>
    <cellStyle name="Normal 5 6 5 2" xfId="30797"/>
    <cellStyle name="Normal 5 6 6" xfId="18984"/>
    <cellStyle name="Normal 5 6 6 2" xfId="35205"/>
    <cellStyle name="Normal 5 6 7" xfId="8590"/>
    <cellStyle name="Normal 5 6 7 2" xfId="28521"/>
    <cellStyle name="Normal 5 6 8" xfId="25497"/>
    <cellStyle name="Normal 5 7" xfId="8594"/>
    <cellStyle name="Normal 5 7 2" xfId="8595"/>
    <cellStyle name="Normal 5 7 2 2" xfId="8596"/>
    <cellStyle name="Normal 5 7 2 2 2" xfId="13191"/>
    <cellStyle name="Normal 5 7 2 2 2 2" xfId="20747"/>
    <cellStyle name="Normal 5 7 2 2 2 2 2" xfId="36968"/>
    <cellStyle name="Normal 5 7 2 2 2 3" xfId="30280"/>
    <cellStyle name="Normal 5 7 2 2 3" xfId="17216"/>
    <cellStyle name="Normal 5 7 2 2 3 2" xfId="33437"/>
    <cellStyle name="Normal 5 7 2 2 4" xfId="18990"/>
    <cellStyle name="Normal 5 7 2 2 4 2" xfId="35211"/>
    <cellStyle name="Normal 5 7 2 2 5" xfId="28527"/>
    <cellStyle name="Normal 5 7 2 3" xfId="13190"/>
    <cellStyle name="Normal 5 7 2 3 2" xfId="20746"/>
    <cellStyle name="Normal 5 7 2 3 2 2" xfId="36967"/>
    <cellStyle name="Normal 5 7 2 3 3" xfId="30279"/>
    <cellStyle name="Normal 5 7 2 4" xfId="15631"/>
    <cellStyle name="Normal 5 7 2 4 2" xfId="31853"/>
    <cellStyle name="Normal 5 7 2 5" xfId="18989"/>
    <cellStyle name="Normal 5 7 2 5 2" xfId="35210"/>
    <cellStyle name="Normal 5 7 2 6" xfId="28526"/>
    <cellStyle name="Normal 5 7 3" xfId="8597"/>
    <cellStyle name="Normal 5 7 3 2" xfId="13192"/>
    <cellStyle name="Normal 5 7 3 2 2" xfId="20748"/>
    <cellStyle name="Normal 5 7 3 2 2 2" xfId="36969"/>
    <cellStyle name="Normal 5 7 3 2 3" xfId="30281"/>
    <cellStyle name="Normal 5 7 3 3" xfId="16424"/>
    <cellStyle name="Normal 5 7 3 3 2" xfId="32645"/>
    <cellStyle name="Normal 5 7 3 4" xfId="18991"/>
    <cellStyle name="Normal 5 7 3 4 2" xfId="35212"/>
    <cellStyle name="Normal 5 7 3 5" xfId="28528"/>
    <cellStyle name="Normal 5 7 4" xfId="13189"/>
    <cellStyle name="Normal 5 7 4 2" xfId="20745"/>
    <cellStyle name="Normal 5 7 4 2 2" xfId="36966"/>
    <cellStyle name="Normal 5 7 4 3" xfId="30278"/>
    <cellStyle name="Normal 5 7 5" xfId="14839"/>
    <cellStyle name="Normal 5 7 5 2" xfId="31061"/>
    <cellStyle name="Normal 5 7 6" xfId="18988"/>
    <cellStyle name="Normal 5 7 6 2" xfId="35209"/>
    <cellStyle name="Normal 5 7 7" xfId="28525"/>
    <cellStyle name="Normal 5 8" xfId="8598"/>
    <cellStyle name="Normal 5 8 2" xfId="8599"/>
    <cellStyle name="Normal 5 8 2 2" xfId="13194"/>
    <cellStyle name="Normal 5 8 2 2 2" xfId="20750"/>
    <cellStyle name="Normal 5 8 2 2 2 2" xfId="36971"/>
    <cellStyle name="Normal 5 8 2 2 3" xfId="30283"/>
    <cellStyle name="Normal 5 8 2 3" xfId="16688"/>
    <cellStyle name="Normal 5 8 2 3 2" xfId="32909"/>
    <cellStyle name="Normal 5 8 2 4" xfId="18993"/>
    <cellStyle name="Normal 5 8 2 4 2" xfId="35214"/>
    <cellStyle name="Normal 5 8 2 5" xfId="28530"/>
    <cellStyle name="Normal 5 8 3" xfId="13193"/>
    <cellStyle name="Normal 5 8 3 2" xfId="20749"/>
    <cellStyle name="Normal 5 8 3 2 2" xfId="36970"/>
    <cellStyle name="Normal 5 8 3 3" xfId="30282"/>
    <cellStyle name="Normal 5 8 4" xfId="15103"/>
    <cellStyle name="Normal 5 8 4 2" xfId="31325"/>
    <cellStyle name="Normal 5 8 5" xfId="18992"/>
    <cellStyle name="Normal 5 8 5 2" xfId="35213"/>
    <cellStyle name="Normal 5 8 6" xfId="28529"/>
    <cellStyle name="Normal 5 9" xfId="8600"/>
    <cellStyle name="Normal 5 9 2" xfId="13195"/>
    <cellStyle name="Normal 5 9 2 2" xfId="20751"/>
    <cellStyle name="Normal 5 9 2 2 2" xfId="36972"/>
    <cellStyle name="Normal 5 9 2 3" xfId="30284"/>
    <cellStyle name="Normal 5 9 3" xfId="15896"/>
    <cellStyle name="Normal 5 9 3 2" xfId="32117"/>
    <cellStyle name="Normal 5 9 4" xfId="18994"/>
    <cellStyle name="Normal 5 9 4 2" xfId="35215"/>
    <cellStyle name="Normal 5 9 5" xfId="28531"/>
    <cellStyle name="Normal 50" xfId="39605"/>
    <cellStyle name="Normal 51" xfId="39606"/>
    <cellStyle name="Normal 52" xfId="39607"/>
    <cellStyle name="Normal 53" xfId="39546"/>
    <cellStyle name="Normal 54" xfId="269"/>
    <cellStyle name="Normal 6" xfId="206"/>
    <cellStyle name="Normal 6 10" xfId="38726"/>
    <cellStyle name="Normal 6 11" xfId="39553"/>
    <cellStyle name="Normal 6 12" xfId="297"/>
    <cellStyle name="Normal 6 2" xfId="207"/>
    <cellStyle name="Normal 6 2 2" xfId="208"/>
    <cellStyle name="Normal 6 2 2 2" xfId="38811"/>
    <cellStyle name="Normal 6 2 2 3" xfId="13196"/>
    <cellStyle name="Normal 6 2 3" xfId="38810"/>
    <cellStyle name="Normal 6 2 4" xfId="382"/>
    <cellStyle name="Normal 6 3" xfId="209"/>
    <cellStyle name="Normal 6 3 2" xfId="38812"/>
    <cellStyle name="Normal 6 3 3" xfId="381"/>
    <cellStyle name="Normal 6 4" xfId="210"/>
    <cellStyle name="Normal 6 4 2" xfId="1861"/>
    <cellStyle name="Normal 6 4 2 2" xfId="24029"/>
    <cellStyle name="Normal 6 4 3" xfId="3360"/>
    <cellStyle name="Normal 6 4 3 2" xfId="25527"/>
    <cellStyle name="Normal 6 4 4" xfId="21033"/>
    <cellStyle name="Normal 6 4 4 2" xfId="37245"/>
    <cellStyle name="Normal 6 4 5" xfId="22531"/>
    <cellStyle name="Normal 6 4 6" xfId="326"/>
    <cellStyle name="Normal 6 5" xfId="211"/>
    <cellStyle name="Normal 6 5 2" xfId="3286"/>
    <cellStyle name="Normal 6 5 2 2" xfId="25453"/>
    <cellStyle name="Normal 6 5 3" xfId="4784"/>
    <cellStyle name="Normal 6 5 3 2" xfId="26951"/>
    <cellStyle name="Normal 6 5 4" xfId="22457"/>
    <cellStyle name="Normal 6 5 4 2" xfId="38669"/>
    <cellStyle name="Normal 6 5 5" xfId="23955"/>
    <cellStyle name="Normal 6 5 6" xfId="1787"/>
    <cellStyle name="Normal 6 6" xfId="1833"/>
    <cellStyle name="Normal 6 6 2" xfId="24001"/>
    <cellStyle name="Normal 6 7" xfId="3332"/>
    <cellStyle name="Normal 6 7 2" xfId="25499"/>
    <cellStyle name="Normal 6 8" xfId="21005"/>
    <cellStyle name="Normal 6 8 2" xfId="37217"/>
    <cellStyle name="Normal 6 9" xfId="22503"/>
    <cellStyle name="Normal 7" xfId="212"/>
    <cellStyle name="Normal 7 10" xfId="8601"/>
    <cellStyle name="Normal 7 10 2" xfId="8602"/>
    <cellStyle name="Normal 7 10 2 2" xfId="8603"/>
    <cellStyle name="Normal 7 10 2 2 2" xfId="13199"/>
    <cellStyle name="Normal 7 10 2 2 2 2" xfId="20754"/>
    <cellStyle name="Normal 7 10 2 2 2 2 2" xfId="36975"/>
    <cellStyle name="Normal 7 10 2 2 2 3" xfId="30287"/>
    <cellStyle name="Normal 7 10 2 2 3" xfId="17228"/>
    <cellStyle name="Normal 7 10 2 2 3 2" xfId="33449"/>
    <cellStyle name="Normal 7 10 2 2 4" xfId="18997"/>
    <cellStyle name="Normal 7 10 2 2 4 2" xfId="35218"/>
    <cellStyle name="Normal 7 10 2 2 5" xfId="28534"/>
    <cellStyle name="Normal 7 10 2 3" xfId="13198"/>
    <cellStyle name="Normal 7 10 2 3 2" xfId="20753"/>
    <cellStyle name="Normal 7 10 2 3 2 2" xfId="36974"/>
    <cellStyle name="Normal 7 10 2 3 3" xfId="30286"/>
    <cellStyle name="Normal 7 10 2 4" xfId="15643"/>
    <cellStyle name="Normal 7 10 2 4 2" xfId="31865"/>
    <cellStyle name="Normal 7 10 2 5" xfId="18996"/>
    <cellStyle name="Normal 7 10 2 5 2" xfId="35217"/>
    <cellStyle name="Normal 7 10 2 6" xfId="28533"/>
    <cellStyle name="Normal 7 10 3" xfId="8604"/>
    <cellStyle name="Normal 7 10 3 2" xfId="13200"/>
    <cellStyle name="Normal 7 10 3 2 2" xfId="20755"/>
    <cellStyle name="Normal 7 10 3 2 2 2" xfId="36976"/>
    <cellStyle name="Normal 7 10 3 2 3" xfId="30288"/>
    <cellStyle name="Normal 7 10 3 3" xfId="16436"/>
    <cellStyle name="Normal 7 10 3 3 2" xfId="32657"/>
    <cellStyle name="Normal 7 10 3 4" xfId="18998"/>
    <cellStyle name="Normal 7 10 3 4 2" xfId="35219"/>
    <cellStyle name="Normal 7 10 3 5" xfId="28535"/>
    <cellStyle name="Normal 7 10 4" xfId="13197"/>
    <cellStyle name="Normal 7 10 4 2" xfId="20752"/>
    <cellStyle name="Normal 7 10 4 2 2" xfId="36973"/>
    <cellStyle name="Normal 7 10 4 3" xfId="30285"/>
    <cellStyle name="Normal 7 10 5" xfId="14851"/>
    <cellStyle name="Normal 7 10 5 2" xfId="31073"/>
    <cellStyle name="Normal 7 10 6" xfId="18995"/>
    <cellStyle name="Normal 7 10 6 2" xfId="35216"/>
    <cellStyle name="Normal 7 10 7" xfId="28532"/>
    <cellStyle name="Normal 7 11" xfId="8605"/>
    <cellStyle name="Normal 7 11 2" xfId="8606"/>
    <cellStyle name="Normal 7 11 2 2" xfId="13202"/>
    <cellStyle name="Normal 7 11 2 2 2" xfId="20757"/>
    <cellStyle name="Normal 7 11 2 2 2 2" xfId="36978"/>
    <cellStyle name="Normal 7 11 2 2 3" xfId="30290"/>
    <cellStyle name="Normal 7 11 2 3" xfId="16700"/>
    <cellStyle name="Normal 7 11 2 3 2" xfId="32921"/>
    <cellStyle name="Normal 7 11 2 4" xfId="19000"/>
    <cellStyle name="Normal 7 11 2 4 2" xfId="35221"/>
    <cellStyle name="Normal 7 11 2 5" xfId="28537"/>
    <cellStyle name="Normal 7 11 3" xfId="13201"/>
    <cellStyle name="Normal 7 11 3 2" xfId="20756"/>
    <cellStyle name="Normal 7 11 3 2 2" xfId="36977"/>
    <cellStyle name="Normal 7 11 3 3" xfId="30289"/>
    <cellStyle name="Normal 7 11 4" xfId="15115"/>
    <cellStyle name="Normal 7 11 4 2" xfId="31337"/>
    <cellStyle name="Normal 7 11 5" xfId="18999"/>
    <cellStyle name="Normal 7 11 5 2" xfId="35220"/>
    <cellStyle name="Normal 7 11 6" xfId="28536"/>
    <cellStyle name="Normal 7 12" xfId="8607"/>
    <cellStyle name="Normal 7 12 2" xfId="13203"/>
    <cellStyle name="Normal 7 12 2 2" xfId="20758"/>
    <cellStyle name="Normal 7 12 2 2 2" xfId="36979"/>
    <cellStyle name="Normal 7 12 2 3" xfId="30291"/>
    <cellStyle name="Normal 7 12 3" xfId="15908"/>
    <cellStyle name="Normal 7 12 3 2" xfId="32129"/>
    <cellStyle name="Normal 7 12 4" xfId="19001"/>
    <cellStyle name="Normal 7 12 4 2" xfId="35222"/>
    <cellStyle name="Normal 7 12 5" xfId="28538"/>
    <cellStyle name="Normal 7 13" xfId="14323"/>
    <cellStyle name="Normal 7 13 2" xfId="30545"/>
    <cellStyle name="Normal 7 14" xfId="21007"/>
    <cellStyle name="Normal 7 14 2" xfId="37219"/>
    <cellStyle name="Normal 7 15" xfId="22505"/>
    <cellStyle name="Normal 7 16" xfId="38733"/>
    <cellStyle name="Normal 7 17" xfId="39555"/>
    <cellStyle name="Normal 7 18" xfId="299"/>
    <cellStyle name="Normal 7 2" xfId="213"/>
    <cellStyle name="Normal 7 2 10" xfId="14317"/>
    <cellStyle name="Normal 7 2 10 2" xfId="30542"/>
    <cellStyle name="Normal 7 2 11" xfId="19002"/>
    <cellStyle name="Normal 7 2 11 2" xfId="35223"/>
    <cellStyle name="Normal 7 2 12" xfId="383"/>
    <cellStyle name="Normal 7 2 2" xfId="5683"/>
    <cellStyle name="Normal 7 2 2 10" xfId="19003"/>
    <cellStyle name="Normal 7 2 2 10 2" xfId="35224"/>
    <cellStyle name="Normal 7 2 2 11" xfId="27020"/>
    <cellStyle name="Normal 7 2 2 2" xfId="8608"/>
    <cellStyle name="Normal 7 2 2 2 10" xfId="28539"/>
    <cellStyle name="Normal 7 2 2 2 2" xfId="8609"/>
    <cellStyle name="Normal 7 2 2 2 2 2" xfId="8610"/>
    <cellStyle name="Normal 7 2 2 2 2 2 2" xfId="8611"/>
    <cellStyle name="Normal 7 2 2 2 2 2 2 2" xfId="8612"/>
    <cellStyle name="Normal 7 2 2 2 2 2 2 2 2" xfId="13210"/>
    <cellStyle name="Normal 7 2 2 2 2 2 2 2 2 2" xfId="20765"/>
    <cellStyle name="Normal 7 2 2 2 2 2 2 2 2 2 2" xfId="36986"/>
    <cellStyle name="Normal 7 2 2 2 2 2 2 2 2 3" xfId="30298"/>
    <cellStyle name="Normal 7 2 2 2 2 2 2 2 3" xfId="17192"/>
    <cellStyle name="Normal 7 2 2 2 2 2 2 2 3 2" xfId="33413"/>
    <cellStyle name="Normal 7 2 2 2 2 2 2 2 4" xfId="19008"/>
    <cellStyle name="Normal 7 2 2 2 2 2 2 2 4 2" xfId="35229"/>
    <cellStyle name="Normal 7 2 2 2 2 2 2 2 5" xfId="28543"/>
    <cellStyle name="Normal 7 2 2 2 2 2 2 3" xfId="13209"/>
    <cellStyle name="Normal 7 2 2 2 2 2 2 3 2" xfId="20764"/>
    <cellStyle name="Normal 7 2 2 2 2 2 2 3 2 2" xfId="36985"/>
    <cellStyle name="Normal 7 2 2 2 2 2 2 3 3" xfId="30297"/>
    <cellStyle name="Normal 7 2 2 2 2 2 2 4" xfId="15607"/>
    <cellStyle name="Normal 7 2 2 2 2 2 2 4 2" xfId="31829"/>
    <cellStyle name="Normal 7 2 2 2 2 2 2 5" xfId="19007"/>
    <cellStyle name="Normal 7 2 2 2 2 2 2 5 2" xfId="35228"/>
    <cellStyle name="Normal 7 2 2 2 2 2 2 6" xfId="28542"/>
    <cellStyle name="Normal 7 2 2 2 2 2 3" xfId="8613"/>
    <cellStyle name="Normal 7 2 2 2 2 2 3 2" xfId="13211"/>
    <cellStyle name="Normal 7 2 2 2 2 2 3 2 2" xfId="20766"/>
    <cellStyle name="Normal 7 2 2 2 2 2 3 2 2 2" xfId="36987"/>
    <cellStyle name="Normal 7 2 2 2 2 2 3 2 3" xfId="30299"/>
    <cellStyle name="Normal 7 2 2 2 2 2 3 3" xfId="16400"/>
    <cellStyle name="Normal 7 2 2 2 2 2 3 3 2" xfId="32621"/>
    <cellStyle name="Normal 7 2 2 2 2 2 3 4" xfId="19009"/>
    <cellStyle name="Normal 7 2 2 2 2 2 3 4 2" xfId="35230"/>
    <cellStyle name="Normal 7 2 2 2 2 2 3 5" xfId="28544"/>
    <cellStyle name="Normal 7 2 2 2 2 2 4" xfId="13208"/>
    <cellStyle name="Normal 7 2 2 2 2 2 4 2" xfId="20763"/>
    <cellStyle name="Normal 7 2 2 2 2 2 4 2 2" xfId="36984"/>
    <cellStyle name="Normal 7 2 2 2 2 2 4 3" xfId="30296"/>
    <cellStyle name="Normal 7 2 2 2 2 2 5" xfId="14815"/>
    <cellStyle name="Normal 7 2 2 2 2 2 5 2" xfId="31037"/>
    <cellStyle name="Normal 7 2 2 2 2 2 6" xfId="19006"/>
    <cellStyle name="Normal 7 2 2 2 2 2 6 2" xfId="35227"/>
    <cellStyle name="Normal 7 2 2 2 2 2 7" xfId="28541"/>
    <cellStyle name="Normal 7 2 2 2 2 3" xfId="8614"/>
    <cellStyle name="Normal 7 2 2 2 2 3 2" xfId="8615"/>
    <cellStyle name="Normal 7 2 2 2 2 3 2 2" xfId="8616"/>
    <cellStyle name="Normal 7 2 2 2 2 3 2 2 2" xfId="13214"/>
    <cellStyle name="Normal 7 2 2 2 2 3 2 2 2 2" xfId="20769"/>
    <cellStyle name="Normal 7 2 2 2 2 3 2 2 2 2 2" xfId="36990"/>
    <cellStyle name="Normal 7 2 2 2 2 3 2 2 2 3" xfId="30302"/>
    <cellStyle name="Normal 7 2 2 2 2 3 2 2 3" xfId="17456"/>
    <cellStyle name="Normal 7 2 2 2 2 3 2 2 3 2" xfId="33677"/>
    <cellStyle name="Normal 7 2 2 2 2 3 2 2 4" xfId="19012"/>
    <cellStyle name="Normal 7 2 2 2 2 3 2 2 4 2" xfId="35233"/>
    <cellStyle name="Normal 7 2 2 2 2 3 2 2 5" xfId="28547"/>
    <cellStyle name="Normal 7 2 2 2 2 3 2 3" xfId="13213"/>
    <cellStyle name="Normal 7 2 2 2 2 3 2 3 2" xfId="20768"/>
    <cellStyle name="Normal 7 2 2 2 2 3 2 3 2 2" xfId="36989"/>
    <cellStyle name="Normal 7 2 2 2 2 3 2 3 3" xfId="30301"/>
    <cellStyle name="Normal 7 2 2 2 2 3 2 4" xfId="15871"/>
    <cellStyle name="Normal 7 2 2 2 2 3 2 4 2" xfId="32093"/>
    <cellStyle name="Normal 7 2 2 2 2 3 2 5" xfId="19011"/>
    <cellStyle name="Normal 7 2 2 2 2 3 2 5 2" xfId="35232"/>
    <cellStyle name="Normal 7 2 2 2 2 3 2 6" xfId="28546"/>
    <cellStyle name="Normal 7 2 2 2 2 3 3" xfId="8617"/>
    <cellStyle name="Normal 7 2 2 2 2 3 3 2" xfId="13215"/>
    <cellStyle name="Normal 7 2 2 2 2 3 3 2 2" xfId="20770"/>
    <cellStyle name="Normal 7 2 2 2 2 3 3 2 2 2" xfId="36991"/>
    <cellStyle name="Normal 7 2 2 2 2 3 3 2 3" xfId="30303"/>
    <cellStyle name="Normal 7 2 2 2 2 3 3 3" xfId="16664"/>
    <cellStyle name="Normal 7 2 2 2 2 3 3 3 2" xfId="32885"/>
    <cellStyle name="Normal 7 2 2 2 2 3 3 4" xfId="19013"/>
    <cellStyle name="Normal 7 2 2 2 2 3 3 4 2" xfId="35234"/>
    <cellStyle name="Normal 7 2 2 2 2 3 3 5" xfId="28548"/>
    <cellStyle name="Normal 7 2 2 2 2 3 4" xfId="13212"/>
    <cellStyle name="Normal 7 2 2 2 2 3 4 2" xfId="20767"/>
    <cellStyle name="Normal 7 2 2 2 2 3 4 2 2" xfId="36988"/>
    <cellStyle name="Normal 7 2 2 2 2 3 4 3" xfId="30300"/>
    <cellStyle name="Normal 7 2 2 2 2 3 5" xfId="15079"/>
    <cellStyle name="Normal 7 2 2 2 2 3 5 2" xfId="31301"/>
    <cellStyle name="Normal 7 2 2 2 2 3 6" xfId="19010"/>
    <cellStyle name="Normal 7 2 2 2 2 3 6 2" xfId="35231"/>
    <cellStyle name="Normal 7 2 2 2 2 3 7" xfId="28545"/>
    <cellStyle name="Normal 7 2 2 2 2 4" xfId="8618"/>
    <cellStyle name="Normal 7 2 2 2 2 4 2" xfId="8619"/>
    <cellStyle name="Normal 7 2 2 2 2 4 2 2" xfId="13217"/>
    <cellStyle name="Normal 7 2 2 2 2 4 2 2 2" xfId="20772"/>
    <cellStyle name="Normal 7 2 2 2 2 4 2 2 2 2" xfId="36993"/>
    <cellStyle name="Normal 7 2 2 2 2 4 2 2 3" xfId="30305"/>
    <cellStyle name="Normal 7 2 2 2 2 4 2 3" xfId="16928"/>
    <cellStyle name="Normal 7 2 2 2 2 4 2 3 2" xfId="33149"/>
    <cellStyle name="Normal 7 2 2 2 2 4 2 4" xfId="19015"/>
    <cellStyle name="Normal 7 2 2 2 2 4 2 4 2" xfId="35236"/>
    <cellStyle name="Normal 7 2 2 2 2 4 2 5" xfId="28550"/>
    <cellStyle name="Normal 7 2 2 2 2 4 3" xfId="13216"/>
    <cellStyle name="Normal 7 2 2 2 2 4 3 2" xfId="20771"/>
    <cellStyle name="Normal 7 2 2 2 2 4 3 2 2" xfId="36992"/>
    <cellStyle name="Normal 7 2 2 2 2 4 3 3" xfId="30304"/>
    <cellStyle name="Normal 7 2 2 2 2 4 4" xfId="15343"/>
    <cellStyle name="Normal 7 2 2 2 2 4 4 2" xfId="31565"/>
    <cellStyle name="Normal 7 2 2 2 2 4 5" xfId="19014"/>
    <cellStyle name="Normal 7 2 2 2 2 4 5 2" xfId="35235"/>
    <cellStyle name="Normal 7 2 2 2 2 4 6" xfId="28549"/>
    <cellStyle name="Normal 7 2 2 2 2 5" xfId="8620"/>
    <cellStyle name="Normal 7 2 2 2 2 5 2" xfId="13218"/>
    <cellStyle name="Normal 7 2 2 2 2 5 2 2" xfId="20773"/>
    <cellStyle name="Normal 7 2 2 2 2 5 2 2 2" xfId="36994"/>
    <cellStyle name="Normal 7 2 2 2 2 5 2 3" xfId="30306"/>
    <cellStyle name="Normal 7 2 2 2 2 5 3" xfId="16136"/>
    <cellStyle name="Normal 7 2 2 2 2 5 3 2" xfId="32357"/>
    <cellStyle name="Normal 7 2 2 2 2 5 4" xfId="19016"/>
    <cellStyle name="Normal 7 2 2 2 2 5 4 2" xfId="35237"/>
    <cellStyle name="Normal 7 2 2 2 2 5 5" xfId="28551"/>
    <cellStyle name="Normal 7 2 2 2 2 6" xfId="13207"/>
    <cellStyle name="Normal 7 2 2 2 2 6 2" xfId="20762"/>
    <cellStyle name="Normal 7 2 2 2 2 6 2 2" xfId="36983"/>
    <cellStyle name="Normal 7 2 2 2 2 6 3" xfId="30295"/>
    <cellStyle name="Normal 7 2 2 2 2 7" xfId="14551"/>
    <cellStyle name="Normal 7 2 2 2 2 7 2" xfId="30773"/>
    <cellStyle name="Normal 7 2 2 2 2 8" xfId="19005"/>
    <cellStyle name="Normal 7 2 2 2 2 8 2" xfId="35226"/>
    <cellStyle name="Normal 7 2 2 2 2 9" xfId="28540"/>
    <cellStyle name="Normal 7 2 2 2 3" xfId="8621"/>
    <cellStyle name="Normal 7 2 2 2 3 2" xfId="8622"/>
    <cellStyle name="Normal 7 2 2 2 3 2 2" xfId="8623"/>
    <cellStyle name="Normal 7 2 2 2 3 2 2 2" xfId="13221"/>
    <cellStyle name="Normal 7 2 2 2 3 2 2 2 2" xfId="20776"/>
    <cellStyle name="Normal 7 2 2 2 3 2 2 2 2 2" xfId="36997"/>
    <cellStyle name="Normal 7 2 2 2 3 2 2 2 3" xfId="30309"/>
    <cellStyle name="Normal 7 2 2 2 3 2 2 3" xfId="17060"/>
    <cellStyle name="Normal 7 2 2 2 3 2 2 3 2" xfId="33281"/>
    <cellStyle name="Normal 7 2 2 2 3 2 2 4" xfId="19019"/>
    <cellStyle name="Normal 7 2 2 2 3 2 2 4 2" xfId="35240"/>
    <cellStyle name="Normal 7 2 2 2 3 2 2 5" xfId="28554"/>
    <cellStyle name="Normal 7 2 2 2 3 2 3" xfId="13220"/>
    <cellStyle name="Normal 7 2 2 2 3 2 3 2" xfId="20775"/>
    <cellStyle name="Normal 7 2 2 2 3 2 3 2 2" xfId="36996"/>
    <cellStyle name="Normal 7 2 2 2 3 2 3 3" xfId="30308"/>
    <cellStyle name="Normal 7 2 2 2 3 2 4" xfId="15475"/>
    <cellStyle name="Normal 7 2 2 2 3 2 4 2" xfId="31697"/>
    <cellStyle name="Normal 7 2 2 2 3 2 5" xfId="19018"/>
    <cellStyle name="Normal 7 2 2 2 3 2 5 2" xfId="35239"/>
    <cellStyle name="Normal 7 2 2 2 3 2 6" xfId="28553"/>
    <cellStyle name="Normal 7 2 2 2 3 3" xfId="8624"/>
    <cellStyle name="Normal 7 2 2 2 3 3 2" xfId="13222"/>
    <cellStyle name="Normal 7 2 2 2 3 3 2 2" xfId="20777"/>
    <cellStyle name="Normal 7 2 2 2 3 3 2 2 2" xfId="36998"/>
    <cellStyle name="Normal 7 2 2 2 3 3 2 3" xfId="30310"/>
    <cellStyle name="Normal 7 2 2 2 3 3 3" xfId="16268"/>
    <cellStyle name="Normal 7 2 2 2 3 3 3 2" xfId="32489"/>
    <cellStyle name="Normal 7 2 2 2 3 3 4" xfId="19020"/>
    <cellStyle name="Normal 7 2 2 2 3 3 4 2" xfId="35241"/>
    <cellStyle name="Normal 7 2 2 2 3 3 5" xfId="28555"/>
    <cellStyle name="Normal 7 2 2 2 3 4" xfId="13219"/>
    <cellStyle name="Normal 7 2 2 2 3 4 2" xfId="20774"/>
    <cellStyle name="Normal 7 2 2 2 3 4 2 2" xfId="36995"/>
    <cellStyle name="Normal 7 2 2 2 3 4 3" xfId="30307"/>
    <cellStyle name="Normal 7 2 2 2 3 5" xfId="14683"/>
    <cellStyle name="Normal 7 2 2 2 3 5 2" xfId="30905"/>
    <cellStyle name="Normal 7 2 2 2 3 6" xfId="19017"/>
    <cellStyle name="Normal 7 2 2 2 3 6 2" xfId="35238"/>
    <cellStyle name="Normal 7 2 2 2 3 7" xfId="28552"/>
    <cellStyle name="Normal 7 2 2 2 4" xfId="8625"/>
    <cellStyle name="Normal 7 2 2 2 4 2" xfId="8626"/>
    <cellStyle name="Normal 7 2 2 2 4 2 2" xfId="8627"/>
    <cellStyle name="Normal 7 2 2 2 4 2 2 2" xfId="13225"/>
    <cellStyle name="Normal 7 2 2 2 4 2 2 2 2" xfId="20780"/>
    <cellStyle name="Normal 7 2 2 2 4 2 2 2 2 2" xfId="37001"/>
    <cellStyle name="Normal 7 2 2 2 4 2 2 2 3" xfId="30313"/>
    <cellStyle name="Normal 7 2 2 2 4 2 2 3" xfId="17324"/>
    <cellStyle name="Normal 7 2 2 2 4 2 2 3 2" xfId="33545"/>
    <cellStyle name="Normal 7 2 2 2 4 2 2 4" xfId="19023"/>
    <cellStyle name="Normal 7 2 2 2 4 2 2 4 2" xfId="35244"/>
    <cellStyle name="Normal 7 2 2 2 4 2 2 5" xfId="28558"/>
    <cellStyle name="Normal 7 2 2 2 4 2 3" xfId="13224"/>
    <cellStyle name="Normal 7 2 2 2 4 2 3 2" xfId="20779"/>
    <cellStyle name="Normal 7 2 2 2 4 2 3 2 2" xfId="37000"/>
    <cellStyle name="Normal 7 2 2 2 4 2 3 3" xfId="30312"/>
    <cellStyle name="Normal 7 2 2 2 4 2 4" xfId="15739"/>
    <cellStyle name="Normal 7 2 2 2 4 2 4 2" xfId="31961"/>
    <cellStyle name="Normal 7 2 2 2 4 2 5" xfId="19022"/>
    <cellStyle name="Normal 7 2 2 2 4 2 5 2" xfId="35243"/>
    <cellStyle name="Normal 7 2 2 2 4 2 6" xfId="28557"/>
    <cellStyle name="Normal 7 2 2 2 4 3" xfId="8628"/>
    <cellStyle name="Normal 7 2 2 2 4 3 2" xfId="13226"/>
    <cellStyle name="Normal 7 2 2 2 4 3 2 2" xfId="20781"/>
    <cellStyle name="Normal 7 2 2 2 4 3 2 2 2" xfId="37002"/>
    <cellStyle name="Normal 7 2 2 2 4 3 2 3" xfId="30314"/>
    <cellStyle name="Normal 7 2 2 2 4 3 3" xfId="16532"/>
    <cellStyle name="Normal 7 2 2 2 4 3 3 2" xfId="32753"/>
    <cellStyle name="Normal 7 2 2 2 4 3 4" xfId="19024"/>
    <cellStyle name="Normal 7 2 2 2 4 3 4 2" xfId="35245"/>
    <cellStyle name="Normal 7 2 2 2 4 3 5" xfId="28559"/>
    <cellStyle name="Normal 7 2 2 2 4 4" xfId="13223"/>
    <cellStyle name="Normal 7 2 2 2 4 4 2" xfId="20778"/>
    <cellStyle name="Normal 7 2 2 2 4 4 2 2" xfId="36999"/>
    <cellStyle name="Normal 7 2 2 2 4 4 3" xfId="30311"/>
    <cellStyle name="Normal 7 2 2 2 4 5" xfId="14947"/>
    <cellStyle name="Normal 7 2 2 2 4 5 2" xfId="31169"/>
    <cellStyle name="Normal 7 2 2 2 4 6" xfId="19021"/>
    <cellStyle name="Normal 7 2 2 2 4 6 2" xfId="35242"/>
    <cellStyle name="Normal 7 2 2 2 4 7" xfId="28556"/>
    <cellStyle name="Normal 7 2 2 2 5" xfId="8629"/>
    <cellStyle name="Normal 7 2 2 2 5 2" xfId="8630"/>
    <cellStyle name="Normal 7 2 2 2 5 2 2" xfId="13228"/>
    <cellStyle name="Normal 7 2 2 2 5 2 2 2" xfId="20783"/>
    <cellStyle name="Normal 7 2 2 2 5 2 2 2 2" xfId="37004"/>
    <cellStyle name="Normal 7 2 2 2 5 2 2 3" xfId="30316"/>
    <cellStyle name="Normal 7 2 2 2 5 2 3" xfId="16796"/>
    <cellStyle name="Normal 7 2 2 2 5 2 3 2" xfId="33017"/>
    <cellStyle name="Normal 7 2 2 2 5 2 4" xfId="19026"/>
    <cellStyle name="Normal 7 2 2 2 5 2 4 2" xfId="35247"/>
    <cellStyle name="Normal 7 2 2 2 5 2 5" xfId="28561"/>
    <cellStyle name="Normal 7 2 2 2 5 3" xfId="13227"/>
    <cellStyle name="Normal 7 2 2 2 5 3 2" xfId="20782"/>
    <cellStyle name="Normal 7 2 2 2 5 3 2 2" xfId="37003"/>
    <cellStyle name="Normal 7 2 2 2 5 3 3" xfId="30315"/>
    <cellStyle name="Normal 7 2 2 2 5 4" xfId="15211"/>
    <cellStyle name="Normal 7 2 2 2 5 4 2" xfId="31433"/>
    <cellStyle name="Normal 7 2 2 2 5 5" xfId="19025"/>
    <cellStyle name="Normal 7 2 2 2 5 5 2" xfId="35246"/>
    <cellStyle name="Normal 7 2 2 2 5 6" xfId="28560"/>
    <cellStyle name="Normal 7 2 2 2 6" xfId="8631"/>
    <cellStyle name="Normal 7 2 2 2 6 2" xfId="13229"/>
    <cellStyle name="Normal 7 2 2 2 6 2 2" xfId="20784"/>
    <cellStyle name="Normal 7 2 2 2 6 2 2 2" xfId="37005"/>
    <cellStyle name="Normal 7 2 2 2 6 2 3" xfId="30317"/>
    <cellStyle name="Normal 7 2 2 2 6 3" xfId="16004"/>
    <cellStyle name="Normal 7 2 2 2 6 3 2" xfId="32225"/>
    <cellStyle name="Normal 7 2 2 2 6 4" xfId="19027"/>
    <cellStyle name="Normal 7 2 2 2 6 4 2" xfId="35248"/>
    <cellStyle name="Normal 7 2 2 2 6 5" xfId="28562"/>
    <cellStyle name="Normal 7 2 2 2 7" xfId="13206"/>
    <cellStyle name="Normal 7 2 2 2 7 2" xfId="20761"/>
    <cellStyle name="Normal 7 2 2 2 7 2 2" xfId="36982"/>
    <cellStyle name="Normal 7 2 2 2 7 3" xfId="30294"/>
    <cellStyle name="Normal 7 2 2 2 8" xfId="14419"/>
    <cellStyle name="Normal 7 2 2 2 8 2" xfId="30641"/>
    <cellStyle name="Normal 7 2 2 2 9" xfId="19004"/>
    <cellStyle name="Normal 7 2 2 2 9 2" xfId="35225"/>
    <cellStyle name="Normal 7 2 2 3" xfId="8632"/>
    <cellStyle name="Normal 7 2 2 3 2" xfId="8633"/>
    <cellStyle name="Normal 7 2 2 3 2 2" xfId="8634"/>
    <cellStyle name="Normal 7 2 2 3 2 2 2" xfId="8635"/>
    <cellStyle name="Normal 7 2 2 3 2 2 2 2" xfId="13233"/>
    <cellStyle name="Normal 7 2 2 3 2 2 2 2 2" xfId="20788"/>
    <cellStyle name="Normal 7 2 2 3 2 2 2 2 2 2" xfId="37009"/>
    <cellStyle name="Normal 7 2 2 3 2 2 2 2 3" xfId="30321"/>
    <cellStyle name="Normal 7 2 2 3 2 2 2 3" xfId="17126"/>
    <cellStyle name="Normal 7 2 2 3 2 2 2 3 2" xfId="33347"/>
    <cellStyle name="Normal 7 2 2 3 2 2 2 4" xfId="19031"/>
    <cellStyle name="Normal 7 2 2 3 2 2 2 4 2" xfId="35252"/>
    <cellStyle name="Normal 7 2 2 3 2 2 2 5" xfId="28566"/>
    <cellStyle name="Normal 7 2 2 3 2 2 3" xfId="13232"/>
    <cellStyle name="Normal 7 2 2 3 2 2 3 2" xfId="20787"/>
    <cellStyle name="Normal 7 2 2 3 2 2 3 2 2" xfId="37008"/>
    <cellStyle name="Normal 7 2 2 3 2 2 3 3" xfId="30320"/>
    <cellStyle name="Normal 7 2 2 3 2 2 4" xfId="15541"/>
    <cellStyle name="Normal 7 2 2 3 2 2 4 2" xfId="31763"/>
    <cellStyle name="Normal 7 2 2 3 2 2 5" xfId="19030"/>
    <cellStyle name="Normal 7 2 2 3 2 2 5 2" xfId="35251"/>
    <cellStyle name="Normal 7 2 2 3 2 2 6" xfId="28565"/>
    <cellStyle name="Normal 7 2 2 3 2 3" xfId="8636"/>
    <cellStyle name="Normal 7 2 2 3 2 3 2" xfId="13234"/>
    <cellStyle name="Normal 7 2 2 3 2 3 2 2" xfId="20789"/>
    <cellStyle name="Normal 7 2 2 3 2 3 2 2 2" xfId="37010"/>
    <cellStyle name="Normal 7 2 2 3 2 3 2 3" xfId="30322"/>
    <cellStyle name="Normal 7 2 2 3 2 3 3" xfId="16334"/>
    <cellStyle name="Normal 7 2 2 3 2 3 3 2" xfId="32555"/>
    <cellStyle name="Normal 7 2 2 3 2 3 4" xfId="19032"/>
    <cellStyle name="Normal 7 2 2 3 2 3 4 2" xfId="35253"/>
    <cellStyle name="Normal 7 2 2 3 2 3 5" xfId="28567"/>
    <cellStyle name="Normal 7 2 2 3 2 4" xfId="13231"/>
    <cellStyle name="Normal 7 2 2 3 2 4 2" xfId="20786"/>
    <cellStyle name="Normal 7 2 2 3 2 4 2 2" xfId="37007"/>
    <cellStyle name="Normal 7 2 2 3 2 4 3" xfId="30319"/>
    <cellStyle name="Normal 7 2 2 3 2 5" xfId="14749"/>
    <cellStyle name="Normal 7 2 2 3 2 5 2" xfId="30971"/>
    <cellStyle name="Normal 7 2 2 3 2 6" xfId="19029"/>
    <cellStyle name="Normal 7 2 2 3 2 6 2" xfId="35250"/>
    <cellStyle name="Normal 7 2 2 3 2 7" xfId="28564"/>
    <cellStyle name="Normal 7 2 2 3 3" xfId="8637"/>
    <cellStyle name="Normal 7 2 2 3 3 2" xfId="8638"/>
    <cellStyle name="Normal 7 2 2 3 3 2 2" xfId="8639"/>
    <cellStyle name="Normal 7 2 2 3 3 2 2 2" xfId="13237"/>
    <cellStyle name="Normal 7 2 2 3 3 2 2 2 2" xfId="20792"/>
    <cellStyle name="Normal 7 2 2 3 3 2 2 2 2 2" xfId="37013"/>
    <cellStyle name="Normal 7 2 2 3 3 2 2 2 3" xfId="30325"/>
    <cellStyle name="Normal 7 2 2 3 3 2 2 3" xfId="17390"/>
    <cellStyle name="Normal 7 2 2 3 3 2 2 3 2" xfId="33611"/>
    <cellStyle name="Normal 7 2 2 3 3 2 2 4" xfId="19035"/>
    <cellStyle name="Normal 7 2 2 3 3 2 2 4 2" xfId="35256"/>
    <cellStyle name="Normal 7 2 2 3 3 2 2 5" xfId="28570"/>
    <cellStyle name="Normal 7 2 2 3 3 2 3" xfId="13236"/>
    <cellStyle name="Normal 7 2 2 3 3 2 3 2" xfId="20791"/>
    <cellStyle name="Normal 7 2 2 3 3 2 3 2 2" xfId="37012"/>
    <cellStyle name="Normal 7 2 2 3 3 2 3 3" xfId="30324"/>
    <cellStyle name="Normal 7 2 2 3 3 2 4" xfId="15805"/>
    <cellStyle name="Normal 7 2 2 3 3 2 4 2" xfId="32027"/>
    <cellStyle name="Normal 7 2 2 3 3 2 5" xfId="19034"/>
    <cellStyle name="Normal 7 2 2 3 3 2 5 2" xfId="35255"/>
    <cellStyle name="Normal 7 2 2 3 3 2 6" xfId="28569"/>
    <cellStyle name="Normal 7 2 2 3 3 3" xfId="8640"/>
    <cellStyle name="Normal 7 2 2 3 3 3 2" xfId="13238"/>
    <cellStyle name="Normal 7 2 2 3 3 3 2 2" xfId="20793"/>
    <cellStyle name="Normal 7 2 2 3 3 3 2 2 2" xfId="37014"/>
    <cellStyle name="Normal 7 2 2 3 3 3 2 3" xfId="30326"/>
    <cellStyle name="Normal 7 2 2 3 3 3 3" xfId="16598"/>
    <cellStyle name="Normal 7 2 2 3 3 3 3 2" xfId="32819"/>
    <cellStyle name="Normal 7 2 2 3 3 3 4" xfId="19036"/>
    <cellStyle name="Normal 7 2 2 3 3 3 4 2" xfId="35257"/>
    <cellStyle name="Normal 7 2 2 3 3 3 5" xfId="28571"/>
    <cellStyle name="Normal 7 2 2 3 3 4" xfId="13235"/>
    <cellStyle name="Normal 7 2 2 3 3 4 2" xfId="20790"/>
    <cellStyle name="Normal 7 2 2 3 3 4 2 2" xfId="37011"/>
    <cellStyle name="Normal 7 2 2 3 3 4 3" xfId="30323"/>
    <cellStyle name="Normal 7 2 2 3 3 5" xfId="15013"/>
    <cellStyle name="Normal 7 2 2 3 3 5 2" xfId="31235"/>
    <cellStyle name="Normal 7 2 2 3 3 6" xfId="19033"/>
    <cellStyle name="Normal 7 2 2 3 3 6 2" xfId="35254"/>
    <cellStyle name="Normal 7 2 2 3 3 7" xfId="28568"/>
    <cellStyle name="Normal 7 2 2 3 4" xfId="8641"/>
    <cellStyle name="Normal 7 2 2 3 4 2" xfId="8642"/>
    <cellStyle name="Normal 7 2 2 3 4 2 2" xfId="13240"/>
    <cellStyle name="Normal 7 2 2 3 4 2 2 2" xfId="20795"/>
    <cellStyle name="Normal 7 2 2 3 4 2 2 2 2" xfId="37016"/>
    <cellStyle name="Normal 7 2 2 3 4 2 2 3" xfId="30328"/>
    <cellStyle name="Normal 7 2 2 3 4 2 3" xfId="16862"/>
    <cellStyle name="Normal 7 2 2 3 4 2 3 2" xfId="33083"/>
    <cellStyle name="Normal 7 2 2 3 4 2 4" xfId="19038"/>
    <cellStyle name="Normal 7 2 2 3 4 2 4 2" xfId="35259"/>
    <cellStyle name="Normal 7 2 2 3 4 2 5" xfId="28573"/>
    <cellStyle name="Normal 7 2 2 3 4 3" xfId="13239"/>
    <cellStyle name="Normal 7 2 2 3 4 3 2" xfId="20794"/>
    <cellStyle name="Normal 7 2 2 3 4 3 2 2" xfId="37015"/>
    <cellStyle name="Normal 7 2 2 3 4 3 3" xfId="30327"/>
    <cellStyle name="Normal 7 2 2 3 4 4" xfId="15277"/>
    <cellStyle name="Normal 7 2 2 3 4 4 2" xfId="31499"/>
    <cellStyle name="Normal 7 2 2 3 4 5" xfId="19037"/>
    <cellStyle name="Normal 7 2 2 3 4 5 2" xfId="35258"/>
    <cellStyle name="Normal 7 2 2 3 4 6" xfId="28572"/>
    <cellStyle name="Normal 7 2 2 3 5" xfId="8643"/>
    <cellStyle name="Normal 7 2 2 3 5 2" xfId="13241"/>
    <cellStyle name="Normal 7 2 2 3 5 2 2" xfId="20796"/>
    <cellStyle name="Normal 7 2 2 3 5 2 2 2" xfId="37017"/>
    <cellStyle name="Normal 7 2 2 3 5 2 3" xfId="30329"/>
    <cellStyle name="Normal 7 2 2 3 5 3" xfId="16070"/>
    <cellStyle name="Normal 7 2 2 3 5 3 2" xfId="32291"/>
    <cellStyle name="Normal 7 2 2 3 5 4" xfId="19039"/>
    <cellStyle name="Normal 7 2 2 3 5 4 2" xfId="35260"/>
    <cellStyle name="Normal 7 2 2 3 5 5" xfId="28574"/>
    <cellStyle name="Normal 7 2 2 3 6" xfId="13230"/>
    <cellStyle name="Normal 7 2 2 3 6 2" xfId="20785"/>
    <cellStyle name="Normal 7 2 2 3 6 2 2" xfId="37006"/>
    <cellStyle name="Normal 7 2 2 3 6 3" xfId="30318"/>
    <cellStyle name="Normal 7 2 2 3 7" xfId="14485"/>
    <cellStyle name="Normal 7 2 2 3 7 2" xfId="30707"/>
    <cellStyle name="Normal 7 2 2 3 8" xfId="19028"/>
    <cellStyle name="Normal 7 2 2 3 8 2" xfId="35249"/>
    <cellStyle name="Normal 7 2 2 3 9" xfId="28563"/>
    <cellStyle name="Normal 7 2 2 4" xfId="8644"/>
    <cellStyle name="Normal 7 2 2 4 2" xfId="8645"/>
    <cellStyle name="Normal 7 2 2 4 2 2" xfId="8646"/>
    <cellStyle name="Normal 7 2 2 4 2 2 2" xfId="13244"/>
    <cellStyle name="Normal 7 2 2 4 2 2 2 2" xfId="20799"/>
    <cellStyle name="Normal 7 2 2 4 2 2 2 2 2" xfId="37020"/>
    <cellStyle name="Normal 7 2 2 4 2 2 2 3" xfId="30332"/>
    <cellStyle name="Normal 7 2 2 4 2 2 3" xfId="16994"/>
    <cellStyle name="Normal 7 2 2 4 2 2 3 2" xfId="33215"/>
    <cellStyle name="Normal 7 2 2 4 2 2 4" xfId="19042"/>
    <cellStyle name="Normal 7 2 2 4 2 2 4 2" xfId="35263"/>
    <cellStyle name="Normal 7 2 2 4 2 2 5" xfId="28577"/>
    <cellStyle name="Normal 7 2 2 4 2 3" xfId="13243"/>
    <cellStyle name="Normal 7 2 2 4 2 3 2" xfId="20798"/>
    <cellStyle name="Normal 7 2 2 4 2 3 2 2" xfId="37019"/>
    <cellStyle name="Normal 7 2 2 4 2 3 3" xfId="30331"/>
    <cellStyle name="Normal 7 2 2 4 2 4" xfId="15409"/>
    <cellStyle name="Normal 7 2 2 4 2 4 2" xfId="31631"/>
    <cellStyle name="Normal 7 2 2 4 2 5" xfId="19041"/>
    <cellStyle name="Normal 7 2 2 4 2 5 2" xfId="35262"/>
    <cellStyle name="Normal 7 2 2 4 2 6" xfId="28576"/>
    <cellStyle name="Normal 7 2 2 4 3" xfId="8647"/>
    <cellStyle name="Normal 7 2 2 4 3 2" xfId="13245"/>
    <cellStyle name="Normal 7 2 2 4 3 2 2" xfId="20800"/>
    <cellStyle name="Normal 7 2 2 4 3 2 2 2" xfId="37021"/>
    <cellStyle name="Normal 7 2 2 4 3 2 3" xfId="30333"/>
    <cellStyle name="Normal 7 2 2 4 3 3" xfId="16202"/>
    <cellStyle name="Normal 7 2 2 4 3 3 2" xfId="32423"/>
    <cellStyle name="Normal 7 2 2 4 3 4" xfId="19043"/>
    <cellStyle name="Normal 7 2 2 4 3 4 2" xfId="35264"/>
    <cellStyle name="Normal 7 2 2 4 3 5" xfId="28578"/>
    <cellStyle name="Normal 7 2 2 4 4" xfId="13242"/>
    <cellStyle name="Normal 7 2 2 4 4 2" xfId="20797"/>
    <cellStyle name="Normal 7 2 2 4 4 2 2" xfId="37018"/>
    <cellStyle name="Normal 7 2 2 4 4 3" xfId="30330"/>
    <cellStyle name="Normal 7 2 2 4 5" xfId="14617"/>
    <cellStyle name="Normal 7 2 2 4 5 2" xfId="30839"/>
    <cellStyle name="Normal 7 2 2 4 6" xfId="19040"/>
    <cellStyle name="Normal 7 2 2 4 6 2" xfId="35261"/>
    <cellStyle name="Normal 7 2 2 4 7" xfId="28575"/>
    <cellStyle name="Normal 7 2 2 5" xfId="8648"/>
    <cellStyle name="Normal 7 2 2 5 2" xfId="8649"/>
    <cellStyle name="Normal 7 2 2 5 2 2" xfId="8650"/>
    <cellStyle name="Normal 7 2 2 5 2 2 2" xfId="13248"/>
    <cellStyle name="Normal 7 2 2 5 2 2 2 2" xfId="20803"/>
    <cellStyle name="Normal 7 2 2 5 2 2 2 2 2" xfId="37024"/>
    <cellStyle name="Normal 7 2 2 5 2 2 2 3" xfId="30336"/>
    <cellStyle name="Normal 7 2 2 5 2 2 3" xfId="17258"/>
    <cellStyle name="Normal 7 2 2 5 2 2 3 2" xfId="33479"/>
    <cellStyle name="Normal 7 2 2 5 2 2 4" xfId="19046"/>
    <cellStyle name="Normal 7 2 2 5 2 2 4 2" xfId="35267"/>
    <cellStyle name="Normal 7 2 2 5 2 2 5" xfId="28581"/>
    <cellStyle name="Normal 7 2 2 5 2 3" xfId="13247"/>
    <cellStyle name="Normal 7 2 2 5 2 3 2" xfId="20802"/>
    <cellStyle name="Normal 7 2 2 5 2 3 2 2" xfId="37023"/>
    <cellStyle name="Normal 7 2 2 5 2 3 3" xfId="30335"/>
    <cellStyle name="Normal 7 2 2 5 2 4" xfId="15673"/>
    <cellStyle name="Normal 7 2 2 5 2 4 2" xfId="31895"/>
    <cellStyle name="Normal 7 2 2 5 2 5" xfId="19045"/>
    <cellStyle name="Normal 7 2 2 5 2 5 2" xfId="35266"/>
    <cellStyle name="Normal 7 2 2 5 2 6" xfId="28580"/>
    <cellStyle name="Normal 7 2 2 5 3" xfId="8651"/>
    <cellStyle name="Normal 7 2 2 5 3 2" xfId="13249"/>
    <cellStyle name="Normal 7 2 2 5 3 2 2" xfId="20804"/>
    <cellStyle name="Normal 7 2 2 5 3 2 2 2" xfId="37025"/>
    <cellStyle name="Normal 7 2 2 5 3 2 3" xfId="30337"/>
    <cellStyle name="Normal 7 2 2 5 3 3" xfId="16466"/>
    <cellStyle name="Normal 7 2 2 5 3 3 2" xfId="32687"/>
    <cellStyle name="Normal 7 2 2 5 3 4" xfId="19047"/>
    <cellStyle name="Normal 7 2 2 5 3 4 2" xfId="35268"/>
    <cellStyle name="Normal 7 2 2 5 3 5" xfId="28582"/>
    <cellStyle name="Normal 7 2 2 5 4" xfId="13246"/>
    <cellStyle name="Normal 7 2 2 5 4 2" xfId="20801"/>
    <cellStyle name="Normal 7 2 2 5 4 2 2" xfId="37022"/>
    <cellStyle name="Normal 7 2 2 5 4 3" xfId="30334"/>
    <cellStyle name="Normal 7 2 2 5 5" xfId="14881"/>
    <cellStyle name="Normal 7 2 2 5 5 2" xfId="31103"/>
    <cellStyle name="Normal 7 2 2 5 6" xfId="19044"/>
    <cellStyle name="Normal 7 2 2 5 6 2" xfId="35265"/>
    <cellStyle name="Normal 7 2 2 5 7" xfId="28579"/>
    <cellStyle name="Normal 7 2 2 6" xfId="8652"/>
    <cellStyle name="Normal 7 2 2 6 2" xfId="8653"/>
    <cellStyle name="Normal 7 2 2 6 2 2" xfId="13251"/>
    <cellStyle name="Normal 7 2 2 6 2 2 2" xfId="20806"/>
    <cellStyle name="Normal 7 2 2 6 2 2 2 2" xfId="37027"/>
    <cellStyle name="Normal 7 2 2 6 2 2 3" xfId="30339"/>
    <cellStyle name="Normal 7 2 2 6 2 3" xfId="16730"/>
    <cellStyle name="Normal 7 2 2 6 2 3 2" xfId="32951"/>
    <cellStyle name="Normal 7 2 2 6 2 4" xfId="19049"/>
    <cellStyle name="Normal 7 2 2 6 2 4 2" xfId="35270"/>
    <cellStyle name="Normal 7 2 2 6 2 5" xfId="28584"/>
    <cellStyle name="Normal 7 2 2 6 3" xfId="13250"/>
    <cellStyle name="Normal 7 2 2 6 3 2" xfId="20805"/>
    <cellStyle name="Normal 7 2 2 6 3 2 2" xfId="37026"/>
    <cellStyle name="Normal 7 2 2 6 3 3" xfId="30338"/>
    <cellStyle name="Normal 7 2 2 6 4" xfId="15145"/>
    <cellStyle name="Normal 7 2 2 6 4 2" xfId="31367"/>
    <cellStyle name="Normal 7 2 2 6 5" xfId="19048"/>
    <cellStyle name="Normal 7 2 2 6 5 2" xfId="35269"/>
    <cellStyle name="Normal 7 2 2 6 6" xfId="28583"/>
    <cellStyle name="Normal 7 2 2 7" xfId="8654"/>
    <cellStyle name="Normal 7 2 2 7 2" xfId="13252"/>
    <cellStyle name="Normal 7 2 2 7 2 2" xfId="20807"/>
    <cellStyle name="Normal 7 2 2 7 2 2 2" xfId="37028"/>
    <cellStyle name="Normal 7 2 2 7 2 3" xfId="30340"/>
    <cellStyle name="Normal 7 2 2 7 3" xfId="15938"/>
    <cellStyle name="Normal 7 2 2 7 3 2" xfId="32159"/>
    <cellStyle name="Normal 7 2 2 7 4" xfId="19050"/>
    <cellStyle name="Normal 7 2 2 7 4 2" xfId="35271"/>
    <cellStyle name="Normal 7 2 2 7 5" xfId="28585"/>
    <cellStyle name="Normal 7 2 2 8" xfId="13205"/>
    <cellStyle name="Normal 7 2 2 8 2" xfId="20760"/>
    <cellStyle name="Normal 7 2 2 8 2 2" xfId="36981"/>
    <cellStyle name="Normal 7 2 2 8 3" xfId="30293"/>
    <cellStyle name="Normal 7 2 2 9" xfId="14353"/>
    <cellStyle name="Normal 7 2 2 9 2" xfId="30575"/>
    <cellStyle name="Normal 7 2 3" xfId="8655"/>
    <cellStyle name="Normal 7 2 3 10" xfId="28586"/>
    <cellStyle name="Normal 7 2 3 2" xfId="8656"/>
    <cellStyle name="Normal 7 2 3 2 2" xfId="8657"/>
    <cellStyle name="Normal 7 2 3 2 2 2" xfId="8658"/>
    <cellStyle name="Normal 7 2 3 2 2 2 2" xfId="8659"/>
    <cellStyle name="Normal 7 2 3 2 2 2 2 2" xfId="13257"/>
    <cellStyle name="Normal 7 2 3 2 2 2 2 2 2" xfId="20812"/>
    <cellStyle name="Normal 7 2 3 2 2 2 2 2 2 2" xfId="37033"/>
    <cellStyle name="Normal 7 2 3 2 2 2 2 2 3" xfId="30345"/>
    <cellStyle name="Normal 7 2 3 2 2 2 2 3" xfId="17159"/>
    <cellStyle name="Normal 7 2 3 2 2 2 2 3 2" xfId="33380"/>
    <cellStyle name="Normal 7 2 3 2 2 2 2 4" xfId="19055"/>
    <cellStyle name="Normal 7 2 3 2 2 2 2 4 2" xfId="35276"/>
    <cellStyle name="Normal 7 2 3 2 2 2 2 5" xfId="28590"/>
    <cellStyle name="Normal 7 2 3 2 2 2 3" xfId="13256"/>
    <cellStyle name="Normal 7 2 3 2 2 2 3 2" xfId="20811"/>
    <cellStyle name="Normal 7 2 3 2 2 2 3 2 2" xfId="37032"/>
    <cellStyle name="Normal 7 2 3 2 2 2 3 3" xfId="30344"/>
    <cellStyle name="Normal 7 2 3 2 2 2 4" xfId="15574"/>
    <cellStyle name="Normal 7 2 3 2 2 2 4 2" xfId="31796"/>
    <cellStyle name="Normal 7 2 3 2 2 2 5" xfId="19054"/>
    <cellStyle name="Normal 7 2 3 2 2 2 5 2" xfId="35275"/>
    <cellStyle name="Normal 7 2 3 2 2 2 6" xfId="28589"/>
    <cellStyle name="Normal 7 2 3 2 2 3" xfId="8660"/>
    <cellStyle name="Normal 7 2 3 2 2 3 2" xfId="13258"/>
    <cellStyle name="Normal 7 2 3 2 2 3 2 2" xfId="20813"/>
    <cellStyle name="Normal 7 2 3 2 2 3 2 2 2" xfId="37034"/>
    <cellStyle name="Normal 7 2 3 2 2 3 2 3" xfId="30346"/>
    <cellStyle name="Normal 7 2 3 2 2 3 3" xfId="16367"/>
    <cellStyle name="Normal 7 2 3 2 2 3 3 2" xfId="32588"/>
    <cellStyle name="Normal 7 2 3 2 2 3 4" xfId="19056"/>
    <cellStyle name="Normal 7 2 3 2 2 3 4 2" xfId="35277"/>
    <cellStyle name="Normal 7 2 3 2 2 3 5" xfId="28591"/>
    <cellStyle name="Normal 7 2 3 2 2 4" xfId="13255"/>
    <cellStyle name="Normal 7 2 3 2 2 4 2" xfId="20810"/>
    <cellStyle name="Normal 7 2 3 2 2 4 2 2" xfId="37031"/>
    <cellStyle name="Normal 7 2 3 2 2 4 3" xfId="30343"/>
    <cellStyle name="Normal 7 2 3 2 2 5" xfId="14782"/>
    <cellStyle name="Normal 7 2 3 2 2 5 2" xfId="31004"/>
    <cellStyle name="Normal 7 2 3 2 2 6" xfId="19053"/>
    <cellStyle name="Normal 7 2 3 2 2 6 2" xfId="35274"/>
    <cellStyle name="Normal 7 2 3 2 2 7" xfId="28588"/>
    <cellStyle name="Normal 7 2 3 2 3" xfId="8661"/>
    <cellStyle name="Normal 7 2 3 2 3 2" xfId="8662"/>
    <cellStyle name="Normal 7 2 3 2 3 2 2" xfId="8663"/>
    <cellStyle name="Normal 7 2 3 2 3 2 2 2" xfId="13261"/>
    <cellStyle name="Normal 7 2 3 2 3 2 2 2 2" xfId="20816"/>
    <cellStyle name="Normal 7 2 3 2 3 2 2 2 2 2" xfId="37037"/>
    <cellStyle name="Normal 7 2 3 2 3 2 2 2 3" xfId="30349"/>
    <cellStyle name="Normal 7 2 3 2 3 2 2 3" xfId="17423"/>
    <cellStyle name="Normal 7 2 3 2 3 2 2 3 2" xfId="33644"/>
    <cellStyle name="Normal 7 2 3 2 3 2 2 4" xfId="19059"/>
    <cellStyle name="Normal 7 2 3 2 3 2 2 4 2" xfId="35280"/>
    <cellStyle name="Normal 7 2 3 2 3 2 2 5" xfId="28594"/>
    <cellStyle name="Normal 7 2 3 2 3 2 3" xfId="13260"/>
    <cellStyle name="Normal 7 2 3 2 3 2 3 2" xfId="20815"/>
    <cellStyle name="Normal 7 2 3 2 3 2 3 2 2" xfId="37036"/>
    <cellStyle name="Normal 7 2 3 2 3 2 3 3" xfId="30348"/>
    <cellStyle name="Normal 7 2 3 2 3 2 4" xfId="15838"/>
    <cellStyle name="Normal 7 2 3 2 3 2 4 2" xfId="32060"/>
    <cellStyle name="Normal 7 2 3 2 3 2 5" xfId="19058"/>
    <cellStyle name="Normal 7 2 3 2 3 2 5 2" xfId="35279"/>
    <cellStyle name="Normal 7 2 3 2 3 2 6" xfId="28593"/>
    <cellStyle name="Normal 7 2 3 2 3 3" xfId="8664"/>
    <cellStyle name="Normal 7 2 3 2 3 3 2" xfId="13262"/>
    <cellStyle name="Normal 7 2 3 2 3 3 2 2" xfId="20817"/>
    <cellStyle name="Normal 7 2 3 2 3 3 2 2 2" xfId="37038"/>
    <cellStyle name="Normal 7 2 3 2 3 3 2 3" xfId="30350"/>
    <cellStyle name="Normal 7 2 3 2 3 3 3" xfId="16631"/>
    <cellStyle name="Normal 7 2 3 2 3 3 3 2" xfId="32852"/>
    <cellStyle name="Normal 7 2 3 2 3 3 4" xfId="19060"/>
    <cellStyle name="Normal 7 2 3 2 3 3 4 2" xfId="35281"/>
    <cellStyle name="Normal 7 2 3 2 3 3 5" xfId="28595"/>
    <cellStyle name="Normal 7 2 3 2 3 4" xfId="13259"/>
    <cellStyle name="Normal 7 2 3 2 3 4 2" xfId="20814"/>
    <cellStyle name="Normal 7 2 3 2 3 4 2 2" xfId="37035"/>
    <cellStyle name="Normal 7 2 3 2 3 4 3" xfId="30347"/>
    <cellStyle name="Normal 7 2 3 2 3 5" xfId="15046"/>
    <cellStyle name="Normal 7 2 3 2 3 5 2" xfId="31268"/>
    <cellStyle name="Normal 7 2 3 2 3 6" xfId="19057"/>
    <cellStyle name="Normal 7 2 3 2 3 6 2" xfId="35278"/>
    <cellStyle name="Normal 7 2 3 2 3 7" xfId="28592"/>
    <cellStyle name="Normal 7 2 3 2 4" xfId="8665"/>
    <cellStyle name="Normal 7 2 3 2 4 2" xfId="8666"/>
    <cellStyle name="Normal 7 2 3 2 4 2 2" xfId="13264"/>
    <cellStyle name="Normal 7 2 3 2 4 2 2 2" xfId="20819"/>
    <cellStyle name="Normal 7 2 3 2 4 2 2 2 2" xfId="37040"/>
    <cellStyle name="Normal 7 2 3 2 4 2 2 3" xfId="30352"/>
    <cellStyle name="Normal 7 2 3 2 4 2 3" xfId="16895"/>
    <cellStyle name="Normal 7 2 3 2 4 2 3 2" xfId="33116"/>
    <cellStyle name="Normal 7 2 3 2 4 2 4" xfId="19062"/>
    <cellStyle name="Normal 7 2 3 2 4 2 4 2" xfId="35283"/>
    <cellStyle name="Normal 7 2 3 2 4 2 5" xfId="28597"/>
    <cellStyle name="Normal 7 2 3 2 4 3" xfId="13263"/>
    <cellStyle name="Normal 7 2 3 2 4 3 2" xfId="20818"/>
    <cellStyle name="Normal 7 2 3 2 4 3 2 2" xfId="37039"/>
    <cellStyle name="Normal 7 2 3 2 4 3 3" xfId="30351"/>
    <cellStyle name="Normal 7 2 3 2 4 4" xfId="15310"/>
    <cellStyle name="Normal 7 2 3 2 4 4 2" xfId="31532"/>
    <cellStyle name="Normal 7 2 3 2 4 5" xfId="19061"/>
    <cellStyle name="Normal 7 2 3 2 4 5 2" xfId="35282"/>
    <cellStyle name="Normal 7 2 3 2 4 6" xfId="28596"/>
    <cellStyle name="Normal 7 2 3 2 5" xfId="8667"/>
    <cellStyle name="Normal 7 2 3 2 5 2" xfId="13265"/>
    <cellStyle name="Normal 7 2 3 2 5 2 2" xfId="20820"/>
    <cellStyle name="Normal 7 2 3 2 5 2 2 2" xfId="37041"/>
    <cellStyle name="Normal 7 2 3 2 5 2 3" xfId="30353"/>
    <cellStyle name="Normal 7 2 3 2 5 3" xfId="16103"/>
    <cellStyle name="Normal 7 2 3 2 5 3 2" xfId="32324"/>
    <cellStyle name="Normal 7 2 3 2 5 4" xfId="19063"/>
    <cellStyle name="Normal 7 2 3 2 5 4 2" xfId="35284"/>
    <cellStyle name="Normal 7 2 3 2 5 5" xfId="28598"/>
    <cellStyle name="Normal 7 2 3 2 6" xfId="13254"/>
    <cellStyle name="Normal 7 2 3 2 6 2" xfId="20809"/>
    <cellStyle name="Normal 7 2 3 2 6 2 2" xfId="37030"/>
    <cellStyle name="Normal 7 2 3 2 6 3" xfId="30342"/>
    <cellStyle name="Normal 7 2 3 2 7" xfId="14518"/>
    <cellStyle name="Normal 7 2 3 2 7 2" xfId="30740"/>
    <cellStyle name="Normal 7 2 3 2 8" xfId="19052"/>
    <cellStyle name="Normal 7 2 3 2 8 2" xfId="35273"/>
    <cellStyle name="Normal 7 2 3 2 9" xfId="28587"/>
    <cellStyle name="Normal 7 2 3 3" xfId="8668"/>
    <cellStyle name="Normal 7 2 3 3 2" xfId="8669"/>
    <cellStyle name="Normal 7 2 3 3 2 2" xfId="8670"/>
    <cellStyle name="Normal 7 2 3 3 2 2 2" xfId="13268"/>
    <cellStyle name="Normal 7 2 3 3 2 2 2 2" xfId="20823"/>
    <cellStyle name="Normal 7 2 3 3 2 2 2 2 2" xfId="37044"/>
    <cellStyle name="Normal 7 2 3 3 2 2 2 3" xfId="30356"/>
    <cellStyle name="Normal 7 2 3 3 2 2 3" xfId="17027"/>
    <cellStyle name="Normal 7 2 3 3 2 2 3 2" xfId="33248"/>
    <cellStyle name="Normal 7 2 3 3 2 2 4" xfId="19066"/>
    <cellStyle name="Normal 7 2 3 3 2 2 4 2" xfId="35287"/>
    <cellStyle name="Normal 7 2 3 3 2 2 5" xfId="28601"/>
    <cellStyle name="Normal 7 2 3 3 2 3" xfId="13267"/>
    <cellStyle name="Normal 7 2 3 3 2 3 2" xfId="20822"/>
    <cellStyle name="Normal 7 2 3 3 2 3 2 2" xfId="37043"/>
    <cellStyle name="Normal 7 2 3 3 2 3 3" xfId="30355"/>
    <cellStyle name="Normal 7 2 3 3 2 4" xfId="15442"/>
    <cellStyle name="Normal 7 2 3 3 2 4 2" xfId="31664"/>
    <cellStyle name="Normal 7 2 3 3 2 5" xfId="19065"/>
    <cellStyle name="Normal 7 2 3 3 2 5 2" xfId="35286"/>
    <cellStyle name="Normal 7 2 3 3 2 6" xfId="28600"/>
    <cellStyle name="Normal 7 2 3 3 3" xfId="8671"/>
    <cellStyle name="Normal 7 2 3 3 3 2" xfId="13269"/>
    <cellStyle name="Normal 7 2 3 3 3 2 2" xfId="20824"/>
    <cellStyle name="Normal 7 2 3 3 3 2 2 2" xfId="37045"/>
    <cellStyle name="Normal 7 2 3 3 3 2 3" xfId="30357"/>
    <cellStyle name="Normal 7 2 3 3 3 3" xfId="16235"/>
    <cellStyle name="Normal 7 2 3 3 3 3 2" xfId="32456"/>
    <cellStyle name="Normal 7 2 3 3 3 4" xfId="19067"/>
    <cellStyle name="Normal 7 2 3 3 3 4 2" xfId="35288"/>
    <cellStyle name="Normal 7 2 3 3 3 5" xfId="28602"/>
    <cellStyle name="Normal 7 2 3 3 4" xfId="13266"/>
    <cellStyle name="Normal 7 2 3 3 4 2" xfId="20821"/>
    <cellStyle name="Normal 7 2 3 3 4 2 2" xfId="37042"/>
    <cellStyle name="Normal 7 2 3 3 4 3" xfId="30354"/>
    <cellStyle name="Normal 7 2 3 3 5" xfId="14650"/>
    <cellStyle name="Normal 7 2 3 3 5 2" xfId="30872"/>
    <cellStyle name="Normal 7 2 3 3 6" xfId="19064"/>
    <cellStyle name="Normal 7 2 3 3 6 2" xfId="35285"/>
    <cellStyle name="Normal 7 2 3 3 7" xfId="28599"/>
    <cellStyle name="Normal 7 2 3 4" xfId="8672"/>
    <cellStyle name="Normal 7 2 3 4 2" xfId="8673"/>
    <cellStyle name="Normal 7 2 3 4 2 2" xfId="8674"/>
    <cellStyle name="Normal 7 2 3 4 2 2 2" xfId="13272"/>
    <cellStyle name="Normal 7 2 3 4 2 2 2 2" xfId="20827"/>
    <cellStyle name="Normal 7 2 3 4 2 2 2 2 2" xfId="37048"/>
    <cellStyle name="Normal 7 2 3 4 2 2 2 3" xfId="30360"/>
    <cellStyle name="Normal 7 2 3 4 2 2 3" xfId="17291"/>
    <cellStyle name="Normal 7 2 3 4 2 2 3 2" xfId="33512"/>
    <cellStyle name="Normal 7 2 3 4 2 2 4" xfId="19070"/>
    <cellStyle name="Normal 7 2 3 4 2 2 4 2" xfId="35291"/>
    <cellStyle name="Normal 7 2 3 4 2 2 5" xfId="28605"/>
    <cellStyle name="Normal 7 2 3 4 2 3" xfId="13271"/>
    <cellStyle name="Normal 7 2 3 4 2 3 2" xfId="20826"/>
    <cellStyle name="Normal 7 2 3 4 2 3 2 2" xfId="37047"/>
    <cellStyle name="Normal 7 2 3 4 2 3 3" xfId="30359"/>
    <cellStyle name="Normal 7 2 3 4 2 4" xfId="15706"/>
    <cellStyle name="Normal 7 2 3 4 2 4 2" xfId="31928"/>
    <cellStyle name="Normal 7 2 3 4 2 5" xfId="19069"/>
    <cellStyle name="Normal 7 2 3 4 2 5 2" xfId="35290"/>
    <cellStyle name="Normal 7 2 3 4 2 6" xfId="28604"/>
    <cellStyle name="Normal 7 2 3 4 3" xfId="8675"/>
    <cellStyle name="Normal 7 2 3 4 3 2" xfId="13273"/>
    <cellStyle name="Normal 7 2 3 4 3 2 2" xfId="20828"/>
    <cellStyle name="Normal 7 2 3 4 3 2 2 2" xfId="37049"/>
    <cellStyle name="Normal 7 2 3 4 3 2 3" xfId="30361"/>
    <cellStyle name="Normal 7 2 3 4 3 3" xfId="16499"/>
    <cellStyle name="Normal 7 2 3 4 3 3 2" xfId="32720"/>
    <cellStyle name="Normal 7 2 3 4 3 4" xfId="19071"/>
    <cellStyle name="Normal 7 2 3 4 3 4 2" xfId="35292"/>
    <cellStyle name="Normal 7 2 3 4 3 5" xfId="28606"/>
    <cellStyle name="Normal 7 2 3 4 4" xfId="13270"/>
    <cellStyle name="Normal 7 2 3 4 4 2" xfId="20825"/>
    <cellStyle name="Normal 7 2 3 4 4 2 2" xfId="37046"/>
    <cellStyle name="Normal 7 2 3 4 4 3" xfId="30358"/>
    <cellStyle name="Normal 7 2 3 4 5" xfId="14914"/>
    <cellStyle name="Normal 7 2 3 4 5 2" xfId="31136"/>
    <cellStyle name="Normal 7 2 3 4 6" xfId="19068"/>
    <cellStyle name="Normal 7 2 3 4 6 2" xfId="35289"/>
    <cellStyle name="Normal 7 2 3 4 7" xfId="28603"/>
    <cellStyle name="Normal 7 2 3 5" xfId="8676"/>
    <cellStyle name="Normal 7 2 3 5 2" xfId="8677"/>
    <cellStyle name="Normal 7 2 3 5 2 2" xfId="13275"/>
    <cellStyle name="Normal 7 2 3 5 2 2 2" xfId="20830"/>
    <cellStyle name="Normal 7 2 3 5 2 2 2 2" xfId="37051"/>
    <cellStyle name="Normal 7 2 3 5 2 2 3" xfId="30363"/>
    <cellStyle name="Normal 7 2 3 5 2 3" xfId="16763"/>
    <cellStyle name="Normal 7 2 3 5 2 3 2" xfId="32984"/>
    <cellStyle name="Normal 7 2 3 5 2 4" xfId="19073"/>
    <cellStyle name="Normal 7 2 3 5 2 4 2" xfId="35294"/>
    <cellStyle name="Normal 7 2 3 5 2 5" xfId="28608"/>
    <cellStyle name="Normal 7 2 3 5 3" xfId="13274"/>
    <cellStyle name="Normal 7 2 3 5 3 2" xfId="20829"/>
    <cellStyle name="Normal 7 2 3 5 3 2 2" xfId="37050"/>
    <cellStyle name="Normal 7 2 3 5 3 3" xfId="30362"/>
    <cellStyle name="Normal 7 2 3 5 4" xfId="15178"/>
    <cellStyle name="Normal 7 2 3 5 4 2" xfId="31400"/>
    <cellStyle name="Normal 7 2 3 5 5" xfId="19072"/>
    <cellStyle name="Normal 7 2 3 5 5 2" xfId="35293"/>
    <cellStyle name="Normal 7 2 3 5 6" xfId="28607"/>
    <cellStyle name="Normal 7 2 3 6" xfId="8678"/>
    <cellStyle name="Normal 7 2 3 6 2" xfId="13276"/>
    <cellStyle name="Normal 7 2 3 6 2 2" xfId="20831"/>
    <cellStyle name="Normal 7 2 3 6 2 2 2" xfId="37052"/>
    <cellStyle name="Normal 7 2 3 6 2 3" xfId="30364"/>
    <cellStyle name="Normal 7 2 3 6 3" xfId="15971"/>
    <cellStyle name="Normal 7 2 3 6 3 2" xfId="32192"/>
    <cellStyle name="Normal 7 2 3 6 4" xfId="19074"/>
    <cellStyle name="Normal 7 2 3 6 4 2" xfId="35295"/>
    <cellStyle name="Normal 7 2 3 6 5" xfId="28609"/>
    <cellStyle name="Normal 7 2 3 7" xfId="13253"/>
    <cellStyle name="Normal 7 2 3 7 2" xfId="20808"/>
    <cellStyle name="Normal 7 2 3 7 2 2" xfId="37029"/>
    <cellStyle name="Normal 7 2 3 7 3" xfId="30341"/>
    <cellStyle name="Normal 7 2 3 8" xfId="14386"/>
    <cellStyle name="Normal 7 2 3 8 2" xfId="30608"/>
    <cellStyle name="Normal 7 2 3 9" xfId="19051"/>
    <cellStyle name="Normal 7 2 3 9 2" xfId="35272"/>
    <cellStyle name="Normal 7 2 4" xfId="8679"/>
    <cellStyle name="Normal 7 2 4 2" xfId="8680"/>
    <cellStyle name="Normal 7 2 4 2 2" xfId="8681"/>
    <cellStyle name="Normal 7 2 4 2 2 2" xfId="8682"/>
    <cellStyle name="Normal 7 2 4 2 2 2 2" xfId="13280"/>
    <cellStyle name="Normal 7 2 4 2 2 2 2 2" xfId="20835"/>
    <cellStyle name="Normal 7 2 4 2 2 2 2 2 2" xfId="37056"/>
    <cellStyle name="Normal 7 2 4 2 2 2 2 3" xfId="30368"/>
    <cellStyle name="Normal 7 2 4 2 2 2 3" xfId="17093"/>
    <cellStyle name="Normal 7 2 4 2 2 2 3 2" xfId="33314"/>
    <cellStyle name="Normal 7 2 4 2 2 2 4" xfId="19078"/>
    <cellStyle name="Normal 7 2 4 2 2 2 4 2" xfId="35299"/>
    <cellStyle name="Normal 7 2 4 2 2 2 5" xfId="28613"/>
    <cellStyle name="Normal 7 2 4 2 2 3" xfId="13279"/>
    <cellStyle name="Normal 7 2 4 2 2 3 2" xfId="20834"/>
    <cellStyle name="Normal 7 2 4 2 2 3 2 2" xfId="37055"/>
    <cellStyle name="Normal 7 2 4 2 2 3 3" xfId="30367"/>
    <cellStyle name="Normal 7 2 4 2 2 4" xfId="15508"/>
    <cellStyle name="Normal 7 2 4 2 2 4 2" xfId="31730"/>
    <cellStyle name="Normal 7 2 4 2 2 5" xfId="19077"/>
    <cellStyle name="Normal 7 2 4 2 2 5 2" xfId="35298"/>
    <cellStyle name="Normal 7 2 4 2 2 6" xfId="28612"/>
    <cellStyle name="Normal 7 2 4 2 3" xfId="8683"/>
    <cellStyle name="Normal 7 2 4 2 3 2" xfId="13281"/>
    <cellStyle name="Normal 7 2 4 2 3 2 2" xfId="20836"/>
    <cellStyle name="Normal 7 2 4 2 3 2 2 2" xfId="37057"/>
    <cellStyle name="Normal 7 2 4 2 3 2 3" xfId="30369"/>
    <cellStyle name="Normal 7 2 4 2 3 3" xfId="16301"/>
    <cellStyle name="Normal 7 2 4 2 3 3 2" xfId="32522"/>
    <cellStyle name="Normal 7 2 4 2 3 4" xfId="19079"/>
    <cellStyle name="Normal 7 2 4 2 3 4 2" xfId="35300"/>
    <cellStyle name="Normal 7 2 4 2 3 5" xfId="28614"/>
    <cellStyle name="Normal 7 2 4 2 4" xfId="13278"/>
    <cellStyle name="Normal 7 2 4 2 4 2" xfId="20833"/>
    <cellStyle name="Normal 7 2 4 2 4 2 2" xfId="37054"/>
    <cellStyle name="Normal 7 2 4 2 4 3" xfId="30366"/>
    <cellStyle name="Normal 7 2 4 2 5" xfId="14716"/>
    <cellStyle name="Normal 7 2 4 2 5 2" xfId="30938"/>
    <cellStyle name="Normal 7 2 4 2 6" xfId="19076"/>
    <cellStyle name="Normal 7 2 4 2 6 2" xfId="35297"/>
    <cellStyle name="Normal 7 2 4 2 7" xfId="28611"/>
    <cellStyle name="Normal 7 2 4 3" xfId="8684"/>
    <cellStyle name="Normal 7 2 4 3 2" xfId="8685"/>
    <cellStyle name="Normal 7 2 4 3 2 2" xfId="8686"/>
    <cellStyle name="Normal 7 2 4 3 2 2 2" xfId="13284"/>
    <cellStyle name="Normal 7 2 4 3 2 2 2 2" xfId="20839"/>
    <cellStyle name="Normal 7 2 4 3 2 2 2 2 2" xfId="37060"/>
    <cellStyle name="Normal 7 2 4 3 2 2 2 3" xfId="30372"/>
    <cellStyle name="Normal 7 2 4 3 2 2 3" xfId="17357"/>
    <cellStyle name="Normal 7 2 4 3 2 2 3 2" xfId="33578"/>
    <cellStyle name="Normal 7 2 4 3 2 2 4" xfId="19082"/>
    <cellStyle name="Normal 7 2 4 3 2 2 4 2" xfId="35303"/>
    <cellStyle name="Normal 7 2 4 3 2 2 5" xfId="28617"/>
    <cellStyle name="Normal 7 2 4 3 2 3" xfId="13283"/>
    <cellStyle name="Normal 7 2 4 3 2 3 2" xfId="20838"/>
    <cellStyle name="Normal 7 2 4 3 2 3 2 2" xfId="37059"/>
    <cellStyle name="Normal 7 2 4 3 2 3 3" xfId="30371"/>
    <cellStyle name="Normal 7 2 4 3 2 4" xfId="15772"/>
    <cellStyle name="Normal 7 2 4 3 2 4 2" xfId="31994"/>
    <cellStyle name="Normal 7 2 4 3 2 5" xfId="19081"/>
    <cellStyle name="Normal 7 2 4 3 2 5 2" xfId="35302"/>
    <cellStyle name="Normal 7 2 4 3 2 6" xfId="28616"/>
    <cellStyle name="Normal 7 2 4 3 3" xfId="8687"/>
    <cellStyle name="Normal 7 2 4 3 3 2" xfId="13285"/>
    <cellStyle name="Normal 7 2 4 3 3 2 2" xfId="20840"/>
    <cellStyle name="Normal 7 2 4 3 3 2 2 2" xfId="37061"/>
    <cellStyle name="Normal 7 2 4 3 3 2 3" xfId="30373"/>
    <cellStyle name="Normal 7 2 4 3 3 3" xfId="16565"/>
    <cellStyle name="Normal 7 2 4 3 3 3 2" xfId="32786"/>
    <cellStyle name="Normal 7 2 4 3 3 4" xfId="19083"/>
    <cellStyle name="Normal 7 2 4 3 3 4 2" xfId="35304"/>
    <cellStyle name="Normal 7 2 4 3 3 5" xfId="28618"/>
    <cellStyle name="Normal 7 2 4 3 4" xfId="13282"/>
    <cellStyle name="Normal 7 2 4 3 4 2" xfId="20837"/>
    <cellStyle name="Normal 7 2 4 3 4 2 2" xfId="37058"/>
    <cellStyle name="Normal 7 2 4 3 4 3" xfId="30370"/>
    <cellStyle name="Normal 7 2 4 3 5" xfId="14980"/>
    <cellStyle name="Normal 7 2 4 3 5 2" xfId="31202"/>
    <cellStyle name="Normal 7 2 4 3 6" xfId="19080"/>
    <cellStyle name="Normal 7 2 4 3 6 2" xfId="35301"/>
    <cellStyle name="Normal 7 2 4 3 7" xfId="28615"/>
    <cellStyle name="Normal 7 2 4 4" xfId="8688"/>
    <cellStyle name="Normal 7 2 4 4 2" xfId="8689"/>
    <cellStyle name="Normal 7 2 4 4 2 2" xfId="13287"/>
    <cellStyle name="Normal 7 2 4 4 2 2 2" xfId="20842"/>
    <cellStyle name="Normal 7 2 4 4 2 2 2 2" xfId="37063"/>
    <cellStyle name="Normal 7 2 4 4 2 2 3" xfId="30375"/>
    <cellStyle name="Normal 7 2 4 4 2 3" xfId="16829"/>
    <cellStyle name="Normal 7 2 4 4 2 3 2" xfId="33050"/>
    <cellStyle name="Normal 7 2 4 4 2 4" xfId="19085"/>
    <cellStyle name="Normal 7 2 4 4 2 4 2" xfId="35306"/>
    <cellStyle name="Normal 7 2 4 4 2 5" xfId="28620"/>
    <cellStyle name="Normal 7 2 4 4 3" xfId="13286"/>
    <cellStyle name="Normal 7 2 4 4 3 2" xfId="20841"/>
    <cellStyle name="Normal 7 2 4 4 3 2 2" xfId="37062"/>
    <cellStyle name="Normal 7 2 4 4 3 3" xfId="30374"/>
    <cellStyle name="Normal 7 2 4 4 4" xfId="15244"/>
    <cellStyle name="Normal 7 2 4 4 4 2" xfId="31466"/>
    <cellStyle name="Normal 7 2 4 4 5" xfId="19084"/>
    <cellStyle name="Normal 7 2 4 4 5 2" xfId="35305"/>
    <cellStyle name="Normal 7 2 4 4 6" xfId="28619"/>
    <cellStyle name="Normal 7 2 4 5" xfId="8690"/>
    <cellStyle name="Normal 7 2 4 5 2" xfId="13288"/>
    <cellStyle name="Normal 7 2 4 5 2 2" xfId="20843"/>
    <cellStyle name="Normal 7 2 4 5 2 2 2" xfId="37064"/>
    <cellStyle name="Normal 7 2 4 5 2 3" xfId="30376"/>
    <cellStyle name="Normal 7 2 4 5 3" xfId="16037"/>
    <cellStyle name="Normal 7 2 4 5 3 2" xfId="32258"/>
    <cellStyle name="Normal 7 2 4 5 4" xfId="19086"/>
    <cellStyle name="Normal 7 2 4 5 4 2" xfId="35307"/>
    <cellStyle name="Normal 7 2 4 5 5" xfId="28621"/>
    <cellStyle name="Normal 7 2 4 6" xfId="13277"/>
    <cellStyle name="Normal 7 2 4 6 2" xfId="20832"/>
    <cellStyle name="Normal 7 2 4 6 2 2" xfId="37053"/>
    <cellStyle name="Normal 7 2 4 6 3" xfId="30365"/>
    <cellStyle name="Normal 7 2 4 7" xfId="14452"/>
    <cellStyle name="Normal 7 2 4 7 2" xfId="30674"/>
    <cellStyle name="Normal 7 2 4 8" xfId="19075"/>
    <cellStyle name="Normal 7 2 4 8 2" xfId="35296"/>
    <cellStyle name="Normal 7 2 4 9" xfId="28610"/>
    <cellStyle name="Normal 7 2 5" xfId="8691"/>
    <cellStyle name="Normal 7 2 5 2" xfId="8692"/>
    <cellStyle name="Normal 7 2 5 2 2" xfId="8693"/>
    <cellStyle name="Normal 7 2 5 2 2 2" xfId="13291"/>
    <cellStyle name="Normal 7 2 5 2 2 2 2" xfId="20846"/>
    <cellStyle name="Normal 7 2 5 2 2 2 2 2" xfId="37067"/>
    <cellStyle name="Normal 7 2 5 2 2 2 3" xfId="30379"/>
    <cellStyle name="Normal 7 2 5 2 2 3" xfId="16961"/>
    <cellStyle name="Normal 7 2 5 2 2 3 2" xfId="33182"/>
    <cellStyle name="Normal 7 2 5 2 2 4" xfId="19089"/>
    <cellStyle name="Normal 7 2 5 2 2 4 2" xfId="35310"/>
    <cellStyle name="Normal 7 2 5 2 2 5" xfId="28624"/>
    <cellStyle name="Normal 7 2 5 2 3" xfId="13290"/>
    <cellStyle name="Normal 7 2 5 2 3 2" xfId="20845"/>
    <cellStyle name="Normal 7 2 5 2 3 2 2" xfId="37066"/>
    <cellStyle name="Normal 7 2 5 2 3 3" xfId="30378"/>
    <cellStyle name="Normal 7 2 5 2 4" xfId="15376"/>
    <cellStyle name="Normal 7 2 5 2 4 2" xfId="31598"/>
    <cellStyle name="Normal 7 2 5 2 5" xfId="19088"/>
    <cellStyle name="Normal 7 2 5 2 5 2" xfId="35309"/>
    <cellStyle name="Normal 7 2 5 2 6" xfId="28623"/>
    <cellStyle name="Normal 7 2 5 3" xfId="8694"/>
    <cellStyle name="Normal 7 2 5 3 2" xfId="13292"/>
    <cellStyle name="Normal 7 2 5 3 2 2" xfId="20847"/>
    <cellStyle name="Normal 7 2 5 3 2 2 2" xfId="37068"/>
    <cellStyle name="Normal 7 2 5 3 2 3" xfId="30380"/>
    <cellStyle name="Normal 7 2 5 3 3" xfId="16169"/>
    <cellStyle name="Normal 7 2 5 3 3 2" xfId="32390"/>
    <cellStyle name="Normal 7 2 5 3 4" xfId="19090"/>
    <cellStyle name="Normal 7 2 5 3 4 2" xfId="35311"/>
    <cellStyle name="Normal 7 2 5 3 5" xfId="28625"/>
    <cellStyle name="Normal 7 2 5 4" xfId="13289"/>
    <cellStyle name="Normal 7 2 5 4 2" xfId="20844"/>
    <cellStyle name="Normal 7 2 5 4 2 2" xfId="37065"/>
    <cellStyle name="Normal 7 2 5 4 3" xfId="30377"/>
    <cellStyle name="Normal 7 2 5 5" xfId="14584"/>
    <cellStyle name="Normal 7 2 5 5 2" xfId="30806"/>
    <cellStyle name="Normal 7 2 5 6" xfId="19087"/>
    <cellStyle name="Normal 7 2 5 6 2" xfId="35308"/>
    <cellStyle name="Normal 7 2 5 7" xfId="28622"/>
    <cellStyle name="Normal 7 2 6" xfId="8695"/>
    <cellStyle name="Normal 7 2 6 2" xfId="8696"/>
    <cellStyle name="Normal 7 2 6 2 2" xfId="8697"/>
    <cellStyle name="Normal 7 2 6 2 2 2" xfId="13295"/>
    <cellStyle name="Normal 7 2 6 2 2 2 2" xfId="20850"/>
    <cellStyle name="Normal 7 2 6 2 2 2 2 2" xfId="37071"/>
    <cellStyle name="Normal 7 2 6 2 2 2 3" xfId="30383"/>
    <cellStyle name="Normal 7 2 6 2 2 3" xfId="17225"/>
    <cellStyle name="Normal 7 2 6 2 2 3 2" xfId="33446"/>
    <cellStyle name="Normal 7 2 6 2 2 4" xfId="19093"/>
    <cellStyle name="Normal 7 2 6 2 2 4 2" xfId="35314"/>
    <cellStyle name="Normal 7 2 6 2 2 5" xfId="28628"/>
    <cellStyle name="Normal 7 2 6 2 3" xfId="13294"/>
    <cellStyle name="Normal 7 2 6 2 3 2" xfId="20849"/>
    <cellStyle name="Normal 7 2 6 2 3 2 2" xfId="37070"/>
    <cellStyle name="Normal 7 2 6 2 3 3" xfId="30382"/>
    <cellStyle name="Normal 7 2 6 2 4" xfId="15640"/>
    <cellStyle name="Normal 7 2 6 2 4 2" xfId="31862"/>
    <cellStyle name="Normal 7 2 6 2 5" xfId="19092"/>
    <cellStyle name="Normal 7 2 6 2 5 2" xfId="35313"/>
    <cellStyle name="Normal 7 2 6 2 6" xfId="28627"/>
    <cellStyle name="Normal 7 2 6 3" xfId="8698"/>
    <cellStyle name="Normal 7 2 6 3 2" xfId="13296"/>
    <cellStyle name="Normal 7 2 6 3 2 2" xfId="20851"/>
    <cellStyle name="Normal 7 2 6 3 2 2 2" xfId="37072"/>
    <cellStyle name="Normal 7 2 6 3 2 3" xfId="30384"/>
    <cellStyle name="Normal 7 2 6 3 3" xfId="16433"/>
    <cellStyle name="Normal 7 2 6 3 3 2" xfId="32654"/>
    <cellStyle name="Normal 7 2 6 3 4" xfId="19094"/>
    <cellStyle name="Normal 7 2 6 3 4 2" xfId="35315"/>
    <cellStyle name="Normal 7 2 6 3 5" xfId="28629"/>
    <cellStyle name="Normal 7 2 6 4" xfId="13293"/>
    <cellStyle name="Normal 7 2 6 4 2" xfId="20848"/>
    <cellStyle name="Normal 7 2 6 4 2 2" xfId="37069"/>
    <cellStyle name="Normal 7 2 6 4 3" xfId="30381"/>
    <cellStyle name="Normal 7 2 6 5" xfId="14848"/>
    <cellStyle name="Normal 7 2 6 5 2" xfId="31070"/>
    <cellStyle name="Normal 7 2 6 6" xfId="19091"/>
    <cellStyle name="Normal 7 2 6 6 2" xfId="35312"/>
    <cellStyle name="Normal 7 2 6 7" xfId="28626"/>
    <cellStyle name="Normal 7 2 7" xfId="8699"/>
    <cellStyle name="Normal 7 2 7 2" xfId="8700"/>
    <cellStyle name="Normal 7 2 7 2 2" xfId="13298"/>
    <cellStyle name="Normal 7 2 7 2 2 2" xfId="20853"/>
    <cellStyle name="Normal 7 2 7 2 2 2 2" xfId="37074"/>
    <cellStyle name="Normal 7 2 7 2 2 3" xfId="30386"/>
    <cellStyle name="Normal 7 2 7 2 3" xfId="16697"/>
    <cellStyle name="Normal 7 2 7 2 3 2" xfId="32918"/>
    <cellStyle name="Normal 7 2 7 2 4" xfId="19096"/>
    <cellStyle name="Normal 7 2 7 2 4 2" xfId="35317"/>
    <cellStyle name="Normal 7 2 7 2 5" xfId="28631"/>
    <cellStyle name="Normal 7 2 7 3" xfId="13297"/>
    <cellStyle name="Normal 7 2 7 3 2" xfId="20852"/>
    <cellStyle name="Normal 7 2 7 3 2 2" xfId="37073"/>
    <cellStyle name="Normal 7 2 7 3 3" xfId="30385"/>
    <cellStyle name="Normal 7 2 7 4" xfId="15112"/>
    <cellStyle name="Normal 7 2 7 4 2" xfId="31334"/>
    <cellStyle name="Normal 7 2 7 5" xfId="19095"/>
    <cellStyle name="Normal 7 2 7 5 2" xfId="35316"/>
    <cellStyle name="Normal 7 2 7 6" xfId="28630"/>
    <cellStyle name="Normal 7 2 8" xfId="8701"/>
    <cellStyle name="Normal 7 2 8 2" xfId="13299"/>
    <cellStyle name="Normal 7 2 8 2 2" xfId="20854"/>
    <cellStyle name="Normal 7 2 8 2 2 2" xfId="37075"/>
    <cellStyle name="Normal 7 2 8 2 3" xfId="30387"/>
    <cellStyle name="Normal 7 2 8 3" xfId="15905"/>
    <cellStyle name="Normal 7 2 8 3 2" xfId="32126"/>
    <cellStyle name="Normal 7 2 8 4" xfId="19097"/>
    <cellStyle name="Normal 7 2 8 4 2" xfId="35318"/>
    <cellStyle name="Normal 7 2 8 5" xfId="28632"/>
    <cellStyle name="Normal 7 2 9" xfId="13204"/>
    <cellStyle name="Normal 7 2 9 2" xfId="20759"/>
    <cellStyle name="Normal 7 2 9 2 2" xfId="36980"/>
    <cellStyle name="Normal 7 2 9 3" xfId="30292"/>
    <cellStyle name="Normal 7 3" xfId="214"/>
    <cellStyle name="Normal 7 3 10" xfId="14318"/>
    <cellStyle name="Normal 7 3 10 2" xfId="30543"/>
    <cellStyle name="Normal 7 3 11" xfId="19098"/>
    <cellStyle name="Normal 7 3 11 2" xfId="35319"/>
    <cellStyle name="Normal 7 3 12" xfId="5684"/>
    <cellStyle name="Normal 7 3 12 2" xfId="27021"/>
    <cellStyle name="Normal 7 3 13" xfId="21035"/>
    <cellStyle name="Normal 7 3 13 2" xfId="37247"/>
    <cellStyle name="Normal 7 3 14" xfId="22533"/>
    <cellStyle name="Normal 7 3 15" xfId="328"/>
    <cellStyle name="Normal 7 3 2" xfId="1863"/>
    <cellStyle name="Normal 7 3 2 10" xfId="19099"/>
    <cellStyle name="Normal 7 3 2 10 2" xfId="35320"/>
    <cellStyle name="Normal 7 3 2 11" xfId="8702"/>
    <cellStyle name="Normal 7 3 2 11 2" xfId="28633"/>
    <cellStyle name="Normal 7 3 2 12" xfId="24031"/>
    <cellStyle name="Normal 7 3 2 2" xfId="8703"/>
    <cellStyle name="Normal 7 3 2 2 10" xfId="28634"/>
    <cellStyle name="Normal 7 3 2 2 2" xfId="8704"/>
    <cellStyle name="Normal 7 3 2 2 2 2" xfId="8705"/>
    <cellStyle name="Normal 7 3 2 2 2 2 2" xfId="8706"/>
    <cellStyle name="Normal 7 3 2 2 2 2 2 2" xfId="8707"/>
    <cellStyle name="Normal 7 3 2 2 2 2 2 2 2" xfId="13306"/>
    <cellStyle name="Normal 7 3 2 2 2 2 2 2 2 2" xfId="20861"/>
    <cellStyle name="Normal 7 3 2 2 2 2 2 2 2 2 2" xfId="37082"/>
    <cellStyle name="Normal 7 3 2 2 2 2 2 2 2 3" xfId="30394"/>
    <cellStyle name="Normal 7 3 2 2 2 2 2 2 3" xfId="17193"/>
    <cellStyle name="Normal 7 3 2 2 2 2 2 2 3 2" xfId="33414"/>
    <cellStyle name="Normal 7 3 2 2 2 2 2 2 4" xfId="19104"/>
    <cellStyle name="Normal 7 3 2 2 2 2 2 2 4 2" xfId="35325"/>
    <cellStyle name="Normal 7 3 2 2 2 2 2 2 5" xfId="28638"/>
    <cellStyle name="Normal 7 3 2 2 2 2 2 3" xfId="13305"/>
    <cellStyle name="Normal 7 3 2 2 2 2 2 3 2" xfId="20860"/>
    <cellStyle name="Normal 7 3 2 2 2 2 2 3 2 2" xfId="37081"/>
    <cellStyle name="Normal 7 3 2 2 2 2 2 3 3" xfId="30393"/>
    <cellStyle name="Normal 7 3 2 2 2 2 2 4" xfId="15608"/>
    <cellStyle name="Normal 7 3 2 2 2 2 2 4 2" xfId="31830"/>
    <cellStyle name="Normal 7 3 2 2 2 2 2 5" xfId="19103"/>
    <cellStyle name="Normal 7 3 2 2 2 2 2 5 2" xfId="35324"/>
    <cellStyle name="Normal 7 3 2 2 2 2 2 6" xfId="28637"/>
    <cellStyle name="Normal 7 3 2 2 2 2 3" xfId="8708"/>
    <cellStyle name="Normal 7 3 2 2 2 2 3 2" xfId="13307"/>
    <cellStyle name="Normal 7 3 2 2 2 2 3 2 2" xfId="20862"/>
    <cellStyle name="Normal 7 3 2 2 2 2 3 2 2 2" xfId="37083"/>
    <cellStyle name="Normal 7 3 2 2 2 2 3 2 3" xfId="30395"/>
    <cellStyle name="Normal 7 3 2 2 2 2 3 3" xfId="16401"/>
    <cellStyle name="Normal 7 3 2 2 2 2 3 3 2" xfId="32622"/>
    <cellStyle name="Normal 7 3 2 2 2 2 3 4" xfId="19105"/>
    <cellStyle name="Normal 7 3 2 2 2 2 3 4 2" xfId="35326"/>
    <cellStyle name="Normal 7 3 2 2 2 2 3 5" xfId="28639"/>
    <cellStyle name="Normal 7 3 2 2 2 2 4" xfId="13304"/>
    <cellStyle name="Normal 7 3 2 2 2 2 4 2" xfId="20859"/>
    <cellStyle name="Normal 7 3 2 2 2 2 4 2 2" xfId="37080"/>
    <cellStyle name="Normal 7 3 2 2 2 2 4 3" xfId="30392"/>
    <cellStyle name="Normal 7 3 2 2 2 2 5" xfId="14816"/>
    <cellStyle name="Normal 7 3 2 2 2 2 5 2" xfId="31038"/>
    <cellStyle name="Normal 7 3 2 2 2 2 6" xfId="19102"/>
    <cellStyle name="Normal 7 3 2 2 2 2 6 2" xfId="35323"/>
    <cellStyle name="Normal 7 3 2 2 2 2 7" xfId="28636"/>
    <cellStyle name="Normal 7 3 2 2 2 3" xfId="8709"/>
    <cellStyle name="Normal 7 3 2 2 2 3 2" xfId="8710"/>
    <cellStyle name="Normal 7 3 2 2 2 3 2 2" xfId="8711"/>
    <cellStyle name="Normal 7 3 2 2 2 3 2 2 2" xfId="13310"/>
    <cellStyle name="Normal 7 3 2 2 2 3 2 2 2 2" xfId="20865"/>
    <cellStyle name="Normal 7 3 2 2 2 3 2 2 2 2 2" xfId="37086"/>
    <cellStyle name="Normal 7 3 2 2 2 3 2 2 2 3" xfId="30398"/>
    <cellStyle name="Normal 7 3 2 2 2 3 2 2 3" xfId="17457"/>
    <cellStyle name="Normal 7 3 2 2 2 3 2 2 3 2" xfId="33678"/>
    <cellStyle name="Normal 7 3 2 2 2 3 2 2 4" xfId="19108"/>
    <cellStyle name="Normal 7 3 2 2 2 3 2 2 4 2" xfId="35329"/>
    <cellStyle name="Normal 7 3 2 2 2 3 2 2 5" xfId="28642"/>
    <cellStyle name="Normal 7 3 2 2 2 3 2 3" xfId="13309"/>
    <cellStyle name="Normal 7 3 2 2 2 3 2 3 2" xfId="20864"/>
    <cellStyle name="Normal 7 3 2 2 2 3 2 3 2 2" xfId="37085"/>
    <cellStyle name="Normal 7 3 2 2 2 3 2 3 3" xfId="30397"/>
    <cellStyle name="Normal 7 3 2 2 2 3 2 4" xfId="15872"/>
    <cellStyle name="Normal 7 3 2 2 2 3 2 4 2" xfId="32094"/>
    <cellStyle name="Normal 7 3 2 2 2 3 2 5" xfId="19107"/>
    <cellStyle name="Normal 7 3 2 2 2 3 2 5 2" xfId="35328"/>
    <cellStyle name="Normal 7 3 2 2 2 3 2 6" xfId="28641"/>
    <cellStyle name="Normal 7 3 2 2 2 3 3" xfId="8712"/>
    <cellStyle name="Normal 7 3 2 2 2 3 3 2" xfId="13311"/>
    <cellStyle name="Normal 7 3 2 2 2 3 3 2 2" xfId="20866"/>
    <cellStyle name="Normal 7 3 2 2 2 3 3 2 2 2" xfId="37087"/>
    <cellStyle name="Normal 7 3 2 2 2 3 3 2 3" xfId="30399"/>
    <cellStyle name="Normal 7 3 2 2 2 3 3 3" xfId="16665"/>
    <cellStyle name="Normal 7 3 2 2 2 3 3 3 2" xfId="32886"/>
    <cellStyle name="Normal 7 3 2 2 2 3 3 4" xfId="19109"/>
    <cellStyle name="Normal 7 3 2 2 2 3 3 4 2" xfId="35330"/>
    <cellStyle name="Normal 7 3 2 2 2 3 3 5" xfId="28643"/>
    <cellStyle name="Normal 7 3 2 2 2 3 4" xfId="13308"/>
    <cellStyle name="Normal 7 3 2 2 2 3 4 2" xfId="20863"/>
    <cellStyle name="Normal 7 3 2 2 2 3 4 2 2" xfId="37084"/>
    <cellStyle name="Normal 7 3 2 2 2 3 4 3" xfId="30396"/>
    <cellStyle name="Normal 7 3 2 2 2 3 5" xfId="15080"/>
    <cellStyle name="Normal 7 3 2 2 2 3 5 2" xfId="31302"/>
    <cellStyle name="Normal 7 3 2 2 2 3 6" xfId="19106"/>
    <cellStyle name="Normal 7 3 2 2 2 3 6 2" xfId="35327"/>
    <cellStyle name="Normal 7 3 2 2 2 3 7" xfId="28640"/>
    <cellStyle name="Normal 7 3 2 2 2 4" xfId="8713"/>
    <cellStyle name="Normal 7 3 2 2 2 4 2" xfId="8714"/>
    <cellStyle name="Normal 7 3 2 2 2 4 2 2" xfId="13313"/>
    <cellStyle name="Normal 7 3 2 2 2 4 2 2 2" xfId="20868"/>
    <cellStyle name="Normal 7 3 2 2 2 4 2 2 2 2" xfId="37089"/>
    <cellStyle name="Normal 7 3 2 2 2 4 2 2 3" xfId="30401"/>
    <cellStyle name="Normal 7 3 2 2 2 4 2 3" xfId="16929"/>
    <cellStyle name="Normal 7 3 2 2 2 4 2 3 2" xfId="33150"/>
    <cellStyle name="Normal 7 3 2 2 2 4 2 4" xfId="19111"/>
    <cellStyle name="Normal 7 3 2 2 2 4 2 4 2" xfId="35332"/>
    <cellStyle name="Normal 7 3 2 2 2 4 2 5" xfId="28645"/>
    <cellStyle name="Normal 7 3 2 2 2 4 3" xfId="13312"/>
    <cellStyle name="Normal 7 3 2 2 2 4 3 2" xfId="20867"/>
    <cellStyle name="Normal 7 3 2 2 2 4 3 2 2" xfId="37088"/>
    <cellStyle name="Normal 7 3 2 2 2 4 3 3" xfId="30400"/>
    <cellStyle name="Normal 7 3 2 2 2 4 4" xfId="15344"/>
    <cellStyle name="Normal 7 3 2 2 2 4 4 2" xfId="31566"/>
    <cellStyle name="Normal 7 3 2 2 2 4 5" xfId="19110"/>
    <cellStyle name="Normal 7 3 2 2 2 4 5 2" xfId="35331"/>
    <cellStyle name="Normal 7 3 2 2 2 4 6" xfId="28644"/>
    <cellStyle name="Normal 7 3 2 2 2 5" xfId="8715"/>
    <cellStyle name="Normal 7 3 2 2 2 5 2" xfId="13314"/>
    <cellStyle name="Normal 7 3 2 2 2 5 2 2" xfId="20869"/>
    <cellStyle name="Normal 7 3 2 2 2 5 2 2 2" xfId="37090"/>
    <cellStyle name="Normal 7 3 2 2 2 5 2 3" xfId="30402"/>
    <cellStyle name="Normal 7 3 2 2 2 5 3" xfId="16137"/>
    <cellStyle name="Normal 7 3 2 2 2 5 3 2" xfId="32358"/>
    <cellStyle name="Normal 7 3 2 2 2 5 4" xfId="19112"/>
    <cellStyle name="Normal 7 3 2 2 2 5 4 2" xfId="35333"/>
    <cellStyle name="Normal 7 3 2 2 2 5 5" xfId="28646"/>
    <cellStyle name="Normal 7 3 2 2 2 6" xfId="13303"/>
    <cellStyle name="Normal 7 3 2 2 2 6 2" xfId="20858"/>
    <cellStyle name="Normal 7 3 2 2 2 6 2 2" xfId="37079"/>
    <cellStyle name="Normal 7 3 2 2 2 6 3" xfId="30391"/>
    <cellStyle name="Normal 7 3 2 2 2 7" xfId="14552"/>
    <cellStyle name="Normal 7 3 2 2 2 7 2" xfId="30774"/>
    <cellStyle name="Normal 7 3 2 2 2 8" xfId="19101"/>
    <cellStyle name="Normal 7 3 2 2 2 8 2" xfId="35322"/>
    <cellStyle name="Normal 7 3 2 2 2 9" xfId="28635"/>
    <cellStyle name="Normal 7 3 2 2 3" xfId="8716"/>
    <cellStyle name="Normal 7 3 2 2 3 2" xfId="8717"/>
    <cellStyle name="Normal 7 3 2 2 3 2 2" xfId="8718"/>
    <cellStyle name="Normal 7 3 2 2 3 2 2 2" xfId="13317"/>
    <cellStyle name="Normal 7 3 2 2 3 2 2 2 2" xfId="20872"/>
    <cellStyle name="Normal 7 3 2 2 3 2 2 2 2 2" xfId="37093"/>
    <cellStyle name="Normal 7 3 2 2 3 2 2 2 3" xfId="30405"/>
    <cellStyle name="Normal 7 3 2 2 3 2 2 3" xfId="17061"/>
    <cellStyle name="Normal 7 3 2 2 3 2 2 3 2" xfId="33282"/>
    <cellStyle name="Normal 7 3 2 2 3 2 2 4" xfId="19115"/>
    <cellStyle name="Normal 7 3 2 2 3 2 2 4 2" xfId="35336"/>
    <cellStyle name="Normal 7 3 2 2 3 2 2 5" xfId="28649"/>
    <cellStyle name="Normal 7 3 2 2 3 2 3" xfId="13316"/>
    <cellStyle name="Normal 7 3 2 2 3 2 3 2" xfId="20871"/>
    <cellStyle name="Normal 7 3 2 2 3 2 3 2 2" xfId="37092"/>
    <cellStyle name="Normal 7 3 2 2 3 2 3 3" xfId="30404"/>
    <cellStyle name="Normal 7 3 2 2 3 2 4" xfId="15476"/>
    <cellStyle name="Normal 7 3 2 2 3 2 4 2" xfId="31698"/>
    <cellStyle name="Normal 7 3 2 2 3 2 5" xfId="19114"/>
    <cellStyle name="Normal 7 3 2 2 3 2 5 2" xfId="35335"/>
    <cellStyle name="Normal 7 3 2 2 3 2 6" xfId="28648"/>
    <cellStyle name="Normal 7 3 2 2 3 3" xfId="8719"/>
    <cellStyle name="Normal 7 3 2 2 3 3 2" xfId="13318"/>
    <cellStyle name="Normal 7 3 2 2 3 3 2 2" xfId="20873"/>
    <cellStyle name="Normal 7 3 2 2 3 3 2 2 2" xfId="37094"/>
    <cellStyle name="Normal 7 3 2 2 3 3 2 3" xfId="30406"/>
    <cellStyle name="Normal 7 3 2 2 3 3 3" xfId="16269"/>
    <cellStyle name="Normal 7 3 2 2 3 3 3 2" xfId="32490"/>
    <cellStyle name="Normal 7 3 2 2 3 3 4" xfId="19116"/>
    <cellStyle name="Normal 7 3 2 2 3 3 4 2" xfId="35337"/>
    <cellStyle name="Normal 7 3 2 2 3 3 5" xfId="28650"/>
    <cellStyle name="Normal 7 3 2 2 3 4" xfId="13315"/>
    <cellStyle name="Normal 7 3 2 2 3 4 2" xfId="20870"/>
    <cellStyle name="Normal 7 3 2 2 3 4 2 2" xfId="37091"/>
    <cellStyle name="Normal 7 3 2 2 3 4 3" xfId="30403"/>
    <cellStyle name="Normal 7 3 2 2 3 5" xfId="14684"/>
    <cellStyle name="Normal 7 3 2 2 3 5 2" xfId="30906"/>
    <cellStyle name="Normal 7 3 2 2 3 6" xfId="19113"/>
    <cellStyle name="Normal 7 3 2 2 3 6 2" xfId="35334"/>
    <cellStyle name="Normal 7 3 2 2 3 7" xfId="28647"/>
    <cellStyle name="Normal 7 3 2 2 4" xfId="8720"/>
    <cellStyle name="Normal 7 3 2 2 4 2" xfId="8721"/>
    <cellStyle name="Normal 7 3 2 2 4 2 2" xfId="8722"/>
    <cellStyle name="Normal 7 3 2 2 4 2 2 2" xfId="13321"/>
    <cellStyle name="Normal 7 3 2 2 4 2 2 2 2" xfId="20876"/>
    <cellStyle name="Normal 7 3 2 2 4 2 2 2 2 2" xfId="37097"/>
    <cellStyle name="Normal 7 3 2 2 4 2 2 2 3" xfId="30409"/>
    <cellStyle name="Normal 7 3 2 2 4 2 2 3" xfId="17325"/>
    <cellStyle name="Normal 7 3 2 2 4 2 2 3 2" xfId="33546"/>
    <cellStyle name="Normal 7 3 2 2 4 2 2 4" xfId="19119"/>
    <cellStyle name="Normal 7 3 2 2 4 2 2 4 2" xfId="35340"/>
    <cellStyle name="Normal 7 3 2 2 4 2 2 5" xfId="28653"/>
    <cellStyle name="Normal 7 3 2 2 4 2 3" xfId="13320"/>
    <cellStyle name="Normal 7 3 2 2 4 2 3 2" xfId="20875"/>
    <cellStyle name="Normal 7 3 2 2 4 2 3 2 2" xfId="37096"/>
    <cellStyle name="Normal 7 3 2 2 4 2 3 3" xfId="30408"/>
    <cellStyle name="Normal 7 3 2 2 4 2 4" xfId="15740"/>
    <cellStyle name="Normal 7 3 2 2 4 2 4 2" xfId="31962"/>
    <cellStyle name="Normal 7 3 2 2 4 2 5" xfId="19118"/>
    <cellStyle name="Normal 7 3 2 2 4 2 5 2" xfId="35339"/>
    <cellStyle name="Normal 7 3 2 2 4 2 6" xfId="28652"/>
    <cellStyle name="Normal 7 3 2 2 4 3" xfId="8723"/>
    <cellStyle name="Normal 7 3 2 2 4 3 2" xfId="13322"/>
    <cellStyle name="Normal 7 3 2 2 4 3 2 2" xfId="20877"/>
    <cellStyle name="Normal 7 3 2 2 4 3 2 2 2" xfId="37098"/>
    <cellStyle name="Normal 7 3 2 2 4 3 2 3" xfId="30410"/>
    <cellStyle name="Normal 7 3 2 2 4 3 3" xfId="16533"/>
    <cellStyle name="Normal 7 3 2 2 4 3 3 2" xfId="32754"/>
    <cellStyle name="Normal 7 3 2 2 4 3 4" xfId="19120"/>
    <cellStyle name="Normal 7 3 2 2 4 3 4 2" xfId="35341"/>
    <cellStyle name="Normal 7 3 2 2 4 3 5" xfId="28654"/>
    <cellStyle name="Normal 7 3 2 2 4 4" xfId="13319"/>
    <cellStyle name="Normal 7 3 2 2 4 4 2" xfId="20874"/>
    <cellStyle name="Normal 7 3 2 2 4 4 2 2" xfId="37095"/>
    <cellStyle name="Normal 7 3 2 2 4 4 3" xfId="30407"/>
    <cellStyle name="Normal 7 3 2 2 4 5" xfId="14948"/>
    <cellStyle name="Normal 7 3 2 2 4 5 2" xfId="31170"/>
    <cellStyle name="Normal 7 3 2 2 4 6" xfId="19117"/>
    <cellStyle name="Normal 7 3 2 2 4 6 2" xfId="35338"/>
    <cellStyle name="Normal 7 3 2 2 4 7" xfId="28651"/>
    <cellStyle name="Normal 7 3 2 2 5" xfId="8724"/>
    <cellStyle name="Normal 7 3 2 2 5 2" xfId="8725"/>
    <cellStyle name="Normal 7 3 2 2 5 2 2" xfId="13324"/>
    <cellStyle name="Normal 7 3 2 2 5 2 2 2" xfId="20879"/>
    <cellStyle name="Normal 7 3 2 2 5 2 2 2 2" xfId="37100"/>
    <cellStyle name="Normal 7 3 2 2 5 2 2 3" xfId="30412"/>
    <cellStyle name="Normal 7 3 2 2 5 2 3" xfId="16797"/>
    <cellStyle name="Normal 7 3 2 2 5 2 3 2" xfId="33018"/>
    <cellStyle name="Normal 7 3 2 2 5 2 4" xfId="19122"/>
    <cellStyle name="Normal 7 3 2 2 5 2 4 2" xfId="35343"/>
    <cellStyle name="Normal 7 3 2 2 5 2 5" xfId="28656"/>
    <cellStyle name="Normal 7 3 2 2 5 3" xfId="13323"/>
    <cellStyle name="Normal 7 3 2 2 5 3 2" xfId="20878"/>
    <cellStyle name="Normal 7 3 2 2 5 3 2 2" xfId="37099"/>
    <cellStyle name="Normal 7 3 2 2 5 3 3" xfId="30411"/>
    <cellStyle name="Normal 7 3 2 2 5 4" xfId="15212"/>
    <cellStyle name="Normal 7 3 2 2 5 4 2" xfId="31434"/>
    <cellStyle name="Normal 7 3 2 2 5 5" xfId="19121"/>
    <cellStyle name="Normal 7 3 2 2 5 5 2" xfId="35342"/>
    <cellStyle name="Normal 7 3 2 2 5 6" xfId="28655"/>
    <cellStyle name="Normal 7 3 2 2 6" xfId="8726"/>
    <cellStyle name="Normal 7 3 2 2 6 2" xfId="13325"/>
    <cellStyle name="Normal 7 3 2 2 6 2 2" xfId="20880"/>
    <cellStyle name="Normal 7 3 2 2 6 2 2 2" xfId="37101"/>
    <cellStyle name="Normal 7 3 2 2 6 2 3" xfId="30413"/>
    <cellStyle name="Normal 7 3 2 2 6 3" xfId="16005"/>
    <cellStyle name="Normal 7 3 2 2 6 3 2" xfId="32226"/>
    <cellStyle name="Normal 7 3 2 2 6 4" xfId="19123"/>
    <cellStyle name="Normal 7 3 2 2 6 4 2" xfId="35344"/>
    <cellStyle name="Normal 7 3 2 2 6 5" xfId="28657"/>
    <cellStyle name="Normal 7 3 2 2 7" xfId="13302"/>
    <cellStyle name="Normal 7 3 2 2 7 2" xfId="20857"/>
    <cellStyle name="Normal 7 3 2 2 7 2 2" xfId="37078"/>
    <cellStyle name="Normal 7 3 2 2 7 3" xfId="30390"/>
    <cellStyle name="Normal 7 3 2 2 8" xfId="14420"/>
    <cellStyle name="Normal 7 3 2 2 8 2" xfId="30642"/>
    <cellStyle name="Normal 7 3 2 2 9" xfId="19100"/>
    <cellStyle name="Normal 7 3 2 2 9 2" xfId="35321"/>
    <cellStyle name="Normal 7 3 2 3" xfId="8727"/>
    <cellStyle name="Normal 7 3 2 3 2" xfId="8728"/>
    <cellStyle name="Normal 7 3 2 3 2 2" xfId="8729"/>
    <cellStyle name="Normal 7 3 2 3 2 2 2" xfId="8730"/>
    <cellStyle name="Normal 7 3 2 3 2 2 2 2" xfId="13329"/>
    <cellStyle name="Normal 7 3 2 3 2 2 2 2 2" xfId="20884"/>
    <cellStyle name="Normal 7 3 2 3 2 2 2 2 2 2" xfId="37105"/>
    <cellStyle name="Normal 7 3 2 3 2 2 2 2 3" xfId="30417"/>
    <cellStyle name="Normal 7 3 2 3 2 2 2 3" xfId="17127"/>
    <cellStyle name="Normal 7 3 2 3 2 2 2 3 2" xfId="33348"/>
    <cellStyle name="Normal 7 3 2 3 2 2 2 4" xfId="19127"/>
    <cellStyle name="Normal 7 3 2 3 2 2 2 4 2" xfId="35348"/>
    <cellStyle name="Normal 7 3 2 3 2 2 2 5" xfId="28661"/>
    <cellStyle name="Normal 7 3 2 3 2 2 3" xfId="13328"/>
    <cellStyle name="Normal 7 3 2 3 2 2 3 2" xfId="20883"/>
    <cellStyle name="Normal 7 3 2 3 2 2 3 2 2" xfId="37104"/>
    <cellStyle name="Normal 7 3 2 3 2 2 3 3" xfId="30416"/>
    <cellStyle name="Normal 7 3 2 3 2 2 4" xfId="15542"/>
    <cellStyle name="Normal 7 3 2 3 2 2 4 2" xfId="31764"/>
    <cellStyle name="Normal 7 3 2 3 2 2 5" xfId="19126"/>
    <cellStyle name="Normal 7 3 2 3 2 2 5 2" xfId="35347"/>
    <cellStyle name="Normal 7 3 2 3 2 2 6" xfId="28660"/>
    <cellStyle name="Normal 7 3 2 3 2 3" xfId="8731"/>
    <cellStyle name="Normal 7 3 2 3 2 3 2" xfId="13330"/>
    <cellStyle name="Normal 7 3 2 3 2 3 2 2" xfId="20885"/>
    <cellStyle name="Normal 7 3 2 3 2 3 2 2 2" xfId="37106"/>
    <cellStyle name="Normal 7 3 2 3 2 3 2 3" xfId="30418"/>
    <cellStyle name="Normal 7 3 2 3 2 3 3" xfId="16335"/>
    <cellStyle name="Normal 7 3 2 3 2 3 3 2" xfId="32556"/>
    <cellStyle name="Normal 7 3 2 3 2 3 4" xfId="19128"/>
    <cellStyle name="Normal 7 3 2 3 2 3 4 2" xfId="35349"/>
    <cellStyle name="Normal 7 3 2 3 2 3 5" xfId="28662"/>
    <cellStyle name="Normal 7 3 2 3 2 4" xfId="13327"/>
    <cellStyle name="Normal 7 3 2 3 2 4 2" xfId="20882"/>
    <cellStyle name="Normal 7 3 2 3 2 4 2 2" xfId="37103"/>
    <cellStyle name="Normal 7 3 2 3 2 4 3" xfId="30415"/>
    <cellStyle name="Normal 7 3 2 3 2 5" xfId="14750"/>
    <cellStyle name="Normal 7 3 2 3 2 5 2" xfId="30972"/>
    <cellStyle name="Normal 7 3 2 3 2 6" xfId="19125"/>
    <cellStyle name="Normal 7 3 2 3 2 6 2" xfId="35346"/>
    <cellStyle name="Normal 7 3 2 3 2 7" xfId="28659"/>
    <cellStyle name="Normal 7 3 2 3 3" xfId="8732"/>
    <cellStyle name="Normal 7 3 2 3 3 2" xfId="8733"/>
    <cellStyle name="Normal 7 3 2 3 3 2 2" xfId="8734"/>
    <cellStyle name="Normal 7 3 2 3 3 2 2 2" xfId="13333"/>
    <cellStyle name="Normal 7 3 2 3 3 2 2 2 2" xfId="20888"/>
    <cellStyle name="Normal 7 3 2 3 3 2 2 2 2 2" xfId="37109"/>
    <cellStyle name="Normal 7 3 2 3 3 2 2 2 3" xfId="30421"/>
    <cellStyle name="Normal 7 3 2 3 3 2 2 3" xfId="17391"/>
    <cellStyle name="Normal 7 3 2 3 3 2 2 3 2" xfId="33612"/>
    <cellStyle name="Normal 7 3 2 3 3 2 2 4" xfId="19131"/>
    <cellStyle name="Normal 7 3 2 3 3 2 2 4 2" xfId="35352"/>
    <cellStyle name="Normal 7 3 2 3 3 2 2 5" xfId="28665"/>
    <cellStyle name="Normal 7 3 2 3 3 2 3" xfId="13332"/>
    <cellStyle name="Normal 7 3 2 3 3 2 3 2" xfId="20887"/>
    <cellStyle name="Normal 7 3 2 3 3 2 3 2 2" xfId="37108"/>
    <cellStyle name="Normal 7 3 2 3 3 2 3 3" xfId="30420"/>
    <cellStyle name="Normal 7 3 2 3 3 2 4" xfId="15806"/>
    <cellStyle name="Normal 7 3 2 3 3 2 4 2" xfId="32028"/>
    <cellStyle name="Normal 7 3 2 3 3 2 5" xfId="19130"/>
    <cellStyle name="Normal 7 3 2 3 3 2 5 2" xfId="35351"/>
    <cellStyle name="Normal 7 3 2 3 3 2 6" xfId="28664"/>
    <cellStyle name="Normal 7 3 2 3 3 3" xfId="8735"/>
    <cellStyle name="Normal 7 3 2 3 3 3 2" xfId="13334"/>
    <cellStyle name="Normal 7 3 2 3 3 3 2 2" xfId="20889"/>
    <cellStyle name="Normal 7 3 2 3 3 3 2 2 2" xfId="37110"/>
    <cellStyle name="Normal 7 3 2 3 3 3 2 3" xfId="30422"/>
    <cellStyle name="Normal 7 3 2 3 3 3 3" xfId="16599"/>
    <cellStyle name="Normal 7 3 2 3 3 3 3 2" xfId="32820"/>
    <cellStyle name="Normal 7 3 2 3 3 3 4" xfId="19132"/>
    <cellStyle name="Normal 7 3 2 3 3 3 4 2" xfId="35353"/>
    <cellStyle name="Normal 7 3 2 3 3 3 5" xfId="28666"/>
    <cellStyle name="Normal 7 3 2 3 3 4" xfId="13331"/>
    <cellStyle name="Normal 7 3 2 3 3 4 2" xfId="20886"/>
    <cellStyle name="Normal 7 3 2 3 3 4 2 2" xfId="37107"/>
    <cellStyle name="Normal 7 3 2 3 3 4 3" xfId="30419"/>
    <cellStyle name="Normal 7 3 2 3 3 5" xfId="15014"/>
    <cellStyle name="Normal 7 3 2 3 3 5 2" xfId="31236"/>
    <cellStyle name="Normal 7 3 2 3 3 6" xfId="19129"/>
    <cellStyle name="Normal 7 3 2 3 3 6 2" xfId="35350"/>
    <cellStyle name="Normal 7 3 2 3 3 7" xfId="28663"/>
    <cellStyle name="Normal 7 3 2 3 4" xfId="8736"/>
    <cellStyle name="Normal 7 3 2 3 4 2" xfId="8737"/>
    <cellStyle name="Normal 7 3 2 3 4 2 2" xfId="13336"/>
    <cellStyle name="Normal 7 3 2 3 4 2 2 2" xfId="20891"/>
    <cellStyle name="Normal 7 3 2 3 4 2 2 2 2" xfId="37112"/>
    <cellStyle name="Normal 7 3 2 3 4 2 2 3" xfId="30424"/>
    <cellStyle name="Normal 7 3 2 3 4 2 3" xfId="16863"/>
    <cellStyle name="Normal 7 3 2 3 4 2 3 2" xfId="33084"/>
    <cellStyle name="Normal 7 3 2 3 4 2 4" xfId="19134"/>
    <cellStyle name="Normal 7 3 2 3 4 2 4 2" xfId="35355"/>
    <cellStyle name="Normal 7 3 2 3 4 2 5" xfId="28668"/>
    <cellStyle name="Normal 7 3 2 3 4 3" xfId="13335"/>
    <cellStyle name="Normal 7 3 2 3 4 3 2" xfId="20890"/>
    <cellStyle name="Normal 7 3 2 3 4 3 2 2" xfId="37111"/>
    <cellStyle name="Normal 7 3 2 3 4 3 3" xfId="30423"/>
    <cellStyle name="Normal 7 3 2 3 4 4" xfId="15278"/>
    <cellStyle name="Normal 7 3 2 3 4 4 2" xfId="31500"/>
    <cellStyle name="Normal 7 3 2 3 4 5" xfId="19133"/>
    <cellStyle name="Normal 7 3 2 3 4 5 2" xfId="35354"/>
    <cellStyle name="Normal 7 3 2 3 4 6" xfId="28667"/>
    <cellStyle name="Normal 7 3 2 3 5" xfId="8738"/>
    <cellStyle name="Normal 7 3 2 3 5 2" xfId="13337"/>
    <cellStyle name="Normal 7 3 2 3 5 2 2" xfId="20892"/>
    <cellStyle name="Normal 7 3 2 3 5 2 2 2" xfId="37113"/>
    <cellStyle name="Normal 7 3 2 3 5 2 3" xfId="30425"/>
    <cellStyle name="Normal 7 3 2 3 5 3" xfId="16071"/>
    <cellStyle name="Normal 7 3 2 3 5 3 2" xfId="32292"/>
    <cellStyle name="Normal 7 3 2 3 5 4" xfId="19135"/>
    <cellStyle name="Normal 7 3 2 3 5 4 2" xfId="35356"/>
    <cellStyle name="Normal 7 3 2 3 5 5" xfId="28669"/>
    <cellStyle name="Normal 7 3 2 3 6" xfId="13326"/>
    <cellStyle name="Normal 7 3 2 3 6 2" xfId="20881"/>
    <cellStyle name="Normal 7 3 2 3 6 2 2" xfId="37102"/>
    <cellStyle name="Normal 7 3 2 3 6 3" xfId="30414"/>
    <cellStyle name="Normal 7 3 2 3 7" xfId="14486"/>
    <cellStyle name="Normal 7 3 2 3 7 2" xfId="30708"/>
    <cellStyle name="Normal 7 3 2 3 8" xfId="19124"/>
    <cellStyle name="Normal 7 3 2 3 8 2" xfId="35345"/>
    <cellStyle name="Normal 7 3 2 3 9" xfId="28658"/>
    <cellStyle name="Normal 7 3 2 4" xfId="8739"/>
    <cellStyle name="Normal 7 3 2 4 2" xfId="8740"/>
    <cellStyle name="Normal 7 3 2 4 2 2" xfId="8741"/>
    <cellStyle name="Normal 7 3 2 4 2 2 2" xfId="13340"/>
    <cellStyle name="Normal 7 3 2 4 2 2 2 2" xfId="20895"/>
    <cellStyle name="Normal 7 3 2 4 2 2 2 2 2" xfId="37116"/>
    <cellStyle name="Normal 7 3 2 4 2 2 2 3" xfId="30428"/>
    <cellStyle name="Normal 7 3 2 4 2 2 3" xfId="16995"/>
    <cellStyle name="Normal 7 3 2 4 2 2 3 2" xfId="33216"/>
    <cellStyle name="Normal 7 3 2 4 2 2 4" xfId="19138"/>
    <cellStyle name="Normal 7 3 2 4 2 2 4 2" xfId="35359"/>
    <cellStyle name="Normal 7 3 2 4 2 2 5" xfId="28672"/>
    <cellStyle name="Normal 7 3 2 4 2 3" xfId="13339"/>
    <cellStyle name="Normal 7 3 2 4 2 3 2" xfId="20894"/>
    <cellStyle name="Normal 7 3 2 4 2 3 2 2" xfId="37115"/>
    <cellStyle name="Normal 7 3 2 4 2 3 3" xfId="30427"/>
    <cellStyle name="Normal 7 3 2 4 2 4" xfId="15410"/>
    <cellStyle name="Normal 7 3 2 4 2 4 2" xfId="31632"/>
    <cellStyle name="Normal 7 3 2 4 2 5" xfId="19137"/>
    <cellStyle name="Normal 7 3 2 4 2 5 2" xfId="35358"/>
    <cellStyle name="Normal 7 3 2 4 2 6" xfId="28671"/>
    <cellStyle name="Normal 7 3 2 4 3" xfId="8742"/>
    <cellStyle name="Normal 7 3 2 4 3 2" xfId="13341"/>
    <cellStyle name="Normal 7 3 2 4 3 2 2" xfId="20896"/>
    <cellStyle name="Normal 7 3 2 4 3 2 2 2" xfId="37117"/>
    <cellStyle name="Normal 7 3 2 4 3 2 3" xfId="30429"/>
    <cellStyle name="Normal 7 3 2 4 3 3" xfId="16203"/>
    <cellStyle name="Normal 7 3 2 4 3 3 2" xfId="32424"/>
    <cellStyle name="Normal 7 3 2 4 3 4" xfId="19139"/>
    <cellStyle name="Normal 7 3 2 4 3 4 2" xfId="35360"/>
    <cellStyle name="Normal 7 3 2 4 3 5" xfId="28673"/>
    <cellStyle name="Normal 7 3 2 4 4" xfId="13338"/>
    <cellStyle name="Normal 7 3 2 4 4 2" xfId="20893"/>
    <cellStyle name="Normal 7 3 2 4 4 2 2" xfId="37114"/>
    <cellStyle name="Normal 7 3 2 4 4 3" xfId="30426"/>
    <cellStyle name="Normal 7 3 2 4 5" xfId="14618"/>
    <cellStyle name="Normal 7 3 2 4 5 2" xfId="30840"/>
    <cellStyle name="Normal 7 3 2 4 6" xfId="19136"/>
    <cellStyle name="Normal 7 3 2 4 6 2" xfId="35357"/>
    <cellStyle name="Normal 7 3 2 4 7" xfId="28670"/>
    <cellStyle name="Normal 7 3 2 5" xfId="8743"/>
    <cellStyle name="Normal 7 3 2 5 2" xfId="8744"/>
    <cellStyle name="Normal 7 3 2 5 2 2" xfId="8745"/>
    <cellStyle name="Normal 7 3 2 5 2 2 2" xfId="13344"/>
    <cellStyle name="Normal 7 3 2 5 2 2 2 2" xfId="20899"/>
    <cellStyle name="Normal 7 3 2 5 2 2 2 2 2" xfId="37120"/>
    <cellStyle name="Normal 7 3 2 5 2 2 2 3" xfId="30432"/>
    <cellStyle name="Normal 7 3 2 5 2 2 3" xfId="17259"/>
    <cellStyle name="Normal 7 3 2 5 2 2 3 2" xfId="33480"/>
    <cellStyle name="Normal 7 3 2 5 2 2 4" xfId="19142"/>
    <cellStyle name="Normal 7 3 2 5 2 2 4 2" xfId="35363"/>
    <cellStyle name="Normal 7 3 2 5 2 2 5" xfId="28676"/>
    <cellStyle name="Normal 7 3 2 5 2 3" xfId="13343"/>
    <cellStyle name="Normal 7 3 2 5 2 3 2" xfId="20898"/>
    <cellStyle name="Normal 7 3 2 5 2 3 2 2" xfId="37119"/>
    <cellStyle name="Normal 7 3 2 5 2 3 3" xfId="30431"/>
    <cellStyle name="Normal 7 3 2 5 2 4" xfId="15674"/>
    <cellStyle name="Normal 7 3 2 5 2 4 2" xfId="31896"/>
    <cellStyle name="Normal 7 3 2 5 2 5" xfId="19141"/>
    <cellStyle name="Normal 7 3 2 5 2 5 2" xfId="35362"/>
    <cellStyle name="Normal 7 3 2 5 2 6" xfId="28675"/>
    <cellStyle name="Normal 7 3 2 5 3" xfId="8746"/>
    <cellStyle name="Normal 7 3 2 5 3 2" xfId="13345"/>
    <cellStyle name="Normal 7 3 2 5 3 2 2" xfId="20900"/>
    <cellStyle name="Normal 7 3 2 5 3 2 2 2" xfId="37121"/>
    <cellStyle name="Normal 7 3 2 5 3 2 3" xfId="30433"/>
    <cellStyle name="Normal 7 3 2 5 3 3" xfId="16467"/>
    <cellStyle name="Normal 7 3 2 5 3 3 2" xfId="32688"/>
    <cellStyle name="Normal 7 3 2 5 3 4" xfId="19143"/>
    <cellStyle name="Normal 7 3 2 5 3 4 2" xfId="35364"/>
    <cellStyle name="Normal 7 3 2 5 3 5" xfId="28677"/>
    <cellStyle name="Normal 7 3 2 5 4" xfId="13342"/>
    <cellStyle name="Normal 7 3 2 5 4 2" xfId="20897"/>
    <cellStyle name="Normal 7 3 2 5 4 2 2" xfId="37118"/>
    <cellStyle name="Normal 7 3 2 5 4 3" xfId="30430"/>
    <cellStyle name="Normal 7 3 2 5 5" xfId="14882"/>
    <cellStyle name="Normal 7 3 2 5 5 2" xfId="31104"/>
    <cellStyle name="Normal 7 3 2 5 6" xfId="19140"/>
    <cellStyle name="Normal 7 3 2 5 6 2" xfId="35361"/>
    <cellStyle name="Normal 7 3 2 5 7" xfId="28674"/>
    <cellStyle name="Normal 7 3 2 6" xfId="8747"/>
    <cellStyle name="Normal 7 3 2 6 2" xfId="8748"/>
    <cellStyle name="Normal 7 3 2 6 2 2" xfId="13347"/>
    <cellStyle name="Normal 7 3 2 6 2 2 2" xfId="20902"/>
    <cellStyle name="Normal 7 3 2 6 2 2 2 2" xfId="37123"/>
    <cellStyle name="Normal 7 3 2 6 2 2 3" xfId="30435"/>
    <cellStyle name="Normal 7 3 2 6 2 3" xfId="16731"/>
    <cellStyle name="Normal 7 3 2 6 2 3 2" xfId="32952"/>
    <cellStyle name="Normal 7 3 2 6 2 4" xfId="19145"/>
    <cellStyle name="Normal 7 3 2 6 2 4 2" xfId="35366"/>
    <cellStyle name="Normal 7 3 2 6 2 5" xfId="28679"/>
    <cellStyle name="Normal 7 3 2 6 3" xfId="13346"/>
    <cellStyle name="Normal 7 3 2 6 3 2" xfId="20901"/>
    <cellStyle name="Normal 7 3 2 6 3 2 2" xfId="37122"/>
    <cellStyle name="Normal 7 3 2 6 3 3" xfId="30434"/>
    <cellStyle name="Normal 7 3 2 6 4" xfId="15146"/>
    <cellStyle name="Normal 7 3 2 6 4 2" xfId="31368"/>
    <cellStyle name="Normal 7 3 2 6 5" xfId="19144"/>
    <cellStyle name="Normal 7 3 2 6 5 2" xfId="35365"/>
    <cellStyle name="Normal 7 3 2 6 6" xfId="28678"/>
    <cellStyle name="Normal 7 3 2 7" xfId="8749"/>
    <cellStyle name="Normal 7 3 2 7 2" xfId="13348"/>
    <cellStyle name="Normal 7 3 2 7 2 2" xfId="20903"/>
    <cellStyle name="Normal 7 3 2 7 2 2 2" xfId="37124"/>
    <cellStyle name="Normal 7 3 2 7 2 3" xfId="30436"/>
    <cellStyle name="Normal 7 3 2 7 3" xfId="15939"/>
    <cellStyle name="Normal 7 3 2 7 3 2" xfId="32160"/>
    <cellStyle name="Normal 7 3 2 7 4" xfId="19146"/>
    <cellStyle name="Normal 7 3 2 7 4 2" xfId="35367"/>
    <cellStyle name="Normal 7 3 2 7 5" xfId="28680"/>
    <cellStyle name="Normal 7 3 2 8" xfId="13301"/>
    <cellStyle name="Normal 7 3 2 8 2" xfId="20856"/>
    <cellStyle name="Normal 7 3 2 8 2 2" xfId="37077"/>
    <cellStyle name="Normal 7 3 2 8 3" xfId="30389"/>
    <cellStyle name="Normal 7 3 2 9" xfId="14354"/>
    <cellStyle name="Normal 7 3 2 9 2" xfId="30576"/>
    <cellStyle name="Normal 7 3 3" xfId="3362"/>
    <cellStyle name="Normal 7 3 3 10" xfId="8750"/>
    <cellStyle name="Normal 7 3 3 10 2" xfId="28681"/>
    <cellStyle name="Normal 7 3 3 11" xfId="25529"/>
    <cellStyle name="Normal 7 3 3 2" xfId="8751"/>
    <cellStyle name="Normal 7 3 3 2 2" xfId="8752"/>
    <cellStyle name="Normal 7 3 3 2 2 2" xfId="8753"/>
    <cellStyle name="Normal 7 3 3 2 2 2 2" xfId="8754"/>
    <cellStyle name="Normal 7 3 3 2 2 2 2 2" xfId="13353"/>
    <cellStyle name="Normal 7 3 3 2 2 2 2 2 2" xfId="20908"/>
    <cellStyle name="Normal 7 3 3 2 2 2 2 2 2 2" xfId="37129"/>
    <cellStyle name="Normal 7 3 3 2 2 2 2 2 3" xfId="30441"/>
    <cellStyle name="Normal 7 3 3 2 2 2 2 3" xfId="17160"/>
    <cellStyle name="Normal 7 3 3 2 2 2 2 3 2" xfId="33381"/>
    <cellStyle name="Normal 7 3 3 2 2 2 2 4" xfId="19151"/>
    <cellStyle name="Normal 7 3 3 2 2 2 2 4 2" xfId="35372"/>
    <cellStyle name="Normal 7 3 3 2 2 2 2 5" xfId="28685"/>
    <cellStyle name="Normal 7 3 3 2 2 2 3" xfId="13352"/>
    <cellStyle name="Normal 7 3 3 2 2 2 3 2" xfId="20907"/>
    <cellStyle name="Normal 7 3 3 2 2 2 3 2 2" xfId="37128"/>
    <cellStyle name="Normal 7 3 3 2 2 2 3 3" xfId="30440"/>
    <cellStyle name="Normal 7 3 3 2 2 2 4" xfId="15575"/>
    <cellStyle name="Normal 7 3 3 2 2 2 4 2" xfId="31797"/>
    <cellStyle name="Normal 7 3 3 2 2 2 5" xfId="19150"/>
    <cellStyle name="Normal 7 3 3 2 2 2 5 2" xfId="35371"/>
    <cellStyle name="Normal 7 3 3 2 2 2 6" xfId="28684"/>
    <cellStyle name="Normal 7 3 3 2 2 3" xfId="8755"/>
    <cellStyle name="Normal 7 3 3 2 2 3 2" xfId="13354"/>
    <cellStyle name="Normal 7 3 3 2 2 3 2 2" xfId="20909"/>
    <cellStyle name="Normal 7 3 3 2 2 3 2 2 2" xfId="37130"/>
    <cellStyle name="Normal 7 3 3 2 2 3 2 3" xfId="30442"/>
    <cellStyle name="Normal 7 3 3 2 2 3 3" xfId="16368"/>
    <cellStyle name="Normal 7 3 3 2 2 3 3 2" xfId="32589"/>
    <cellStyle name="Normal 7 3 3 2 2 3 4" xfId="19152"/>
    <cellStyle name="Normal 7 3 3 2 2 3 4 2" xfId="35373"/>
    <cellStyle name="Normal 7 3 3 2 2 3 5" xfId="28686"/>
    <cellStyle name="Normal 7 3 3 2 2 4" xfId="13351"/>
    <cellStyle name="Normal 7 3 3 2 2 4 2" xfId="20906"/>
    <cellStyle name="Normal 7 3 3 2 2 4 2 2" xfId="37127"/>
    <cellStyle name="Normal 7 3 3 2 2 4 3" xfId="30439"/>
    <cellStyle name="Normal 7 3 3 2 2 5" xfId="14783"/>
    <cellStyle name="Normal 7 3 3 2 2 5 2" xfId="31005"/>
    <cellStyle name="Normal 7 3 3 2 2 6" xfId="19149"/>
    <cellStyle name="Normal 7 3 3 2 2 6 2" xfId="35370"/>
    <cellStyle name="Normal 7 3 3 2 2 7" xfId="28683"/>
    <cellStyle name="Normal 7 3 3 2 3" xfId="8756"/>
    <cellStyle name="Normal 7 3 3 2 3 2" xfId="8757"/>
    <cellStyle name="Normal 7 3 3 2 3 2 2" xfId="8758"/>
    <cellStyle name="Normal 7 3 3 2 3 2 2 2" xfId="13357"/>
    <cellStyle name="Normal 7 3 3 2 3 2 2 2 2" xfId="20912"/>
    <cellStyle name="Normal 7 3 3 2 3 2 2 2 2 2" xfId="37133"/>
    <cellStyle name="Normal 7 3 3 2 3 2 2 2 3" xfId="30445"/>
    <cellStyle name="Normal 7 3 3 2 3 2 2 3" xfId="17424"/>
    <cellStyle name="Normal 7 3 3 2 3 2 2 3 2" xfId="33645"/>
    <cellStyle name="Normal 7 3 3 2 3 2 2 4" xfId="19155"/>
    <cellStyle name="Normal 7 3 3 2 3 2 2 4 2" xfId="35376"/>
    <cellStyle name="Normal 7 3 3 2 3 2 2 5" xfId="28689"/>
    <cellStyle name="Normal 7 3 3 2 3 2 3" xfId="13356"/>
    <cellStyle name="Normal 7 3 3 2 3 2 3 2" xfId="20911"/>
    <cellStyle name="Normal 7 3 3 2 3 2 3 2 2" xfId="37132"/>
    <cellStyle name="Normal 7 3 3 2 3 2 3 3" xfId="30444"/>
    <cellStyle name="Normal 7 3 3 2 3 2 4" xfId="15839"/>
    <cellStyle name="Normal 7 3 3 2 3 2 4 2" xfId="32061"/>
    <cellStyle name="Normal 7 3 3 2 3 2 5" xfId="19154"/>
    <cellStyle name="Normal 7 3 3 2 3 2 5 2" xfId="35375"/>
    <cellStyle name="Normal 7 3 3 2 3 2 6" xfId="28688"/>
    <cellStyle name="Normal 7 3 3 2 3 3" xfId="8759"/>
    <cellStyle name="Normal 7 3 3 2 3 3 2" xfId="13358"/>
    <cellStyle name="Normal 7 3 3 2 3 3 2 2" xfId="20913"/>
    <cellStyle name="Normal 7 3 3 2 3 3 2 2 2" xfId="37134"/>
    <cellStyle name="Normal 7 3 3 2 3 3 2 3" xfId="30446"/>
    <cellStyle name="Normal 7 3 3 2 3 3 3" xfId="16632"/>
    <cellStyle name="Normal 7 3 3 2 3 3 3 2" xfId="32853"/>
    <cellStyle name="Normal 7 3 3 2 3 3 4" xfId="19156"/>
    <cellStyle name="Normal 7 3 3 2 3 3 4 2" xfId="35377"/>
    <cellStyle name="Normal 7 3 3 2 3 3 5" xfId="28690"/>
    <cellStyle name="Normal 7 3 3 2 3 4" xfId="13355"/>
    <cellStyle name="Normal 7 3 3 2 3 4 2" xfId="20910"/>
    <cellStyle name="Normal 7 3 3 2 3 4 2 2" xfId="37131"/>
    <cellStyle name="Normal 7 3 3 2 3 4 3" xfId="30443"/>
    <cellStyle name="Normal 7 3 3 2 3 5" xfId="15047"/>
    <cellStyle name="Normal 7 3 3 2 3 5 2" xfId="31269"/>
    <cellStyle name="Normal 7 3 3 2 3 6" xfId="19153"/>
    <cellStyle name="Normal 7 3 3 2 3 6 2" xfId="35374"/>
    <cellStyle name="Normal 7 3 3 2 3 7" xfId="28687"/>
    <cellStyle name="Normal 7 3 3 2 4" xfId="8760"/>
    <cellStyle name="Normal 7 3 3 2 4 2" xfId="8761"/>
    <cellStyle name="Normal 7 3 3 2 4 2 2" xfId="13360"/>
    <cellStyle name="Normal 7 3 3 2 4 2 2 2" xfId="20915"/>
    <cellStyle name="Normal 7 3 3 2 4 2 2 2 2" xfId="37136"/>
    <cellStyle name="Normal 7 3 3 2 4 2 2 3" xfId="30448"/>
    <cellStyle name="Normal 7 3 3 2 4 2 3" xfId="16896"/>
    <cellStyle name="Normal 7 3 3 2 4 2 3 2" xfId="33117"/>
    <cellStyle name="Normal 7 3 3 2 4 2 4" xfId="19158"/>
    <cellStyle name="Normal 7 3 3 2 4 2 4 2" xfId="35379"/>
    <cellStyle name="Normal 7 3 3 2 4 2 5" xfId="28692"/>
    <cellStyle name="Normal 7 3 3 2 4 3" xfId="13359"/>
    <cellStyle name="Normal 7 3 3 2 4 3 2" xfId="20914"/>
    <cellStyle name="Normal 7 3 3 2 4 3 2 2" xfId="37135"/>
    <cellStyle name="Normal 7 3 3 2 4 3 3" xfId="30447"/>
    <cellStyle name="Normal 7 3 3 2 4 4" xfId="15311"/>
    <cellStyle name="Normal 7 3 3 2 4 4 2" xfId="31533"/>
    <cellStyle name="Normal 7 3 3 2 4 5" xfId="19157"/>
    <cellStyle name="Normal 7 3 3 2 4 5 2" xfId="35378"/>
    <cellStyle name="Normal 7 3 3 2 4 6" xfId="28691"/>
    <cellStyle name="Normal 7 3 3 2 5" xfId="8762"/>
    <cellStyle name="Normal 7 3 3 2 5 2" xfId="13361"/>
    <cellStyle name="Normal 7 3 3 2 5 2 2" xfId="20916"/>
    <cellStyle name="Normal 7 3 3 2 5 2 2 2" xfId="37137"/>
    <cellStyle name="Normal 7 3 3 2 5 2 3" xfId="30449"/>
    <cellStyle name="Normal 7 3 3 2 5 3" xfId="16104"/>
    <cellStyle name="Normal 7 3 3 2 5 3 2" xfId="32325"/>
    <cellStyle name="Normal 7 3 3 2 5 4" xfId="19159"/>
    <cellStyle name="Normal 7 3 3 2 5 4 2" xfId="35380"/>
    <cellStyle name="Normal 7 3 3 2 5 5" xfId="28693"/>
    <cellStyle name="Normal 7 3 3 2 6" xfId="13350"/>
    <cellStyle name="Normal 7 3 3 2 6 2" xfId="20905"/>
    <cellStyle name="Normal 7 3 3 2 6 2 2" xfId="37126"/>
    <cellStyle name="Normal 7 3 3 2 6 3" xfId="30438"/>
    <cellStyle name="Normal 7 3 3 2 7" xfId="14519"/>
    <cellStyle name="Normal 7 3 3 2 7 2" xfId="30741"/>
    <cellStyle name="Normal 7 3 3 2 8" xfId="19148"/>
    <cellStyle name="Normal 7 3 3 2 8 2" xfId="35369"/>
    <cellStyle name="Normal 7 3 3 2 9" xfId="28682"/>
    <cellStyle name="Normal 7 3 3 3" xfId="8763"/>
    <cellStyle name="Normal 7 3 3 3 2" xfId="8764"/>
    <cellStyle name="Normal 7 3 3 3 2 2" xfId="8765"/>
    <cellStyle name="Normal 7 3 3 3 2 2 2" xfId="13364"/>
    <cellStyle name="Normal 7 3 3 3 2 2 2 2" xfId="20919"/>
    <cellStyle name="Normal 7 3 3 3 2 2 2 2 2" xfId="37140"/>
    <cellStyle name="Normal 7 3 3 3 2 2 2 3" xfId="30452"/>
    <cellStyle name="Normal 7 3 3 3 2 2 3" xfId="17028"/>
    <cellStyle name="Normal 7 3 3 3 2 2 3 2" xfId="33249"/>
    <cellStyle name="Normal 7 3 3 3 2 2 4" xfId="19162"/>
    <cellStyle name="Normal 7 3 3 3 2 2 4 2" xfId="35383"/>
    <cellStyle name="Normal 7 3 3 3 2 2 5" xfId="28696"/>
    <cellStyle name="Normal 7 3 3 3 2 3" xfId="13363"/>
    <cellStyle name="Normal 7 3 3 3 2 3 2" xfId="20918"/>
    <cellStyle name="Normal 7 3 3 3 2 3 2 2" xfId="37139"/>
    <cellStyle name="Normal 7 3 3 3 2 3 3" xfId="30451"/>
    <cellStyle name="Normal 7 3 3 3 2 4" xfId="15443"/>
    <cellStyle name="Normal 7 3 3 3 2 4 2" xfId="31665"/>
    <cellStyle name="Normal 7 3 3 3 2 5" xfId="19161"/>
    <cellStyle name="Normal 7 3 3 3 2 5 2" xfId="35382"/>
    <cellStyle name="Normal 7 3 3 3 2 6" xfId="28695"/>
    <cellStyle name="Normal 7 3 3 3 3" xfId="8766"/>
    <cellStyle name="Normal 7 3 3 3 3 2" xfId="13365"/>
    <cellStyle name="Normal 7 3 3 3 3 2 2" xfId="20920"/>
    <cellStyle name="Normal 7 3 3 3 3 2 2 2" xfId="37141"/>
    <cellStyle name="Normal 7 3 3 3 3 2 3" xfId="30453"/>
    <cellStyle name="Normal 7 3 3 3 3 3" xfId="16236"/>
    <cellStyle name="Normal 7 3 3 3 3 3 2" xfId="32457"/>
    <cellStyle name="Normal 7 3 3 3 3 4" xfId="19163"/>
    <cellStyle name="Normal 7 3 3 3 3 4 2" xfId="35384"/>
    <cellStyle name="Normal 7 3 3 3 3 5" xfId="28697"/>
    <cellStyle name="Normal 7 3 3 3 4" xfId="13362"/>
    <cellStyle name="Normal 7 3 3 3 4 2" xfId="20917"/>
    <cellStyle name="Normal 7 3 3 3 4 2 2" xfId="37138"/>
    <cellStyle name="Normal 7 3 3 3 4 3" xfId="30450"/>
    <cellStyle name="Normal 7 3 3 3 5" xfId="14651"/>
    <cellStyle name="Normal 7 3 3 3 5 2" xfId="30873"/>
    <cellStyle name="Normal 7 3 3 3 6" xfId="19160"/>
    <cellStyle name="Normal 7 3 3 3 6 2" xfId="35381"/>
    <cellStyle name="Normal 7 3 3 3 7" xfId="28694"/>
    <cellStyle name="Normal 7 3 3 4" xfId="8767"/>
    <cellStyle name="Normal 7 3 3 4 2" xfId="8768"/>
    <cellStyle name="Normal 7 3 3 4 2 2" xfId="8769"/>
    <cellStyle name="Normal 7 3 3 4 2 2 2" xfId="13368"/>
    <cellStyle name="Normal 7 3 3 4 2 2 2 2" xfId="20923"/>
    <cellStyle name="Normal 7 3 3 4 2 2 2 2 2" xfId="37144"/>
    <cellStyle name="Normal 7 3 3 4 2 2 2 3" xfId="30456"/>
    <cellStyle name="Normal 7 3 3 4 2 2 3" xfId="17292"/>
    <cellStyle name="Normal 7 3 3 4 2 2 3 2" xfId="33513"/>
    <cellStyle name="Normal 7 3 3 4 2 2 4" xfId="19166"/>
    <cellStyle name="Normal 7 3 3 4 2 2 4 2" xfId="35387"/>
    <cellStyle name="Normal 7 3 3 4 2 2 5" xfId="28700"/>
    <cellStyle name="Normal 7 3 3 4 2 3" xfId="13367"/>
    <cellStyle name="Normal 7 3 3 4 2 3 2" xfId="20922"/>
    <cellStyle name="Normal 7 3 3 4 2 3 2 2" xfId="37143"/>
    <cellStyle name="Normal 7 3 3 4 2 3 3" xfId="30455"/>
    <cellStyle name="Normal 7 3 3 4 2 4" xfId="15707"/>
    <cellStyle name="Normal 7 3 3 4 2 4 2" xfId="31929"/>
    <cellStyle name="Normal 7 3 3 4 2 5" xfId="19165"/>
    <cellStyle name="Normal 7 3 3 4 2 5 2" xfId="35386"/>
    <cellStyle name="Normal 7 3 3 4 2 6" xfId="28699"/>
    <cellStyle name="Normal 7 3 3 4 3" xfId="8770"/>
    <cellStyle name="Normal 7 3 3 4 3 2" xfId="13369"/>
    <cellStyle name="Normal 7 3 3 4 3 2 2" xfId="20924"/>
    <cellStyle name="Normal 7 3 3 4 3 2 2 2" xfId="37145"/>
    <cellStyle name="Normal 7 3 3 4 3 2 3" xfId="30457"/>
    <cellStyle name="Normal 7 3 3 4 3 3" xfId="16500"/>
    <cellStyle name="Normal 7 3 3 4 3 3 2" xfId="32721"/>
    <cellStyle name="Normal 7 3 3 4 3 4" xfId="19167"/>
    <cellStyle name="Normal 7 3 3 4 3 4 2" xfId="35388"/>
    <cellStyle name="Normal 7 3 3 4 3 5" xfId="28701"/>
    <cellStyle name="Normal 7 3 3 4 4" xfId="13366"/>
    <cellStyle name="Normal 7 3 3 4 4 2" xfId="20921"/>
    <cellStyle name="Normal 7 3 3 4 4 2 2" xfId="37142"/>
    <cellStyle name="Normal 7 3 3 4 4 3" xfId="30454"/>
    <cellStyle name="Normal 7 3 3 4 5" xfId="14915"/>
    <cellStyle name="Normal 7 3 3 4 5 2" xfId="31137"/>
    <cellStyle name="Normal 7 3 3 4 6" xfId="19164"/>
    <cellStyle name="Normal 7 3 3 4 6 2" xfId="35385"/>
    <cellStyle name="Normal 7 3 3 4 7" xfId="28698"/>
    <cellStyle name="Normal 7 3 3 5" xfId="8771"/>
    <cellStyle name="Normal 7 3 3 5 2" xfId="8772"/>
    <cellStyle name="Normal 7 3 3 5 2 2" xfId="13371"/>
    <cellStyle name="Normal 7 3 3 5 2 2 2" xfId="20926"/>
    <cellStyle name="Normal 7 3 3 5 2 2 2 2" xfId="37147"/>
    <cellStyle name="Normal 7 3 3 5 2 2 3" xfId="30459"/>
    <cellStyle name="Normal 7 3 3 5 2 3" xfId="16764"/>
    <cellStyle name="Normal 7 3 3 5 2 3 2" xfId="32985"/>
    <cellStyle name="Normal 7 3 3 5 2 4" xfId="19169"/>
    <cellStyle name="Normal 7 3 3 5 2 4 2" xfId="35390"/>
    <cellStyle name="Normal 7 3 3 5 2 5" xfId="28703"/>
    <cellStyle name="Normal 7 3 3 5 3" xfId="13370"/>
    <cellStyle name="Normal 7 3 3 5 3 2" xfId="20925"/>
    <cellStyle name="Normal 7 3 3 5 3 2 2" xfId="37146"/>
    <cellStyle name="Normal 7 3 3 5 3 3" xfId="30458"/>
    <cellStyle name="Normal 7 3 3 5 4" xfId="15179"/>
    <cellStyle name="Normal 7 3 3 5 4 2" xfId="31401"/>
    <cellStyle name="Normal 7 3 3 5 5" xfId="19168"/>
    <cellStyle name="Normal 7 3 3 5 5 2" xfId="35389"/>
    <cellStyle name="Normal 7 3 3 5 6" xfId="28702"/>
    <cellStyle name="Normal 7 3 3 6" xfId="8773"/>
    <cellStyle name="Normal 7 3 3 6 2" xfId="13372"/>
    <cellStyle name="Normal 7 3 3 6 2 2" xfId="20927"/>
    <cellStyle name="Normal 7 3 3 6 2 2 2" xfId="37148"/>
    <cellStyle name="Normal 7 3 3 6 2 3" xfId="30460"/>
    <cellStyle name="Normal 7 3 3 6 3" xfId="15972"/>
    <cellStyle name="Normal 7 3 3 6 3 2" xfId="32193"/>
    <cellStyle name="Normal 7 3 3 6 4" xfId="19170"/>
    <cellStyle name="Normal 7 3 3 6 4 2" xfId="35391"/>
    <cellStyle name="Normal 7 3 3 6 5" xfId="28704"/>
    <cellStyle name="Normal 7 3 3 7" xfId="13349"/>
    <cellStyle name="Normal 7 3 3 7 2" xfId="20904"/>
    <cellStyle name="Normal 7 3 3 7 2 2" xfId="37125"/>
    <cellStyle name="Normal 7 3 3 7 3" xfId="30437"/>
    <cellStyle name="Normal 7 3 3 8" xfId="14387"/>
    <cellStyle name="Normal 7 3 3 8 2" xfId="30609"/>
    <cellStyle name="Normal 7 3 3 9" xfId="19147"/>
    <cellStyle name="Normal 7 3 3 9 2" xfId="35368"/>
    <cellStyle name="Normal 7 3 4" xfId="8774"/>
    <cellStyle name="Normal 7 3 4 2" xfId="8775"/>
    <cellStyle name="Normal 7 3 4 2 2" xfId="8776"/>
    <cellStyle name="Normal 7 3 4 2 2 2" xfId="8777"/>
    <cellStyle name="Normal 7 3 4 2 2 2 2" xfId="13376"/>
    <cellStyle name="Normal 7 3 4 2 2 2 2 2" xfId="20931"/>
    <cellStyle name="Normal 7 3 4 2 2 2 2 2 2" xfId="37152"/>
    <cellStyle name="Normal 7 3 4 2 2 2 2 3" xfId="30464"/>
    <cellStyle name="Normal 7 3 4 2 2 2 3" xfId="17094"/>
    <cellStyle name="Normal 7 3 4 2 2 2 3 2" xfId="33315"/>
    <cellStyle name="Normal 7 3 4 2 2 2 4" xfId="19174"/>
    <cellStyle name="Normal 7 3 4 2 2 2 4 2" xfId="35395"/>
    <cellStyle name="Normal 7 3 4 2 2 2 5" xfId="28708"/>
    <cellStyle name="Normal 7 3 4 2 2 3" xfId="13375"/>
    <cellStyle name="Normal 7 3 4 2 2 3 2" xfId="20930"/>
    <cellStyle name="Normal 7 3 4 2 2 3 2 2" xfId="37151"/>
    <cellStyle name="Normal 7 3 4 2 2 3 3" xfId="30463"/>
    <cellStyle name="Normal 7 3 4 2 2 4" xfId="15509"/>
    <cellStyle name="Normal 7 3 4 2 2 4 2" xfId="31731"/>
    <cellStyle name="Normal 7 3 4 2 2 5" xfId="19173"/>
    <cellStyle name="Normal 7 3 4 2 2 5 2" xfId="35394"/>
    <cellStyle name="Normal 7 3 4 2 2 6" xfId="28707"/>
    <cellStyle name="Normal 7 3 4 2 3" xfId="8778"/>
    <cellStyle name="Normal 7 3 4 2 3 2" xfId="13377"/>
    <cellStyle name="Normal 7 3 4 2 3 2 2" xfId="20932"/>
    <cellStyle name="Normal 7 3 4 2 3 2 2 2" xfId="37153"/>
    <cellStyle name="Normal 7 3 4 2 3 2 3" xfId="30465"/>
    <cellStyle name="Normal 7 3 4 2 3 3" xfId="16302"/>
    <cellStyle name="Normal 7 3 4 2 3 3 2" xfId="32523"/>
    <cellStyle name="Normal 7 3 4 2 3 4" xfId="19175"/>
    <cellStyle name="Normal 7 3 4 2 3 4 2" xfId="35396"/>
    <cellStyle name="Normal 7 3 4 2 3 5" xfId="28709"/>
    <cellStyle name="Normal 7 3 4 2 4" xfId="13374"/>
    <cellStyle name="Normal 7 3 4 2 4 2" xfId="20929"/>
    <cellStyle name="Normal 7 3 4 2 4 2 2" xfId="37150"/>
    <cellStyle name="Normal 7 3 4 2 4 3" xfId="30462"/>
    <cellStyle name="Normal 7 3 4 2 5" xfId="14717"/>
    <cellStyle name="Normal 7 3 4 2 5 2" xfId="30939"/>
    <cellStyle name="Normal 7 3 4 2 6" xfId="19172"/>
    <cellStyle name="Normal 7 3 4 2 6 2" xfId="35393"/>
    <cellStyle name="Normal 7 3 4 2 7" xfId="28706"/>
    <cellStyle name="Normal 7 3 4 3" xfId="8779"/>
    <cellStyle name="Normal 7 3 4 3 2" xfId="8780"/>
    <cellStyle name="Normal 7 3 4 3 2 2" xfId="8781"/>
    <cellStyle name="Normal 7 3 4 3 2 2 2" xfId="13380"/>
    <cellStyle name="Normal 7 3 4 3 2 2 2 2" xfId="20935"/>
    <cellStyle name="Normal 7 3 4 3 2 2 2 2 2" xfId="37156"/>
    <cellStyle name="Normal 7 3 4 3 2 2 2 3" xfId="30468"/>
    <cellStyle name="Normal 7 3 4 3 2 2 3" xfId="17358"/>
    <cellStyle name="Normal 7 3 4 3 2 2 3 2" xfId="33579"/>
    <cellStyle name="Normal 7 3 4 3 2 2 4" xfId="19178"/>
    <cellStyle name="Normal 7 3 4 3 2 2 4 2" xfId="35399"/>
    <cellStyle name="Normal 7 3 4 3 2 2 5" xfId="28712"/>
    <cellStyle name="Normal 7 3 4 3 2 3" xfId="13379"/>
    <cellStyle name="Normal 7 3 4 3 2 3 2" xfId="20934"/>
    <cellStyle name="Normal 7 3 4 3 2 3 2 2" xfId="37155"/>
    <cellStyle name="Normal 7 3 4 3 2 3 3" xfId="30467"/>
    <cellStyle name="Normal 7 3 4 3 2 4" xfId="15773"/>
    <cellStyle name="Normal 7 3 4 3 2 4 2" xfId="31995"/>
    <cellStyle name="Normal 7 3 4 3 2 5" xfId="19177"/>
    <cellStyle name="Normal 7 3 4 3 2 5 2" xfId="35398"/>
    <cellStyle name="Normal 7 3 4 3 2 6" xfId="28711"/>
    <cellStyle name="Normal 7 3 4 3 3" xfId="8782"/>
    <cellStyle name="Normal 7 3 4 3 3 2" xfId="13381"/>
    <cellStyle name="Normal 7 3 4 3 3 2 2" xfId="20936"/>
    <cellStyle name="Normal 7 3 4 3 3 2 2 2" xfId="37157"/>
    <cellStyle name="Normal 7 3 4 3 3 2 3" xfId="30469"/>
    <cellStyle name="Normal 7 3 4 3 3 3" xfId="16566"/>
    <cellStyle name="Normal 7 3 4 3 3 3 2" xfId="32787"/>
    <cellStyle name="Normal 7 3 4 3 3 4" xfId="19179"/>
    <cellStyle name="Normal 7 3 4 3 3 4 2" xfId="35400"/>
    <cellStyle name="Normal 7 3 4 3 3 5" xfId="28713"/>
    <cellStyle name="Normal 7 3 4 3 4" xfId="13378"/>
    <cellStyle name="Normal 7 3 4 3 4 2" xfId="20933"/>
    <cellStyle name="Normal 7 3 4 3 4 2 2" xfId="37154"/>
    <cellStyle name="Normal 7 3 4 3 4 3" xfId="30466"/>
    <cellStyle name="Normal 7 3 4 3 5" xfId="14981"/>
    <cellStyle name="Normal 7 3 4 3 5 2" xfId="31203"/>
    <cellStyle name="Normal 7 3 4 3 6" xfId="19176"/>
    <cellStyle name="Normal 7 3 4 3 6 2" xfId="35397"/>
    <cellStyle name="Normal 7 3 4 3 7" xfId="28710"/>
    <cellStyle name="Normal 7 3 4 4" xfId="8783"/>
    <cellStyle name="Normal 7 3 4 4 2" xfId="8784"/>
    <cellStyle name="Normal 7 3 4 4 2 2" xfId="13383"/>
    <cellStyle name="Normal 7 3 4 4 2 2 2" xfId="20938"/>
    <cellStyle name="Normal 7 3 4 4 2 2 2 2" xfId="37159"/>
    <cellStyle name="Normal 7 3 4 4 2 2 3" xfId="30471"/>
    <cellStyle name="Normal 7 3 4 4 2 3" xfId="16830"/>
    <cellStyle name="Normal 7 3 4 4 2 3 2" xfId="33051"/>
    <cellStyle name="Normal 7 3 4 4 2 4" xfId="19181"/>
    <cellStyle name="Normal 7 3 4 4 2 4 2" xfId="35402"/>
    <cellStyle name="Normal 7 3 4 4 2 5" xfId="28715"/>
    <cellStyle name="Normal 7 3 4 4 3" xfId="13382"/>
    <cellStyle name="Normal 7 3 4 4 3 2" xfId="20937"/>
    <cellStyle name="Normal 7 3 4 4 3 2 2" xfId="37158"/>
    <cellStyle name="Normal 7 3 4 4 3 3" xfId="30470"/>
    <cellStyle name="Normal 7 3 4 4 4" xfId="15245"/>
    <cellStyle name="Normal 7 3 4 4 4 2" xfId="31467"/>
    <cellStyle name="Normal 7 3 4 4 5" xfId="19180"/>
    <cellStyle name="Normal 7 3 4 4 5 2" xfId="35401"/>
    <cellStyle name="Normal 7 3 4 4 6" xfId="28714"/>
    <cellStyle name="Normal 7 3 4 5" xfId="8785"/>
    <cellStyle name="Normal 7 3 4 5 2" xfId="13384"/>
    <cellStyle name="Normal 7 3 4 5 2 2" xfId="20939"/>
    <cellStyle name="Normal 7 3 4 5 2 2 2" xfId="37160"/>
    <cellStyle name="Normal 7 3 4 5 2 3" xfId="30472"/>
    <cellStyle name="Normal 7 3 4 5 3" xfId="16038"/>
    <cellStyle name="Normal 7 3 4 5 3 2" xfId="32259"/>
    <cellStyle name="Normal 7 3 4 5 4" xfId="19182"/>
    <cellStyle name="Normal 7 3 4 5 4 2" xfId="35403"/>
    <cellStyle name="Normal 7 3 4 5 5" xfId="28716"/>
    <cellStyle name="Normal 7 3 4 6" xfId="13373"/>
    <cellStyle name="Normal 7 3 4 6 2" xfId="20928"/>
    <cellStyle name="Normal 7 3 4 6 2 2" xfId="37149"/>
    <cellStyle name="Normal 7 3 4 6 3" xfId="30461"/>
    <cellStyle name="Normal 7 3 4 7" xfId="14453"/>
    <cellStyle name="Normal 7 3 4 7 2" xfId="30675"/>
    <cellStyle name="Normal 7 3 4 8" xfId="19171"/>
    <cellStyle name="Normal 7 3 4 8 2" xfId="35392"/>
    <cellStyle name="Normal 7 3 4 9" xfId="28705"/>
    <cellStyle name="Normal 7 3 5" xfId="8786"/>
    <cellStyle name="Normal 7 3 5 2" xfId="8787"/>
    <cellStyle name="Normal 7 3 5 2 2" xfId="8788"/>
    <cellStyle name="Normal 7 3 5 2 2 2" xfId="13387"/>
    <cellStyle name="Normal 7 3 5 2 2 2 2" xfId="20942"/>
    <cellStyle name="Normal 7 3 5 2 2 2 2 2" xfId="37163"/>
    <cellStyle name="Normal 7 3 5 2 2 2 3" xfId="30475"/>
    <cellStyle name="Normal 7 3 5 2 2 3" xfId="16962"/>
    <cellStyle name="Normal 7 3 5 2 2 3 2" xfId="33183"/>
    <cellStyle name="Normal 7 3 5 2 2 4" xfId="19185"/>
    <cellStyle name="Normal 7 3 5 2 2 4 2" xfId="35406"/>
    <cellStyle name="Normal 7 3 5 2 2 5" xfId="28719"/>
    <cellStyle name="Normal 7 3 5 2 3" xfId="13386"/>
    <cellStyle name="Normal 7 3 5 2 3 2" xfId="20941"/>
    <cellStyle name="Normal 7 3 5 2 3 2 2" xfId="37162"/>
    <cellStyle name="Normal 7 3 5 2 3 3" xfId="30474"/>
    <cellStyle name="Normal 7 3 5 2 4" xfId="15377"/>
    <cellStyle name="Normal 7 3 5 2 4 2" xfId="31599"/>
    <cellStyle name="Normal 7 3 5 2 5" xfId="19184"/>
    <cellStyle name="Normal 7 3 5 2 5 2" xfId="35405"/>
    <cellStyle name="Normal 7 3 5 2 6" xfId="28718"/>
    <cellStyle name="Normal 7 3 5 3" xfId="8789"/>
    <cellStyle name="Normal 7 3 5 3 2" xfId="13388"/>
    <cellStyle name="Normal 7 3 5 3 2 2" xfId="20943"/>
    <cellStyle name="Normal 7 3 5 3 2 2 2" xfId="37164"/>
    <cellStyle name="Normal 7 3 5 3 2 3" xfId="30476"/>
    <cellStyle name="Normal 7 3 5 3 3" xfId="16170"/>
    <cellStyle name="Normal 7 3 5 3 3 2" xfId="32391"/>
    <cellStyle name="Normal 7 3 5 3 4" xfId="19186"/>
    <cellStyle name="Normal 7 3 5 3 4 2" xfId="35407"/>
    <cellStyle name="Normal 7 3 5 3 5" xfId="28720"/>
    <cellStyle name="Normal 7 3 5 4" xfId="13385"/>
    <cellStyle name="Normal 7 3 5 4 2" xfId="20940"/>
    <cellStyle name="Normal 7 3 5 4 2 2" xfId="37161"/>
    <cellStyle name="Normal 7 3 5 4 3" xfId="30473"/>
    <cellStyle name="Normal 7 3 5 5" xfId="14585"/>
    <cellStyle name="Normal 7 3 5 5 2" xfId="30807"/>
    <cellStyle name="Normal 7 3 5 6" xfId="19183"/>
    <cellStyle name="Normal 7 3 5 6 2" xfId="35404"/>
    <cellStyle name="Normal 7 3 5 7" xfId="28717"/>
    <cellStyle name="Normal 7 3 6" xfId="8790"/>
    <cellStyle name="Normal 7 3 6 2" xfId="8791"/>
    <cellStyle name="Normal 7 3 6 2 2" xfId="8792"/>
    <cellStyle name="Normal 7 3 6 2 2 2" xfId="13391"/>
    <cellStyle name="Normal 7 3 6 2 2 2 2" xfId="20946"/>
    <cellStyle name="Normal 7 3 6 2 2 2 2 2" xfId="37167"/>
    <cellStyle name="Normal 7 3 6 2 2 2 3" xfId="30479"/>
    <cellStyle name="Normal 7 3 6 2 2 3" xfId="17226"/>
    <cellStyle name="Normal 7 3 6 2 2 3 2" xfId="33447"/>
    <cellStyle name="Normal 7 3 6 2 2 4" xfId="19189"/>
    <cellStyle name="Normal 7 3 6 2 2 4 2" xfId="35410"/>
    <cellStyle name="Normal 7 3 6 2 2 5" xfId="28723"/>
    <cellStyle name="Normal 7 3 6 2 3" xfId="13390"/>
    <cellStyle name="Normal 7 3 6 2 3 2" xfId="20945"/>
    <cellStyle name="Normal 7 3 6 2 3 2 2" xfId="37166"/>
    <cellStyle name="Normal 7 3 6 2 3 3" xfId="30478"/>
    <cellStyle name="Normal 7 3 6 2 4" xfId="15641"/>
    <cellStyle name="Normal 7 3 6 2 4 2" xfId="31863"/>
    <cellStyle name="Normal 7 3 6 2 5" xfId="19188"/>
    <cellStyle name="Normal 7 3 6 2 5 2" xfId="35409"/>
    <cellStyle name="Normal 7 3 6 2 6" xfId="28722"/>
    <cellStyle name="Normal 7 3 6 3" xfId="8793"/>
    <cellStyle name="Normal 7 3 6 3 2" xfId="13392"/>
    <cellStyle name="Normal 7 3 6 3 2 2" xfId="20947"/>
    <cellStyle name="Normal 7 3 6 3 2 2 2" xfId="37168"/>
    <cellStyle name="Normal 7 3 6 3 2 3" xfId="30480"/>
    <cellStyle name="Normal 7 3 6 3 3" xfId="16434"/>
    <cellStyle name="Normal 7 3 6 3 3 2" xfId="32655"/>
    <cellStyle name="Normal 7 3 6 3 4" xfId="19190"/>
    <cellStyle name="Normal 7 3 6 3 4 2" xfId="35411"/>
    <cellStyle name="Normal 7 3 6 3 5" xfId="28724"/>
    <cellStyle name="Normal 7 3 6 4" xfId="13389"/>
    <cellStyle name="Normal 7 3 6 4 2" xfId="20944"/>
    <cellStyle name="Normal 7 3 6 4 2 2" xfId="37165"/>
    <cellStyle name="Normal 7 3 6 4 3" xfId="30477"/>
    <cellStyle name="Normal 7 3 6 5" xfId="14849"/>
    <cellStyle name="Normal 7 3 6 5 2" xfId="31071"/>
    <cellStyle name="Normal 7 3 6 6" xfId="19187"/>
    <cellStyle name="Normal 7 3 6 6 2" xfId="35408"/>
    <cellStyle name="Normal 7 3 6 7" xfId="28721"/>
    <cellStyle name="Normal 7 3 7" xfId="8794"/>
    <cellStyle name="Normal 7 3 7 2" xfId="8795"/>
    <cellStyle name="Normal 7 3 7 2 2" xfId="13394"/>
    <cellStyle name="Normal 7 3 7 2 2 2" xfId="20949"/>
    <cellStyle name="Normal 7 3 7 2 2 2 2" xfId="37170"/>
    <cellStyle name="Normal 7 3 7 2 2 3" xfId="30482"/>
    <cellStyle name="Normal 7 3 7 2 3" xfId="16698"/>
    <cellStyle name="Normal 7 3 7 2 3 2" xfId="32919"/>
    <cellStyle name="Normal 7 3 7 2 4" xfId="19192"/>
    <cellStyle name="Normal 7 3 7 2 4 2" xfId="35413"/>
    <cellStyle name="Normal 7 3 7 2 5" xfId="28726"/>
    <cellStyle name="Normal 7 3 7 3" xfId="13393"/>
    <cellStyle name="Normal 7 3 7 3 2" xfId="20948"/>
    <cellStyle name="Normal 7 3 7 3 2 2" xfId="37169"/>
    <cellStyle name="Normal 7 3 7 3 3" xfId="30481"/>
    <cellStyle name="Normal 7 3 7 4" xfId="15113"/>
    <cellStyle name="Normal 7 3 7 4 2" xfId="31335"/>
    <cellStyle name="Normal 7 3 7 5" xfId="19191"/>
    <cellStyle name="Normal 7 3 7 5 2" xfId="35412"/>
    <cellStyle name="Normal 7 3 7 6" xfId="28725"/>
    <cellStyle name="Normal 7 3 8" xfId="8796"/>
    <cellStyle name="Normal 7 3 8 2" xfId="13395"/>
    <cellStyle name="Normal 7 3 8 2 2" xfId="20950"/>
    <cellStyle name="Normal 7 3 8 2 2 2" xfId="37171"/>
    <cellStyle name="Normal 7 3 8 2 3" xfId="30483"/>
    <cellStyle name="Normal 7 3 8 3" xfId="15906"/>
    <cellStyle name="Normal 7 3 8 3 2" xfId="32127"/>
    <cellStyle name="Normal 7 3 8 4" xfId="19193"/>
    <cellStyle name="Normal 7 3 8 4 2" xfId="35414"/>
    <cellStyle name="Normal 7 3 8 5" xfId="28727"/>
    <cellStyle name="Normal 7 3 9" xfId="13300"/>
    <cellStyle name="Normal 7 3 9 2" xfId="20855"/>
    <cellStyle name="Normal 7 3 9 2 2" xfId="37076"/>
    <cellStyle name="Normal 7 3 9 3" xfId="30388"/>
    <cellStyle name="Normal 7 4" xfId="1789"/>
    <cellStyle name="Normal 7 4 10" xfId="14319"/>
    <cellStyle name="Normal 7 4 10 2" xfId="30544"/>
    <cellStyle name="Normal 7 4 11" xfId="19194"/>
    <cellStyle name="Normal 7 4 11 2" xfId="35415"/>
    <cellStyle name="Normal 7 4 12" xfId="5685"/>
    <cellStyle name="Normal 7 4 12 2" xfId="27022"/>
    <cellStyle name="Normal 7 4 13" xfId="22459"/>
    <cellStyle name="Normal 7 4 13 2" xfId="38671"/>
    <cellStyle name="Normal 7 4 14" xfId="23957"/>
    <cellStyle name="Normal 7 4 2" xfId="3288"/>
    <cellStyle name="Normal 7 4 2 10" xfId="19195"/>
    <cellStyle name="Normal 7 4 2 10 2" xfId="35416"/>
    <cellStyle name="Normal 7 4 2 11" xfId="8797"/>
    <cellStyle name="Normal 7 4 2 11 2" xfId="28728"/>
    <cellStyle name="Normal 7 4 2 12" xfId="25455"/>
    <cellStyle name="Normal 7 4 2 2" xfId="8798"/>
    <cellStyle name="Normal 7 4 2 2 10" xfId="28729"/>
    <cellStyle name="Normal 7 4 2 2 2" xfId="8799"/>
    <cellStyle name="Normal 7 4 2 2 2 2" xfId="8800"/>
    <cellStyle name="Normal 7 4 2 2 2 2 2" xfId="8801"/>
    <cellStyle name="Normal 7 4 2 2 2 2 2 2" xfId="8802"/>
    <cellStyle name="Normal 7 4 2 2 2 2 2 2 2" xfId="13402"/>
    <cellStyle name="Normal 7 4 2 2 2 2 2 2 2 2" xfId="20957"/>
    <cellStyle name="Normal 7 4 2 2 2 2 2 2 2 2 2" xfId="37178"/>
    <cellStyle name="Normal 7 4 2 2 2 2 2 2 2 3" xfId="30490"/>
    <cellStyle name="Normal 7 4 2 2 2 2 2 2 3" xfId="17194"/>
    <cellStyle name="Normal 7 4 2 2 2 2 2 2 3 2" xfId="33415"/>
    <cellStyle name="Normal 7 4 2 2 2 2 2 2 4" xfId="19200"/>
    <cellStyle name="Normal 7 4 2 2 2 2 2 2 4 2" xfId="35421"/>
    <cellStyle name="Normal 7 4 2 2 2 2 2 2 5" xfId="28733"/>
    <cellStyle name="Normal 7 4 2 2 2 2 2 3" xfId="13401"/>
    <cellStyle name="Normal 7 4 2 2 2 2 2 3 2" xfId="20956"/>
    <cellStyle name="Normal 7 4 2 2 2 2 2 3 2 2" xfId="37177"/>
    <cellStyle name="Normal 7 4 2 2 2 2 2 3 3" xfId="30489"/>
    <cellStyle name="Normal 7 4 2 2 2 2 2 4" xfId="15609"/>
    <cellStyle name="Normal 7 4 2 2 2 2 2 4 2" xfId="31831"/>
    <cellStyle name="Normal 7 4 2 2 2 2 2 5" xfId="19199"/>
    <cellStyle name="Normal 7 4 2 2 2 2 2 5 2" xfId="35420"/>
    <cellStyle name="Normal 7 4 2 2 2 2 2 6" xfId="28732"/>
    <cellStyle name="Normal 7 4 2 2 2 2 3" xfId="8803"/>
    <cellStyle name="Normal 7 4 2 2 2 2 3 2" xfId="13403"/>
    <cellStyle name="Normal 7 4 2 2 2 2 3 2 2" xfId="20958"/>
    <cellStyle name="Normal 7 4 2 2 2 2 3 2 2 2" xfId="37179"/>
    <cellStyle name="Normal 7 4 2 2 2 2 3 2 3" xfId="30491"/>
    <cellStyle name="Normal 7 4 2 2 2 2 3 3" xfId="16402"/>
    <cellStyle name="Normal 7 4 2 2 2 2 3 3 2" xfId="32623"/>
    <cellStyle name="Normal 7 4 2 2 2 2 3 4" xfId="19201"/>
    <cellStyle name="Normal 7 4 2 2 2 2 3 4 2" xfId="35422"/>
    <cellStyle name="Normal 7 4 2 2 2 2 3 5" xfId="28734"/>
    <cellStyle name="Normal 7 4 2 2 2 2 4" xfId="13400"/>
    <cellStyle name="Normal 7 4 2 2 2 2 4 2" xfId="20955"/>
    <cellStyle name="Normal 7 4 2 2 2 2 4 2 2" xfId="37176"/>
    <cellStyle name="Normal 7 4 2 2 2 2 4 3" xfId="30488"/>
    <cellStyle name="Normal 7 4 2 2 2 2 5" xfId="14817"/>
    <cellStyle name="Normal 7 4 2 2 2 2 5 2" xfId="31039"/>
    <cellStyle name="Normal 7 4 2 2 2 2 6" xfId="19198"/>
    <cellStyle name="Normal 7 4 2 2 2 2 6 2" xfId="35419"/>
    <cellStyle name="Normal 7 4 2 2 2 2 7" xfId="28731"/>
    <cellStyle name="Normal 7 4 2 2 2 3" xfId="8804"/>
    <cellStyle name="Normal 7 4 2 2 2 3 2" xfId="8805"/>
    <cellStyle name="Normal 7 4 2 2 2 3 2 2" xfId="8806"/>
    <cellStyle name="Normal 7 4 2 2 2 3 2 2 2" xfId="13406"/>
    <cellStyle name="Normal 7 4 2 2 2 3 2 2 2 2" xfId="20961"/>
    <cellStyle name="Normal 7 4 2 2 2 3 2 2 2 2 2" xfId="37182"/>
    <cellStyle name="Normal 7 4 2 2 2 3 2 2 2 3" xfId="30494"/>
    <cellStyle name="Normal 7 4 2 2 2 3 2 2 3" xfId="17458"/>
    <cellStyle name="Normal 7 4 2 2 2 3 2 2 3 2" xfId="33679"/>
    <cellStyle name="Normal 7 4 2 2 2 3 2 2 4" xfId="19204"/>
    <cellStyle name="Normal 7 4 2 2 2 3 2 2 4 2" xfId="35425"/>
    <cellStyle name="Normal 7 4 2 2 2 3 2 2 5" xfId="28737"/>
    <cellStyle name="Normal 7 4 2 2 2 3 2 3" xfId="13405"/>
    <cellStyle name="Normal 7 4 2 2 2 3 2 3 2" xfId="20960"/>
    <cellStyle name="Normal 7 4 2 2 2 3 2 3 2 2" xfId="37181"/>
    <cellStyle name="Normal 7 4 2 2 2 3 2 3 3" xfId="30493"/>
    <cellStyle name="Normal 7 4 2 2 2 3 2 4" xfId="15873"/>
    <cellStyle name="Normal 7 4 2 2 2 3 2 4 2" xfId="32095"/>
    <cellStyle name="Normal 7 4 2 2 2 3 2 5" xfId="19203"/>
    <cellStyle name="Normal 7 4 2 2 2 3 2 5 2" xfId="35424"/>
    <cellStyle name="Normal 7 4 2 2 2 3 2 6" xfId="28736"/>
    <cellStyle name="Normal 7 4 2 2 2 3 3" xfId="8807"/>
    <cellStyle name="Normal 7 4 2 2 2 3 3 2" xfId="13407"/>
    <cellStyle name="Normal 7 4 2 2 2 3 3 2 2" xfId="20962"/>
    <cellStyle name="Normal 7 4 2 2 2 3 3 2 2 2" xfId="37183"/>
    <cellStyle name="Normal 7 4 2 2 2 3 3 2 3" xfId="30495"/>
    <cellStyle name="Normal 7 4 2 2 2 3 3 3" xfId="16666"/>
    <cellStyle name="Normal 7 4 2 2 2 3 3 3 2" xfId="32887"/>
    <cellStyle name="Normal 7 4 2 2 2 3 3 4" xfId="19205"/>
    <cellStyle name="Normal 7 4 2 2 2 3 3 4 2" xfId="35426"/>
    <cellStyle name="Normal 7 4 2 2 2 3 3 5" xfId="28738"/>
    <cellStyle name="Normal 7 4 2 2 2 3 4" xfId="13404"/>
    <cellStyle name="Normal 7 4 2 2 2 3 4 2" xfId="20959"/>
    <cellStyle name="Normal 7 4 2 2 2 3 4 2 2" xfId="37180"/>
    <cellStyle name="Normal 7 4 2 2 2 3 4 3" xfId="30492"/>
    <cellStyle name="Normal 7 4 2 2 2 3 5" xfId="15081"/>
    <cellStyle name="Normal 7 4 2 2 2 3 5 2" xfId="31303"/>
    <cellStyle name="Normal 7 4 2 2 2 3 6" xfId="19202"/>
    <cellStyle name="Normal 7 4 2 2 2 3 6 2" xfId="35423"/>
    <cellStyle name="Normal 7 4 2 2 2 3 7" xfId="28735"/>
    <cellStyle name="Normal 7 4 2 2 2 4" xfId="8808"/>
    <cellStyle name="Normal 7 4 2 2 2 4 2" xfId="8809"/>
    <cellStyle name="Normal 7 4 2 2 2 4 2 2" xfId="13409"/>
    <cellStyle name="Normal 7 4 2 2 2 4 2 2 2" xfId="20964"/>
    <cellStyle name="Normal 7 4 2 2 2 4 2 2 2 2" xfId="37185"/>
    <cellStyle name="Normal 7 4 2 2 2 4 2 2 3" xfId="30497"/>
    <cellStyle name="Normal 7 4 2 2 2 4 2 3" xfId="16930"/>
    <cellStyle name="Normal 7 4 2 2 2 4 2 3 2" xfId="33151"/>
    <cellStyle name="Normal 7 4 2 2 2 4 2 4" xfId="19207"/>
    <cellStyle name="Normal 7 4 2 2 2 4 2 4 2" xfId="35428"/>
    <cellStyle name="Normal 7 4 2 2 2 4 2 5" xfId="28740"/>
    <cellStyle name="Normal 7 4 2 2 2 4 3" xfId="13408"/>
    <cellStyle name="Normal 7 4 2 2 2 4 3 2" xfId="20963"/>
    <cellStyle name="Normal 7 4 2 2 2 4 3 2 2" xfId="37184"/>
    <cellStyle name="Normal 7 4 2 2 2 4 3 3" xfId="30496"/>
    <cellStyle name="Normal 7 4 2 2 2 4 4" xfId="15345"/>
    <cellStyle name="Normal 7 4 2 2 2 4 4 2" xfId="31567"/>
    <cellStyle name="Normal 7 4 2 2 2 4 5" xfId="19206"/>
    <cellStyle name="Normal 7 4 2 2 2 4 5 2" xfId="35427"/>
    <cellStyle name="Normal 7 4 2 2 2 4 6" xfId="28739"/>
    <cellStyle name="Normal 7 4 2 2 2 5" xfId="8810"/>
    <cellStyle name="Normal 7 4 2 2 2 5 2" xfId="13410"/>
    <cellStyle name="Normal 7 4 2 2 2 5 2 2" xfId="20965"/>
    <cellStyle name="Normal 7 4 2 2 2 5 2 2 2" xfId="37186"/>
    <cellStyle name="Normal 7 4 2 2 2 5 2 3" xfId="30498"/>
    <cellStyle name="Normal 7 4 2 2 2 5 3" xfId="16138"/>
    <cellStyle name="Normal 7 4 2 2 2 5 3 2" xfId="32359"/>
    <cellStyle name="Normal 7 4 2 2 2 5 4" xfId="19208"/>
    <cellStyle name="Normal 7 4 2 2 2 5 4 2" xfId="35429"/>
    <cellStyle name="Normal 7 4 2 2 2 5 5" xfId="28741"/>
    <cellStyle name="Normal 7 4 2 2 2 6" xfId="13399"/>
    <cellStyle name="Normal 7 4 2 2 2 6 2" xfId="20954"/>
    <cellStyle name="Normal 7 4 2 2 2 6 2 2" xfId="37175"/>
    <cellStyle name="Normal 7 4 2 2 2 6 3" xfId="30487"/>
    <cellStyle name="Normal 7 4 2 2 2 7" xfId="14553"/>
    <cellStyle name="Normal 7 4 2 2 2 7 2" xfId="30775"/>
    <cellStyle name="Normal 7 4 2 2 2 8" xfId="19197"/>
    <cellStyle name="Normal 7 4 2 2 2 8 2" xfId="35418"/>
    <cellStyle name="Normal 7 4 2 2 2 9" xfId="28730"/>
    <cellStyle name="Normal 7 4 2 2 3" xfId="8811"/>
    <cellStyle name="Normal 7 4 2 2 3 2" xfId="8812"/>
    <cellStyle name="Normal 7 4 2 2 3 2 2" xfId="8813"/>
    <cellStyle name="Normal 7 4 2 2 3 2 2 2" xfId="13413"/>
    <cellStyle name="Normal 7 4 2 2 3 2 2 2 2" xfId="20968"/>
    <cellStyle name="Normal 7 4 2 2 3 2 2 2 2 2" xfId="37189"/>
    <cellStyle name="Normal 7 4 2 2 3 2 2 2 3" xfId="30501"/>
    <cellStyle name="Normal 7 4 2 2 3 2 2 3" xfId="17062"/>
    <cellStyle name="Normal 7 4 2 2 3 2 2 3 2" xfId="33283"/>
    <cellStyle name="Normal 7 4 2 2 3 2 2 4" xfId="19211"/>
    <cellStyle name="Normal 7 4 2 2 3 2 2 4 2" xfId="35432"/>
    <cellStyle name="Normal 7 4 2 2 3 2 2 5" xfId="28744"/>
    <cellStyle name="Normal 7 4 2 2 3 2 3" xfId="13412"/>
    <cellStyle name="Normal 7 4 2 2 3 2 3 2" xfId="20967"/>
    <cellStyle name="Normal 7 4 2 2 3 2 3 2 2" xfId="37188"/>
    <cellStyle name="Normal 7 4 2 2 3 2 3 3" xfId="30500"/>
    <cellStyle name="Normal 7 4 2 2 3 2 4" xfId="15477"/>
    <cellStyle name="Normal 7 4 2 2 3 2 4 2" xfId="31699"/>
    <cellStyle name="Normal 7 4 2 2 3 2 5" xfId="19210"/>
    <cellStyle name="Normal 7 4 2 2 3 2 5 2" xfId="35431"/>
    <cellStyle name="Normal 7 4 2 2 3 2 6" xfId="28743"/>
    <cellStyle name="Normal 7 4 2 2 3 3" xfId="8814"/>
    <cellStyle name="Normal 7 4 2 2 3 3 2" xfId="13414"/>
    <cellStyle name="Normal 7 4 2 2 3 3 2 2" xfId="20969"/>
    <cellStyle name="Normal 7 4 2 2 3 3 2 2 2" xfId="37190"/>
    <cellStyle name="Normal 7 4 2 2 3 3 2 3" xfId="30502"/>
    <cellStyle name="Normal 7 4 2 2 3 3 3" xfId="16270"/>
    <cellStyle name="Normal 7 4 2 2 3 3 3 2" xfId="32491"/>
    <cellStyle name="Normal 7 4 2 2 3 3 4" xfId="19212"/>
    <cellStyle name="Normal 7 4 2 2 3 3 4 2" xfId="35433"/>
    <cellStyle name="Normal 7 4 2 2 3 3 5" xfId="28745"/>
    <cellStyle name="Normal 7 4 2 2 3 4" xfId="13411"/>
    <cellStyle name="Normal 7 4 2 2 3 4 2" xfId="20966"/>
    <cellStyle name="Normal 7 4 2 2 3 4 2 2" xfId="37187"/>
    <cellStyle name="Normal 7 4 2 2 3 4 3" xfId="30499"/>
    <cellStyle name="Normal 7 4 2 2 3 5" xfId="14685"/>
    <cellStyle name="Normal 7 4 2 2 3 5 2" xfId="30907"/>
    <cellStyle name="Normal 7 4 2 2 3 6" xfId="19209"/>
    <cellStyle name="Normal 7 4 2 2 3 6 2" xfId="35430"/>
    <cellStyle name="Normal 7 4 2 2 3 7" xfId="28742"/>
    <cellStyle name="Normal 7 4 2 2 4" xfId="8815"/>
    <cellStyle name="Normal 7 4 2 2 4 2" xfId="8816"/>
    <cellStyle name="Normal 7 4 2 2 4 2 2" xfId="8817"/>
    <cellStyle name="Normal 7 4 2 2 4 2 2 2" xfId="13417"/>
    <cellStyle name="Normal 7 4 2 2 4 2 2 2 2" xfId="20972"/>
    <cellStyle name="Normal 7 4 2 2 4 2 2 2 2 2" xfId="37193"/>
    <cellStyle name="Normal 7 4 2 2 4 2 2 2 3" xfId="30505"/>
    <cellStyle name="Normal 7 4 2 2 4 2 2 3" xfId="17326"/>
    <cellStyle name="Normal 7 4 2 2 4 2 2 3 2" xfId="33547"/>
    <cellStyle name="Normal 7 4 2 2 4 2 2 4" xfId="19215"/>
    <cellStyle name="Normal 7 4 2 2 4 2 2 4 2" xfId="35436"/>
    <cellStyle name="Normal 7 4 2 2 4 2 2 5" xfId="28748"/>
    <cellStyle name="Normal 7 4 2 2 4 2 3" xfId="13416"/>
    <cellStyle name="Normal 7 4 2 2 4 2 3 2" xfId="20971"/>
    <cellStyle name="Normal 7 4 2 2 4 2 3 2 2" xfId="37192"/>
    <cellStyle name="Normal 7 4 2 2 4 2 3 3" xfId="30504"/>
    <cellStyle name="Normal 7 4 2 2 4 2 4" xfId="15741"/>
    <cellStyle name="Normal 7 4 2 2 4 2 4 2" xfId="31963"/>
    <cellStyle name="Normal 7 4 2 2 4 2 5" xfId="19214"/>
    <cellStyle name="Normal 7 4 2 2 4 2 5 2" xfId="35435"/>
    <cellStyle name="Normal 7 4 2 2 4 2 6" xfId="28747"/>
    <cellStyle name="Normal 7 4 2 2 4 3" xfId="8818"/>
    <cellStyle name="Normal 7 4 2 2 4 3 2" xfId="13418"/>
    <cellStyle name="Normal 7 4 2 2 4 3 2 2" xfId="20973"/>
    <cellStyle name="Normal 7 4 2 2 4 3 2 2 2" xfId="37194"/>
    <cellStyle name="Normal 7 4 2 2 4 3 2 3" xfId="30506"/>
    <cellStyle name="Normal 7 4 2 2 4 3 3" xfId="16534"/>
    <cellStyle name="Normal 7 4 2 2 4 3 3 2" xfId="32755"/>
    <cellStyle name="Normal 7 4 2 2 4 3 4" xfId="19216"/>
    <cellStyle name="Normal 7 4 2 2 4 3 4 2" xfId="35437"/>
    <cellStyle name="Normal 7 4 2 2 4 3 5" xfId="28749"/>
    <cellStyle name="Normal 7 4 2 2 4 4" xfId="13415"/>
    <cellStyle name="Normal 7 4 2 2 4 4 2" xfId="20970"/>
    <cellStyle name="Normal 7 4 2 2 4 4 2 2" xfId="37191"/>
    <cellStyle name="Normal 7 4 2 2 4 4 3" xfId="30503"/>
    <cellStyle name="Normal 7 4 2 2 4 5" xfId="14949"/>
    <cellStyle name="Normal 7 4 2 2 4 5 2" xfId="31171"/>
    <cellStyle name="Normal 7 4 2 2 4 6" xfId="19213"/>
    <cellStyle name="Normal 7 4 2 2 4 6 2" xfId="35434"/>
    <cellStyle name="Normal 7 4 2 2 4 7" xfId="28746"/>
    <cellStyle name="Normal 7 4 2 2 5" xfId="8819"/>
    <cellStyle name="Normal 7 4 2 2 5 2" xfId="8820"/>
    <cellStyle name="Normal 7 4 2 2 5 2 2" xfId="13420"/>
    <cellStyle name="Normal 7 4 2 2 5 2 2 2" xfId="20975"/>
    <cellStyle name="Normal 7 4 2 2 5 2 2 2 2" xfId="37196"/>
    <cellStyle name="Normal 7 4 2 2 5 2 2 3" xfId="30508"/>
    <cellStyle name="Normal 7 4 2 2 5 2 3" xfId="16798"/>
    <cellStyle name="Normal 7 4 2 2 5 2 3 2" xfId="33019"/>
    <cellStyle name="Normal 7 4 2 2 5 2 4" xfId="19218"/>
    <cellStyle name="Normal 7 4 2 2 5 2 4 2" xfId="35439"/>
    <cellStyle name="Normal 7 4 2 2 5 2 5" xfId="28751"/>
    <cellStyle name="Normal 7 4 2 2 5 3" xfId="13419"/>
    <cellStyle name="Normal 7 4 2 2 5 3 2" xfId="20974"/>
    <cellStyle name="Normal 7 4 2 2 5 3 2 2" xfId="37195"/>
    <cellStyle name="Normal 7 4 2 2 5 3 3" xfId="30507"/>
    <cellStyle name="Normal 7 4 2 2 5 4" xfId="15213"/>
    <cellStyle name="Normal 7 4 2 2 5 4 2" xfId="31435"/>
    <cellStyle name="Normal 7 4 2 2 5 5" xfId="19217"/>
    <cellStyle name="Normal 7 4 2 2 5 5 2" xfId="35438"/>
    <cellStyle name="Normal 7 4 2 2 5 6" xfId="28750"/>
    <cellStyle name="Normal 7 4 2 2 6" xfId="8821"/>
    <cellStyle name="Normal 7 4 2 2 6 2" xfId="13421"/>
    <cellStyle name="Normal 7 4 2 2 6 3" xfId="16006"/>
    <cellStyle name="Normal 7 4 2 2 6 3 2" xfId="32227"/>
    <cellStyle name="Normal 7 4 2 2 7" xfId="13398"/>
    <cellStyle name="Normal 7 4 2 2 7 2" xfId="20953"/>
    <cellStyle name="Normal 7 4 2 2 7 2 2" xfId="37174"/>
    <cellStyle name="Normal 7 4 2 2 7 3" xfId="30486"/>
    <cellStyle name="Normal 7 4 2 2 8" xfId="14421"/>
    <cellStyle name="Normal 7 4 2 2 8 2" xfId="30643"/>
    <cellStyle name="Normal 7 4 2 2 9" xfId="19196"/>
    <cellStyle name="Normal 7 4 2 2 9 2" xfId="35417"/>
    <cellStyle name="Normal 7 4 2 3" xfId="8822"/>
    <cellStyle name="Normal 7 4 2 3 2" xfId="8823"/>
    <cellStyle name="Normal 7 4 2 3 2 2" xfId="8824"/>
    <cellStyle name="Normal 7 4 2 3 2 2 2" xfId="8825"/>
    <cellStyle name="Normal 7 4 2 3 2 2 2 2" xfId="13425"/>
    <cellStyle name="Normal 7 4 2 3 2 2 2 3" xfId="17128"/>
    <cellStyle name="Normal 7 4 2 3 2 2 2 3 2" xfId="33349"/>
    <cellStyle name="Normal 7 4 2 3 2 2 3" xfId="13424"/>
    <cellStyle name="Normal 7 4 2 3 2 2 4" xfId="15543"/>
    <cellStyle name="Normal 7 4 2 3 2 2 4 2" xfId="31765"/>
    <cellStyle name="Normal 7 4 2 3 2 3" xfId="8826"/>
    <cellStyle name="Normal 7 4 2 3 2 3 2" xfId="13426"/>
    <cellStyle name="Normal 7 4 2 3 2 3 3" xfId="16336"/>
    <cellStyle name="Normal 7 4 2 3 2 3 3 2" xfId="32557"/>
    <cellStyle name="Normal 7 4 2 3 2 4" xfId="13423"/>
    <cellStyle name="Normal 7 4 2 3 2 5" xfId="14751"/>
    <cellStyle name="Normal 7 4 2 3 2 5 2" xfId="30973"/>
    <cellStyle name="Normal 7 4 2 3 3" xfId="8827"/>
    <cellStyle name="Normal 7 4 2 3 3 2" xfId="8828"/>
    <cellStyle name="Normal 7 4 2 3 3 2 2" xfId="8829"/>
    <cellStyle name="Normal 7 4 2 3 3 2 2 2" xfId="13429"/>
    <cellStyle name="Normal 7 4 2 3 3 2 2 3" xfId="17392"/>
    <cellStyle name="Normal 7 4 2 3 3 2 2 3 2" xfId="33613"/>
    <cellStyle name="Normal 7 4 2 3 3 2 3" xfId="13428"/>
    <cellStyle name="Normal 7 4 2 3 3 2 4" xfId="15807"/>
    <cellStyle name="Normal 7 4 2 3 3 2 4 2" xfId="32029"/>
    <cellStyle name="Normal 7 4 2 3 3 3" xfId="8830"/>
    <cellStyle name="Normal 7 4 2 3 3 3 2" xfId="13430"/>
    <cellStyle name="Normal 7 4 2 3 3 3 3" xfId="16600"/>
    <cellStyle name="Normal 7 4 2 3 3 3 3 2" xfId="32821"/>
    <cellStyle name="Normal 7 4 2 3 3 4" xfId="13427"/>
    <cellStyle name="Normal 7 4 2 3 3 5" xfId="15015"/>
    <cellStyle name="Normal 7 4 2 3 3 5 2" xfId="31237"/>
    <cellStyle name="Normal 7 4 2 3 4" xfId="8831"/>
    <cellStyle name="Normal 7 4 2 3 4 2" xfId="8832"/>
    <cellStyle name="Normal 7 4 2 3 4 2 2" xfId="13432"/>
    <cellStyle name="Normal 7 4 2 3 4 2 3" xfId="16864"/>
    <cellStyle name="Normal 7 4 2 3 4 2 3 2" xfId="33085"/>
    <cellStyle name="Normal 7 4 2 3 4 3" xfId="13431"/>
    <cellStyle name="Normal 7 4 2 3 4 4" xfId="15279"/>
    <cellStyle name="Normal 7 4 2 3 4 4 2" xfId="31501"/>
    <cellStyle name="Normal 7 4 2 3 5" xfId="8833"/>
    <cellStyle name="Normal 7 4 2 3 5 2" xfId="13433"/>
    <cellStyle name="Normal 7 4 2 3 5 3" xfId="16072"/>
    <cellStyle name="Normal 7 4 2 3 5 3 2" xfId="32293"/>
    <cellStyle name="Normal 7 4 2 3 6" xfId="13422"/>
    <cellStyle name="Normal 7 4 2 3 7" xfId="14487"/>
    <cellStyle name="Normal 7 4 2 3 7 2" xfId="30709"/>
    <cellStyle name="Normal 7 4 2 4" xfId="8834"/>
    <cellStyle name="Normal 7 4 2 4 2" xfId="8835"/>
    <cellStyle name="Normal 7 4 2 4 2 2" xfId="8836"/>
    <cellStyle name="Normal 7 4 2 4 2 2 2" xfId="13436"/>
    <cellStyle name="Normal 7 4 2 4 2 2 3" xfId="16996"/>
    <cellStyle name="Normal 7 4 2 4 2 2 3 2" xfId="33217"/>
    <cellStyle name="Normal 7 4 2 4 2 3" xfId="13435"/>
    <cellStyle name="Normal 7 4 2 4 2 4" xfId="15411"/>
    <cellStyle name="Normal 7 4 2 4 2 4 2" xfId="31633"/>
    <cellStyle name="Normal 7 4 2 4 3" xfId="8837"/>
    <cellStyle name="Normal 7 4 2 4 3 2" xfId="13437"/>
    <cellStyle name="Normal 7 4 2 4 3 3" xfId="16204"/>
    <cellStyle name="Normal 7 4 2 4 3 3 2" xfId="32425"/>
    <cellStyle name="Normal 7 4 2 4 4" xfId="13434"/>
    <cellStyle name="Normal 7 4 2 4 5" xfId="14619"/>
    <cellStyle name="Normal 7 4 2 4 5 2" xfId="30841"/>
    <cellStyle name="Normal 7 4 2 5" xfId="8838"/>
    <cellStyle name="Normal 7 4 2 5 2" xfId="8839"/>
    <cellStyle name="Normal 7 4 2 5 2 2" xfId="8840"/>
    <cellStyle name="Normal 7 4 2 5 2 2 2" xfId="13440"/>
    <cellStyle name="Normal 7 4 2 5 2 2 3" xfId="17260"/>
    <cellStyle name="Normal 7 4 2 5 2 2 3 2" xfId="33481"/>
    <cellStyle name="Normal 7 4 2 5 2 3" xfId="13439"/>
    <cellStyle name="Normal 7 4 2 5 2 4" xfId="15675"/>
    <cellStyle name="Normal 7 4 2 5 2 4 2" xfId="31897"/>
    <cellStyle name="Normal 7 4 2 5 3" xfId="8841"/>
    <cellStyle name="Normal 7 4 2 5 3 2" xfId="13441"/>
    <cellStyle name="Normal 7 4 2 5 3 3" xfId="16468"/>
    <cellStyle name="Normal 7 4 2 5 3 3 2" xfId="32689"/>
    <cellStyle name="Normal 7 4 2 5 4" xfId="13438"/>
    <cellStyle name="Normal 7 4 2 5 5" xfId="14883"/>
    <cellStyle name="Normal 7 4 2 5 5 2" xfId="31105"/>
    <cellStyle name="Normal 7 4 2 6" xfId="8842"/>
    <cellStyle name="Normal 7 4 2 6 2" xfId="8843"/>
    <cellStyle name="Normal 7 4 2 6 2 2" xfId="13443"/>
    <cellStyle name="Normal 7 4 2 6 2 3" xfId="16732"/>
    <cellStyle name="Normal 7 4 2 6 2 3 2" xfId="32953"/>
    <cellStyle name="Normal 7 4 2 6 3" xfId="13442"/>
    <cellStyle name="Normal 7 4 2 6 4" xfId="15147"/>
    <cellStyle name="Normal 7 4 2 6 4 2" xfId="31369"/>
    <cellStyle name="Normal 7 4 2 7" xfId="8844"/>
    <cellStyle name="Normal 7 4 2 7 2" xfId="13444"/>
    <cellStyle name="Normal 7 4 2 7 3" xfId="15940"/>
    <cellStyle name="Normal 7 4 2 7 3 2" xfId="32161"/>
    <cellStyle name="Normal 7 4 2 8" xfId="13397"/>
    <cellStyle name="Normal 7 4 2 8 2" xfId="20952"/>
    <cellStyle name="Normal 7 4 2 8 2 2" xfId="37173"/>
    <cellStyle name="Normal 7 4 2 8 3" xfId="30485"/>
    <cellStyle name="Normal 7 4 2 9" xfId="14355"/>
    <cellStyle name="Normal 7 4 2 9 2" xfId="30577"/>
    <cellStyle name="Normal 7 4 3" xfId="4786"/>
    <cellStyle name="Normal 7 4 3 10" xfId="26953"/>
    <cellStyle name="Normal 7 4 3 2" xfId="8846"/>
    <cellStyle name="Normal 7 4 3 2 2" xfId="8847"/>
    <cellStyle name="Normal 7 4 3 2 2 2" xfId="8848"/>
    <cellStyle name="Normal 7 4 3 2 2 2 2" xfId="8849"/>
    <cellStyle name="Normal 7 4 3 2 2 2 2 2" xfId="13449"/>
    <cellStyle name="Normal 7 4 3 2 2 2 2 3" xfId="17161"/>
    <cellStyle name="Normal 7 4 3 2 2 2 2 3 2" xfId="33382"/>
    <cellStyle name="Normal 7 4 3 2 2 2 3" xfId="13448"/>
    <cellStyle name="Normal 7 4 3 2 2 2 4" xfId="15576"/>
    <cellStyle name="Normal 7 4 3 2 2 2 4 2" xfId="31798"/>
    <cellStyle name="Normal 7 4 3 2 2 3" xfId="8850"/>
    <cellStyle name="Normal 7 4 3 2 2 3 2" xfId="13450"/>
    <cellStyle name="Normal 7 4 3 2 2 3 3" xfId="16369"/>
    <cellStyle name="Normal 7 4 3 2 2 3 3 2" xfId="32590"/>
    <cellStyle name="Normal 7 4 3 2 2 4" xfId="13447"/>
    <cellStyle name="Normal 7 4 3 2 2 5" xfId="14784"/>
    <cellStyle name="Normal 7 4 3 2 2 5 2" xfId="31006"/>
    <cellStyle name="Normal 7 4 3 2 3" xfId="8851"/>
    <cellStyle name="Normal 7 4 3 2 3 2" xfId="8852"/>
    <cellStyle name="Normal 7 4 3 2 3 2 2" xfId="8853"/>
    <cellStyle name="Normal 7 4 3 2 3 2 2 2" xfId="13453"/>
    <cellStyle name="Normal 7 4 3 2 3 2 2 3" xfId="17425"/>
    <cellStyle name="Normal 7 4 3 2 3 2 2 3 2" xfId="33646"/>
    <cellStyle name="Normal 7 4 3 2 3 2 3" xfId="13452"/>
    <cellStyle name="Normal 7 4 3 2 3 2 4" xfId="15840"/>
    <cellStyle name="Normal 7 4 3 2 3 2 4 2" xfId="32062"/>
    <cellStyle name="Normal 7 4 3 2 3 3" xfId="8854"/>
    <cellStyle name="Normal 7 4 3 2 3 3 2" xfId="13454"/>
    <cellStyle name="Normal 7 4 3 2 3 3 3" xfId="16633"/>
    <cellStyle name="Normal 7 4 3 2 3 3 3 2" xfId="32854"/>
    <cellStyle name="Normal 7 4 3 2 3 4" xfId="13451"/>
    <cellStyle name="Normal 7 4 3 2 3 5" xfId="15048"/>
    <cellStyle name="Normal 7 4 3 2 3 5 2" xfId="31270"/>
    <cellStyle name="Normal 7 4 3 2 4" xfId="8855"/>
    <cellStyle name="Normal 7 4 3 2 4 2" xfId="8856"/>
    <cellStyle name="Normal 7 4 3 2 4 2 2" xfId="13456"/>
    <cellStyle name="Normal 7 4 3 2 4 2 3" xfId="16897"/>
    <cellStyle name="Normal 7 4 3 2 4 2 3 2" xfId="33118"/>
    <cellStyle name="Normal 7 4 3 2 4 3" xfId="13455"/>
    <cellStyle name="Normal 7 4 3 2 4 4" xfId="15312"/>
    <cellStyle name="Normal 7 4 3 2 4 4 2" xfId="31534"/>
    <cellStyle name="Normal 7 4 3 2 5" xfId="8857"/>
    <cellStyle name="Normal 7 4 3 2 5 2" xfId="13457"/>
    <cellStyle name="Normal 7 4 3 2 5 3" xfId="16105"/>
    <cellStyle name="Normal 7 4 3 2 5 3 2" xfId="32326"/>
    <cellStyle name="Normal 7 4 3 2 6" xfId="13446"/>
    <cellStyle name="Normal 7 4 3 2 7" xfId="14520"/>
    <cellStyle name="Normal 7 4 3 2 7 2" xfId="30742"/>
    <cellStyle name="Normal 7 4 3 3" xfId="8858"/>
    <cellStyle name="Normal 7 4 3 3 2" xfId="8859"/>
    <cellStyle name="Normal 7 4 3 3 2 2" xfId="8860"/>
    <cellStyle name="Normal 7 4 3 3 2 2 2" xfId="13460"/>
    <cellStyle name="Normal 7 4 3 3 2 2 3" xfId="17029"/>
    <cellStyle name="Normal 7 4 3 3 2 2 3 2" xfId="33250"/>
    <cellStyle name="Normal 7 4 3 3 2 3" xfId="13459"/>
    <cellStyle name="Normal 7 4 3 3 2 4" xfId="15444"/>
    <cellStyle name="Normal 7 4 3 3 2 4 2" xfId="31666"/>
    <cellStyle name="Normal 7 4 3 3 3" xfId="8861"/>
    <cellStyle name="Normal 7 4 3 3 3 2" xfId="13461"/>
    <cellStyle name="Normal 7 4 3 3 3 3" xfId="16237"/>
    <cellStyle name="Normal 7 4 3 3 3 3 2" xfId="32458"/>
    <cellStyle name="Normal 7 4 3 3 4" xfId="13458"/>
    <cellStyle name="Normal 7 4 3 3 5" xfId="14652"/>
    <cellStyle name="Normal 7 4 3 3 5 2" xfId="30874"/>
    <cellStyle name="Normal 7 4 3 4" xfId="8862"/>
    <cellStyle name="Normal 7 4 3 4 2" xfId="8863"/>
    <cellStyle name="Normal 7 4 3 4 2 2" xfId="8864"/>
    <cellStyle name="Normal 7 4 3 4 2 2 2" xfId="13464"/>
    <cellStyle name="Normal 7 4 3 4 2 2 3" xfId="17293"/>
    <cellStyle name="Normal 7 4 3 4 2 2 3 2" xfId="33514"/>
    <cellStyle name="Normal 7 4 3 4 2 3" xfId="13463"/>
    <cellStyle name="Normal 7 4 3 4 2 4" xfId="15708"/>
    <cellStyle name="Normal 7 4 3 4 2 4 2" xfId="31930"/>
    <cellStyle name="Normal 7 4 3 4 3" xfId="8865"/>
    <cellStyle name="Normal 7 4 3 4 3 2" xfId="13465"/>
    <cellStyle name="Normal 7 4 3 4 3 3" xfId="16501"/>
    <cellStyle name="Normal 7 4 3 4 3 3 2" xfId="32722"/>
    <cellStyle name="Normal 7 4 3 4 4" xfId="13462"/>
    <cellStyle name="Normal 7 4 3 4 5" xfId="14916"/>
    <cellStyle name="Normal 7 4 3 4 5 2" xfId="31138"/>
    <cellStyle name="Normal 7 4 3 5" xfId="8866"/>
    <cellStyle name="Normal 7 4 3 5 2" xfId="8867"/>
    <cellStyle name="Normal 7 4 3 5 2 2" xfId="13467"/>
    <cellStyle name="Normal 7 4 3 5 2 3" xfId="16765"/>
    <cellStyle name="Normal 7 4 3 5 2 3 2" xfId="32986"/>
    <cellStyle name="Normal 7 4 3 5 3" xfId="13466"/>
    <cellStyle name="Normal 7 4 3 5 4" xfId="15180"/>
    <cellStyle name="Normal 7 4 3 5 4 2" xfId="31402"/>
    <cellStyle name="Normal 7 4 3 6" xfId="8868"/>
    <cellStyle name="Normal 7 4 3 6 2" xfId="13468"/>
    <cellStyle name="Normal 7 4 3 6 3" xfId="15973"/>
    <cellStyle name="Normal 7 4 3 6 3 2" xfId="32194"/>
    <cellStyle name="Normal 7 4 3 7" xfId="13445"/>
    <cellStyle name="Normal 7 4 3 8" xfId="14388"/>
    <cellStyle name="Normal 7 4 3 8 2" xfId="30610"/>
    <cellStyle name="Normal 7 4 3 9" xfId="8845"/>
    <cellStyle name="Normal 7 4 4" xfId="8869"/>
    <cellStyle name="Normal 7 4 4 2" xfId="8870"/>
    <cellStyle name="Normal 7 4 4 2 2" xfId="8871"/>
    <cellStyle name="Normal 7 4 4 2 2 2" xfId="8872"/>
    <cellStyle name="Normal 7 4 4 2 2 2 2" xfId="13472"/>
    <cellStyle name="Normal 7 4 4 2 2 2 3" xfId="17095"/>
    <cellStyle name="Normal 7 4 4 2 2 2 3 2" xfId="33316"/>
    <cellStyle name="Normal 7 4 4 2 2 3" xfId="13471"/>
    <cellStyle name="Normal 7 4 4 2 2 4" xfId="15510"/>
    <cellStyle name="Normal 7 4 4 2 2 4 2" xfId="31732"/>
    <cellStyle name="Normal 7 4 4 2 3" xfId="8873"/>
    <cellStyle name="Normal 7 4 4 2 3 2" xfId="13473"/>
    <cellStyle name="Normal 7 4 4 2 3 3" xfId="16303"/>
    <cellStyle name="Normal 7 4 4 2 3 3 2" xfId="32524"/>
    <cellStyle name="Normal 7 4 4 2 4" xfId="13470"/>
    <cellStyle name="Normal 7 4 4 2 5" xfId="14718"/>
    <cellStyle name="Normal 7 4 4 2 5 2" xfId="30940"/>
    <cellStyle name="Normal 7 4 4 3" xfId="8874"/>
    <cellStyle name="Normal 7 4 4 3 2" xfId="8875"/>
    <cellStyle name="Normal 7 4 4 3 2 2" xfId="8876"/>
    <cellStyle name="Normal 7 4 4 3 2 2 2" xfId="13476"/>
    <cellStyle name="Normal 7 4 4 3 2 2 3" xfId="17359"/>
    <cellStyle name="Normal 7 4 4 3 2 2 3 2" xfId="33580"/>
    <cellStyle name="Normal 7 4 4 3 2 3" xfId="13475"/>
    <cellStyle name="Normal 7 4 4 3 2 4" xfId="15774"/>
    <cellStyle name="Normal 7 4 4 3 2 4 2" xfId="31996"/>
    <cellStyle name="Normal 7 4 4 3 3" xfId="8877"/>
    <cellStyle name="Normal 7 4 4 3 3 2" xfId="13477"/>
    <cellStyle name="Normal 7 4 4 3 3 3" xfId="16567"/>
    <cellStyle name="Normal 7 4 4 3 3 3 2" xfId="32788"/>
    <cellStyle name="Normal 7 4 4 3 4" xfId="13474"/>
    <cellStyle name="Normal 7 4 4 3 5" xfId="14982"/>
    <cellStyle name="Normal 7 4 4 3 5 2" xfId="31204"/>
    <cellStyle name="Normal 7 4 4 4" xfId="8878"/>
    <cellStyle name="Normal 7 4 4 4 2" xfId="8879"/>
    <cellStyle name="Normal 7 4 4 4 2 2" xfId="13479"/>
    <cellStyle name="Normal 7 4 4 4 2 3" xfId="16831"/>
    <cellStyle name="Normal 7 4 4 4 2 3 2" xfId="33052"/>
    <cellStyle name="Normal 7 4 4 4 3" xfId="13478"/>
    <cellStyle name="Normal 7 4 4 4 4" xfId="15246"/>
    <cellStyle name="Normal 7 4 4 4 4 2" xfId="31468"/>
    <cellStyle name="Normal 7 4 4 5" xfId="8880"/>
    <cellStyle name="Normal 7 4 4 5 2" xfId="13480"/>
    <cellStyle name="Normal 7 4 4 5 3" xfId="16039"/>
    <cellStyle name="Normal 7 4 4 5 3 2" xfId="32260"/>
    <cellStyle name="Normal 7 4 4 6" xfId="13469"/>
    <cellStyle name="Normal 7 4 4 7" xfId="14454"/>
    <cellStyle name="Normal 7 4 4 7 2" xfId="30676"/>
    <cellStyle name="Normal 7 4 5" xfId="8881"/>
    <cellStyle name="Normal 7 4 5 2" xfId="8882"/>
    <cellStyle name="Normal 7 4 5 2 2" xfId="8883"/>
    <cellStyle name="Normal 7 4 5 2 2 2" xfId="13483"/>
    <cellStyle name="Normal 7 4 5 2 2 3" xfId="16963"/>
    <cellStyle name="Normal 7 4 5 2 2 3 2" xfId="33184"/>
    <cellStyle name="Normal 7 4 5 2 3" xfId="13482"/>
    <cellStyle name="Normal 7 4 5 2 4" xfId="15378"/>
    <cellStyle name="Normal 7 4 5 2 4 2" xfId="31600"/>
    <cellStyle name="Normal 7 4 5 3" xfId="8884"/>
    <cellStyle name="Normal 7 4 5 3 2" xfId="13484"/>
    <cellStyle name="Normal 7 4 5 3 3" xfId="16171"/>
    <cellStyle name="Normal 7 4 5 3 3 2" xfId="32392"/>
    <cellStyle name="Normal 7 4 5 4" xfId="13481"/>
    <cellStyle name="Normal 7 4 5 5" xfId="14586"/>
    <cellStyle name="Normal 7 4 5 5 2" xfId="30808"/>
    <cellStyle name="Normal 7 4 6" xfId="8885"/>
    <cellStyle name="Normal 7 4 6 2" xfId="8886"/>
    <cellStyle name="Normal 7 4 6 2 2" xfId="8887"/>
    <cellStyle name="Normal 7 4 6 2 2 2" xfId="13487"/>
    <cellStyle name="Normal 7 4 6 2 2 3" xfId="17227"/>
    <cellStyle name="Normal 7 4 6 2 2 3 2" xfId="33448"/>
    <cellStyle name="Normal 7 4 6 2 3" xfId="13486"/>
    <cellStyle name="Normal 7 4 6 2 4" xfId="15642"/>
    <cellStyle name="Normal 7 4 6 2 4 2" xfId="31864"/>
    <cellStyle name="Normal 7 4 6 3" xfId="8888"/>
    <cellStyle name="Normal 7 4 6 3 2" xfId="13488"/>
    <cellStyle name="Normal 7 4 6 3 3" xfId="16435"/>
    <cellStyle name="Normal 7 4 6 3 3 2" xfId="32656"/>
    <cellStyle name="Normal 7 4 6 4" xfId="13485"/>
    <cellStyle name="Normal 7 4 6 5" xfId="14850"/>
    <cellStyle name="Normal 7 4 6 5 2" xfId="31072"/>
    <cellStyle name="Normal 7 4 7" xfId="8889"/>
    <cellStyle name="Normal 7 4 7 2" xfId="8890"/>
    <cellStyle name="Normal 7 4 7 2 2" xfId="13490"/>
    <cellStyle name="Normal 7 4 7 2 3" xfId="16699"/>
    <cellStyle name="Normal 7 4 7 2 3 2" xfId="32920"/>
    <cellStyle name="Normal 7 4 7 3" xfId="13489"/>
    <cellStyle name="Normal 7 4 7 4" xfId="15114"/>
    <cellStyle name="Normal 7 4 7 4 2" xfId="31336"/>
    <cellStyle name="Normal 7 4 8" xfId="8891"/>
    <cellStyle name="Normal 7 4 8 2" xfId="13491"/>
    <cellStyle name="Normal 7 4 8 3" xfId="15907"/>
    <cellStyle name="Normal 7 4 8 3 2" xfId="32128"/>
    <cellStyle name="Normal 7 4 9" xfId="13396"/>
    <cellStyle name="Normal 7 4 9 2" xfId="20951"/>
    <cellStyle name="Normal 7 4 9 2 2" xfId="37172"/>
    <cellStyle name="Normal 7 4 9 3" xfId="30484"/>
    <cellStyle name="Normal 7 5" xfId="1835"/>
    <cellStyle name="Normal 7 5 2" xfId="13492"/>
    <cellStyle name="Normal 7 5 3" xfId="5686"/>
    <cellStyle name="Normal 7 5 4" xfId="24003"/>
    <cellStyle name="Normal 7 6" xfId="3334"/>
    <cellStyle name="Normal 7 6 10" xfId="8892"/>
    <cellStyle name="Normal 7 6 11" xfId="25501"/>
    <cellStyle name="Normal 7 6 2" xfId="8893"/>
    <cellStyle name="Normal 7 6 2 2" xfId="8894"/>
    <cellStyle name="Normal 7 6 2 2 2" xfId="8895"/>
    <cellStyle name="Normal 7 6 2 2 2 2" xfId="8896"/>
    <cellStyle name="Normal 7 6 2 2 2 2 2" xfId="8897"/>
    <cellStyle name="Normal 7 6 2 2 2 2 2 2" xfId="13498"/>
    <cellStyle name="Normal 7 6 2 2 2 2 2 3" xfId="17195"/>
    <cellStyle name="Normal 7 6 2 2 2 2 2 3 2" xfId="33416"/>
    <cellStyle name="Normal 7 6 2 2 2 2 3" xfId="13497"/>
    <cellStyle name="Normal 7 6 2 2 2 2 4" xfId="15610"/>
    <cellStyle name="Normal 7 6 2 2 2 2 4 2" xfId="31832"/>
    <cellStyle name="Normal 7 6 2 2 2 3" xfId="8898"/>
    <cellStyle name="Normal 7 6 2 2 2 3 2" xfId="13499"/>
    <cellStyle name="Normal 7 6 2 2 2 3 3" xfId="16403"/>
    <cellStyle name="Normal 7 6 2 2 2 3 3 2" xfId="32624"/>
    <cellStyle name="Normal 7 6 2 2 2 4" xfId="13496"/>
    <cellStyle name="Normal 7 6 2 2 2 5" xfId="14818"/>
    <cellStyle name="Normal 7 6 2 2 2 5 2" xfId="31040"/>
    <cellStyle name="Normal 7 6 2 2 3" xfId="8899"/>
    <cellStyle name="Normal 7 6 2 2 3 2" xfId="8900"/>
    <cellStyle name="Normal 7 6 2 2 3 2 2" xfId="8901"/>
    <cellStyle name="Normal 7 6 2 2 3 2 2 2" xfId="13502"/>
    <cellStyle name="Normal 7 6 2 2 3 2 2 3" xfId="17459"/>
    <cellStyle name="Normal 7 6 2 2 3 2 2 3 2" xfId="33680"/>
    <cellStyle name="Normal 7 6 2 2 3 2 3" xfId="13501"/>
    <cellStyle name="Normal 7 6 2 2 3 2 4" xfId="15874"/>
    <cellStyle name="Normal 7 6 2 2 3 2 4 2" xfId="32096"/>
    <cellStyle name="Normal 7 6 2 2 3 3" xfId="8902"/>
    <cellStyle name="Normal 7 6 2 2 3 3 2" xfId="13503"/>
    <cellStyle name="Normal 7 6 2 2 3 3 3" xfId="16667"/>
    <cellStyle name="Normal 7 6 2 2 3 3 3 2" xfId="32888"/>
    <cellStyle name="Normal 7 6 2 2 3 4" xfId="13500"/>
    <cellStyle name="Normal 7 6 2 2 3 5" xfId="15082"/>
    <cellStyle name="Normal 7 6 2 2 3 5 2" xfId="31304"/>
    <cellStyle name="Normal 7 6 2 2 4" xfId="8903"/>
    <cellStyle name="Normal 7 6 2 2 4 2" xfId="8904"/>
    <cellStyle name="Normal 7 6 2 2 4 2 2" xfId="13505"/>
    <cellStyle name="Normal 7 6 2 2 4 2 3" xfId="16931"/>
    <cellStyle name="Normal 7 6 2 2 4 2 3 2" xfId="33152"/>
    <cellStyle name="Normal 7 6 2 2 4 3" xfId="13504"/>
    <cellStyle name="Normal 7 6 2 2 4 4" xfId="15346"/>
    <cellStyle name="Normal 7 6 2 2 4 4 2" xfId="31568"/>
    <cellStyle name="Normal 7 6 2 2 5" xfId="8905"/>
    <cellStyle name="Normal 7 6 2 2 5 2" xfId="13506"/>
    <cellStyle name="Normal 7 6 2 2 5 3" xfId="16139"/>
    <cellStyle name="Normal 7 6 2 2 5 3 2" xfId="32360"/>
    <cellStyle name="Normal 7 6 2 2 6" xfId="13495"/>
    <cellStyle name="Normal 7 6 2 2 7" xfId="14554"/>
    <cellStyle name="Normal 7 6 2 2 7 2" xfId="30776"/>
    <cellStyle name="Normal 7 6 2 3" xfId="8906"/>
    <cellStyle name="Normal 7 6 2 3 2" xfId="8907"/>
    <cellStyle name="Normal 7 6 2 3 2 2" xfId="8908"/>
    <cellStyle name="Normal 7 6 2 3 2 2 2" xfId="13509"/>
    <cellStyle name="Normal 7 6 2 3 2 2 3" xfId="17063"/>
    <cellStyle name="Normal 7 6 2 3 2 2 3 2" xfId="33284"/>
    <cellStyle name="Normal 7 6 2 3 2 3" xfId="13508"/>
    <cellStyle name="Normal 7 6 2 3 2 4" xfId="15478"/>
    <cellStyle name="Normal 7 6 2 3 2 4 2" xfId="31700"/>
    <cellStyle name="Normal 7 6 2 3 3" xfId="8909"/>
    <cellStyle name="Normal 7 6 2 3 3 2" xfId="13510"/>
    <cellStyle name="Normal 7 6 2 3 3 3" xfId="16271"/>
    <cellStyle name="Normal 7 6 2 3 3 3 2" xfId="32492"/>
    <cellStyle name="Normal 7 6 2 3 4" xfId="13507"/>
    <cellStyle name="Normal 7 6 2 3 5" xfId="14686"/>
    <cellStyle name="Normal 7 6 2 3 5 2" xfId="30908"/>
    <cellStyle name="Normal 7 6 2 4" xfId="8910"/>
    <cellStyle name="Normal 7 6 2 4 2" xfId="8911"/>
    <cellStyle name="Normal 7 6 2 4 2 2" xfId="8912"/>
    <cellStyle name="Normal 7 6 2 4 2 2 2" xfId="13513"/>
    <cellStyle name="Normal 7 6 2 4 2 2 3" xfId="17327"/>
    <cellStyle name="Normal 7 6 2 4 2 2 3 2" xfId="33548"/>
    <cellStyle name="Normal 7 6 2 4 2 3" xfId="13512"/>
    <cellStyle name="Normal 7 6 2 4 2 4" xfId="15742"/>
    <cellStyle name="Normal 7 6 2 4 2 4 2" xfId="31964"/>
    <cellStyle name="Normal 7 6 2 4 3" xfId="8913"/>
    <cellStyle name="Normal 7 6 2 4 3 2" xfId="13514"/>
    <cellStyle name="Normal 7 6 2 4 3 3" xfId="16535"/>
    <cellStyle name="Normal 7 6 2 4 3 3 2" xfId="32756"/>
    <cellStyle name="Normal 7 6 2 4 4" xfId="13511"/>
    <cellStyle name="Normal 7 6 2 4 5" xfId="14950"/>
    <cellStyle name="Normal 7 6 2 4 5 2" xfId="31172"/>
    <cellStyle name="Normal 7 6 2 5" xfId="8914"/>
    <cellStyle name="Normal 7 6 2 5 2" xfId="8915"/>
    <cellStyle name="Normal 7 6 2 5 2 2" xfId="13516"/>
    <cellStyle name="Normal 7 6 2 5 2 3" xfId="16799"/>
    <cellStyle name="Normal 7 6 2 5 2 3 2" xfId="33020"/>
    <cellStyle name="Normal 7 6 2 5 3" xfId="13515"/>
    <cellStyle name="Normal 7 6 2 5 4" xfId="15214"/>
    <cellStyle name="Normal 7 6 2 5 4 2" xfId="31436"/>
    <cellStyle name="Normal 7 6 2 6" xfId="8916"/>
    <cellStyle name="Normal 7 6 2 6 2" xfId="13517"/>
    <cellStyle name="Normal 7 6 2 6 3" xfId="16007"/>
    <cellStyle name="Normal 7 6 2 6 3 2" xfId="32228"/>
    <cellStyle name="Normal 7 6 2 7" xfId="13494"/>
    <cellStyle name="Normal 7 6 2 8" xfId="14422"/>
    <cellStyle name="Normal 7 6 2 8 2" xfId="30644"/>
    <cellStyle name="Normal 7 6 3" xfId="8917"/>
    <cellStyle name="Normal 7 6 3 2" xfId="8918"/>
    <cellStyle name="Normal 7 6 3 2 2" xfId="8919"/>
    <cellStyle name="Normal 7 6 3 2 2 2" xfId="8920"/>
    <cellStyle name="Normal 7 6 3 2 2 2 2" xfId="13521"/>
    <cellStyle name="Normal 7 6 3 2 2 2 3" xfId="17129"/>
    <cellStyle name="Normal 7 6 3 2 2 2 3 2" xfId="33350"/>
    <cellStyle name="Normal 7 6 3 2 2 3" xfId="13520"/>
    <cellStyle name="Normal 7 6 3 2 2 4" xfId="15544"/>
    <cellStyle name="Normal 7 6 3 2 2 4 2" xfId="31766"/>
    <cellStyle name="Normal 7 6 3 2 3" xfId="8921"/>
    <cellStyle name="Normal 7 6 3 2 3 2" xfId="13522"/>
    <cellStyle name="Normal 7 6 3 2 3 3" xfId="16337"/>
    <cellStyle name="Normal 7 6 3 2 3 3 2" xfId="32558"/>
    <cellStyle name="Normal 7 6 3 2 4" xfId="13519"/>
    <cellStyle name="Normal 7 6 3 2 5" xfId="14752"/>
    <cellStyle name="Normal 7 6 3 2 5 2" xfId="30974"/>
    <cellStyle name="Normal 7 6 3 3" xfId="8922"/>
    <cellStyle name="Normal 7 6 3 3 2" xfId="8923"/>
    <cellStyle name="Normal 7 6 3 3 2 2" xfId="8924"/>
    <cellStyle name="Normal 7 6 3 3 2 2 2" xfId="13525"/>
    <cellStyle name="Normal 7 6 3 3 2 2 3" xfId="17393"/>
    <cellStyle name="Normal 7 6 3 3 2 2 3 2" xfId="33614"/>
    <cellStyle name="Normal 7 6 3 3 2 3" xfId="13524"/>
    <cellStyle name="Normal 7 6 3 3 2 4" xfId="15808"/>
    <cellStyle name="Normal 7 6 3 3 2 4 2" xfId="32030"/>
    <cellStyle name="Normal 7 6 3 3 3" xfId="8925"/>
    <cellStyle name="Normal 7 6 3 3 3 2" xfId="13526"/>
    <cellStyle name="Normal 7 6 3 3 3 3" xfId="16601"/>
    <cellStyle name="Normal 7 6 3 3 3 3 2" xfId="32822"/>
    <cellStyle name="Normal 7 6 3 3 4" xfId="13523"/>
    <cellStyle name="Normal 7 6 3 3 5" xfId="15016"/>
    <cellStyle name="Normal 7 6 3 3 5 2" xfId="31238"/>
    <cellStyle name="Normal 7 6 3 4" xfId="8926"/>
    <cellStyle name="Normal 7 6 3 4 2" xfId="8927"/>
    <cellStyle name="Normal 7 6 3 4 2 2" xfId="13528"/>
    <cellStyle name="Normal 7 6 3 4 2 3" xfId="16865"/>
    <cellStyle name="Normal 7 6 3 4 2 3 2" xfId="33086"/>
    <cellStyle name="Normal 7 6 3 4 3" xfId="13527"/>
    <cellStyle name="Normal 7 6 3 4 4" xfId="15280"/>
    <cellStyle name="Normal 7 6 3 4 4 2" xfId="31502"/>
    <cellStyle name="Normal 7 6 3 5" xfId="8928"/>
    <cellStyle name="Normal 7 6 3 5 2" xfId="13529"/>
    <cellStyle name="Normal 7 6 3 5 3" xfId="16073"/>
    <cellStyle name="Normal 7 6 3 5 3 2" xfId="32294"/>
    <cellStyle name="Normal 7 6 3 6" xfId="13518"/>
    <cellStyle name="Normal 7 6 3 7" xfId="14488"/>
    <cellStyle name="Normal 7 6 3 7 2" xfId="30710"/>
    <cellStyle name="Normal 7 6 4" xfId="8929"/>
    <cellStyle name="Normal 7 6 4 2" xfId="8930"/>
    <cellStyle name="Normal 7 6 4 2 2" xfId="8931"/>
    <cellStyle name="Normal 7 6 4 2 2 2" xfId="13532"/>
    <cellStyle name="Normal 7 6 4 2 2 3" xfId="16997"/>
    <cellStyle name="Normal 7 6 4 2 2 3 2" xfId="33218"/>
    <cellStyle name="Normal 7 6 4 2 3" xfId="13531"/>
    <cellStyle name="Normal 7 6 4 2 4" xfId="15412"/>
    <cellStyle name="Normal 7 6 4 2 4 2" xfId="31634"/>
    <cellStyle name="Normal 7 6 4 3" xfId="8932"/>
    <cellStyle name="Normal 7 6 4 3 2" xfId="13533"/>
    <cellStyle name="Normal 7 6 4 3 3" xfId="16205"/>
    <cellStyle name="Normal 7 6 4 3 3 2" xfId="32426"/>
    <cellStyle name="Normal 7 6 4 4" xfId="13530"/>
    <cellStyle name="Normal 7 6 4 5" xfId="14620"/>
    <cellStyle name="Normal 7 6 4 5 2" xfId="30842"/>
    <cellStyle name="Normal 7 6 5" xfId="8933"/>
    <cellStyle name="Normal 7 6 5 2" xfId="8934"/>
    <cellStyle name="Normal 7 6 5 2 2" xfId="8935"/>
    <cellStyle name="Normal 7 6 5 2 2 2" xfId="13536"/>
    <cellStyle name="Normal 7 6 5 2 2 3" xfId="17261"/>
    <cellStyle name="Normal 7 6 5 2 2 3 2" xfId="33482"/>
    <cellStyle name="Normal 7 6 5 2 3" xfId="13535"/>
    <cellStyle name="Normal 7 6 5 2 4" xfId="15676"/>
    <cellStyle name="Normal 7 6 5 2 4 2" xfId="31898"/>
    <cellStyle name="Normal 7 6 5 3" xfId="8936"/>
    <cellStyle name="Normal 7 6 5 3 2" xfId="13537"/>
    <cellStyle name="Normal 7 6 5 3 3" xfId="16469"/>
    <cellStyle name="Normal 7 6 5 3 3 2" xfId="32690"/>
    <cellStyle name="Normal 7 6 5 4" xfId="13534"/>
    <cellStyle name="Normal 7 6 5 5" xfId="14884"/>
    <cellStyle name="Normal 7 6 5 5 2" xfId="31106"/>
    <cellStyle name="Normal 7 6 6" xfId="8937"/>
    <cellStyle name="Normal 7 6 6 2" xfId="8938"/>
    <cellStyle name="Normal 7 6 6 2 2" xfId="13539"/>
    <cellStyle name="Normal 7 6 6 2 3" xfId="16733"/>
    <cellStyle name="Normal 7 6 6 2 3 2" xfId="32954"/>
    <cellStyle name="Normal 7 6 6 3" xfId="13538"/>
    <cellStyle name="Normal 7 6 6 4" xfId="15148"/>
    <cellStyle name="Normal 7 6 6 4 2" xfId="31370"/>
    <cellStyle name="Normal 7 6 7" xfId="8939"/>
    <cellStyle name="Normal 7 6 7 2" xfId="13540"/>
    <cellStyle name="Normal 7 6 7 3" xfId="15941"/>
    <cellStyle name="Normal 7 6 7 3 2" xfId="32162"/>
    <cellStyle name="Normal 7 6 8" xfId="13493"/>
    <cellStyle name="Normal 7 6 9" xfId="14356"/>
    <cellStyle name="Normal 7 6 9 2" xfId="30578"/>
    <cellStyle name="Normal 7 7" xfId="8940"/>
    <cellStyle name="Normal 7 7 2" xfId="8941"/>
    <cellStyle name="Normal 7 7 2 2" xfId="8942"/>
    <cellStyle name="Normal 7 7 2 2 2" xfId="8943"/>
    <cellStyle name="Normal 7 7 2 2 2 2" xfId="8944"/>
    <cellStyle name="Normal 7 7 2 2 2 2 2" xfId="13545"/>
    <cellStyle name="Normal 7 7 2 2 2 2 3" xfId="17162"/>
    <cellStyle name="Normal 7 7 2 2 2 2 3 2" xfId="33383"/>
    <cellStyle name="Normal 7 7 2 2 2 3" xfId="13544"/>
    <cellStyle name="Normal 7 7 2 2 2 4" xfId="15577"/>
    <cellStyle name="Normal 7 7 2 2 2 4 2" xfId="31799"/>
    <cellStyle name="Normal 7 7 2 2 3" xfId="8945"/>
    <cellStyle name="Normal 7 7 2 2 3 2" xfId="13546"/>
    <cellStyle name="Normal 7 7 2 2 3 3" xfId="16370"/>
    <cellStyle name="Normal 7 7 2 2 3 3 2" xfId="32591"/>
    <cellStyle name="Normal 7 7 2 2 4" xfId="13543"/>
    <cellStyle name="Normal 7 7 2 2 5" xfId="14785"/>
    <cellStyle name="Normal 7 7 2 2 5 2" xfId="31007"/>
    <cellStyle name="Normal 7 7 2 3" xfId="8946"/>
    <cellStyle name="Normal 7 7 2 3 2" xfId="8947"/>
    <cellStyle name="Normal 7 7 2 3 2 2" xfId="8948"/>
    <cellStyle name="Normal 7 7 2 3 2 2 2" xfId="13549"/>
    <cellStyle name="Normal 7 7 2 3 2 2 3" xfId="17426"/>
    <cellStyle name="Normal 7 7 2 3 2 2 3 2" xfId="33647"/>
    <cellStyle name="Normal 7 7 2 3 2 3" xfId="13548"/>
    <cellStyle name="Normal 7 7 2 3 2 4" xfId="15841"/>
    <cellStyle name="Normal 7 7 2 3 2 4 2" xfId="32063"/>
    <cellStyle name="Normal 7 7 2 3 3" xfId="8949"/>
    <cellStyle name="Normal 7 7 2 3 3 2" xfId="13550"/>
    <cellStyle name="Normal 7 7 2 3 3 3" xfId="16634"/>
    <cellStyle name="Normal 7 7 2 3 3 3 2" xfId="32855"/>
    <cellStyle name="Normal 7 7 2 3 4" xfId="13547"/>
    <cellStyle name="Normal 7 7 2 3 5" xfId="15049"/>
    <cellStyle name="Normal 7 7 2 3 5 2" xfId="31271"/>
    <cellStyle name="Normal 7 7 2 4" xfId="8950"/>
    <cellStyle name="Normal 7 7 2 4 2" xfId="8951"/>
    <cellStyle name="Normal 7 7 2 4 2 2" xfId="13552"/>
    <cellStyle name="Normal 7 7 2 4 2 3" xfId="16898"/>
    <cellStyle name="Normal 7 7 2 4 2 3 2" xfId="33119"/>
    <cellStyle name="Normal 7 7 2 4 3" xfId="13551"/>
    <cellStyle name="Normal 7 7 2 4 4" xfId="15313"/>
    <cellStyle name="Normal 7 7 2 4 4 2" xfId="31535"/>
    <cellStyle name="Normal 7 7 2 5" xfId="8952"/>
    <cellStyle name="Normal 7 7 2 5 2" xfId="13553"/>
    <cellStyle name="Normal 7 7 2 5 3" xfId="16106"/>
    <cellStyle name="Normal 7 7 2 5 3 2" xfId="32327"/>
    <cellStyle name="Normal 7 7 2 6" xfId="13542"/>
    <cellStyle name="Normal 7 7 2 7" xfId="14521"/>
    <cellStyle name="Normal 7 7 2 7 2" xfId="30743"/>
    <cellStyle name="Normal 7 7 3" xfId="8953"/>
    <cellStyle name="Normal 7 7 3 2" xfId="8954"/>
    <cellStyle name="Normal 7 7 3 2 2" xfId="8955"/>
    <cellStyle name="Normal 7 7 3 2 2 2" xfId="13556"/>
    <cellStyle name="Normal 7 7 3 2 2 3" xfId="17030"/>
    <cellStyle name="Normal 7 7 3 2 2 3 2" xfId="33251"/>
    <cellStyle name="Normal 7 7 3 2 3" xfId="13555"/>
    <cellStyle name="Normal 7 7 3 2 4" xfId="15445"/>
    <cellStyle name="Normal 7 7 3 2 4 2" xfId="31667"/>
    <cellStyle name="Normal 7 7 3 3" xfId="8956"/>
    <cellStyle name="Normal 7 7 3 3 2" xfId="13557"/>
    <cellStyle name="Normal 7 7 3 3 3" xfId="16238"/>
    <cellStyle name="Normal 7 7 3 3 3 2" xfId="32459"/>
    <cellStyle name="Normal 7 7 3 4" xfId="13554"/>
    <cellStyle name="Normal 7 7 3 5" xfId="14653"/>
    <cellStyle name="Normal 7 7 3 5 2" xfId="30875"/>
    <cellStyle name="Normal 7 7 4" xfId="8957"/>
    <cellStyle name="Normal 7 7 4 2" xfId="8958"/>
    <cellStyle name="Normal 7 7 4 2 2" xfId="8959"/>
    <cellStyle name="Normal 7 7 4 2 2 2" xfId="13560"/>
    <cellStyle name="Normal 7 7 4 2 2 3" xfId="17294"/>
    <cellStyle name="Normal 7 7 4 2 2 3 2" xfId="33515"/>
    <cellStyle name="Normal 7 7 4 2 3" xfId="13559"/>
    <cellStyle name="Normal 7 7 4 2 4" xfId="15709"/>
    <cellStyle name="Normal 7 7 4 2 4 2" xfId="31931"/>
    <cellStyle name="Normal 7 7 4 3" xfId="8960"/>
    <cellStyle name="Normal 7 7 4 3 2" xfId="13561"/>
    <cellStyle name="Normal 7 7 4 3 3" xfId="16502"/>
    <cellStyle name="Normal 7 7 4 3 3 2" xfId="32723"/>
    <cellStyle name="Normal 7 7 4 4" xfId="13558"/>
    <cellStyle name="Normal 7 7 4 5" xfId="14917"/>
    <cellStyle name="Normal 7 7 4 5 2" xfId="31139"/>
    <cellStyle name="Normal 7 7 5" xfId="8961"/>
    <cellStyle name="Normal 7 7 5 2" xfId="8962"/>
    <cellStyle name="Normal 7 7 5 2 2" xfId="13563"/>
    <cellStyle name="Normal 7 7 5 2 3" xfId="16766"/>
    <cellStyle name="Normal 7 7 5 2 3 2" xfId="32987"/>
    <cellStyle name="Normal 7 7 5 3" xfId="13562"/>
    <cellStyle name="Normal 7 7 5 4" xfId="15181"/>
    <cellStyle name="Normal 7 7 5 4 2" xfId="31403"/>
    <cellStyle name="Normal 7 7 6" xfId="8963"/>
    <cellStyle name="Normal 7 7 6 2" xfId="13564"/>
    <cellStyle name="Normal 7 7 6 3" xfId="15974"/>
    <cellStyle name="Normal 7 7 6 3 2" xfId="32195"/>
    <cellStyle name="Normal 7 7 7" xfId="13541"/>
    <cellStyle name="Normal 7 7 8" xfId="14389"/>
    <cellStyle name="Normal 7 7 8 2" xfId="30611"/>
    <cellStyle name="Normal 7 8" xfId="8964"/>
    <cellStyle name="Normal 7 8 2" xfId="8965"/>
    <cellStyle name="Normal 7 8 2 2" xfId="8966"/>
    <cellStyle name="Normal 7 8 2 2 2" xfId="8967"/>
    <cellStyle name="Normal 7 8 2 2 2 2" xfId="13568"/>
    <cellStyle name="Normal 7 8 2 2 2 3" xfId="17096"/>
    <cellStyle name="Normal 7 8 2 2 2 3 2" xfId="33317"/>
    <cellStyle name="Normal 7 8 2 2 3" xfId="13567"/>
    <cellStyle name="Normal 7 8 2 2 4" xfId="15511"/>
    <cellStyle name="Normal 7 8 2 2 4 2" xfId="31733"/>
    <cellStyle name="Normal 7 8 2 3" xfId="8968"/>
    <cellStyle name="Normal 7 8 2 3 2" xfId="13569"/>
    <cellStyle name="Normal 7 8 2 3 3" xfId="16304"/>
    <cellStyle name="Normal 7 8 2 3 3 2" xfId="32525"/>
    <cellStyle name="Normal 7 8 2 4" xfId="13566"/>
    <cellStyle name="Normal 7 8 2 5" xfId="14719"/>
    <cellStyle name="Normal 7 8 2 5 2" xfId="30941"/>
    <cellStyle name="Normal 7 8 3" xfId="8969"/>
    <cellStyle name="Normal 7 8 3 2" xfId="8970"/>
    <cellStyle name="Normal 7 8 3 2 2" xfId="8971"/>
    <cellStyle name="Normal 7 8 3 2 2 2" xfId="13572"/>
    <cellStyle name="Normal 7 8 3 2 2 3" xfId="17360"/>
    <cellStyle name="Normal 7 8 3 2 2 3 2" xfId="33581"/>
    <cellStyle name="Normal 7 8 3 2 3" xfId="13571"/>
    <cellStyle name="Normal 7 8 3 2 4" xfId="15775"/>
    <cellStyle name="Normal 7 8 3 2 4 2" xfId="31997"/>
    <cellStyle name="Normal 7 8 3 3" xfId="8972"/>
    <cellStyle name="Normal 7 8 3 3 2" xfId="13573"/>
    <cellStyle name="Normal 7 8 3 3 3" xfId="16568"/>
    <cellStyle name="Normal 7 8 3 3 3 2" xfId="32789"/>
    <cellStyle name="Normal 7 8 3 4" xfId="13570"/>
    <cellStyle name="Normal 7 8 3 5" xfId="14983"/>
    <cellStyle name="Normal 7 8 3 5 2" xfId="31205"/>
    <cellStyle name="Normal 7 8 4" xfId="8973"/>
    <cellStyle name="Normal 7 8 4 2" xfId="8974"/>
    <cellStyle name="Normal 7 8 4 2 2" xfId="13575"/>
    <cellStyle name="Normal 7 8 4 2 3" xfId="16832"/>
    <cellStyle name="Normal 7 8 4 2 3 2" xfId="33053"/>
    <cellStyle name="Normal 7 8 4 3" xfId="13574"/>
    <cellStyle name="Normal 7 8 4 4" xfId="15247"/>
    <cellStyle name="Normal 7 8 4 4 2" xfId="31469"/>
    <cellStyle name="Normal 7 8 5" xfId="8975"/>
    <cellStyle name="Normal 7 8 5 2" xfId="13576"/>
    <cellStyle name="Normal 7 8 5 3" xfId="16040"/>
    <cellStyle name="Normal 7 8 5 3 2" xfId="32261"/>
    <cellStyle name="Normal 7 8 6" xfId="13565"/>
    <cellStyle name="Normal 7 8 7" xfId="14455"/>
    <cellStyle name="Normal 7 8 7 2" xfId="30677"/>
    <cellStyle name="Normal 7 9" xfId="8976"/>
    <cellStyle name="Normal 7 9 2" xfId="8977"/>
    <cellStyle name="Normal 7 9 2 2" xfId="8978"/>
    <cellStyle name="Normal 7 9 2 2 2" xfId="13579"/>
    <cellStyle name="Normal 7 9 2 2 3" xfId="16964"/>
    <cellStyle name="Normal 7 9 2 2 3 2" xfId="33185"/>
    <cellStyle name="Normal 7 9 2 3" xfId="13578"/>
    <cellStyle name="Normal 7 9 2 4" xfId="15379"/>
    <cellStyle name="Normal 7 9 2 4 2" xfId="31601"/>
    <cellStyle name="Normal 7 9 3" xfId="8979"/>
    <cellStyle name="Normal 7 9 3 2" xfId="13580"/>
    <cellStyle name="Normal 7 9 3 3" xfId="16172"/>
    <cellStyle name="Normal 7 9 3 3 2" xfId="32393"/>
    <cellStyle name="Normal 7 9 4" xfId="13577"/>
    <cellStyle name="Normal 7 9 5" xfId="14587"/>
    <cellStyle name="Normal 7 9 5 2" xfId="30809"/>
    <cellStyle name="Normal 8" xfId="215"/>
    <cellStyle name="Normal 8 10" xfId="511"/>
    <cellStyle name="Normal 8 10 2" xfId="863"/>
    <cellStyle name="Normal 8 10 2 2" xfId="2362"/>
    <cellStyle name="Normal 8 10 2 2 2" xfId="24530"/>
    <cellStyle name="Normal 8 10 2 3" xfId="3861"/>
    <cellStyle name="Normal 8 10 2 3 2" xfId="26028"/>
    <cellStyle name="Normal 8 10 2 4" xfId="21534"/>
    <cellStyle name="Normal 8 10 2 4 2" xfId="37746"/>
    <cellStyle name="Normal 8 10 2 5" xfId="23032"/>
    <cellStyle name="Normal 8 10 3" xfId="1214"/>
    <cellStyle name="Normal 8 10 3 2" xfId="2713"/>
    <cellStyle name="Normal 8 10 3 2 2" xfId="24881"/>
    <cellStyle name="Normal 8 10 3 3" xfId="4212"/>
    <cellStyle name="Normal 8 10 3 3 2" xfId="26379"/>
    <cellStyle name="Normal 8 10 3 4" xfId="21885"/>
    <cellStyle name="Normal 8 10 3 4 2" xfId="38097"/>
    <cellStyle name="Normal 8 10 3 5" xfId="23383"/>
    <cellStyle name="Normal 8 10 4" xfId="1565"/>
    <cellStyle name="Normal 8 10 4 2" xfId="3064"/>
    <cellStyle name="Normal 8 10 4 2 2" xfId="25232"/>
    <cellStyle name="Normal 8 10 4 3" xfId="4563"/>
    <cellStyle name="Normal 8 10 4 3 2" xfId="26730"/>
    <cellStyle name="Normal 8 10 4 4" xfId="22236"/>
    <cellStyle name="Normal 8 10 4 4 2" xfId="38448"/>
    <cellStyle name="Normal 8 10 4 5" xfId="23734"/>
    <cellStyle name="Normal 8 10 5" xfId="2011"/>
    <cellStyle name="Normal 8 10 5 2" xfId="24179"/>
    <cellStyle name="Normal 8 10 6" xfId="3510"/>
    <cellStyle name="Normal 8 10 6 2" xfId="25677"/>
    <cellStyle name="Normal 8 10 7" xfId="21183"/>
    <cellStyle name="Normal 8 10 7 2" xfId="37395"/>
    <cellStyle name="Normal 8 10 8" xfId="22681"/>
    <cellStyle name="Normal 8 11" xfId="629"/>
    <cellStyle name="Normal 8 11 2" xfId="980"/>
    <cellStyle name="Normal 8 11 2 2" xfId="2479"/>
    <cellStyle name="Normal 8 11 2 2 2" xfId="24647"/>
    <cellStyle name="Normal 8 11 2 3" xfId="3978"/>
    <cellStyle name="Normal 8 11 2 3 2" xfId="26145"/>
    <cellStyle name="Normal 8 11 2 4" xfId="21651"/>
    <cellStyle name="Normal 8 11 2 4 2" xfId="37863"/>
    <cellStyle name="Normal 8 11 2 5" xfId="23149"/>
    <cellStyle name="Normal 8 11 3" xfId="1331"/>
    <cellStyle name="Normal 8 11 3 2" xfId="2830"/>
    <cellStyle name="Normal 8 11 3 2 2" xfId="24998"/>
    <cellStyle name="Normal 8 11 3 3" xfId="4329"/>
    <cellStyle name="Normal 8 11 3 3 2" xfId="26496"/>
    <cellStyle name="Normal 8 11 3 4" xfId="22002"/>
    <cellStyle name="Normal 8 11 3 4 2" xfId="38214"/>
    <cellStyle name="Normal 8 11 3 5" xfId="23500"/>
    <cellStyle name="Normal 8 11 4" xfId="1682"/>
    <cellStyle name="Normal 8 11 4 2" xfId="3181"/>
    <cellStyle name="Normal 8 11 4 2 2" xfId="25349"/>
    <cellStyle name="Normal 8 11 4 3" xfId="4680"/>
    <cellStyle name="Normal 8 11 4 3 2" xfId="26847"/>
    <cellStyle name="Normal 8 11 4 4" xfId="22353"/>
    <cellStyle name="Normal 8 11 4 4 2" xfId="38565"/>
    <cellStyle name="Normal 8 11 4 5" xfId="23851"/>
    <cellStyle name="Normal 8 11 5" xfId="2128"/>
    <cellStyle name="Normal 8 11 5 2" xfId="24296"/>
    <cellStyle name="Normal 8 11 6" xfId="3627"/>
    <cellStyle name="Normal 8 11 6 2" xfId="25794"/>
    <cellStyle name="Normal 8 11 7" xfId="21300"/>
    <cellStyle name="Normal 8 11 7 2" xfId="37512"/>
    <cellStyle name="Normal 8 11 8" xfId="22798"/>
    <cellStyle name="Normal 8 12" xfId="384"/>
    <cellStyle name="Normal 8 12 2" xfId="1894"/>
    <cellStyle name="Normal 8 12 2 2" xfId="24062"/>
    <cellStyle name="Normal 8 12 3" xfId="3393"/>
    <cellStyle name="Normal 8 12 3 2" xfId="25560"/>
    <cellStyle name="Normal 8 12 4" xfId="21066"/>
    <cellStyle name="Normal 8 12 4 2" xfId="37278"/>
    <cellStyle name="Normal 8 12 5" xfId="22564"/>
    <cellStyle name="Normal 8 13" xfId="746"/>
    <cellStyle name="Normal 8 13 2" xfId="2245"/>
    <cellStyle name="Normal 8 13 2 2" xfId="24413"/>
    <cellStyle name="Normal 8 13 3" xfId="3744"/>
    <cellStyle name="Normal 8 13 3 2" xfId="25911"/>
    <cellStyle name="Normal 8 13 4" xfId="21417"/>
    <cellStyle name="Normal 8 13 4 2" xfId="37629"/>
    <cellStyle name="Normal 8 13 5" xfId="22915"/>
    <cellStyle name="Normal 8 14" xfId="1097"/>
    <cellStyle name="Normal 8 14 2" xfId="2596"/>
    <cellStyle name="Normal 8 14 2 2" xfId="24764"/>
    <cellStyle name="Normal 8 14 3" xfId="4095"/>
    <cellStyle name="Normal 8 14 3 2" xfId="26262"/>
    <cellStyle name="Normal 8 14 4" xfId="21768"/>
    <cellStyle name="Normal 8 14 4 2" xfId="37980"/>
    <cellStyle name="Normal 8 14 5" xfId="23266"/>
    <cellStyle name="Normal 8 15" xfId="1448"/>
    <cellStyle name="Normal 8 15 2" xfId="2947"/>
    <cellStyle name="Normal 8 15 2 2" xfId="25115"/>
    <cellStyle name="Normal 8 15 3" xfId="4446"/>
    <cellStyle name="Normal 8 15 3 2" xfId="26613"/>
    <cellStyle name="Normal 8 15 4" xfId="22119"/>
    <cellStyle name="Normal 8 15 4 2" xfId="38331"/>
    <cellStyle name="Normal 8 15 5" xfId="23617"/>
    <cellStyle name="Normal 8 16" xfId="330"/>
    <cellStyle name="Normal 8 16 2" xfId="1865"/>
    <cellStyle name="Normal 8 16 2 2" xfId="24033"/>
    <cellStyle name="Normal 8 16 3" xfId="3364"/>
    <cellStyle name="Normal 8 16 3 2" xfId="25531"/>
    <cellStyle name="Normal 8 16 4" xfId="21037"/>
    <cellStyle name="Normal 8 16 4 2" xfId="37249"/>
    <cellStyle name="Normal 8 16 5" xfId="22535"/>
    <cellStyle name="Normal 8 17" xfId="1791"/>
    <cellStyle name="Normal 8 17 2" xfId="3290"/>
    <cellStyle name="Normal 8 17 2 2" xfId="25457"/>
    <cellStyle name="Normal 8 17 3" xfId="4788"/>
    <cellStyle name="Normal 8 17 3 2" xfId="26955"/>
    <cellStyle name="Normal 8 17 4" xfId="22461"/>
    <cellStyle name="Normal 8 17 4 2" xfId="38673"/>
    <cellStyle name="Normal 8 17 5" xfId="23959"/>
    <cellStyle name="Normal 8 18" xfId="1837"/>
    <cellStyle name="Normal 8 18 2" xfId="24005"/>
    <cellStyle name="Normal 8 19" xfId="3336"/>
    <cellStyle name="Normal 8 19 2" xfId="25503"/>
    <cellStyle name="Normal 8 2" xfId="216"/>
    <cellStyle name="Normal 8 2 10" xfId="751"/>
    <cellStyle name="Normal 8 2 10 2" xfId="2250"/>
    <cellStyle name="Normal 8 2 10 2 2" xfId="24418"/>
    <cellStyle name="Normal 8 2 10 3" xfId="3749"/>
    <cellStyle name="Normal 8 2 10 3 2" xfId="25916"/>
    <cellStyle name="Normal 8 2 10 4" xfId="21422"/>
    <cellStyle name="Normal 8 2 10 4 2" xfId="37634"/>
    <cellStyle name="Normal 8 2 10 5" xfId="22920"/>
    <cellStyle name="Normal 8 2 11" xfId="1102"/>
    <cellStyle name="Normal 8 2 11 2" xfId="2601"/>
    <cellStyle name="Normal 8 2 11 2 2" xfId="24769"/>
    <cellStyle name="Normal 8 2 11 3" xfId="4100"/>
    <cellStyle name="Normal 8 2 11 3 2" xfId="26267"/>
    <cellStyle name="Normal 8 2 11 4" xfId="21773"/>
    <cellStyle name="Normal 8 2 11 4 2" xfId="37985"/>
    <cellStyle name="Normal 8 2 11 5" xfId="23271"/>
    <cellStyle name="Normal 8 2 12" xfId="1453"/>
    <cellStyle name="Normal 8 2 12 2" xfId="2952"/>
    <cellStyle name="Normal 8 2 12 2 2" xfId="25120"/>
    <cellStyle name="Normal 8 2 12 3" xfId="4451"/>
    <cellStyle name="Normal 8 2 12 3 2" xfId="26618"/>
    <cellStyle name="Normal 8 2 12 4" xfId="22124"/>
    <cellStyle name="Normal 8 2 12 4 2" xfId="38336"/>
    <cellStyle name="Normal 8 2 12 5" xfId="23622"/>
    <cellStyle name="Normal 8 2 13" xfId="1899"/>
    <cellStyle name="Normal 8 2 13 2" xfId="24067"/>
    <cellStyle name="Normal 8 2 14" xfId="3398"/>
    <cellStyle name="Normal 8 2 14 2" xfId="25565"/>
    <cellStyle name="Normal 8 2 15" xfId="4923"/>
    <cellStyle name="Normal 8 2 15 2" xfId="27017"/>
    <cellStyle name="Normal 8 2 16" xfId="21071"/>
    <cellStyle name="Normal 8 2 16 2" xfId="37283"/>
    <cellStyle name="Normal 8 2 17" xfId="22569"/>
    <cellStyle name="Normal 8 2 18" xfId="394"/>
    <cellStyle name="Normal 8 2 2" xfId="217"/>
    <cellStyle name="Normal 8 2 2 10" xfId="5687"/>
    <cellStyle name="Normal 8 2 2 11" xfId="21083"/>
    <cellStyle name="Normal 8 2 2 11 2" xfId="37295"/>
    <cellStyle name="Normal 8 2 2 12" xfId="22581"/>
    <cellStyle name="Normal 8 2 2 13" xfId="410"/>
    <cellStyle name="Normal 8 2 2 2" xfId="462"/>
    <cellStyle name="Normal 8 2 2 2 10" xfId="22633"/>
    <cellStyle name="Normal 8 2 2 2 2" xfId="580"/>
    <cellStyle name="Normal 8 2 2 2 2 2" xfId="932"/>
    <cellStyle name="Normal 8 2 2 2 2 2 2" xfId="2431"/>
    <cellStyle name="Normal 8 2 2 2 2 2 2 2" xfId="24599"/>
    <cellStyle name="Normal 8 2 2 2 2 2 3" xfId="3930"/>
    <cellStyle name="Normal 8 2 2 2 2 2 3 2" xfId="26097"/>
    <cellStyle name="Normal 8 2 2 2 2 2 4" xfId="21603"/>
    <cellStyle name="Normal 8 2 2 2 2 2 4 2" xfId="37815"/>
    <cellStyle name="Normal 8 2 2 2 2 2 5" xfId="23101"/>
    <cellStyle name="Normal 8 2 2 2 2 3" xfId="1283"/>
    <cellStyle name="Normal 8 2 2 2 2 3 2" xfId="2782"/>
    <cellStyle name="Normal 8 2 2 2 2 3 2 2" xfId="24950"/>
    <cellStyle name="Normal 8 2 2 2 2 3 3" xfId="4281"/>
    <cellStyle name="Normal 8 2 2 2 2 3 3 2" xfId="26448"/>
    <cellStyle name="Normal 8 2 2 2 2 3 4" xfId="21954"/>
    <cellStyle name="Normal 8 2 2 2 2 3 4 2" xfId="38166"/>
    <cellStyle name="Normal 8 2 2 2 2 3 5" xfId="23452"/>
    <cellStyle name="Normal 8 2 2 2 2 4" xfId="1634"/>
    <cellStyle name="Normal 8 2 2 2 2 4 2" xfId="3133"/>
    <cellStyle name="Normal 8 2 2 2 2 4 2 2" xfId="25301"/>
    <cellStyle name="Normal 8 2 2 2 2 4 3" xfId="4632"/>
    <cellStyle name="Normal 8 2 2 2 2 4 3 2" xfId="26799"/>
    <cellStyle name="Normal 8 2 2 2 2 4 4" xfId="22305"/>
    <cellStyle name="Normal 8 2 2 2 2 4 4 2" xfId="38517"/>
    <cellStyle name="Normal 8 2 2 2 2 4 5" xfId="23803"/>
    <cellStyle name="Normal 8 2 2 2 2 5" xfId="2080"/>
    <cellStyle name="Normal 8 2 2 2 2 5 2" xfId="24248"/>
    <cellStyle name="Normal 8 2 2 2 2 6" xfId="3579"/>
    <cellStyle name="Normal 8 2 2 2 2 6 2" xfId="25746"/>
    <cellStyle name="Normal 8 2 2 2 2 7" xfId="21252"/>
    <cellStyle name="Normal 8 2 2 2 2 7 2" xfId="37464"/>
    <cellStyle name="Normal 8 2 2 2 2 8" xfId="22750"/>
    <cellStyle name="Normal 8 2 2 2 3" xfId="698"/>
    <cellStyle name="Normal 8 2 2 2 3 2" xfId="1049"/>
    <cellStyle name="Normal 8 2 2 2 3 2 2" xfId="2548"/>
    <cellStyle name="Normal 8 2 2 2 3 2 2 2" xfId="24716"/>
    <cellStyle name="Normal 8 2 2 2 3 2 3" xfId="4047"/>
    <cellStyle name="Normal 8 2 2 2 3 2 3 2" xfId="26214"/>
    <cellStyle name="Normal 8 2 2 2 3 2 4" xfId="21720"/>
    <cellStyle name="Normal 8 2 2 2 3 2 4 2" xfId="37932"/>
    <cellStyle name="Normal 8 2 2 2 3 2 5" xfId="23218"/>
    <cellStyle name="Normal 8 2 2 2 3 3" xfId="1400"/>
    <cellStyle name="Normal 8 2 2 2 3 3 2" xfId="2899"/>
    <cellStyle name="Normal 8 2 2 2 3 3 2 2" xfId="25067"/>
    <cellStyle name="Normal 8 2 2 2 3 3 3" xfId="4398"/>
    <cellStyle name="Normal 8 2 2 2 3 3 3 2" xfId="26565"/>
    <cellStyle name="Normal 8 2 2 2 3 3 4" xfId="22071"/>
    <cellStyle name="Normal 8 2 2 2 3 3 4 2" xfId="38283"/>
    <cellStyle name="Normal 8 2 2 2 3 3 5" xfId="23569"/>
    <cellStyle name="Normal 8 2 2 2 3 4" xfId="1751"/>
    <cellStyle name="Normal 8 2 2 2 3 4 2" xfId="3250"/>
    <cellStyle name="Normal 8 2 2 2 3 4 2 2" xfId="25418"/>
    <cellStyle name="Normal 8 2 2 2 3 4 3" xfId="4749"/>
    <cellStyle name="Normal 8 2 2 2 3 4 3 2" xfId="26916"/>
    <cellStyle name="Normal 8 2 2 2 3 4 4" xfId="22422"/>
    <cellStyle name="Normal 8 2 2 2 3 4 4 2" xfId="38634"/>
    <cellStyle name="Normal 8 2 2 2 3 4 5" xfId="23920"/>
    <cellStyle name="Normal 8 2 2 2 3 5" xfId="2197"/>
    <cellStyle name="Normal 8 2 2 2 3 5 2" xfId="24365"/>
    <cellStyle name="Normal 8 2 2 2 3 6" xfId="3696"/>
    <cellStyle name="Normal 8 2 2 2 3 6 2" xfId="25863"/>
    <cellStyle name="Normal 8 2 2 2 3 7" xfId="21369"/>
    <cellStyle name="Normal 8 2 2 2 3 7 2" xfId="37581"/>
    <cellStyle name="Normal 8 2 2 2 3 8" xfId="22867"/>
    <cellStyle name="Normal 8 2 2 2 4" xfId="815"/>
    <cellStyle name="Normal 8 2 2 2 4 2" xfId="2314"/>
    <cellStyle name="Normal 8 2 2 2 4 2 2" xfId="24482"/>
    <cellStyle name="Normal 8 2 2 2 4 3" xfId="3813"/>
    <cellStyle name="Normal 8 2 2 2 4 3 2" xfId="25980"/>
    <cellStyle name="Normal 8 2 2 2 4 4" xfId="21486"/>
    <cellStyle name="Normal 8 2 2 2 4 4 2" xfId="37698"/>
    <cellStyle name="Normal 8 2 2 2 4 5" xfId="22984"/>
    <cellStyle name="Normal 8 2 2 2 5" xfId="1166"/>
    <cellStyle name="Normal 8 2 2 2 5 2" xfId="2665"/>
    <cellStyle name="Normal 8 2 2 2 5 2 2" xfId="24833"/>
    <cellStyle name="Normal 8 2 2 2 5 3" xfId="4164"/>
    <cellStyle name="Normal 8 2 2 2 5 3 2" xfId="26331"/>
    <cellStyle name="Normal 8 2 2 2 5 4" xfId="21837"/>
    <cellStyle name="Normal 8 2 2 2 5 4 2" xfId="38049"/>
    <cellStyle name="Normal 8 2 2 2 5 5" xfId="23335"/>
    <cellStyle name="Normal 8 2 2 2 6" xfId="1517"/>
    <cellStyle name="Normal 8 2 2 2 6 2" xfId="3016"/>
    <cellStyle name="Normal 8 2 2 2 6 2 2" xfId="25184"/>
    <cellStyle name="Normal 8 2 2 2 6 3" xfId="4515"/>
    <cellStyle name="Normal 8 2 2 2 6 3 2" xfId="26682"/>
    <cellStyle name="Normal 8 2 2 2 6 4" xfId="22188"/>
    <cellStyle name="Normal 8 2 2 2 6 4 2" xfId="38400"/>
    <cellStyle name="Normal 8 2 2 2 6 5" xfId="23686"/>
    <cellStyle name="Normal 8 2 2 2 7" xfId="1963"/>
    <cellStyle name="Normal 8 2 2 2 7 2" xfId="24131"/>
    <cellStyle name="Normal 8 2 2 2 8" xfId="3462"/>
    <cellStyle name="Normal 8 2 2 2 8 2" xfId="25629"/>
    <cellStyle name="Normal 8 2 2 2 9" xfId="21135"/>
    <cellStyle name="Normal 8 2 2 2 9 2" xfId="37347"/>
    <cellStyle name="Normal 8 2 2 3" xfId="528"/>
    <cellStyle name="Normal 8 2 2 3 2" xfId="880"/>
    <cellStyle name="Normal 8 2 2 3 2 2" xfId="2379"/>
    <cellStyle name="Normal 8 2 2 3 2 2 2" xfId="24547"/>
    <cellStyle name="Normal 8 2 2 3 2 3" xfId="3878"/>
    <cellStyle name="Normal 8 2 2 3 2 3 2" xfId="26045"/>
    <cellStyle name="Normal 8 2 2 3 2 4" xfId="21551"/>
    <cellStyle name="Normal 8 2 2 3 2 4 2" xfId="37763"/>
    <cellStyle name="Normal 8 2 2 3 2 5" xfId="23049"/>
    <cellStyle name="Normal 8 2 2 3 3" xfId="1231"/>
    <cellStyle name="Normal 8 2 2 3 3 2" xfId="2730"/>
    <cellStyle name="Normal 8 2 2 3 3 2 2" xfId="24898"/>
    <cellStyle name="Normal 8 2 2 3 3 3" xfId="4229"/>
    <cellStyle name="Normal 8 2 2 3 3 3 2" xfId="26396"/>
    <cellStyle name="Normal 8 2 2 3 3 4" xfId="21902"/>
    <cellStyle name="Normal 8 2 2 3 3 4 2" xfId="38114"/>
    <cellStyle name="Normal 8 2 2 3 3 5" xfId="23400"/>
    <cellStyle name="Normal 8 2 2 3 4" xfId="1582"/>
    <cellStyle name="Normal 8 2 2 3 4 2" xfId="3081"/>
    <cellStyle name="Normal 8 2 2 3 4 2 2" xfId="25249"/>
    <cellStyle name="Normal 8 2 2 3 4 3" xfId="4580"/>
    <cellStyle name="Normal 8 2 2 3 4 3 2" xfId="26747"/>
    <cellStyle name="Normal 8 2 2 3 4 4" xfId="22253"/>
    <cellStyle name="Normal 8 2 2 3 4 4 2" xfId="38465"/>
    <cellStyle name="Normal 8 2 2 3 4 5" xfId="23751"/>
    <cellStyle name="Normal 8 2 2 3 5" xfId="2028"/>
    <cellStyle name="Normal 8 2 2 3 5 2" xfId="24196"/>
    <cellStyle name="Normal 8 2 2 3 6" xfId="3527"/>
    <cellStyle name="Normal 8 2 2 3 6 2" xfId="25694"/>
    <cellStyle name="Normal 8 2 2 3 7" xfId="21200"/>
    <cellStyle name="Normal 8 2 2 3 7 2" xfId="37412"/>
    <cellStyle name="Normal 8 2 2 3 8" xfId="22698"/>
    <cellStyle name="Normal 8 2 2 4" xfId="646"/>
    <cellStyle name="Normal 8 2 2 4 2" xfId="997"/>
    <cellStyle name="Normal 8 2 2 4 2 2" xfId="2496"/>
    <cellStyle name="Normal 8 2 2 4 2 2 2" xfId="24664"/>
    <cellStyle name="Normal 8 2 2 4 2 3" xfId="3995"/>
    <cellStyle name="Normal 8 2 2 4 2 3 2" xfId="26162"/>
    <cellStyle name="Normal 8 2 2 4 2 4" xfId="21668"/>
    <cellStyle name="Normal 8 2 2 4 2 4 2" xfId="37880"/>
    <cellStyle name="Normal 8 2 2 4 2 5" xfId="23166"/>
    <cellStyle name="Normal 8 2 2 4 3" xfId="1348"/>
    <cellStyle name="Normal 8 2 2 4 3 2" xfId="2847"/>
    <cellStyle name="Normal 8 2 2 4 3 2 2" xfId="25015"/>
    <cellStyle name="Normal 8 2 2 4 3 3" xfId="4346"/>
    <cellStyle name="Normal 8 2 2 4 3 3 2" xfId="26513"/>
    <cellStyle name="Normal 8 2 2 4 3 4" xfId="22019"/>
    <cellStyle name="Normal 8 2 2 4 3 4 2" xfId="38231"/>
    <cellStyle name="Normal 8 2 2 4 3 5" xfId="23517"/>
    <cellStyle name="Normal 8 2 2 4 4" xfId="1699"/>
    <cellStyle name="Normal 8 2 2 4 4 2" xfId="3198"/>
    <cellStyle name="Normal 8 2 2 4 4 2 2" xfId="25366"/>
    <cellStyle name="Normal 8 2 2 4 4 3" xfId="4697"/>
    <cellStyle name="Normal 8 2 2 4 4 3 2" xfId="26864"/>
    <cellStyle name="Normal 8 2 2 4 4 4" xfId="22370"/>
    <cellStyle name="Normal 8 2 2 4 4 4 2" xfId="38582"/>
    <cellStyle name="Normal 8 2 2 4 4 5" xfId="23868"/>
    <cellStyle name="Normal 8 2 2 4 5" xfId="2145"/>
    <cellStyle name="Normal 8 2 2 4 5 2" xfId="24313"/>
    <cellStyle name="Normal 8 2 2 4 6" xfId="3644"/>
    <cellStyle name="Normal 8 2 2 4 6 2" xfId="25811"/>
    <cellStyle name="Normal 8 2 2 4 7" xfId="21317"/>
    <cellStyle name="Normal 8 2 2 4 7 2" xfId="37529"/>
    <cellStyle name="Normal 8 2 2 4 8" xfId="22815"/>
    <cellStyle name="Normal 8 2 2 5" xfId="763"/>
    <cellStyle name="Normal 8 2 2 5 2" xfId="2262"/>
    <cellStyle name="Normal 8 2 2 5 2 2" xfId="24430"/>
    <cellStyle name="Normal 8 2 2 5 3" xfId="3761"/>
    <cellStyle name="Normal 8 2 2 5 3 2" xfId="25928"/>
    <cellStyle name="Normal 8 2 2 5 4" xfId="21434"/>
    <cellStyle name="Normal 8 2 2 5 4 2" xfId="37646"/>
    <cellStyle name="Normal 8 2 2 5 5" xfId="22932"/>
    <cellStyle name="Normal 8 2 2 6" xfId="1114"/>
    <cellStyle name="Normal 8 2 2 6 2" xfId="2613"/>
    <cellStyle name="Normal 8 2 2 6 2 2" xfId="24781"/>
    <cellStyle name="Normal 8 2 2 6 3" xfId="4112"/>
    <cellStyle name="Normal 8 2 2 6 3 2" xfId="26279"/>
    <cellStyle name="Normal 8 2 2 6 4" xfId="21785"/>
    <cellStyle name="Normal 8 2 2 6 4 2" xfId="37997"/>
    <cellStyle name="Normal 8 2 2 6 5" xfId="23283"/>
    <cellStyle name="Normal 8 2 2 7" xfId="1465"/>
    <cellStyle name="Normal 8 2 2 7 2" xfId="2964"/>
    <cellStyle name="Normal 8 2 2 7 2 2" xfId="25132"/>
    <cellStyle name="Normal 8 2 2 7 3" xfId="4463"/>
    <cellStyle name="Normal 8 2 2 7 3 2" xfId="26630"/>
    <cellStyle name="Normal 8 2 2 7 4" xfId="22136"/>
    <cellStyle name="Normal 8 2 2 7 4 2" xfId="38348"/>
    <cellStyle name="Normal 8 2 2 7 5" xfId="23634"/>
    <cellStyle name="Normal 8 2 2 8" xfId="1911"/>
    <cellStyle name="Normal 8 2 2 8 2" xfId="24079"/>
    <cellStyle name="Normal 8 2 2 9" xfId="3410"/>
    <cellStyle name="Normal 8 2 2 9 2" xfId="25577"/>
    <cellStyle name="Normal 8 2 3" xfId="422"/>
    <cellStyle name="Normal 8 2 3 10" xfId="22593"/>
    <cellStyle name="Normal 8 2 3 2" xfId="540"/>
    <cellStyle name="Normal 8 2 3 2 2" xfId="892"/>
    <cellStyle name="Normal 8 2 3 2 2 2" xfId="2391"/>
    <cellStyle name="Normal 8 2 3 2 2 2 2" xfId="24559"/>
    <cellStyle name="Normal 8 2 3 2 2 3" xfId="3890"/>
    <cellStyle name="Normal 8 2 3 2 2 3 2" xfId="26057"/>
    <cellStyle name="Normal 8 2 3 2 2 4" xfId="21563"/>
    <cellStyle name="Normal 8 2 3 2 2 4 2" xfId="37775"/>
    <cellStyle name="Normal 8 2 3 2 2 5" xfId="23061"/>
    <cellStyle name="Normal 8 2 3 2 3" xfId="1243"/>
    <cellStyle name="Normal 8 2 3 2 3 2" xfId="2742"/>
    <cellStyle name="Normal 8 2 3 2 3 2 2" xfId="24910"/>
    <cellStyle name="Normal 8 2 3 2 3 3" xfId="4241"/>
    <cellStyle name="Normal 8 2 3 2 3 3 2" xfId="26408"/>
    <cellStyle name="Normal 8 2 3 2 3 4" xfId="21914"/>
    <cellStyle name="Normal 8 2 3 2 3 4 2" xfId="38126"/>
    <cellStyle name="Normal 8 2 3 2 3 5" xfId="23412"/>
    <cellStyle name="Normal 8 2 3 2 4" xfId="1594"/>
    <cellStyle name="Normal 8 2 3 2 4 2" xfId="3093"/>
    <cellStyle name="Normal 8 2 3 2 4 2 2" xfId="25261"/>
    <cellStyle name="Normal 8 2 3 2 4 3" xfId="4592"/>
    <cellStyle name="Normal 8 2 3 2 4 3 2" xfId="26759"/>
    <cellStyle name="Normal 8 2 3 2 4 4" xfId="22265"/>
    <cellStyle name="Normal 8 2 3 2 4 4 2" xfId="38477"/>
    <cellStyle name="Normal 8 2 3 2 4 5" xfId="23763"/>
    <cellStyle name="Normal 8 2 3 2 5" xfId="2040"/>
    <cellStyle name="Normal 8 2 3 2 5 2" xfId="24208"/>
    <cellStyle name="Normal 8 2 3 2 6" xfId="3539"/>
    <cellStyle name="Normal 8 2 3 2 6 2" xfId="25706"/>
    <cellStyle name="Normal 8 2 3 2 7" xfId="21212"/>
    <cellStyle name="Normal 8 2 3 2 7 2" xfId="37424"/>
    <cellStyle name="Normal 8 2 3 2 8" xfId="22710"/>
    <cellStyle name="Normal 8 2 3 3" xfId="658"/>
    <cellStyle name="Normal 8 2 3 3 2" xfId="1009"/>
    <cellStyle name="Normal 8 2 3 3 2 2" xfId="2508"/>
    <cellStyle name="Normal 8 2 3 3 2 2 2" xfId="24676"/>
    <cellStyle name="Normal 8 2 3 3 2 3" xfId="4007"/>
    <cellStyle name="Normal 8 2 3 3 2 3 2" xfId="26174"/>
    <cellStyle name="Normal 8 2 3 3 2 4" xfId="21680"/>
    <cellStyle name="Normal 8 2 3 3 2 4 2" xfId="37892"/>
    <cellStyle name="Normal 8 2 3 3 2 5" xfId="23178"/>
    <cellStyle name="Normal 8 2 3 3 3" xfId="1360"/>
    <cellStyle name="Normal 8 2 3 3 3 2" xfId="2859"/>
    <cellStyle name="Normal 8 2 3 3 3 2 2" xfId="25027"/>
    <cellStyle name="Normal 8 2 3 3 3 3" xfId="4358"/>
    <cellStyle name="Normal 8 2 3 3 3 3 2" xfId="26525"/>
    <cellStyle name="Normal 8 2 3 3 3 4" xfId="22031"/>
    <cellStyle name="Normal 8 2 3 3 3 4 2" xfId="38243"/>
    <cellStyle name="Normal 8 2 3 3 3 5" xfId="23529"/>
    <cellStyle name="Normal 8 2 3 3 4" xfId="1711"/>
    <cellStyle name="Normal 8 2 3 3 4 2" xfId="3210"/>
    <cellStyle name="Normal 8 2 3 3 4 2 2" xfId="25378"/>
    <cellStyle name="Normal 8 2 3 3 4 3" xfId="4709"/>
    <cellStyle name="Normal 8 2 3 3 4 3 2" xfId="26876"/>
    <cellStyle name="Normal 8 2 3 3 4 4" xfId="22382"/>
    <cellStyle name="Normal 8 2 3 3 4 4 2" xfId="38594"/>
    <cellStyle name="Normal 8 2 3 3 4 5" xfId="23880"/>
    <cellStyle name="Normal 8 2 3 3 5" xfId="2157"/>
    <cellStyle name="Normal 8 2 3 3 5 2" xfId="24325"/>
    <cellStyle name="Normal 8 2 3 3 6" xfId="3656"/>
    <cellStyle name="Normal 8 2 3 3 6 2" xfId="25823"/>
    <cellStyle name="Normal 8 2 3 3 7" xfId="21329"/>
    <cellStyle name="Normal 8 2 3 3 7 2" xfId="37541"/>
    <cellStyle name="Normal 8 2 3 3 8" xfId="22827"/>
    <cellStyle name="Normal 8 2 3 4" xfId="775"/>
    <cellStyle name="Normal 8 2 3 4 2" xfId="2274"/>
    <cellStyle name="Normal 8 2 3 4 2 2" xfId="24442"/>
    <cellStyle name="Normal 8 2 3 4 3" xfId="3773"/>
    <cellStyle name="Normal 8 2 3 4 3 2" xfId="25940"/>
    <cellStyle name="Normal 8 2 3 4 4" xfId="21446"/>
    <cellStyle name="Normal 8 2 3 4 4 2" xfId="37658"/>
    <cellStyle name="Normal 8 2 3 4 5" xfId="22944"/>
    <cellStyle name="Normal 8 2 3 5" xfId="1126"/>
    <cellStyle name="Normal 8 2 3 5 2" xfId="2625"/>
    <cellStyle name="Normal 8 2 3 5 2 2" xfId="24793"/>
    <cellStyle name="Normal 8 2 3 5 3" xfId="4124"/>
    <cellStyle name="Normal 8 2 3 5 3 2" xfId="26291"/>
    <cellStyle name="Normal 8 2 3 5 4" xfId="21797"/>
    <cellStyle name="Normal 8 2 3 5 4 2" xfId="38009"/>
    <cellStyle name="Normal 8 2 3 5 5" xfId="23295"/>
    <cellStyle name="Normal 8 2 3 6" xfId="1477"/>
    <cellStyle name="Normal 8 2 3 6 2" xfId="2976"/>
    <cellStyle name="Normal 8 2 3 6 2 2" xfId="25144"/>
    <cellStyle name="Normal 8 2 3 6 3" xfId="4475"/>
    <cellStyle name="Normal 8 2 3 6 3 2" xfId="26642"/>
    <cellStyle name="Normal 8 2 3 6 4" xfId="22148"/>
    <cellStyle name="Normal 8 2 3 6 4 2" xfId="38360"/>
    <cellStyle name="Normal 8 2 3 6 5" xfId="23646"/>
    <cellStyle name="Normal 8 2 3 7" xfId="1923"/>
    <cellStyle name="Normal 8 2 3 7 2" xfId="24091"/>
    <cellStyle name="Normal 8 2 3 8" xfId="3422"/>
    <cellStyle name="Normal 8 2 3 8 2" xfId="25589"/>
    <cellStyle name="Normal 8 2 3 9" xfId="21095"/>
    <cellStyle name="Normal 8 2 3 9 2" xfId="37307"/>
    <cellStyle name="Normal 8 2 4" xfId="434"/>
    <cellStyle name="Normal 8 2 4 10" xfId="22605"/>
    <cellStyle name="Normal 8 2 4 2" xfId="552"/>
    <cellStyle name="Normal 8 2 4 2 2" xfId="904"/>
    <cellStyle name="Normal 8 2 4 2 2 2" xfId="2403"/>
    <cellStyle name="Normal 8 2 4 2 2 2 2" xfId="24571"/>
    <cellStyle name="Normal 8 2 4 2 2 3" xfId="3902"/>
    <cellStyle name="Normal 8 2 4 2 2 3 2" xfId="26069"/>
    <cellStyle name="Normal 8 2 4 2 2 4" xfId="21575"/>
    <cellStyle name="Normal 8 2 4 2 2 4 2" xfId="37787"/>
    <cellStyle name="Normal 8 2 4 2 2 5" xfId="23073"/>
    <cellStyle name="Normal 8 2 4 2 3" xfId="1255"/>
    <cellStyle name="Normal 8 2 4 2 3 2" xfId="2754"/>
    <cellStyle name="Normal 8 2 4 2 3 2 2" xfId="24922"/>
    <cellStyle name="Normal 8 2 4 2 3 3" xfId="4253"/>
    <cellStyle name="Normal 8 2 4 2 3 3 2" xfId="26420"/>
    <cellStyle name="Normal 8 2 4 2 3 4" xfId="21926"/>
    <cellStyle name="Normal 8 2 4 2 3 4 2" xfId="38138"/>
    <cellStyle name="Normal 8 2 4 2 3 5" xfId="23424"/>
    <cellStyle name="Normal 8 2 4 2 4" xfId="1606"/>
    <cellStyle name="Normal 8 2 4 2 4 2" xfId="3105"/>
    <cellStyle name="Normal 8 2 4 2 4 2 2" xfId="25273"/>
    <cellStyle name="Normal 8 2 4 2 4 3" xfId="4604"/>
    <cellStyle name="Normal 8 2 4 2 4 3 2" xfId="26771"/>
    <cellStyle name="Normal 8 2 4 2 4 4" xfId="22277"/>
    <cellStyle name="Normal 8 2 4 2 4 4 2" xfId="38489"/>
    <cellStyle name="Normal 8 2 4 2 4 5" xfId="23775"/>
    <cellStyle name="Normal 8 2 4 2 5" xfId="2052"/>
    <cellStyle name="Normal 8 2 4 2 5 2" xfId="24220"/>
    <cellStyle name="Normal 8 2 4 2 6" xfId="3551"/>
    <cellStyle name="Normal 8 2 4 2 6 2" xfId="25718"/>
    <cellStyle name="Normal 8 2 4 2 7" xfId="21224"/>
    <cellStyle name="Normal 8 2 4 2 7 2" xfId="37436"/>
    <cellStyle name="Normal 8 2 4 2 8" xfId="22722"/>
    <cellStyle name="Normal 8 2 4 3" xfId="670"/>
    <cellStyle name="Normal 8 2 4 3 2" xfId="1021"/>
    <cellStyle name="Normal 8 2 4 3 2 2" xfId="2520"/>
    <cellStyle name="Normal 8 2 4 3 2 2 2" xfId="24688"/>
    <cellStyle name="Normal 8 2 4 3 2 3" xfId="4019"/>
    <cellStyle name="Normal 8 2 4 3 2 3 2" xfId="26186"/>
    <cellStyle name="Normal 8 2 4 3 2 4" xfId="21692"/>
    <cellStyle name="Normal 8 2 4 3 2 4 2" xfId="37904"/>
    <cellStyle name="Normal 8 2 4 3 2 5" xfId="23190"/>
    <cellStyle name="Normal 8 2 4 3 3" xfId="1372"/>
    <cellStyle name="Normal 8 2 4 3 3 2" xfId="2871"/>
    <cellStyle name="Normal 8 2 4 3 3 2 2" xfId="25039"/>
    <cellStyle name="Normal 8 2 4 3 3 3" xfId="4370"/>
    <cellStyle name="Normal 8 2 4 3 3 3 2" xfId="26537"/>
    <cellStyle name="Normal 8 2 4 3 3 4" xfId="22043"/>
    <cellStyle name="Normal 8 2 4 3 3 4 2" xfId="38255"/>
    <cellStyle name="Normal 8 2 4 3 3 5" xfId="23541"/>
    <cellStyle name="Normal 8 2 4 3 4" xfId="1723"/>
    <cellStyle name="Normal 8 2 4 3 4 2" xfId="3222"/>
    <cellStyle name="Normal 8 2 4 3 4 2 2" xfId="25390"/>
    <cellStyle name="Normal 8 2 4 3 4 3" xfId="4721"/>
    <cellStyle name="Normal 8 2 4 3 4 3 2" xfId="26888"/>
    <cellStyle name="Normal 8 2 4 3 4 4" xfId="22394"/>
    <cellStyle name="Normal 8 2 4 3 4 4 2" xfId="38606"/>
    <cellStyle name="Normal 8 2 4 3 4 5" xfId="23892"/>
    <cellStyle name="Normal 8 2 4 3 5" xfId="2169"/>
    <cellStyle name="Normal 8 2 4 3 5 2" xfId="24337"/>
    <cellStyle name="Normal 8 2 4 3 6" xfId="3668"/>
    <cellStyle name="Normal 8 2 4 3 6 2" xfId="25835"/>
    <cellStyle name="Normal 8 2 4 3 7" xfId="21341"/>
    <cellStyle name="Normal 8 2 4 3 7 2" xfId="37553"/>
    <cellStyle name="Normal 8 2 4 3 8" xfId="22839"/>
    <cellStyle name="Normal 8 2 4 4" xfId="787"/>
    <cellStyle name="Normal 8 2 4 4 2" xfId="2286"/>
    <cellStyle name="Normal 8 2 4 4 2 2" xfId="24454"/>
    <cellStyle name="Normal 8 2 4 4 3" xfId="3785"/>
    <cellStyle name="Normal 8 2 4 4 3 2" xfId="25952"/>
    <cellStyle name="Normal 8 2 4 4 4" xfId="21458"/>
    <cellStyle name="Normal 8 2 4 4 4 2" xfId="37670"/>
    <cellStyle name="Normal 8 2 4 4 5" xfId="22956"/>
    <cellStyle name="Normal 8 2 4 5" xfId="1138"/>
    <cellStyle name="Normal 8 2 4 5 2" xfId="2637"/>
    <cellStyle name="Normal 8 2 4 5 2 2" xfId="24805"/>
    <cellStyle name="Normal 8 2 4 5 3" xfId="4136"/>
    <cellStyle name="Normal 8 2 4 5 3 2" xfId="26303"/>
    <cellStyle name="Normal 8 2 4 5 4" xfId="21809"/>
    <cellStyle name="Normal 8 2 4 5 4 2" xfId="38021"/>
    <cellStyle name="Normal 8 2 4 5 5" xfId="23307"/>
    <cellStyle name="Normal 8 2 4 6" xfId="1489"/>
    <cellStyle name="Normal 8 2 4 6 2" xfId="2988"/>
    <cellStyle name="Normal 8 2 4 6 2 2" xfId="25156"/>
    <cellStyle name="Normal 8 2 4 6 3" xfId="4487"/>
    <cellStyle name="Normal 8 2 4 6 3 2" xfId="26654"/>
    <cellStyle name="Normal 8 2 4 6 4" xfId="22160"/>
    <cellStyle name="Normal 8 2 4 6 4 2" xfId="38372"/>
    <cellStyle name="Normal 8 2 4 6 5" xfId="23658"/>
    <cellStyle name="Normal 8 2 4 7" xfId="1935"/>
    <cellStyle name="Normal 8 2 4 7 2" xfId="24103"/>
    <cellStyle name="Normal 8 2 4 8" xfId="3434"/>
    <cellStyle name="Normal 8 2 4 8 2" xfId="25601"/>
    <cellStyle name="Normal 8 2 4 9" xfId="21107"/>
    <cellStyle name="Normal 8 2 4 9 2" xfId="37319"/>
    <cellStyle name="Normal 8 2 5" xfId="450"/>
    <cellStyle name="Normal 8 2 5 10" xfId="22621"/>
    <cellStyle name="Normal 8 2 5 2" xfId="568"/>
    <cellStyle name="Normal 8 2 5 2 2" xfId="920"/>
    <cellStyle name="Normal 8 2 5 2 2 2" xfId="2419"/>
    <cellStyle name="Normal 8 2 5 2 2 2 2" xfId="24587"/>
    <cellStyle name="Normal 8 2 5 2 2 3" xfId="3918"/>
    <cellStyle name="Normal 8 2 5 2 2 3 2" xfId="26085"/>
    <cellStyle name="Normal 8 2 5 2 2 4" xfId="21591"/>
    <cellStyle name="Normal 8 2 5 2 2 4 2" xfId="37803"/>
    <cellStyle name="Normal 8 2 5 2 2 5" xfId="23089"/>
    <cellStyle name="Normal 8 2 5 2 3" xfId="1271"/>
    <cellStyle name="Normal 8 2 5 2 3 2" xfId="2770"/>
    <cellStyle name="Normal 8 2 5 2 3 2 2" xfId="24938"/>
    <cellStyle name="Normal 8 2 5 2 3 3" xfId="4269"/>
    <cellStyle name="Normal 8 2 5 2 3 3 2" xfId="26436"/>
    <cellStyle name="Normal 8 2 5 2 3 4" xfId="21942"/>
    <cellStyle name="Normal 8 2 5 2 3 4 2" xfId="38154"/>
    <cellStyle name="Normal 8 2 5 2 3 5" xfId="23440"/>
    <cellStyle name="Normal 8 2 5 2 4" xfId="1622"/>
    <cellStyle name="Normal 8 2 5 2 4 2" xfId="3121"/>
    <cellStyle name="Normal 8 2 5 2 4 2 2" xfId="25289"/>
    <cellStyle name="Normal 8 2 5 2 4 3" xfId="4620"/>
    <cellStyle name="Normal 8 2 5 2 4 3 2" xfId="26787"/>
    <cellStyle name="Normal 8 2 5 2 4 4" xfId="22293"/>
    <cellStyle name="Normal 8 2 5 2 4 4 2" xfId="38505"/>
    <cellStyle name="Normal 8 2 5 2 4 5" xfId="23791"/>
    <cellStyle name="Normal 8 2 5 2 5" xfId="2068"/>
    <cellStyle name="Normal 8 2 5 2 5 2" xfId="24236"/>
    <cellStyle name="Normal 8 2 5 2 6" xfId="3567"/>
    <cellStyle name="Normal 8 2 5 2 6 2" xfId="25734"/>
    <cellStyle name="Normal 8 2 5 2 7" xfId="21240"/>
    <cellStyle name="Normal 8 2 5 2 7 2" xfId="37452"/>
    <cellStyle name="Normal 8 2 5 2 8" xfId="22738"/>
    <cellStyle name="Normal 8 2 5 3" xfId="686"/>
    <cellStyle name="Normal 8 2 5 3 2" xfId="1037"/>
    <cellStyle name="Normal 8 2 5 3 2 2" xfId="2536"/>
    <cellStyle name="Normal 8 2 5 3 2 2 2" xfId="24704"/>
    <cellStyle name="Normal 8 2 5 3 2 3" xfId="4035"/>
    <cellStyle name="Normal 8 2 5 3 2 3 2" xfId="26202"/>
    <cellStyle name="Normal 8 2 5 3 2 4" xfId="21708"/>
    <cellStyle name="Normal 8 2 5 3 2 4 2" xfId="37920"/>
    <cellStyle name="Normal 8 2 5 3 2 5" xfId="23206"/>
    <cellStyle name="Normal 8 2 5 3 3" xfId="1388"/>
    <cellStyle name="Normal 8 2 5 3 3 2" xfId="2887"/>
    <cellStyle name="Normal 8 2 5 3 3 2 2" xfId="25055"/>
    <cellStyle name="Normal 8 2 5 3 3 3" xfId="4386"/>
    <cellStyle name="Normal 8 2 5 3 3 3 2" xfId="26553"/>
    <cellStyle name="Normal 8 2 5 3 3 4" xfId="22059"/>
    <cellStyle name="Normal 8 2 5 3 3 4 2" xfId="38271"/>
    <cellStyle name="Normal 8 2 5 3 3 5" xfId="23557"/>
    <cellStyle name="Normal 8 2 5 3 4" xfId="1739"/>
    <cellStyle name="Normal 8 2 5 3 4 2" xfId="3238"/>
    <cellStyle name="Normal 8 2 5 3 4 2 2" xfId="25406"/>
    <cellStyle name="Normal 8 2 5 3 4 3" xfId="4737"/>
    <cellStyle name="Normal 8 2 5 3 4 3 2" xfId="26904"/>
    <cellStyle name="Normal 8 2 5 3 4 4" xfId="22410"/>
    <cellStyle name="Normal 8 2 5 3 4 4 2" xfId="38622"/>
    <cellStyle name="Normal 8 2 5 3 4 5" xfId="23908"/>
    <cellStyle name="Normal 8 2 5 3 5" xfId="2185"/>
    <cellStyle name="Normal 8 2 5 3 5 2" xfId="24353"/>
    <cellStyle name="Normal 8 2 5 3 6" xfId="3684"/>
    <cellStyle name="Normal 8 2 5 3 6 2" xfId="25851"/>
    <cellStyle name="Normal 8 2 5 3 7" xfId="21357"/>
    <cellStyle name="Normal 8 2 5 3 7 2" xfId="37569"/>
    <cellStyle name="Normal 8 2 5 3 8" xfId="22855"/>
    <cellStyle name="Normal 8 2 5 4" xfId="803"/>
    <cellStyle name="Normal 8 2 5 4 2" xfId="2302"/>
    <cellStyle name="Normal 8 2 5 4 2 2" xfId="24470"/>
    <cellStyle name="Normal 8 2 5 4 3" xfId="3801"/>
    <cellStyle name="Normal 8 2 5 4 3 2" xfId="25968"/>
    <cellStyle name="Normal 8 2 5 4 4" xfId="21474"/>
    <cellStyle name="Normal 8 2 5 4 4 2" xfId="37686"/>
    <cellStyle name="Normal 8 2 5 4 5" xfId="22972"/>
    <cellStyle name="Normal 8 2 5 5" xfId="1154"/>
    <cellStyle name="Normal 8 2 5 5 2" xfId="2653"/>
    <cellStyle name="Normal 8 2 5 5 2 2" xfId="24821"/>
    <cellStyle name="Normal 8 2 5 5 3" xfId="4152"/>
    <cellStyle name="Normal 8 2 5 5 3 2" xfId="26319"/>
    <cellStyle name="Normal 8 2 5 5 4" xfId="21825"/>
    <cellStyle name="Normal 8 2 5 5 4 2" xfId="38037"/>
    <cellStyle name="Normal 8 2 5 5 5" xfId="23323"/>
    <cellStyle name="Normal 8 2 5 6" xfId="1505"/>
    <cellStyle name="Normal 8 2 5 6 2" xfId="3004"/>
    <cellStyle name="Normal 8 2 5 6 2 2" xfId="25172"/>
    <cellStyle name="Normal 8 2 5 6 3" xfId="4503"/>
    <cellStyle name="Normal 8 2 5 6 3 2" xfId="26670"/>
    <cellStyle name="Normal 8 2 5 6 4" xfId="22176"/>
    <cellStyle name="Normal 8 2 5 6 4 2" xfId="38388"/>
    <cellStyle name="Normal 8 2 5 6 5" xfId="23674"/>
    <cellStyle name="Normal 8 2 5 7" xfId="1951"/>
    <cellStyle name="Normal 8 2 5 7 2" xfId="24119"/>
    <cellStyle name="Normal 8 2 5 8" xfId="3450"/>
    <cellStyle name="Normal 8 2 5 8 2" xfId="25617"/>
    <cellStyle name="Normal 8 2 5 9" xfId="21123"/>
    <cellStyle name="Normal 8 2 5 9 2" xfId="37335"/>
    <cellStyle name="Normal 8 2 6" xfId="475"/>
    <cellStyle name="Normal 8 2 6 10" xfId="22646"/>
    <cellStyle name="Normal 8 2 6 2" xfId="593"/>
    <cellStyle name="Normal 8 2 6 2 2" xfId="945"/>
    <cellStyle name="Normal 8 2 6 2 2 2" xfId="2444"/>
    <cellStyle name="Normal 8 2 6 2 2 2 2" xfId="24612"/>
    <cellStyle name="Normal 8 2 6 2 2 3" xfId="3943"/>
    <cellStyle name="Normal 8 2 6 2 2 3 2" xfId="26110"/>
    <cellStyle name="Normal 8 2 6 2 2 4" xfId="21616"/>
    <cellStyle name="Normal 8 2 6 2 2 4 2" xfId="37828"/>
    <cellStyle name="Normal 8 2 6 2 2 5" xfId="23114"/>
    <cellStyle name="Normal 8 2 6 2 3" xfId="1296"/>
    <cellStyle name="Normal 8 2 6 2 3 2" xfId="2795"/>
    <cellStyle name="Normal 8 2 6 2 3 2 2" xfId="24963"/>
    <cellStyle name="Normal 8 2 6 2 3 3" xfId="4294"/>
    <cellStyle name="Normal 8 2 6 2 3 3 2" xfId="26461"/>
    <cellStyle name="Normal 8 2 6 2 3 4" xfId="21967"/>
    <cellStyle name="Normal 8 2 6 2 3 4 2" xfId="38179"/>
    <cellStyle name="Normal 8 2 6 2 3 5" xfId="23465"/>
    <cellStyle name="Normal 8 2 6 2 4" xfId="1647"/>
    <cellStyle name="Normal 8 2 6 2 4 2" xfId="3146"/>
    <cellStyle name="Normal 8 2 6 2 4 2 2" xfId="25314"/>
    <cellStyle name="Normal 8 2 6 2 4 3" xfId="4645"/>
    <cellStyle name="Normal 8 2 6 2 4 3 2" xfId="26812"/>
    <cellStyle name="Normal 8 2 6 2 4 4" xfId="22318"/>
    <cellStyle name="Normal 8 2 6 2 4 4 2" xfId="38530"/>
    <cellStyle name="Normal 8 2 6 2 4 5" xfId="23816"/>
    <cellStyle name="Normal 8 2 6 2 5" xfId="2093"/>
    <cellStyle name="Normal 8 2 6 2 5 2" xfId="24261"/>
    <cellStyle name="Normal 8 2 6 2 6" xfId="3592"/>
    <cellStyle name="Normal 8 2 6 2 6 2" xfId="25759"/>
    <cellStyle name="Normal 8 2 6 2 7" xfId="21265"/>
    <cellStyle name="Normal 8 2 6 2 7 2" xfId="37477"/>
    <cellStyle name="Normal 8 2 6 2 8" xfId="22763"/>
    <cellStyle name="Normal 8 2 6 3" xfId="711"/>
    <cellStyle name="Normal 8 2 6 3 2" xfId="1062"/>
    <cellStyle name="Normal 8 2 6 3 2 2" xfId="2561"/>
    <cellStyle name="Normal 8 2 6 3 2 2 2" xfId="24729"/>
    <cellStyle name="Normal 8 2 6 3 2 3" xfId="4060"/>
    <cellStyle name="Normal 8 2 6 3 2 3 2" xfId="26227"/>
    <cellStyle name="Normal 8 2 6 3 2 4" xfId="21733"/>
    <cellStyle name="Normal 8 2 6 3 2 4 2" xfId="37945"/>
    <cellStyle name="Normal 8 2 6 3 2 5" xfId="23231"/>
    <cellStyle name="Normal 8 2 6 3 3" xfId="1413"/>
    <cellStyle name="Normal 8 2 6 3 3 2" xfId="2912"/>
    <cellStyle name="Normal 8 2 6 3 3 2 2" xfId="25080"/>
    <cellStyle name="Normal 8 2 6 3 3 3" xfId="4411"/>
    <cellStyle name="Normal 8 2 6 3 3 3 2" xfId="26578"/>
    <cellStyle name="Normal 8 2 6 3 3 4" xfId="22084"/>
    <cellStyle name="Normal 8 2 6 3 3 4 2" xfId="38296"/>
    <cellStyle name="Normal 8 2 6 3 3 5" xfId="23582"/>
    <cellStyle name="Normal 8 2 6 3 4" xfId="1764"/>
    <cellStyle name="Normal 8 2 6 3 4 2" xfId="3263"/>
    <cellStyle name="Normal 8 2 6 3 4 2 2" xfId="25431"/>
    <cellStyle name="Normal 8 2 6 3 4 3" xfId="4762"/>
    <cellStyle name="Normal 8 2 6 3 4 3 2" xfId="26929"/>
    <cellStyle name="Normal 8 2 6 3 4 4" xfId="22435"/>
    <cellStyle name="Normal 8 2 6 3 4 4 2" xfId="38647"/>
    <cellStyle name="Normal 8 2 6 3 4 5" xfId="23933"/>
    <cellStyle name="Normal 8 2 6 3 5" xfId="2210"/>
    <cellStyle name="Normal 8 2 6 3 5 2" xfId="24378"/>
    <cellStyle name="Normal 8 2 6 3 6" xfId="3709"/>
    <cellStyle name="Normal 8 2 6 3 6 2" xfId="25876"/>
    <cellStyle name="Normal 8 2 6 3 7" xfId="21382"/>
    <cellStyle name="Normal 8 2 6 3 7 2" xfId="37594"/>
    <cellStyle name="Normal 8 2 6 3 8" xfId="22880"/>
    <cellStyle name="Normal 8 2 6 4" xfId="828"/>
    <cellStyle name="Normal 8 2 6 4 2" xfId="2327"/>
    <cellStyle name="Normal 8 2 6 4 2 2" xfId="24495"/>
    <cellStyle name="Normal 8 2 6 4 3" xfId="3826"/>
    <cellStyle name="Normal 8 2 6 4 3 2" xfId="25993"/>
    <cellStyle name="Normal 8 2 6 4 4" xfId="21499"/>
    <cellStyle name="Normal 8 2 6 4 4 2" xfId="37711"/>
    <cellStyle name="Normal 8 2 6 4 5" xfId="22997"/>
    <cellStyle name="Normal 8 2 6 5" xfId="1179"/>
    <cellStyle name="Normal 8 2 6 5 2" xfId="2678"/>
    <cellStyle name="Normal 8 2 6 5 2 2" xfId="24846"/>
    <cellStyle name="Normal 8 2 6 5 3" xfId="4177"/>
    <cellStyle name="Normal 8 2 6 5 3 2" xfId="26344"/>
    <cellStyle name="Normal 8 2 6 5 4" xfId="21850"/>
    <cellStyle name="Normal 8 2 6 5 4 2" xfId="38062"/>
    <cellStyle name="Normal 8 2 6 5 5" xfId="23348"/>
    <cellStyle name="Normal 8 2 6 6" xfId="1530"/>
    <cellStyle name="Normal 8 2 6 6 2" xfId="3029"/>
    <cellStyle name="Normal 8 2 6 6 2 2" xfId="25197"/>
    <cellStyle name="Normal 8 2 6 6 3" xfId="4528"/>
    <cellStyle name="Normal 8 2 6 6 3 2" xfId="26695"/>
    <cellStyle name="Normal 8 2 6 6 4" xfId="22201"/>
    <cellStyle name="Normal 8 2 6 6 4 2" xfId="38413"/>
    <cellStyle name="Normal 8 2 6 6 5" xfId="23699"/>
    <cellStyle name="Normal 8 2 6 7" xfId="1976"/>
    <cellStyle name="Normal 8 2 6 7 2" xfId="24144"/>
    <cellStyle name="Normal 8 2 6 8" xfId="3475"/>
    <cellStyle name="Normal 8 2 6 8 2" xfId="25642"/>
    <cellStyle name="Normal 8 2 6 9" xfId="21148"/>
    <cellStyle name="Normal 8 2 6 9 2" xfId="37360"/>
    <cellStyle name="Normal 8 2 7" xfId="488"/>
    <cellStyle name="Normal 8 2 7 10" xfId="22659"/>
    <cellStyle name="Normal 8 2 7 2" xfId="606"/>
    <cellStyle name="Normal 8 2 7 2 2" xfId="958"/>
    <cellStyle name="Normal 8 2 7 2 2 2" xfId="2457"/>
    <cellStyle name="Normal 8 2 7 2 2 2 2" xfId="24625"/>
    <cellStyle name="Normal 8 2 7 2 2 3" xfId="3956"/>
    <cellStyle name="Normal 8 2 7 2 2 3 2" xfId="26123"/>
    <cellStyle name="Normal 8 2 7 2 2 4" xfId="21629"/>
    <cellStyle name="Normal 8 2 7 2 2 4 2" xfId="37841"/>
    <cellStyle name="Normal 8 2 7 2 2 5" xfId="23127"/>
    <cellStyle name="Normal 8 2 7 2 3" xfId="1309"/>
    <cellStyle name="Normal 8 2 7 2 3 2" xfId="2808"/>
    <cellStyle name="Normal 8 2 7 2 3 2 2" xfId="24976"/>
    <cellStyle name="Normal 8 2 7 2 3 3" xfId="4307"/>
    <cellStyle name="Normal 8 2 7 2 3 3 2" xfId="26474"/>
    <cellStyle name="Normal 8 2 7 2 3 4" xfId="21980"/>
    <cellStyle name="Normal 8 2 7 2 3 4 2" xfId="38192"/>
    <cellStyle name="Normal 8 2 7 2 3 5" xfId="23478"/>
    <cellStyle name="Normal 8 2 7 2 4" xfId="1660"/>
    <cellStyle name="Normal 8 2 7 2 4 2" xfId="3159"/>
    <cellStyle name="Normal 8 2 7 2 4 2 2" xfId="25327"/>
    <cellStyle name="Normal 8 2 7 2 4 3" xfId="4658"/>
    <cellStyle name="Normal 8 2 7 2 4 3 2" xfId="26825"/>
    <cellStyle name="Normal 8 2 7 2 4 4" xfId="22331"/>
    <cellStyle name="Normal 8 2 7 2 4 4 2" xfId="38543"/>
    <cellStyle name="Normal 8 2 7 2 4 5" xfId="23829"/>
    <cellStyle name="Normal 8 2 7 2 5" xfId="2106"/>
    <cellStyle name="Normal 8 2 7 2 5 2" xfId="24274"/>
    <cellStyle name="Normal 8 2 7 2 6" xfId="3605"/>
    <cellStyle name="Normal 8 2 7 2 6 2" xfId="25772"/>
    <cellStyle name="Normal 8 2 7 2 7" xfId="21278"/>
    <cellStyle name="Normal 8 2 7 2 7 2" xfId="37490"/>
    <cellStyle name="Normal 8 2 7 2 8" xfId="22776"/>
    <cellStyle name="Normal 8 2 7 3" xfId="724"/>
    <cellStyle name="Normal 8 2 7 3 2" xfId="1075"/>
    <cellStyle name="Normal 8 2 7 3 2 2" xfId="2574"/>
    <cellStyle name="Normal 8 2 7 3 2 2 2" xfId="24742"/>
    <cellStyle name="Normal 8 2 7 3 2 3" xfId="4073"/>
    <cellStyle name="Normal 8 2 7 3 2 3 2" xfId="26240"/>
    <cellStyle name="Normal 8 2 7 3 2 4" xfId="21746"/>
    <cellStyle name="Normal 8 2 7 3 2 4 2" xfId="37958"/>
    <cellStyle name="Normal 8 2 7 3 2 5" xfId="23244"/>
    <cellStyle name="Normal 8 2 7 3 3" xfId="1426"/>
    <cellStyle name="Normal 8 2 7 3 3 2" xfId="2925"/>
    <cellStyle name="Normal 8 2 7 3 3 2 2" xfId="25093"/>
    <cellStyle name="Normal 8 2 7 3 3 3" xfId="4424"/>
    <cellStyle name="Normal 8 2 7 3 3 3 2" xfId="26591"/>
    <cellStyle name="Normal 8 2 7 3 3 4" xfId="22097"/>
    <cellStyle name="Normal 8 2 7 3 3 4 2" xfId="38309"/>
    <cellStyle name="Normal 8 2 7 3 3 5" xfId="23595"/>
    <cellStyle name="Normal 8 2 7 3 4" xfId="1777"/>
    <cellStyle name="Normal 8 2 7 3 4 2" xfId="3276"/>
    <cellStyle name="Normal 8 2 7 3 4 2 2" xfId="25444"/>
    <cellStyle name="Normal 8 2 7 3 4 3" xfId="4775"/>
    <cellStyle name="Normal 8 2 7 3 4 3 2" xfId="26942"/>
    <cellStyle name="Normal 8 2 7 3 4 4" xfId="22448"/>
    <cellStyle name="Normal 8 2 7 3 4 4 2" xfId="38660"/>
    <cellStyle name="Normal 8 2 7 3 4 5" xfId="23946"/>
    <cellStyle name="Normal 8 2 7 3 5" xfId="2223"/>
    <cellStyle name="Normal 8 2 7 3 5 2" xfId="24391"/>
    <cellStyle name="Normal 8 2 7 3 6" xfId="3722"/>
    <cellStyle name="Normal 8 2 7 3 6 2" xfId="25889"/>
    <cellStyle name="Normal 8 2 7 3 7" xfId="21395"/>
    <cellStyle name="Normal 8 2 7 3 7 2" xfId="37607"/>
    <cellStyle name="Normal 8 2 7 3 8" xfId="22893"/>
    <cellStyle name="Normal 8 2 7 4" xfId="841"/>
    <cellStyle name="Normal 8 2 7 4 2" xfId="2340"/>
    <cellStyle name="Normal 8 2 7 4 2 2" xfId="24508"/>
    <cellStyle name="Normal 8 2 7 4 3" xfId="3839"/>
    <cellStyle name="Normal 8 2 7 4 3 2" xfId="26006"/>
    <cellStyle name="Normal 8 2 7 4 4" xfId="21512"/>
    <cellStyle name="Normal 8 2 7 4 4 2" xfId="37724"/>
    <cellStyle name="Normal 8 2 7 4 5" xfId="23010"/>
    <cellStyle name="Normal 8 2 7 5" xfId="1192"/>
    <cellStyle name="Normal 8 2 7 5 2" xfId="2691"/>
    <cellStyle name="Normal 8 2 7 5 2 2" xfId="24859"/>
    <cellStyle name="Normal 8 2 7 5 3" xfId="4190"/>
    <cellStyle name="Normal 8 2 7 5 3 2" xfId="26357"/>
    <cellStyle name="Normal 8 2 7 5 4" xfId="21863"/>
    <cellStyle name="Normal 8 2 7 5 4 2" xfId="38075"/>
    <cellStyle name="Normal 8 2 7 5 5" xfId="23361"/>
    <cellStyle name="Normal 8 2 7 6" xfId="1543"/>
    <cellStyle name="Normal 8 2 7 6 2" xfId="3042"/>
    <cellStyle name="Normal 8 2 7 6 2 2" xfId="25210"/>
    <cellStyle name="Normal 8 2 7 6 3" xfId="4541"/>
    <cellStyle name="Normal 8 2 7 6 3 2" xfId="26708"/>
    <cellStyle name="Normal 8 2 7 6 4" xfId="22214"/>
    <cellStyle name="Normal 8 2 7 6 4 2" xfId="38426"/>
    <cellStyle name="Normal 8 2 7 6 5" xfId="23712"/>
    <cellStyle name="Normal 8 2 7 7" xfId="1989"/>
    <cellStyle name="Normal 8 2 7 7 2" xfId="24157"/>
    <cellStyle name="Normal 8 2 7 8" xfId="3488"/>
    <cellStyle name="Normal 8 2 7 8 2" xfId="25655"/>
    <cellStyle name="Normal 8 2 7 9" xfId="21161"/>
    <cellStyle name="Normal 8 2 7 9 2" xfId="37373"/>
    <cellStyle name="Normal 8 2 8" xfId="516"/>
    <cellStyle name="Normal 8 2 8 2" xfId="868"/>
    <cellStyle name="Normal 8 2 8 2 2" xfId="2367"/>
    <cellStyle name="Normal 8 2 8 2 2 2" xfId="24535"/>
    <cellStyle name="Normal 8 2 8 2 3" xfId="3866"/>
    <cellStyle name="Normal 8 2 8 2 3 2" xfId="26033"/>
    <cellStyle name="Normal 8 2 8 2 4" xfId="21539"/>
    <cellStyle name="Normal 8 2 8 2 4 2" xfId="37751"/>
    <cellStyle name="Normal 8 2 8 2 5" xfId="23037"/>
    <cellStyle name="Normal 8 2 8 3" xfId="1219"/>
    <cellStyle name="Normal 8 2 8 3 2" xfId="2718"/>
    <cellStyle name="Normal 8 2 8 3 2 2" xfId="24886"/>
    <cellStyle name="Normal 8 2 8 3 3" xfId="4217"/>
    <cellStyle name="Normal 8 2 8 3 3 2" xfId="26384"/>
    <cellStyle name="Normal 8 2 8 3 4" xfId="21890"/>
    <cellStyle name="Normal 8 2 8 3 4 2" xfId="38102"/>
    <cellStyle name="Normal 8 2 8 3 5" xfId="23388"/>
    <cellStyle name="Normal 8 2 8 4" xfId="1570"/>
    <cellStyle name="Normal 8 2 8 4 2" xfId="3069"/>
    <cellStyle name="Normal 8 2 8 4 2 2" xfId="25237"/>
    <cellStyle name="Normal 8 2 8 4 3" xfId="4568"/>
    <cellStyle name="Normal 8 2 8 4 3 2" xfId="26735"/>
    <cellStyle name="Normal 8 2 8 4 4" xfId="22241"/>
    <cellStyle name="Normal 8 2 8 4 4 2" xfId="38453"/>
    <cellStyle name="Normal 8 2 8 4 5" xfId="23739"/>
    <cellStyle name="Normal 8 2 8 5" xfId="2016"/>
    <cellStyle name="Normal 8 2 8 5 2" xfId="24184"/>
    <cellStyle name="Normal 8 2 8 6" xfId="3515"/>
    <cellStyle name="Normal 8 2 8 6 2" xfId="25682"/>
    <cellStyle name="Normal 8 2 8 7" xfId="21188"/>
    <cellStyle name="Normal 8 2 8 7 2" xfId="37400"/>
    <cellStyle name="Normal 8 2 8 8" xfId="22686"/>
    <cellStyle name="Normal 8 2 9" xfId="634"/>
    <cellStyle name="Normal 8 2 9 2" xfId="985"/>
    <cellStyle name="Normal 8 2 9 2 2" xfId="2484"/>
    <cellStyle name="Normal 8 2 9 2 2 2" xfId="24652"/>
    <cellStyle name="Normal 8 2 9 2 3" xfId="3983"/>
    <cellStyle name="Normal 8 2 9 2 3 2" xfId="26150"/>
    <cellStyle name="Normal 8 2 9 2 4" xfId="21656"/>
    <cellStyle name="Normal 8 2 9 2 4 2" xfId="37868"/>
    <cellStyle name="Normal 8 2 9 2 5" xfId="23154"/>
    <cellStyle name="Normal 8 2 9 3" xfId="1336"/>
    <cellStyle name="Normal 8 2 9 3 2" xfId="2835"/>
    <cellStyle name="Normal 8 2 9 3 2 2" xfId="25003"/>
    <cellStyle name="Normal 8 2 9 3 3" xfId="4334"/>
    <cellStyle name="Normal 8 2 9 3 3 2" xfId="26501"/>
    <cellStyle name="Normal 8 2 9 3 4" xfId="22007"/>
    <cellStyle name="Normal 8 2 9 3 4 2" xfId="38219"/>
    <cellStyle name="Normal 8 2 9 3 5" xfId="23505"/>
    <cellStyle name="Normal 8 2 9 4" xfId="1687"/>
    <cellStyle name="Normal 8 2 9 4 2" xfId="3186"/>
    <cellStyle name="Normal 8 2 9 4 2 2" xfId="25354"/>
    <cellStyle name="Normal 8 2 9 4 3" xfId="4685"/>
    <cellStyle name="Normal 8 2 9 4 3 2" xfId="26852"/>
    <cellStyle name="Normal 8 2 9 4 4" xfId="22358"/>
    <cellStyle name="Normal 8 2 9 4 4 2" xfId="38570"/>
    <cellStyle name="Normal 8 2 9 4 5" xfId="23856"/>
    <cellStyle name="Normal 8 2 9 5" xfId="2133"/>
    <cellStyle name="Normal 8 2 9 5 2" xfId="24301"/>
    <cellStyle name="Normal 8 2 9 6" xfId="3632"/>
    <cellStyle name="Normal 8 2 9 6 2" xfId="25799"/>
    <cellStyle name="Normal 8 2 9 7" xfId="21305"/>
    <cellStyle name="Normal 8 2 9 7 2" xfId="37517"/>
    <cellStyle name="Normal 8 2 9 8" xfId="22803"/>
    <cellStyle name="Normal 8 20" xfId="4863"/>
    <cellStyle name="Normal 8 20 2" xfId="27000"/>
    <cellStyle name="Normal 8 21" xfId="21009"/>
    <cellStyle name="Normal 8 21 2" xfId="37221"/>
    <cellStyle name="Normal 8 22" xfId="22507"/>
    <cellStyle name="Normal 8 23" xfId="38761"/>
    <cellStyle name="Normal 8 24" xfId="39503"/>
    <cellStyle name="Normal 8 25" xfId="39557"/>
    <cellStyle name="Normal 8 26" xfId="301"/>
    <cellStyle name="Normal 8 3" xfId="218"/>
    <cellStyle name="Normal 8 3 10" xfId="4913"/>
    <cellStyle name="Normal 8 3 11" xfId="21082"/>
    <cellStyle name="Normal 8 3 11 2" xfId="37294"/>
    <cellStyle name="Normal 8 3 12" xfId="22580"/>
    <cellStyle name="Normal 8 3 13" xfId="409"/>
    <cellStyle name="Normal 8 3 2" xfId="461"/>
    <cellStyle name="Normal 8 3 2 10" xfId="22632"/>
    <cellStyle name="Normal 8 3 2 2" xfId="579"/>
    <cellStyle name="Normal 8 3 2 2 2" xfId="931"/>
    <cellStyle name="Normal 8 3 2 2 2 2" xfId="2430"/>
    <cellStyle name="Normal 8 3 2 2 2 2 2" xfId="24598"/>
    <cellStyle name="Normal 8 3 2 2 2 3" xfId="3929"/>
    <cellStyle name="Normal 8 3 2 2 2 3 2" xfId="26096"/>
    <cellStyle name="Normal 8 3 2 2 2 4" xfId="21602"/>
    <cellStyle name="Normal 8 3 2 2 2 4 2" xfId="37814"/>
    <cellStyle name="Normal 8 3 2 2 2 5" xfId="23100"/>
    <cellStyle name="Normal 8 3 2 2 3" xfId="1282"/>
    <cellStyle name="Normal 8 3 2 2 3 2" xfId="2781"/>
    <cellStyle name="Normal 8 3 2 2 3 2 2" xfId="24949"/>
    <cellStyle name="Normal 8 3 2 2 3 3" xfId="4280"/>
    <cellStyle name="Normal 8 3 2 2 3 3 2" xfId="26447"/>
    <cellStyle name="Normal 8 3 2 2 3 4" xfId="21953"/>
    <cellStyle name="Normal 8 3 2 2 3 4 2" xfId="38165"/>
    <cellStyle name="Normal 8 3 2 2 3 5" xfId="23451"/>
    <cellStyle name="Normal 8 3 2 2 4" xfId="1633"/>
    <cellStyle name="Normal 8 3 2 2 4 2" xfId="3132"/>
    <cellStyle name="Normal 8 3 2 2 4 2 2" xfId="25300"/>
    <cellStyle name="Normal 8 3 2 2 4 3" xfId="4631"/>
    <cellStyle name="Normal 8 3 2 2 4 3 2" xfId="26798"/>
    <cellStyle name="Normal 8 3 2 2 4 4" xfId="22304"/>
    <cellStyle name="Normal 8 3 2 2 4 4 2" xfId="38516"/>
    <cellStyle name="Normal 8 3 2 2 4 5" xfId="23802"/>
    <cellStyle name="Normal 8 3 2 2 5" xfId="2079"/>
    <cellStyle name="Normal 8 3 2 2 5 2" xfId="24247"/>
    <cellStyle name="Normal 8 3 2 2 6" xfId="3578"/>
    <cellStyle name="Normal 8 3 2 2 6 2" xfId="25745"/>
    <cellStyle name="Normal 8 3 2 2 7" xfId="21251"/>
    <cellStyle name="Normal 8 3 2 2 7 2" xfId="37463"/>
    <cellStyle name="Normal 8 3 2 2 8" xfId="22749"/>
    <cellStyle name="Normal 8 3 2 3" xfId="697"/>
    <cellStyle name="Normal 8 3 2 3 2" xfId="1048"/>
    <cellStyle name="Normal 8 3 2 3 2 2" xfId="2547"/>
    <cellStyle name="Normal 8 3 2 3 2 2 2" xfId="24715"/>
    <cellStyle name="Normal 8 3 2 3 2 3" xfId="4046"/>
    <cellStyle name="Normal 8 3 2 3 2 3 2" xfId="26213"/>
    <cellStyle name="Normal 8 3 2 3 2 4" xfId="21719"/>
    <cellStyle name="Normal 8 3 2 3 2 4 2" xfId="37931"/>
    <cellStyle name="Normal 8 3 2 3 2 5" xfId="23217"/>
    <cellStyle name="Normal 8 3 2 3 3" xfId="1399"/>
    <cellStyle name="Normal 8 3 2 3 3 2" xfId="2898"/>
    <cellStyle name="Normal 8 3 2 3 3 2 2" xfId="25066"/>
    <cellStyle name="Normal 8 3 2 3 3 3" xfId="4397"/>
    <cellStyle name="Normal 8 3 2 3 3 3 2" xfId="26564"/>
    <cellStyle name="Normal 8 3 2 3 3 4" xfId="22070"/>
    <cellStyle name="Normal 8 3 2 3 3 4 2" xfId="38282"/>
    <cellStyle name="Normal 8 3 2 3 3 5" xfId="23568"/>
    <cellStyle name="Normal 8 3 2 3 4" xfId="1750"/>
    <cellStyle name="Normal 8 3 2 3 4 2" xfId="3249"/>
    <cellStyle name="Normal 8 3 2 3 4 2 2" xfId="25417"/>
    <cellStyle name="Normal 8 3 2 3 4 3" xfId="4748"/>
    <cellStyle name="Normal 8 3 2 3 4 3 2" xfId="26915"/>
    <cellStyle name="Normal 8 3 2 3 4 4" xfId="22421"/>
    <cellStyle name="Normal 8 3 2 3 4 4 2" xfId="38633"/>
    <cellStyle name="Normal 8 3 2 3 4 5" xfId="23919"/>
    <cellStyle name="Normal 8 3 2 3 5" xfId="2196"/>
    <cellStyle name="Normal 8 3 2 3 5 2" xfId="24364"/>
    <cellStyle name="Normal 8 3 2 3 6" xfId="3695"/>
    <cellStyle name="Normal 8 3 2 3 6 2" xfId="25862"/>
    <cellStyle name="Normal 8 3 2 3 7" xfId="21368"/>
    <cellStyle name="Normal 8 3 2 3 7 2" xfId="37580"/>
    <cellStyle name="Normal 8 3 2 3 8" xfId="22866"/>
    <cellStyle name="Normal 8 3 2 4" xfId="814"/>
    <cellStyle name="Normal 8 3 2 4 2" xfId="2313"/>
    <cellStyle name="Normal 8 3 2 4 2 2" xfId="24481"/>
    <cellStyle name="Normal 8 3 2 4 3" xfId="3812"/>
    <cellStyle name="Normal 8 3 2 4 3 2" xfId="25979"/>
    <cellStyle name="Normal 8 3 2 4 4" xfId="21485"/>
    <cellStyle name="Normal 8 3 2 4 4 2" xfId="37697"/>
    <cellStyle name="Normal 8 3 2 4 5" xfId="22983"/>
    <cellStyle name="Normal 8 3 2 5" xfId="1165"/>
    <cellStyle name="Normal 8 3 2 5 2" xfId="2664"/>
    <cellStyle name="Normal 8 3 2 5 2 2" xfId="24832"/>
    <cellStyle name="Normal 8 3 2 5 3" xfId="4163"/>
    <cellStyle name="Normal 8 3 2 5 3 2" xfId="26330"/>
    <cellStyle name="Normal 8 3 2 5 4" xfId="21836"/>
    <cellStyle name="Normal 8 3 2 5 4 2" xfId="38048"/>
    <cellStyle name="Normal 8 3 2 5 5" xfId="23334"/>
    <cellStyle name="Normal 8 3 2 6" xfId="1516"/>
    <cellStyle name="Normal 8 3 2 6 2" xfId="3015"/>
    <cellStyle name="Normal 8 3 2 6 2 2" xfId="25183"/>
    <cellStyle name="Normal 8 3 2 6 3" xfId="4514"/>
    <cellStyle name="Normal 8 3 2 6 3 2" xfId="26681"/>
    <cellStyle name="Normal 8 3 2 6 4" xfId="22187"/>
    <cellStyle name="Normal 8 3 2 6 4 2" xfId="38399"/>
    <cellStyle name="Normal 8 3 2 6 5" xfId="23685"/>
    <cellStyle name="Normal 8 3 2 7" xfId="1962"/>
    <cellStyle name="Normal 8 3 2 7 2" xfId="24130"/>
    <cellStyle name="Normal 8 3 2 8" xfId="3461"/>
    <cellStyle name="Normal 8 3 2 8 2" xfId="25628"/>
    <cellStyle name="Normal 8 3 2 9" xfId="21134"/>
    <cellStyle name="Normal 8 3 2 9 2" xfId="37346"/>
    <cellStyle name="Normal 8 3 3" xfId="527"/>
    <cellStyle name="Normal 8 3 3 2" xfId="879"/>
    <cellStyle name="Normal 8 3 3 2 2" xfId="2378"/>
    <cellStyle name="Normal 8 3 3 2 2 2" xfId="24546"/>
    <cellStyle name="Normal 8 3 3 2 3" xfId="3877"/>
    <cellStyle name="Normal 8 3 3 2 3 2" xfId="26044"/>
    <cellStyle name="Normal 8 3 3 2 4" xfId="21550"/>
    <cellStyle name="Normal 8 3 3 2 4 2" xfId="37762"/>
    <cellStyle name="Normal 8 3 3 2 5" xfId="23048"/>
    <cellStyle name="Normal 8 3 3 3" xfId="1230"/>
    <cellStyle name="Normal 8 3 3 3 2" xfId="2729"/>
    <cellStyle name="Normal 8 3 3 3 2 2" xfId="24897"/>
    <cellStyle name="Normal 8 3 3 3 3" xfId="4228"/>
    <cellStyle name="Normal 8 3 3 3 3 2" xfId="26395"/>
    <cellStyle name="Normal 8 3 3 3 4" xfId="21901"/>
    <cellStyle name="Normal 8 3 3 3 4 2" xfId="38113"/>
    <cellStyle name="Normal 8 3 3 3 5" xfId="23399"/>
    <cellStyle name="Normal 8 3 3 4" xfId="1581"/>
    <cellStyle name="Normal 8 3 3 4 2" xfId="3080"/>
    <cellStyle name="Normal 8 3 3 4 2 2" xfId="25248"/>
    <cellStyle name="Normal 8 3 3 4 3" xfId="4579"/>
    <cellStyle name="Normal 8 3 3 4 3 2" xfId="26746"/>
    <cellStyle name="Normal 8 3 3 4 4" xfId="22252"/>
    <cellStyle name="Normal 8 3 3 4 4 2" xfId="38464"/>
    <cellStyle name="Normal 8 3 3 4 5" xfId="23750"/>
    <cellStyle name="Normal 8 3 3 5" xfId="2027"/>
    <cellStyle name="Normal 8 3 3 5 2" xfId="24195"/>
    <cellStyle name="Normal 8 3 3 6" xfId="3526"/>
    <cellStyle name="Normal 8 3 3 6 2" xfId="25693"/>
    <cellStyle name="Normal 8 3 3 7" xfId="21199"/>
    <cellStyle name="Normal 8 3 3 7 2" xfId="37411"/>
    <cellStyle name="Normal 8 3 3 8" xfId="22697"/>
    <cellStyle name="Normal 8 3 4" xfId="645"/>
    <cellStyle name="Normal 8 3 4 2" xfId="996"/>
    <cellStyle name="Normal 8 3 4 2 2" xfId="2495"/>
    <cellStyle name="Normal 8 3 4 2 2 2" xfId="24663"/>
    <cellStyle name="Normal 8 3 4 2 3" xfId="3994"/>
    <cellStyle name="Normal 8 3 4 2 3 2" xfId="26161"/>
    <cellStyle name="Normal 8 3 4 2 4" xfId="21667"/>
    <cellStyle name="Normal 8 3 4 2 4 2" xfId="37879"/>
    <cellStyle name="Normal 8 3 4 2 5" xfId="23165"/>
    <cellStyle name="Normal 8 3 4 3" xfId="1347"/>
    <cellStyle name="Normal 8 3 4 3 2" xfId="2846"/>
    <cellStyle name="Normal 8 3 4 3 2 2" xfId="25014"/>
    <cellStyle name="Normal 8 3 4 3 3" xfId="4345"/>
    <cellStyle name="Normal 8 3 4 3 3 2" xfId="26512"/>
    <cellStyle name="Normal 8 3 4 3 4" xfId="22018"/>
    <cellStyle name="Normal 8 3 4 3 4 2" xfId="38230"/>
    <cellStyle name="Normal 8 3 4 3 5" xfId="23516"/>
    <cellStyle name="Normal 8 3 4 4" xfId="1698"/>
    <cellStyle name="Normal 8 3 4 4 2" xfId="3197"/>
    <cellStyle name="Normal 8 3 4 4 2 2" xfId="25365"/>
    <cellStyle name="Normal 8 3 4 4 3" xfId="4696"/>
    <cellStyle name="Normal 8 3 4 4 3 2" xfId="26863"/>
    <cellStyle name="Normal 8 3 4 4 4" xfId="22369"/>
    <cellStyle name="Normal 8 3 4 4 4 2" xfId="38581"/>
    <cellStyle name="Normal 8 3 4 4 5" xfId="23867"/>
    <cellStyle name="Normal 8 3 4 5" xfId="2144"/>
    <cellStyle name="Normal 8 3 4 5 2" xfId="24312"/>
    <cellStyle name="Normal 8 3 4 6" xfId="3643"/>
    <cellStyle name="Normal 8 3 4 6 2" xfId="25810"/>
    <cellStyle name="Normal 8 3 4 7" xfId="21316"/>
    <cellStyle name="Normal 8 3 4 7 2" xfId="37528"/>
    <cellStyle name="Normal 8 3 4 8" xfId="22814"/>
    <cellStyle name="Normal 8 3 5" xfId="762"/>
    <cellStyle name="Normal 8 3 5 2" xfId="2261"/>
    <cellStyle name="Normal 8 3 5 2 2" xfId="24429"/>
    <cellStyle name="Normal 8 3 5 3" xfId="3760"/>
    <cellStyle name="Normal 8 3 5 3 2" xfId="25927"/>
    <cellStyle name="Normal 8 3 5 4" xfId="21433"/>
    <cellStyle name="Normal 8 3 5 4 2" xfId="37645"/>
    <cellStyle name="Normal 8 3 5 5" xfId="22931"/>
    <cellStyle name="Normal 8 3 6" xfId="1113"/>
    <cellStyle name="Normal 8 3 6 2" xfId="2612"/>
    <cellStyle name="Normal 8 3 6 2 2" xfId="24780"/>
    <cellStyle name="Normal 8 3 6 3" xfId="4111"/>
    <cellStyle name="Normal 8 3 6 3 2" xfId="26278"/>
    <cellStyle name="Normal 8 3 6 4" xfId="21784"/>
    <cellStyle name="Normal 8 3 6 4 2" xfId="37996"/>
    <cellStyle name="Normal 8 3 6 5" xfId="23282"/>
    <cellStyle name="Normal 8 3 7" xfId="1464"/>
    <cellStyle name="Normal 8 3 7 2" xfId="2963"/>
    <cellStyle name="Normal 8 3 7 2 2" xfId="25131"/>
    <cellStyle name="Normal 8 3 7 3" xfId="4462"/>
    <cellStyle name="Normal 8 3 7 3 2" xfId="26629"/>
    <cellStyle name="Normal 8 3 7 4" xfId="22135"/>
    <cellStyle name="Normal 8 3 7 4 2" xfId="38347"/>
    <cellStyle name="Normal 8 3 7 5" xfId="23633"/>
    <cellStyle name="Normal 8 3 8" xfId="1910"/>
    <cellStyle name="Normal 8 3 8 2" xfId="24078"/>
    <cellStyle name="Normal 8 3 9" xfId="3409"/>
    <cellStyle name="Normal 8 3 9 2" xfId="25576"/>
    <cellStyle name="Normal 8 4" xfId="421"/>
    <cellStyle name="Normal 8 4 10" xfId="22592"/>
    <cellStyle name="Normal 8 4 2" xfId="539"/>
    <cellStyle name="Normal 8 4 2 2" xfId="891"/>
    <cellStyle name="Normal 8 4 2 2 2" xfId="2390"/>
    <cellStyle name="Normal 8 4 2 2 2 2" xfId="24558"/>
    <cellStyle name="Normal 8 4 2 2 3" xfId="3889"/>
    <cellStyle name="Normal 8 4 2 2 3 2" xfId="26056"/>
    <cellStyle name="Normal 8 4 2 2 4" xfId="21562"/>
    <cellStyle name="Normal 8 4 2 2 4 2" xfId="37774"/>
    <cellStyle name="Normal 8 4 2 2 5" xfId="23060"/>
    <cellStyle name="Normal 8 4 2 3" xfId="1242"/>
    <cellStyle name="Normal 8 4 2 3 2" xfId="2741"/>
    <cellStyle name="Normal 8 4 2 3 2 2" xfId="24909"/>
    <cellStyle name="Normal 8 4 2 3 3" xfId="4240"/>
    <cellStyle name="Normal 8 4 2 3 3 2" xfId="26407"/>
    <cellStyle name="Normal 8 4 2 3 4" xfId="21913"/>
    <cellStyle name="Normal 8 4 2 3 4 2" xfId="38125"/>
    <cellStyle name="Normal 8 4 2 3 5" xfId="23411"/>
    <cellStyle name="Normal 8 4 2 4" xfId="1593"/>
    <cellStyle name="Normal 8 4 2 4 2" xfId="3092"/>
    <cellStyle name="Normal 8 4 2 4 2 2" xfId="25260"/>
    <cellStyle name="Normal 8 4 2 4 3" xfId="4591"/>
    <cellStyle name="Normal 8 4 2 4 3 2" xfId="26758"/>
    <cellStyle name="Normal 8 4 2 4 4" xfId="22264"/>
    <cellStyle name="Normal 8 4 2 4 4 2" xfId="38476"/>
    <cellStyle name="Normal 8 4 2 4 5" xfId="23762"/>
    <cellStyle name="Normal 8 4 2 5" xfId="2039"/>
    <cellStyle name="Normal 8 4 2 5 2" xfId="24207"/>
    <cellStyle name="Normal 8 4 2 6" xfId="3538"/>
    <cellStyle name="Normal 8 4 2 6 2" xfId="25705"/>
    <cellStyle name="Normal 8 4 2 7" xfId="21211"/>
    <cellStyle name="Normal 8 4 2 7 2" xfId="37423"/>
    <cellStyle name="Normal 8 4 2 8" xfId="22709"/>
    <cellStyle name="Normal 8 4 3" xfId="657"/>
    <cellStyle name="Normal 8 4 3 2" xfId="1008"/>
    <cellStyle name="Normal 8 4 3 2 2" xfId="2507"/>
    <cellStyle name="Normal 8 4 3 2 2 2" xfId="24675"/>
    <cellStyle name="Normal 8 4 3 2 3" xfId="4006"/>
    <cellStyle name="Normal 8 4 3 2 3 2" xfId="26173"/>
    <cellStyle name="Normal 8 4 3 2 4" xfId="21679"/>
    <cellStyle name="Normal 8 4 3 2 4 2" xfId="37891"/>
    <cellStyle name="Normal 8 4 3 2 5" xfId="23177"/>
    <cellStyle name="Normal 8 4 3 3" xfId="1359"/>
    <cellStyle name="Normal 8 4 3 3 2" xfId="2858"/>
    <cellStyle name="Normal 8 4 3 3 2 2" xfId="25026"/>
    <cellStyle name="Normal 8 4 3 3 3" xfId="4357"/>
    <cellStyle name="Normal 8 4 3 3 3 2" xfId="26524"/>
    <cellStyle name="Normal 8 4 3 3 4" xfId="22030"/>
    <cellStyle name="Normal 8 4 3 3 4 2" xfId="38242"/>
    <cellStyle name="Normal 8 4 3 3 5" xfId="23528"/>
    <cellStyle name="Normal 8 4 3 4" xfId="1710"/>
    <cellStyle name="Normal 8 4 3 4 2" xfId="3209"/>
    <cellStyle name="Normal 8 4 3 4 2 2" xfId="25377"/>
    <cellStyle name="Normal 8 4 3 4 3" xfId="4708"/>
    <cellStyle name="Normal 8 4 3 4 3 2" xfId="26875"/>
    <cellStyle name="Normal 8 4 3 4 4" xfId="22381"/>
    <cellStyle name="Normal 8 4 3 4 4 2" xfId="38593"/>
    <cellStyle name="Normal 8 4 3 4 5" xfId="23879"/>
    <cellStyle name="Normal 8 4 3 5" xfId="2156"/>
    <cellStyle name="Normal 8 4 3 5 2" xfId="24324"/>
    <cellStyle name="Normal 8 4 3 6" xfId="3655"/>
    <cellStyle name="Normal 8 4 3 6 2" xfId="25822"/>
    <cellStyle name="Normal 8 4 3 7" xfId="21328"/>
    <cellStyle name="Normal 8 4 3 7 2" xfId="37540"/>
    <cellStyle name="Normal 8 4 3 8" xfId="22826"/>
    <cellStyle name="Normal 8 4 4" xfId="774"/>
    <cellStyle name="Normal 8 4 4 2" xfId="2273"/>
    <cellStyle name="Normal 8 4 4 2 2" xfId="24441"/>
    <cellStyle name="Normal 8 4 4 3" xfId="3772"/>
    <cellStyle name="Normal 8 4 4 3 2" xfId="25939"/>
    <cellStyle name="Normal 8 4 4 4" xfId="21445"/>
    <cellStyle name="Normal 8 4 4 4 2" xfId="37657"/>
    <cellStyle name="Normal 8 4 4 5" xfId="22943"/>
    <cellStyle name="Normal 8 4 5" xfId="1125"/>
    <cellStyle name="Normal 8 4 5 2" xfId="2624"/>
    <cellStyle name="Normal 8 4 5 2 2" xfId="24792"/>
    <cellStyle name="Normal 8 4 5 3" xfId="4123"/>
    <cellStyle name="Normal 8 4 5 3 2" xfId="26290"/>
    <cellStyle name="Normal 8 4 5 4" xfId="21796"/>
    <cellStyle name="Normal 8 4 5 4 2" xfId="38008"/>
    <cellStyle name="Normal 8 4 5 5" xfId="23294"/>
    <cellStyle name="Normal 8 4 6" xfId="1476"/>
    <cellStyle name="Normal 8 4 6 2" xfId="2975"/>
    <cellStyle name="Normal 8 4 6 2 2" xfId="25143"/>
    <cellStyle name="Normal 8 4 6 3" xfId="4474"/>
    <cellStyle name="Normal 8 4 6 3 2" xfId="26641"/>
    <cellStyle name="Normal 8 4 6 4" xfId="22147"/>
    <cellStyle name="Normal 8 4 6 4 2" xfId="38359"/>
    <cellStyle name="Normal 8 4 6 5" xfId="23645"/>
    <cellStyle name="Normal 8 4 7" xfId="1922"/>
    <cellStyle name="Normal 8 4 7 2" xfId="24090"/>
    <cellStyle name="Normal 8 4 8" xfId="3421"/>
    <cellStyle name="Normal 8 4 8 2" xfId="25588"/>
    <cellStyle name="Normal 8 4 9" xfId="21094"/>
    <cellStyle name="Normal 8 4 9 2" xfId="37306"/>
    <cellStyle name="Normal 8 5" xfId="433"/>
    <cellStyle name="Normal 8 5 10" xfId="22604"/>
    <cellStyle name="Normal 8 5 2" xfId="551"/>
    <cellStyle name="Normal 8 5 2 2" xfId="903"/>
    <cellStyle name="Normal 8 5 2 2 2" xfId="2402"/>
    <cellStyle name="Normal 8 5 2 2 2 2" xfId="24570"/>
    <cellStyle name="Normal 8 5 2 2 3" xfId="3901"/>
    <cellStyle name="Normal 8 5 2 2 3 2" xfId="26068"/>
    <cellStyle name="Normal 8 5 2 2 4" xfId="21574"/>
    <cellStyle name="Normal 8 5 2 2 4 2" xfId="37786"/>
    <cellStyle name="Normal 8 5 2 2 5" xfId="23072"/>
    <cellStyle name="Normal 8 5 2 3" xfId="1254"/>
    <cellStyle name="Normal 8 5 2 3 2" xfId="2753"/>
    <cellStyle name="Normal 8 5 2 3 2 2" xfId="24921"/>
    <cellStyle name="Normal 8 5 2 3 3" xfId="4252"/>
    <cellStyle name="Normal 8 5 2 3 3 2" xfId="26419"/>
    <cellStyle name="Normal 8 5 2 3 4" xfId="21925"/>
    <cellStyle name="Normal 8 5 2 3 4 2" xfId="38137"/>
    <cellStyle name="Normal 8 5 2 3 5" xfId="23423"/>
    <cellStyle name="Normal 8 5 2 4" xfId="1605"/>
    <cellStyle name="Normal 8 5 2 4 2" xfId="3104"/>
    <cellStyle name="Normal 8 5 2 4 2 2" xfId="25272"/>
    <cellStyle name="Normal 8 5 2 4 3" xfId="4603"/>
    <cellStyle name="Normal 8 5 2 4 3 2" xfId="26770"/>
    <cellStyle name="Normal 8 5 2 4 4" xfId="22276"/>
    <cellStyle name="Normal 8 5 2 4 4 2" xfId="38488"/>
    <cellStyle name="Normal 8 5 2 4 5" xfId="23774"/>
    <cellStyle name="Normal 8 5 2 5" xfId="2051"/>
    <cellStyle name="Normal 8 5 2 5 2" xfId="24219"/>
    <cellStyle name="Normal 8 5 2 6" xfId="3550"/>
    <cellStyle name="Normal 8 5 2 6 2" xfId="25717"/>
    <cellStyle name="Normal 8 5 2 7" xfId="21223"/>
    <cellStyle name="Normal 8 5 2 7 2" xfId="37435"/>
    <cellStyle name="Normal 8 5 2 8" xfId="22721"/>
    <cellStyle name="Normal 8 5 3" xfId="669"/>
    <cellStyle name="Normal 8 5 3 2" xfId="1020"/>
    <cellStyle name="Normal 8 5 3 2 2" xfId="2519"/>
    <cellStyle name="Normal 8 5 3 2 2 2" xfId="24687"/>
    <cellStyle name="Normal 8 5 3 2 3" xfId="4018"/>
    <cellStyle name="Normal 8 5 3 2 3 2" xfId="26185"/>
    <cellStyle name="Normal 8 5 3 2 4" xfId="21691"/>
    <cellStyle name="Normal 8 5 3 2 4 2" xfId="37903"/>
    <cellStyle name="Normal 8 5 3 2 5" xfId="23189"/>
    <cellStyle name="Normal 8 5 3 3" xfId="1371"/>
    <cellStyle name="Normal 8 5 3 3 2" xfId="2870"/>
    <cellStyle name="Normal 8 5 3 3 2 2" xfId="25038"/>
    <cellStyle name="Normal 8 5 3 3 3" xfId="4369"/>
    <cellStyle name="Normal 8 5 3 3 3 2" xfId="26536"/>
    <cellStyle name="Normal 8 5 3 3 4" xfId="22042"/>
    <cellStyle name="Normal 8 5 3 3 4 2" xfId="38254"/>
    <cellStyle name="Normal 8 5 3 3 5" xfId="23540"/>
    <cellStyle name="Normal 8 5 3 4" xfId="1722"/>
    <cellStyle name="Normal 8 5 3 4 2" xfId="3221"/>
    <cellStyle name="Normal 8 5 3 4 2 2" xfId="25389"/>
    <cellStyle name="Normal 8 5 3 4 3" xfId="4720"/>
    <cellStyle name="Normal 8 5 3 4 3 2" xfId="26887"/>
    <cellStyle name="Normal 8 5 3 4 4" xfId="22393"/>
    <cellStyle name="Normal 8 5 3 4 4 2" xfId="38605"/>
    <cellStyle name="Normal 8 5 3 4 5" xfId="23891"/>
    <cellStyle name="Normal 8 5 3 5" xfId="2168"/>
    <cellStyle name="Normal 8 5 3 5 2" xfId="24336"/>
    <cellStyle name="Normal 8 5 3 6" xfId="3667"/>
    <cellStyle name="Normal 8 5 3 6 2" xfId="25834"/>
    <cellStyle name="Normal 8 5 3 7" xfId="21340"/>
    <cellStyle name="Normal 8 5 3 7 2" xfId="37552"/>
    <cellStyle name="Normal 8 5 3 8" xfId="22838"/>
    <cellStyle name="Normal 8 5 4" xfId="786"/>
    <cellStyle name="Normal 8 5 4 2" xfId="2285"/>
    <cellStyle name="Normal 8 5 4 2 2" xfId="24453"/>
    <cellStyle name="Normal 8 5 4 3" xfId="3784"/>
    <cellStyle name="Normal 8 5 4 3 2" xfId="25951"/>
    <cellStyle name="Normal 8 5 4 4" xfId="21457"/>
    <cellStyle name="Normal 8 5 4 4 2" xfId="37669"/>
    <cellStyle name="Normal 8 5 4 5" xfId="22955"/>
    <cellStyle name="Normal 8 5 5" xfId="1137"/>
    <cellStyle name="Normal 8 5 5 2" xfId="2636"/>
    <cellStyle name="Normal 8 5 5 2 2" xfId="24804"/>
    <cellStyle name="Normal 8 5 5 3" xfId="4135"/>
    <cellStyle name="Normal 8 5 5 3 2" xfId="26302"/>
    <cellStyle name="Normal 8 5 5 4" xfId="21808"/>
    <cellStyle name="Normal 8 5 5 4 2" xfId="38020"/>
    <cellStyle name="Normal 8 5 5 5" xfId="23306"/>
    <cellStyle name="Normal 8 5 6" xfId="1488"/>
    <cellStyle name="Normal 8 5 6 2" xfId="2987"/>
    <cellStyle name="Normal 8 5 6 2 2" xfId="25155"/>
    <cellStyle name="Normal 8 5 6 3" xfId="4486"/>
    <cellStyle name="Normal 8 5 6 3 2" xfId="26653"/>
    <cellStyle name="Normal 8 5 6 4" xfId="22159"/>
    <cellStyle name="Normal 8 5 6 4 2" xfId="38371"/>
    <cellStyle name="Normal 8 5 6 5" xfId="23657"/>
    <cellStyle name="Normal 8 5 7" xfId="1934"/>
    <cellStyle name="Normal 8 5 7 2" xfId="24102"/>
    <cellStyle name="Normal 8 5 8" xfId="3433"/>
    <cellStyle name="Normal 8 5 8 2" xfId="25600"/>
    <cellStyle name="Normal 8 5 9" xfId="21106"/>
    <cellStyle name="Normal 8 5 9 2" xfId="37318"/>
    <cellStyle name="Normal 8 6" xfId="440"/>
    <cellStyle name="Normal 8 6 10" xfId="22611"/>
    <cellStyle name="Normal 8 6 2" xfId="558"/>
    <cellStyle name="Normal 8 6 2 2" xfId="910"/>
    <cellStyle name="Normal 8 6 2 2 2" xfId="2409"/>
    <cellStyle name="Normal 8 6 2 2 2 2" xfId="24577"/>
    <cellStyle name="Normal 8 6 2 2 3" xfId="3908"/>
    <cellStyle name="Normal 8 6 2 2 3 2" xfId="26075"/>
    <cellStyle name="Normal 8 6 2 2 4" xfId="21581"/>
    <cellStyle name="Normal 8 6 2 2 4 2" xfId="37793"/>
    <cellStyle name="Normal 8 6 2 2 5" xfId="23079"/>
    <cellStyle name="Normal 8 6 2 3" xfId="1261"/>
    <cellStyle name="Normal 8 6 2 3 2" xfId="2760"/>
    <cellStyle name="Normal 8 6 2 3 2 2" xfId="24928"/>
    <cellStyle name="Normal 8 6 2 3 3" xfId="4259"/>
    <cellStyle name="Normal 8 6 2 3 3 2" xfId="26426"/>
    <cellStyle name="Normal 8 6 2 3 4" xfId="21932"/>
    <cellStyle name="Normal 8 6 2 3 4 2" xfId="38144"/>
    <cellStyle name="Normal 8 6 2 3 5" xfId="23430"/>
    <cellStyle name="Normal 8 6 2 4" xfId="1612"/>
    <cellStyle name="Normal 8 6 2 4 2" xfId="3111"/>
    <cellStyle name="Normal 8 6 2 4 2 2" xfId="25279"/>
    <cellStyle name="Normal 8 6 2 4 3" xfId="4610"/>
    <cellStyle name="Normal 8 6 2 4 3 2" xfId="26777"/>
    <cellStyle name="Normal 8 6 2 4 4" xfId="22283"/>
    <cellStyle name="Normal 8 6 2 4 4 2" xfId="38495"/>
    <cellStyle name="Normal 8 6 2 4 5" xfId="23781"/>
    <cellStyle name="Normal 8 6 2 5" xfId="2058"/>
    <cellStyle name="Normal 8 6 2 5 2" xfId="24226"/>
    <cellStyle name="Normal 8 6 2 6" xfId="3557"/>
    <cellStyle name="Normal 8 6 2 6 2" xfId="25724"/>
    <cellStyle name="Normal 8 6 2 7" xfId="21230"/>
    <cellStyle name="Normal 8 6 2 7 2" xfId="37442"/>
    <cellStyle name="Normal 8 6 2 8" xfId="22728"/>
    <cellStyle name="Normal 8 6 3" xfId="676"/>
    <cellStyle name="Normal 8 6 3 2" xfId="1027"/>
    <cellStyle name="Normal 8 6 3 2 2" xfId="2526"/>
    <cellStyle name="Normal 8 6 3 2 2 2" xfId="24694"/>
    <cellStyle name="Normal 8 6 3 2 3" xfId="4025"/>
    <cellStyle name="Normal 8 6 3 2 3 2" xfId="26192"/>
    <cellStyle name="Normal 8 6 3 2 4" xfId="21698"/>
    <cellStyle name="Normal 8 6 3 2 4 2" xfId="37910"/>
    <cellStyle name="Normal 8 6 3 2 5" xfId="23196"/>
    <cellStyle name="Normal 8 6 3 3" xfId="1378"/>
    <cellStyle name="Normal 8 6 3 3 2" xfId="2877"/>
    <cellStyle name="Normal 8 6 3 3 2 2" xfId="25045"/>
    <cellStyle name="Normal 8 6 3 3 3" xfId="4376"/>
    <cellStyle name="Normal 8 6 3 3 3 2" xfId="26543"/>
    <cellStyle name="Normal 8 6 3 3 4" xfId="22049"/>
    <cellStyle name="Normal 8 6 3 3 4 2" xfId="38261"/>
    <cellStyle name="Normal 8 6 3 3 5" xfId="23547"/>
    <cellStyle name="Normal 8 6 3 4" xfId="1729"/>
    <cellStyle name="Normal 8 6 3 4 2" xfId="3228"/>
    <cellStyle name="Normal 8 6 3 4 2 2" xfId="25396"/>
    <cellStyle name="Normal 8 6 3 4 3" xfId="4727"/>
    <cellStyle name="Normal 8 6 3 4 3 2" xfId="26894"/>
    <cellStyle name="Normal 8 6 3 4 4" xfId="22400"/>
    <cellStyle name="Normal 8 6 3 4 4 2" xfId="38612"/>
    <cellStyle name="Normal 8 6 3 4 5" xfId="23898"/>
    <cellStyle name="Normal 8 6 3 5" xfId="2175"/>
    <cellStyle name="Normal 8 6 3 5 2" xfId="24343"/>
    <cellStyle name="Normal 8 6 3 6" xfId="3674"/>
    <cellStyle name="Normal 8 6 3 6 2" xfId="25841"/>
    <cellStyle name="Normal 8 6 3 7" xfId="21347"/>
    <cellStyle name="Normal 8 6 3 7 2" xfId="37559"/>
    <cellStyle name="Normal 8 6 3 8" xfId="22845"/>
    <cellStyle name="Normal 8 6 4" xfId="793"/>
    <cellStyle name="Normal 8 6 4 2" xfId="2292"/>
    <cellStyle name="Normal 8 6 4 2 2" xfId="24460"/>
    <cellStyle name="Normal 8 6 4 3" xfId="3791"/>
    <cellStyle name="Normal 8 6 4 3 2" xfId="25958"/>
    <cellStyle name="Normal 8 6 4 4" xfId="21464"/>
    <cellStyle name="Normal 8 6 4 4 2" xfId="37676"/>
    <cellStyle name="Normal 8 6 4 5" xfId="22962"/>
    <cellStyle name="Normal 8 6 5" xfId="1144"/>
    <cellStyle name="Normal 8 6 5 2" xfId="2643"/>
    <cellStyle name="Normal 8 6 5 2 2" xfId="24811"/>
    <cellStyle name="Normal 8 6 5 3" xfId="4142"/>
    <cellStyle name="Normal 8 6 5 3 2" xfId="26309"/>
    <cellStyle name="Normal 8 6 5 4" xfId="21815"/>
    <cellStyle name="Normal 8 6 5 4 2" xfId="38027"/>
    <cellStyle name="Normal 8 6 5 5" xfId="23313"/>
    <cellStyle name="Normal 8 6 6" xfId="1495"/>
    <cellStyle name="Normal 8 6 6 2" xfId="2994"/>
    <cellStyle name="Normal 8 6 6 2 2" xfId="25162"/>
    <cellStyle name="Normal 8 6 6 3" xfId="4493"/>
    <cellStyle name="Normal 8 6 6 3 2" xfId="26660"/>
    <cellStyle name="Normal 8 6 6 4" xfId="22166"/>
    <cellStyle name="Normal 8 6 6 4 2" xfId="38378"/>
    <cellStyle name="Normal 8 6 6 5" xfId="23664"/>
    <cellStyle name="Normal 8 6 7" xfId="1941"/>
    <cellStyle name="Normal 8 6 7 2" xfId="24109"/>
    <cellStyle name="Normal 8 6 8" xfId="3440"/>
    <cellStyle name="Normal 8 6 8 2" xfId="25607"/>
    <cellStyle name="Normal 8 6 9" xfId="21113"/>
    <cellStyle name="Normal 8 6 9 2" xfId="37325"/>
    <cellStyle name="Normal 8 7" xfId="445"/>
    <cellStyle name="Normal 8 7 10" xfId="22616"/>
    <cellStyle name="Normal 8 7 2" xfId="563"/>
    <cellStyle name="Normal 8 7 2 2" xfId="915"/>
    <cellStyle name="Normal 8 7 2 2 2" xfId="2414"/>
    <cellStyle name="Normal 8 7 2 2 2 2" xfId="24582"/>
    <cellStyle name="Normal 8 7 2 2 3" xfId="3913"/>
    <cellStyle name="Normal 8 7 2 2 3 2" xfId="26080"/>
    <cellStyle name="Normal 8 7 2 2 4" xfId="21586"/>
    <cellStyle name="Normal 8 7 2 2 4 2" xfId="37798"/>
    <cellStyle name="Normal 8 7 2 2 5" xfId="23084"/>
    <cellStyle name="Normal 8 7 2 3" xfId="1266"/>
    <cellStyle name="Normal 8 7 2 3 2" xfId="2765"/>
    <cellStyle name="Normal 8 7 2 3 2 2" xfId="24933"/>
    <cellStyle name="Normal 8 7 2 3 3" xfId="4264"/>
    <cellStyle name="Normal 8 7 2 3 3 2" xfId="26431"/>
    <cellStyle name="Normal 8 7 2 3 4" xfId="21937"/>
    <cellStyle name="Normal 8 7 2 3 4 2" xfId="38149"/>
    <cellStyle name="Normal 8 7 2 3 5" xfId="23435"/>
    <cellStyle name="Normal 8 7 2 4" xfId="1617"/>
    <cellStyle name="Normal 8 7 2 4 2" xfId="3116"/>
    <cellStyle name="Normal 8 7 2 4 2 2" xfId="25284"/>
    <cellStyle name="Normal 8 7 2 4 3" xfId="4615"/>
    <cellStyle name="Normal 8 7 2 4 3 2" xfId="26782"/>
    <cellStyle name="Normal 8 7 2 4 4" xfId="22288"/>
    <cellStyle name="Normal 8 7 2 4 4 2" xfId="38500"/>
    <cellStyle name="Normal 8 7 2 4 5" xfId="23786"/>
    <cellStyle name="Normal 8 7 2 5" xfId="2063"/>
    <cellStyle name="Normal 8 7 2 5 2" xfId="24231"/>
    <cellStyle name="Normal 8 7 2 6" xfId="3562"/>
    <cellStyle name="Normal 8 7 2 6 2" xfId="25729"/>
    <cellStyle name="Normal 8 7 2 7" xfId="21235"/>
    <cellStyle name="Normal 8 7 2 7 2" xfId="37447"/>
    <cellStyle name="Normal 8 7 2 8" xfId="22733"/>
    <cellStyle name="Normal 8 7 3" xfId="681"/>
    <cellStyle name="Normal 8 7 3 2" xfId="1032"/>
    <cellStyle name="Normal 8 7 3 2 2" xfId="2531"/>
    <cellStyle name="Normal 8 7 3 2 2 2" xfId="24699"/>
    <cellStyle name="Normal 8 7 3 2 3" xfId="4030"/>
    <cellStyle name="Normal 8 7 3 2 3 2" xfId="26197"/>
    <cellStyle name="Normal 8 7 3 2 4" xfId="21703"/>
    <cellStyle name="Normal 8 7 3 2 4 2" xfId="37915"/>
    <cellStyle name="Normal 8 7 3 2 5" xfId="23201"/>
    <cellStyle name="Normal 8 7 3 3" xfId="1383"/>
    <cellStyle name="Normal 8 7 3 3 2" xfId="2882"/>
    <cellStyle name="Normal 8 7 3 3 2 2" xfId="25050"/>
    <cellStyle name="Normal 8 7 3 3 3" xfId="4381"/>
    <cellStyle name="Normal 8 7 3 3 3 2" xfId="26548"/>
    <cellStyle name="Normal 8 7 3 3 4" xfId="22054"/>
    <cellStyle name="Normal 8 7 3 3 4 2" xfId="38266"/>
    <cellStyle name="Normal 8 7 3 3 5" xfId="23552"/>
    <cellStyle name="Normal 8 7 3 4" xfId="1734"/>
    <cellStyle name="Normal 8 7 3 4 2" xfId="3233"/>
    <cellStyle name="Normal 8 7 3 4 2 2" xfId="25401"/>
    <cellStyle name="Normal 8 7 3 4 3" xfId="4732"/>
    <cellStyle name="Normal 8 7 3 4 3 2" xfId="26899"/>
    <cellStyle name="Normal 8 7 3 4 4" xfId="22405"/>
    <cellStyle name="Normal 8 7 3 4 4 2" xfId="38617"/>
    <cellStyle name="Normal 8 7 3 4 5" xfId="23903"/>
    <cellStyle name="Normal 8 7 3 5" xfId="2180"/>
    <cellStyle name="Normal 8 7 3 5 2" xfId="24348"/>
    <cellStyle name="Normal 8 7 3 6" xfId="3679"/>
    <cellStyle name="Normal 8 7 3 6 2" xfId="25846"/>
    <cellStyle name="Normal 8 7 3 7" xfId="21352"/>
    <cellStyle name="Normal 8 7 3 7 2" xfId="37564"/>
    <cellStyle name="Normal 8 7 3 8" xfId="22850"/>
    <cellStyle name="Normal 8 7 4" xfId="798"/>
    <cellStyle name="Normal 8 7 4 2" xfId="2297"/>
    <cellStyle name="Normal 8 7 4 2 2" xfId="24465"/>
    <cellStyle name="Normal 8 7 4 3" xfId="3796"/>
    <cellStyle name="Normal 8 7 4 3 2" xfId="25963"/>
    <cellStyle name="Normal 8 7 4 4" xfId="21469"/>
    <cellStyle name="Normal 8 7 4 4 2" xfId="37681"/>
    <cellStyle name="Normal 8 7 4 5" xfId="22967"/>
    <cellStyle name="Normal 8 7 5" xfId="1149"/>
    <cellStyle name="Normal 8 7 5 2" xfId="2648"/>
    <cellStyle name="Normal 8 7 5 2 2" xfId="24816"/>
    <cellStyle name="Normal 8 7 5 3" xfId="4147"/>
    <cellStyle name="Normal 8 7 5 3 2" xfId="26314"/>
    <cellStyle name="Normal 8 7 5 4" xfId="21820"/>
    <cellStyle name="Normal 8 7 5 4 2" xfId="38032"/>
    <cellStyle name="Normal 8 7 5 5" xfId="23318"/>
    <cellStyle name="Normal 8 7 6" xfId="1500"/>
    <cellStyle name="Normal 8 7 6 2" xfId="2999"/>
    <cellStyle name="Normal 8 7 6 2 2" xfId="25167"/>
    <cellStyle name="Normal 8 7 6 3" xfId="4498"/>
    <cellStyle name="Normal 8 7 6 3 2" xfId="26665"/>
    <cellStyle name="Normal 8 7 6 4" xfId="22171"/>
    <cellStyle name="Normal 8 7 6 4 2" xfId="38383"/>
    <cellStyle name="Normal 8 7 6 5" xfId="23669"/>
    <cellStyle name="Normal 8 7 7" xfId="1946"/>
    <cellStyle name="Normal 8 7 7 2" xfId="24114"/>
    <cellStyle name="Normal 8 7 8" xfId="3445"/>
    <cellStyle name="Normal 8 7 8 2" xfId="25612"/>
    <cellStyle name="Normal 8 7 9" xfId="21118"/>
    <cellStyle name="Normal 8 7 9 2" xfId="37330"/>
    <cellStyle name="Normal 8 8" xfId="466"/>
    <cellStyle name="Normal 8 8 10" xfId="22637"/>
    <cellStyle name="Normal 8 8 2" xfId="584"/>
    <cellStyle name="Normal 8 8 2 2" xfId="936"/>
    <cellStyle name="Normal 8 8 2 2 2" xfId="2435"/>
    <cellStyle name="Normal 8 8 2 2 2 2" xfId="24603"/>
    <cellStyle name="Normal 8 8 2 2 3" xfId="3934"/>
    <cellStyle name="Normal 8 8 2 2 3 2" xfId="26101"/>
    <cellStyle name="Normal 8 8 2 2 4" xfId="21607"/>
    <cellStyle name="Normal 8 8 2 2 4 2" xfId="37819"/>
    <cellStyle name="Normal 8 8 2 2 5" xfId="23105"/>
    <cellStyle name="Normal 8 8 2 3" xfId="1287"/>
    <cellStyle name="Normal 8 8 2 3 2" xfId="2786"/>
    <cellStyle name="Normal 8 8 2 3 2 2" xfId="24954"/>
    <cellStyle name="Normal 8 8 2 3 3" xfId="4285"/>
    <cellStyle name="Normal 8 8 2 3 3 2" xfId="26452"/>
    <cellStyle name="Normal 8 8 2 3 4" xfId="21958"/>
    <cellStyle name="Normal 8 8 2 3 4 2" xfId="38170"/>
    <cellStyle name="Normal 8 8 2 3 5" xfId="23456"/>
    <cellStyle name="Normal 8 8 2 4" xfId="1638"/>
    <cellStyle name="Normal 8 8 2 4 2" xfId="3137"/>
    <cellStyle name="Normal 8 8 2 4 2 2" xfId="25305"/>
    <cellStyle name="Normal 8 8 2 4 3" xfId="4636"/>
    <cellStyle name="Normal 8 8 2 4 3 2" xfId="26803"/>
    <cellStyle name="Normal 8 8 2 4 4" xfId="22309"/>
    <cellStyle name="Normal 8 8 2 4 4 2" xfId="38521"/>
    <cellStyle name="Normal 8 8 2 4 5" xfId="23807"/>
    <cellStyle name="Normal 8 8 2 5" xfId="2084"/>
    <cellStyle name="Normal 8 8 2 5 2" xfId="24252"/>
    <cellStyle name="Normal 8 8 2 6" xfId="3583"/>
    <cellStyle name="Normal 8 8 2 6 2" xfId="25750"/>
    <cellStyle name="Normal 8 8 2 7" xfId="21256"/>
    <cellStyle name="Normal 8 8 2 7 2" xfId="37468"/>
    <cellStyle name="Normal 8 8 2 8" xfId="22754"/>
    <cellStyle name="Normal 8 8 3" xfId="702"/>
    <cellStyle name="Normal 8 8 3 2" xfId="1053"/>
    <cellStyle name="Normal 8 8 3 2 2" xfId="2552"/>
    <cellStyle name="Normal 8 8 3 2 2 2" xfId="24720"/>
    <cellStyle name="Normal 8 8 3 2 3" xfId="4051"/>
    <cellStyle name="Normal 8 8 3 2 3 2" xfId="26218"/>
    <cellStyle name="Normal 8 8 3 2 4" xfId="21724"/>
    <cellStyle name="Normal 8 8 3 2 4 2" xfId="37936"/>
    <cellStyle name="Normal 8 8 3 2 5" xfId="23222"/>
    <cellStyle name="Normal 8 8 3 3" xfId="1404"/>
    <cellStyle name="Normal 8 8 3 3 2" xfId="2903"/>
    <cellStyle name="Normal 8 8 3 3 2 2" xfId="25071"/>
    <cellStyle name="Normal 8 8 3 3 3" xfId="4402"/>
    <cellStyle name="Normal 8 8 3 3 3 2" xfId="26569"/>
    <cellStyle name="Normal 8 8 3 3 4" xfId="22075"/>
    <cellStyle name="Normal 8 8 3 3 4 2" xfId="38287"/>
    <cellStyle name="Normal 8 8 3 3 5" xfId="23573"/>
    <cellStyle name="Normal 8 8 3 4" xfId="1755"/>
    <cellStyle name="Normal 8 8 3 4 2" xfId="3254"/>
    <cellStyle name="Normal 8 8 3 4 2 2" xfId="25422"/>
    <cellStyle name="Normal 8 8 3 4 3" xfId="4753"/>
    <cellStyle name="Normal 8 8 3 4 3 2" xfId="26920"/>
    <cellStyle name="Normal 8 8 3 4 4" xfId="22426"/>
    <cellStyle name="Normal 8 8 3 4 4 2" xfId="38638"/>
    <cellStyle name="Normal 8 8 3 4 5" xfId="23924"/>
    <cellStyle name="Normal 8 8 3 5" xfId="2201"/>
    <cellStyle name="Normal 8 8 3 5 2" xfId="24369"/>
    <cellStyle name="Normal 8 8 3 6" xfId="3700"/>
    <cellStyle name="Normal 8 8 3 6 2" xfId="25867"/>
    <cellStyle name="Normal 8 8 3 7" xfId="21373"/>
    <cellStyle name="Normal 8 8 3 7 2" xfId="37585"/>
    <cellStyle name="Normal 8 8 3 8" xfId="22871"/>
    <cellStyle name="Normal 8 8 4" xfId="819"/>
    <cellStyle name="Normal 8 8 4 2" xfId="2318"/>
    <cellStyle name="Normal 8 8 4 2 2" xfId="24486"/>
    <cellStyle name="Normal 8 8 4 3" xfId="3817"/>
    <cellStyle name="Normal 8 8 4 3 2" xfId="25984"/>
    <cellStyle name="Normal 8 8 4 4" xfId="21490"/>
    <cellStyle name="Normal 8 8 4 4 2" xfId="37702"/>
    <cellStyle name="Normal 8 8 4 5" xfId="22988"/>
    <cellStyle name="Normal 8 8 5" xfId="1170"/>
    <cellStyle name="Normal 8 8 5 2" xfId="2669"/>
    <cellStyle name="Normal 8 8 5 2 2" xfId="24837"/>
    <cellStyle name="Normal 8 8 5 3" xfId="4168"/>
    <cellStyle name="Normal 8 8 5 3 2" xfId="26335"/>
    <cellStyle name="Normal 8 8 5 4" xfId="21841"/>
    <cellStyle name="Normal 8 8 5 4 2" xfId="38053"/>
    <cellStyle name="Normal 8 8 5 5" xfId="23339"/>
    <cellStyle name="Normal 8 8 6" xfId="1521"/>
    <cellStyle name="Normal 8 8 6 2" xfId="3020"/>
    <cellStyle name="Normal 8 8 6 2 2" xfId="25188"/>
    <cellStyle name="Normal 8 8 6 3" xfId="4519"/>
    <cellStyle name="Normal 8 8 6 3 2" xfId="26686"/>
    <cellStyle name="Normal 8 8 6 4" xfId="22192"/>
    <cellStyle name="Normal 8 8 6 4 2" xfId="38404"/>
    <cellStyle name="Normal 8 8 6 5" xfId="23690"/>
    <cellStyle name="Normal 8 8 7" xfId="1967"/>
    <cellStyle name="Normal 8 8 7 2" xfId="24135"/>
    <cellStyle name="Normal 8 8 8" xfId="3466"/>
    <cellStyle name="Normal 8 8 8 2" xfId="25633"/>
    <cellStyle name="Normal 8 8 9" xfId="21139"/>
    <cellStyle name="Normal 8 8 9 2" xfId="37351"/>
    <cellStyle name="Normal 8 9" xfId="479"/>
    <cellStyle name="Normal 8 9 10" xfId="22650"/>
    <cellStyle name="Normal 8 9 2" xfId="597"/>
    <cellStyle name="Normal 8 9 2 2" xfId="949"/>
    <cellStyle name="Normal 8 9 2 2 2" xfId="2448"/>
    <cellStyle name="Normal 8 9 2 2 2 2" xfId="24616"/>
    <cellStyle name="Normal 8 9 2 2 3" xfId="3947"/>
    <cellStyle name="Normal 8 9 2 2 3 2" xfId="26114"/>
    <cellStyle name="Normal 8 9 2 2 4" xfId="21620"/>
    <cellStyle name="Normal 8 9 2 2 4 2" xfId="37832"/>
    <cellStyle name="Normal 8 9 2 2 5" xfId="23118"/>
    <cellStyle name="Normal 8 9 2 3" xfId="1300"/>
    <cellStyle name="Normal 8 9 2 3 2" xfId="2799"/>
    <cellStyle name="Normal 8 9 2 3 2 2" xfId="24967"/>
    <cellStyle name="Normal 8 9 2 3 3" xfId="4298"/>
    <cellStyle name="Normal 8 9 2 3 3 2" xfId="26465"/>
    <cellStyle name="Normal 8 9 2 3 4" xfId="21971"/>
    <cellStyle name="Normal 8 9 2 3 4 2" xfId="38183"/>
    <cellStyle name="Normal 8 9 2 3 5" xfId="23469"/>
    <cellStyle name="Normal 8 9 2 4" xfId="1651"/>
    <cellStyle name="Normal 8 9 2 4 2" xfId="3150"/>
    <cellStyle name="Normal 8 9 2 4 2 2" xfId="25318"/>
    <cellStyle name="Normal 8 9 2 4 3" xfId="4649"/>
    <cellStyle name="Normal 8 9 2 4 3 2" xfId="26816"/>
    <cellStyle name="Normal 8 9 2 4 4" xfId="22322"/>
    <cellStyle name="Normal 8 9 2 4 4 2" xfId="38534"/>
    <cellStyle name="Normal 8 9 2 4 5" xfId="23820"/>
    <cellStyle name="Normal 8 9 2 5" xfId="2097"/>
    <cellStyle name="Normal 8 9 2 5 2" xfId="24265"/>
    <cellStyle name="Normal 8 9 2 6" xfId="3596"/>
    <cellStyle name="Normal 8 9 2 6 2" xfId="25763"/>
    <cellStyle name="Normal 8 9 2 7" xfId="21269"/>
    <cellStyle name="Normal 8 9 2 7 2" xfId="37481"/>
    <cellStyle name="Normal 8 9 2 8" xfId="22767"/>
    <cellStyle name="Normal 8 9 3" xfId="715"/>
    <cellStyle name="Normal 8 9 3 2" xfId="1066"/>
    <cellStyle name="Normal 8 9 3 2 2" xfId="2565"/>
    <cellStyle name="Normal 8 9 3 2 2 2" xfId="24733"/>
    <cellStyle name="Normal 8 9 3 2 3" xfId="4064"/>
    <cellStyle name="Normal 8 9 3 2 3 2" xfId="26231"/>
    <cellStyle name="Normal 8 9 3 2 4" xfId="21737"/>
    <cellStyle name="Normal 8 9 3 2 4 2" xfId="37949"/>
    <cellStyle name="Normal 8 9 3 2 5" xfId="23235"/>
    <cellStyle name="Normal 8 9 3 3" xfId="1417"/>
    <cellStyle name="Normal 8 9 3 3 2" xfId="2916"/>
    <cellStyle name="Normal 8 9 3 3 2 2" xfId="25084"/>
    <cellStyle name="Normal 8 9 3 3 3" xfId="4415"/>
    <cellStyle name="Normal 8 9 3 3 3 2" xfId="26582"/>
    <cellStyle name="Normal 8 9 3 3 4" xfId="22088"/>
    <cellStyle name="Normal 8 9 3 3 4 2" xfId="38300"/>
    <cellStyle name="Normal 8 9 3 3 5" xfId="23586"/>
    <cellStyle name="Normal 8 9 3 4" xfId="1768"/>
    <cellStyle name="Normal 8 9 3 4 2" xfId="3267"/>
    <cellStyle name="Normal 8 9 3 4 2 2" xfId="25435"/>
    <cellStyle name="Normal 8 9 3 4 3" xfId="4766"/>
    <cellStyle name="Normal 8 9 3 4 3 2" xfId="26933"/>
    <cellStyle name="Normal 8 9 3 4 4" xfId="22439"/>
    <cellStyle name="Normal 8 9 3 4 4 2" xfId="38651"/>
    <cellStyle name="Normal 8 9 3 4 5" xfId="23937"/>
    <cellStyle name="Normal 8 9 3 5" xfId="2214"/>
    <cellStyle name="Normal 8 9 3 5 2" xfId="24382"/>
    <cellStyle name="Normal 8 9 3 6" xfId="3713"/>
    <cellStyle name="Normal 8 9 3 6 2" xfId="25880"/>
    <cellStyle name="Normal 8 9 3 7" xfId="21386"/>
    <cellStyle name="Normal 8 9 3 7 2" xfId="37598"/>
    <cellStyle name="Normal 8 9 3 8" xfId="22884"/>
    <cellStyle name="Normal 8 9 4" xfId="832"/>
    <cellStyle name="Normal 8 9 4 2" xfId="2331"/>
    <cellStyle name="Normal 8 9 4 2 2" xfId="24499"/>
    <cellStyle name="Normal 8 9 4 3" xfId="3830"/>
    <cellStyle name="Normal 8 9 4 3 2" xfId="25997"/>
    <cellStyle name="Normal 8 9 4 4" xfId="21503"/>
    <cellStyle name="Normal 8 9 4 4 2" xfId="37715"/>
    <cellStyle name="Normal 8 9 4 5" xfId="23001"/>
    <cellStyle name="Normal 8 9 5" xfId="1183"/>
    <cellStyle name="Normal 8 9 5 2" xfId="2682"/>
    <cellStyle name="Normal 8 9 5 2 2" xfId="24850"/>
    <cellStyle name="Normal 8 9 5 3" xfId="4181"/>
    <cellStyle name="Normal 8 9 5 3 2" xfId="26348"/>
    <cellStyle name="Normal 8 9 5 4" xfId="21854"/>
    <cellStyle name="Normal 8 9 5 4 2" xfId="38066"/>
    <cellStyle name="Normal 8 9 5 5" xfId="23352"/>
    <cellStyle name="Normal 8 9 6" xfId="1534"/>
    <cellStyle name="Normal 8 9 6 2" xfId="3033"/>
    <cellStyle name="Normal 8 9 6 2 2" xfId="25201"/>
    <cellStyle name="Normal 8 9 6 3" xfId="4532"/>
    <cellStyle name="Normal 8 9 6 3 2" xfId="26699"/>
    <cellStyle name="Normal 8 9 6 4" xfId="22205"/>
    <cellStyle name="Normal 8 9 6 4 2" xfId="38417"/>
    <cellStyle name="Normal 8 9 6 5" xfId="23703"/>
    <cellStyle name="Normal 8 9 7" xfId="1980"/>
    <cellStyle name="Normal 8 9 7 2" xfId="24148"/>
    <cellStyle name="Normal 8 9 8" xfId="3479"/>
    <cellStyle name="Normal 8 9 8 2" xfId="25646"/>
    <cellStyle name="Normal 8 9 9" xfId="21152"/>
    <cellStyle name="Normal 8 9 9 2" xfId="37364"/>
    <cellStyle name="Normal 9" xfId="219"/>
    <cellStyle name="Normal 9 10" xfId="38765"/>
    <cellStyle name="Normal 9 11" xfId="39504"/>
    <cellStyle name="Normal 9 12" xfId="39558"/>
    <cellStyle name="Normal 9 13" xfId="302"/>
    <cellStyle name="Normal 9 2" xfId="220"/>
    <cellStyle name="Normal 9 2 2" xfId="221"/>
    <cellStyle name="Normal 9 2 2 2" xfId="13581"/>
    <cellStyle name="Normal 9 2 3" xfId="222"/>
    <cellStyle name="Normal 9 2 4" xfId="390"/>
    <cellStyle name="Normal 9 3" xfId="223"/>
    <cellStyle name="Normal 9 3 2" xfId="224"/>
    <cellStyle name="Normal 9 3 2 2" xfId="24034"/>
    <cellStyle name="Normal 9 3 2 3" xfId="1866"/>
    <cellStyle name="Normal 9 3 3" xfId="3365"/>
    <cellStyle name="Normal 9 3 3 2" xfId="25532"/>
    <cellStyle name="Normal 9 3 4" xfId="21038"/>
    <cellStyle name="Normal 9 3 4 2" xfId="37250"/>
    <cellStyle name="Normal 9 3 5" xfId="22536"/>
    <cellStyle name="Normal 9 3 6" xfId="331"/>
    <cellStyle name="Normal 9 4" xfId="225"/>
    <cellStyle name="Normal 9 4 2" xfId="3291"/>
    <cellStyle name="Normal 9 4 2 2" xfId="25458"/>
    <cellStyle name="Normal 9 4 3" xfId="4789"/>
    <cellStyle name="Normal 9 4 3 2" xfId="26956"/>
    <cellStyle name="Normal 9 4 4" xfId="22462"/>
    <cellStyle name="Normal 9 4 4 2" xfId="38674"/>
    <cellStyle name="Normal 9 4 5" xfId="23960"/>
    <cellStyle name="Normal 9 4 6" xfId="1792"/>
    <cellStyle name="Normal 9 5" xfId="226"/>
    <cellStyle name="Normal 9 5 2" xfId="24006"/>
    <cellStyle name="Normal 9 5 3" xfId="1838"/>
    <cellStyle name="Normal 9 6" xfId="3337"/>
    <cellStyle name="Normal 9 6 2" xfId="25504"/>
    <cellStyle name="Normal 9 7" xfId="4864"/>
    <cellStyle name="Normal 9 7 2" xfId="27001"/>
    <cellStyle name="Normal 9 8" xfId="21010"/>
    <cellStyle name="Normal 9 8 2" xfId="37222"/>
    <cellStyle name="Normal 9 9" xfId="22508"/>
    <cellStyle name="Note" xfId="227" builtinId="10" customBuiltin="1"/>
    <cellStyle name="Note 2" xfId="4914"/>
    <cellStyle name="Note 2 10" xfId="8981"/>
    <cellStyle name="Note 2 10 2" xfId="13583"/>
    <cellStyle name="Note 2 11" xfId="13582"/>
    <cellStyle name="Note 2 12" xfId="14299"/>
    <cellStyle name="Note 2 12 2" xfId="30535"/>
    <cellStyle name="Note 2 13" xfId="8980"/>
    <cellStyle name="Note 2 14" xfId="27016"/>
    <cellStyle name="Note 2 15" xfId="38813"/>
    <cellStyle name="Note 2 2" xfId="8982"/>
    <cellStyle name="Note 2 2 10" xfId="13584"/>
    <cellStyle name="Note 2 2 11" xfId="14300"/>
    <cellStyle name="Note 2 2 11 2" xfId="30536"/>
    <cellStyle name="Note 2 2 12" xfId="38957"/>
    <cellStyle name="Note 2 2 2" xfId="8983"/>
    <cellStyle name="Note 2 2 2 10" xfId="14347"/>
    <cellStyle name="Note 2 2 2 10 2" xfId="30569"/>
    <cellStyle name="Note 2 2 2 11" xfId="39148"/>
    <cellStyle name="Note 2 2 2 2" xfId="8984"/>
    <cellStyle name="Note 2 2 2 2 2" xfId="8985"/>
    <cellStyle name="Note 2 2 2 2 2 2" xfId="8986"/>
    <cellStyle name="Note 2 2 2 2 2 2 2" xfId="8987"/>
    <cellStyle name="Note 2 2 2 2 2 2 2 2" xfId="8988"/>
    <cellStyle name="Note 2 2 2 2 2 2 2 2 2" xfId="13590"/>
    <cellStyle name="Note 2 2 2 2 2 2 2 2 3" xfId="17186"/>
    <cellStyle name="Note 2 2 2 2 2 2 2 2 3 2" xfId="33407"/>
    <cellStyle name="Note 2 2 2 2 2 2 2 3" xfId="8989"/>
    <cellStyle name="Note 2 2 2 2 2 2 2 3 2" xfId="13591"/>
    <cellStyle name="Note 2 2 2 2 2 2 2 4" xfId="13589"/>
    <cellStyle name="Note 2 2 2 2 2 2 2 5" xfId="15601"/>
    <cellStyle name="Note 2 2 2 2 2 2 2 5 2" xfId="31823"/>
    <cellStyle name="Note 2 2 2 2 2 2 3" xfId="8990"/>
    <cellStyle name="Note 2 2 2 2 2 2 3 2" xfId="13592"/>
    <cellStyle name="Note 2 2 2 2 2 2 3 3" xfId="16394"/>
    <cellStyle name="Note 2 2 2 2 2 2 3 3 2" xfId="32615"/>
    <cellStyle name="Note 2 2 2 2 2 2 4" xfId="8991"/>
    <cellStyle name="Note 2 2 2 2 2 2 4 2" xfId="13593"/>
    <cellStyle name="Note 2 2 2 2 2 2 5" xfId="13588"/>
    <cellStyle name="Note 2 2 2 2 2 2 6" xfId="14809"/>
    <cellStyle name="Note 2 2 2 2 2 2 6 2" xfId="31031"/>
    <cellStyle name="Note 2 2 2 2 2 3" xfId="8992"/>
    <cellStyle name="Note 2 2 2 2 2 3 2" xfId="8993"/>
    <cellStyle name="Note 2 2 2 2 2 3 2 2" xfId="8994"/>
    <cellStyle name="Note 2 2 2 2 2 3 2 2 2" xfId="13596"/>
    <cellStyle name="Note 2 2 2 2 2 3 2 2 3" xfId="17450"/>
    <cellStyle name="Note 2 2 2 2 2 3 2 2 3 2" xfId="33671"/>
    <cellStyle name="Note 2 2 2 2 2 3 2 3" xfId="8995"/>
    <cellStyle name="Note 2 2 2 2 2 3 2 3 2" xfId="13597"/>
    <cellStyle name="Note 2 2 2 2 2 3 2 4" xfId="13595"/>
    <cellStyle name="Note 2 2 2 2 2 3 2 5" xfId="15865"/>
    <cellStyle name="Note 2 2 2 2 2 3 2 5 2" xfId="32087"/>
    <cellStyle name="Note 2 2 2 2 2 3 3" xfId="8996"/>
    <cellStyle name="Note 2 2 2 2 2 3 3 2" xfId="13598"/>
    <cellStyle name="Note 2 2 2 2 2 3 3 3" xfId="16658"/>
    <cellStyle name="Note 2 2 2 2 2 3 3 3 2" xfId="32879"/>
    <cellStyle name="Note 2 2 2 2 2 3 4" xfId="8997"/>
    <cellStyle name="Note 2 2 2 2 2 3 4 2" xfId="13599"/>
    <cellStyle name="Note 2 2 2 2 2 3 5" xfId="13594"/>
    <cellStyle name="Note 2 2 2 2 2 3 6" xfId="15073"/>
    <cellStyle name="Note 2 2 2 2 2 3 6 2" xfId="31295"/>
    <cellStyle name="Note 2 2 2 2 2 4" xfId="8998"/>
    <cellStyle name="Note 2 2 2 2 2 4 2" xfId="8999"/>
    <cellStyle name="Note 2 2 2 2 2 4 2 2" xfId="13601"/>
    <cellStyle name="Note 2 2 2 2 2 4 2 3" xfId="16922"/>
    <cellStyle name="Note 2 2 2 2 2 4 2 3 2" xfId="33143"/>
    <cellStyle name="Note 2 2 2 2 2 4 3" xfId="9000"/>
    <cellStyle name="Note 2 2 2 2 2 4 3 2" xfId="13602"/>
    <cellStyle name="Note 2 2 2 2 2 4 4" xfId="13600"/>
    <cellStyle name="Note 2 2 2 2 2 4 5" xfId="15337"/>
    <cellStyle name="Note 2 2 2 2 2 4 5 2" xfId="31559"/>
    <cellStyle name="Note 2 2 2 2 2 5" xfId="9001"/>
    <cellStyle name="Note 2 2 2 2 2 5 2" xfId="13603"/>
    <cellStyle name="Note 2 2 2 2 2 5 3" xfId="16130"/>
    <cellStyle name="Note 2 2 2 2 2 5 3 2" xfId="32351"/>
    <cellStyle name="Note 2 2 2 2 2 6" xfId="9002"/>
    <cellStyle name="Note 2 2 2 2 2 6 2" xfId="13604"/>
    <cellStyle name="Note 2 2 2 2 2 7" xfId="13587"/>
    <cellStyle name="Note 2 2 2 2 2 8" xfId="14545"/>
    <cellStyle name="Note 2 2 2 2 2 8 2" xfId="30767"/>
    <cellStyle name="Note 2 2 2 2 3" xfId="9003"/>
    <cellStyle name="Note 2 2 2 2 3 2" xfId="9004"/>
    <cellStyle name="Note 2 2 2 2 3 2 2" xfId="9005"/>
    <cellStyle name="Note 2 2 2 2 3 2 2 2" xfId="13607"/>
    <cellStyle name="Note 2 2 2 2 3 2 2 3" xfId="17054"/>
    <cellStyle name="Note 2 2 2 2 3 2 2 3 2" xfId="33275"/>
    <cellStyle name="Note 2 2 2 2 3 2 3" xfId="9006"/>
    <cellStyle name="Note 2 2 2 2 3 2 3 2" xfId="13608"/>
    <cellStyle name="Note 2 2 2 2 3 2 4" xfId="13606"/>
    <cellStyle name="Note 2 2 2 2 3 2 5" xfId="15469"/>
    <cellStyle name="Note 2 2 2 2 3 2 5 2" xfId="31691"/>
    <cellStyle name="Note 2 2 2 2 3 3" xfId="9007"/>
    <cellStyle name="Note 2 2 2 2 3 3 2" xfId="13609"/>
    <cellStyle name="Note 2 2 2 2 3 3 3" xfId="16262"/>
    <cellStyle name="Note 2 2 2 2 3 3 3 2" xfId="32483"/>
    <cellStyle name="Note 2 2 2 2 3 4" xfId="9008"/>
    <cellStyle name="Note 2 2 2 2 3 4 2" xfId="13610"/>
    <cellStyle name="Note 2 2 2 2 3 5" xfId="13605"/>
    <cellStyle name="Note 2 2 2 2 3 6" xfId="14677"/>
    <cellStyle name="Note 2 2 2 2 3 6 2" xfId="30899"/>
    <cellStyle name="Note 2 2 2 2 4" xfId="9009"/>
    <cellStyle name="Note 2 2 2 2 4 2" xfId="9010"/>
    <cellStyle name="Note 2 2 2 2 4 2 2" xfId="9011"/>
    <cellStyle name="Note 2 2 2 2 4 2 2 2" xfId="13613"/>
    <cellStyle name="Note 2 2 2 2 4 2 2 3" xfId="17318"/>
    <cellStyle name="Note 2 2 2 2 4 2 2 3 2" xfId="33539"/>
    <cellStyle name="Note 2 2 2 2 4 2 3" xfId="9012"/>
    <cellStyle name="Note 2 2 2 2 4 2 3 2" xfId="13614"/>
    <cellStyle name="Note 2 2 2 2 4 2 4" xfId="13612"/>
    <cellStyle name="Note 2 2 2 2 4 2 5" xfId="15733"/>
    <cellStyle name="Note 2 2 2 2 4 2 5 2" xfId="31955"/>
    <cellStyle name="Note 2 2 2 2 4 3" xfId="9013"/>
    <cellStyle name="Note 2 2 2 2 4 3 2" xfId="13615"/>
    <cellStyle name="Note 2 2 2 2 4 3 3" xfId="16526"/>
    <cellStyle name="Note 2 2 2 2 4 3 3 2" xfId="32747"/>
    <cellStyle name="Note 2 2 2 2 4 4" xfId="9014"/>
    <cellStyle name="Note 2 2 2 2 4 4 2" xfId="13616"/>
    <cellStyle name="Note 2 2 2 2 4 5" xfId="13611"/>
    <cellStyle name="Note 2 2 2 2 4 6" xfId="14941"/>
    <cellStyle name="Note 2 2 2 2 4 6 2" xfId="31163"/>
    <cellStyle name="Note 2 2 2 2 5" xfId="9015"/>
    <cellStyle name="Note 2 2 2 2 5 2" xfId="9016"/>
    <cellStyle name="Note 2 2 2 2 5 2 2" xfId="13618"/>
    <cellStyle name="Note 2 2 2 2 5 2 3" xfId="16790"/>
    <cellStyle name="Note 2 2 2 2 5 2 3 2" xfId="33011"/>
    <cellStyle name="Note 2 2 2 2 5 3" xfId="9017"/>
    <cellStyle name="Note 2 2 2 2 5 3 2" xfId="13619"/>
    <cellStyle name="Note 2 2 2 2 5 4" xfId="13617"/>
    <cellStyle name="Note 2 2 2 2 5 5" xfId="15205"/>
    <cellStyle name="Note 2 2 2 2 5 5 2" xfId="31427"/>
    <cellStyle name="Note 2 2 2 2 6" xfId="9018"/>
    <cellStyle name="Note 2 2 2 2 6 2" xfId="13620"/>
    <cellStyle name="Note 2 2 2 2 6 3" xfId="15998"/>
    <cellStyle name="Note 2 2 2 2 6 3 2" xfId="32219"/>
    <cellStyle name="Note 2 2 2 2 7" xfId="9019"/>
    <cellStyle name="Note 2 2 2 2 7 2" xfId="13621"/>
    <cellStyle name="Note 2 2 2 2 8" xfId="13586"/>
    <cellStyle name="Note 2 2 2 2 9" xfId="14413"/>
    <cellStyle name="Note 2 2 2 2 9 2" xfId="30635"/>
    <cellStyle name="Note 2 2 2 3" xfId="9020"/>
    <cellStyle name="Note 2 2 2 3 2" xfId="9021"/>
    <cellStyle name="Note 2 2 2 3 2 2" xfId="9022"/>
    <cellStyle name="Note 2 2 2 3 2 2 2" xfId="9023"/>
    <cellStyle name="Note 2 2 2 3 2 2 2 2" xfId="13625"/>
    <cellStyle name="Note 2 2 2 3 2 2 2 3" xfId="17120"/>
    <cellStyle name="Note 2 2 2 3 2 2 2 3 2" xfId="33341"/>
    <cellStyle name="Note 2 2 2 3 2 2 3" xfId="9024"/>
    <cellStyle name="Note 2 2 2 3 2 2 3 2" xfId="13626"/>
    <cellStyle name="Note 2 2 2 3 2 2 4" xfId="13624"/>
    <cellStyle name="Note 2 2 2 3 2 2 5" xfId="15535"/>
    <cellStyle name="Note 2 2 2 3 2 2 5 2" xfId="31757"/>
    <cellStyle name="Note 2 2 2 3 2 3" xfId="9025"/>
    <cellStyle name="Note 2 2 2 3 2 3 2" xfId="13627"/>
    <cellStyle name="Note 2 2 2 3 2 3 3" xfId="16328"/>
    <cellStyle name="Note 2 2 2 3 2 3 3 2" xfId="32549"/>
    <cellStyle name="Note 2 2 2 3 2 4" xfId="9026"/>
    <cellStyle name="Note 2 2 2 3 2 4 2" xfId="13628"/>
    <cellStyle name="Note 2 2 2 3 2 5" xfId="13623"/>
    <cellStyle name="Note 2 2 2 3 2 6" xfId="14743"/>
    <cellStyle name="Note 2 2 2 3 2 6 2" xfId="30965"/>
    <cellStyle name="Note 2 2 2 3 3" xfId="9027"/>
    <cellStyle name="Note 2 2 2 3 3 2" xfId="9028"/>
    <cellStyle name="Note 2 2 2 3 3 2 2" xfId="9029"/>
    <cellStyle name="Note 2 2 2 3 3 2 2 2" xfId="13631"/>
    <cellStyle name="Note 2 2 2 3 3 2 2 3" xfId="17384"/>
    <cellStyle name="Note 2 2 2 3 3 2 2 3 2" xfId="33605"/>
    <cellStyle name="Note 2 2 2 3 3 2 3" xfId="9030"/>
    <cellStyle name="Note 2 2 2 3 3 2 3 2" xfId="13632"/>
    <cellStyle name="Note 2 2 2 3 3 2 4" xfId="13630"/>
    <cellStyle name="Note 2 2 2 3 3 2 5" xfId="15799"/>
    <cellStyle name="Note 2 2 2 3 3 2 5 2" xfId="32021"/>
    <cellStyle name="Note 2 2 2 3 3 3" xfId="9031"/>
    <cellStyle name="Note 2 2 2 3 3 3 2" xfId="13633"/>
    <cellStyle name="Note 2 2 2 3 3 3 3" xfId="16592"/>
    <cellStyle name="Note 2 2 2 3 3 3 3 2" xfId="32813"/>
    <cellStyle name="Note 2 2 2 3 3 4" xfId="9032"/>
    <cellStyle name="Note 2 2 2 3 3 4 2" xfId="13634"/>
    <cellStyle name="Note 2 2 2 3 3 5" xfId="13629"/>
    <cellStyle name="Note 2 2 2 3 3 6" xfId="15007"/>
    <cellStyle name="Note 2 2 2 3 3 6 2" xfId="31229"/>
    <cellStyle name="Note 2 2 2 3 4" xfId="9033"/>
    <cellStyle name="Note 2 2 2 3 4 2" xfId="9034"/>
    <cellStyle name="Note 2 2 2 3 4 2 2" xfId="13636"/>
    <cellStyle name="Note 2 2 2 3 4 2 3" xfId="16856"/>
    <cellStyle name="Note 2 2 2 3 4 2 3 2" xfId="33077"/>
    <cellStyle name="Note 2 2 2 3 4 3" xfId="9035"/>
    <cellStyle name="Note 2 2 2 3 4 3 2" xfId="13637"/>
    <cellStyle name="Note 2 2 2 3 4 4" xfId="13635"/>
    <cellStyle name="Note 2 2 2 3 4 5" xfId="15271"/>
    <cellStyle name="Note 2 2 2 3 4 5 2" xfId="31493"/>
    <cellStyle name="Note 2 2 2 3 5" xfId="9036"/>
    <cellStyle name="Note 2 2 2 3 5 2" xfId="13638"/>
    <cellStyle name="Note 2 2 2 3 5 3" xfId="16064"/>
    <cellStyle name="Note 2 2 2 3 5 3 2" xfId="32285"/>
    <cellStyle name="Note 2 2 2 3 6" xfId="9037"/>
    <cellStyle name="Note 2 2 2 3 6 2" xfId="13639"/>
    <cellStyle name="Note 2 2 2 3 7" xfId="13622"/>
    <cellStyle name="Note 2 2 2 3 8" xfId="14479"/>
    <cellStyle name="Note 2 2 2 3 8 2" xfId="30701"/>
    <cellStyle name="Note 2 2 2 4" xfId="9038"/>
    <cellStyle name="Note 2 2 2 4 2" xfId="9039"/>
    <cellStyle name="Note 2 2 2 4 2 2" xfId="9040"/>
    <cellStyle name="Note 2 2 2 4 2 2 2" xfId="13642"/>
    <cellStyle name="Note 2 2 2 4 2 2 3" xfId="16988"/>
    <cellStyle name="Note 2 2 2 4 2 2 3 2" xfId="33209"/>
    <cellStyle name="Note 2 2 2 4 2 3" xfId="9041"/>
    <cellStyle name="Note 2 2 2 4 2 3 2" xfId="13643"/>
    <cellStyle name="Note 2 2 2 4 2 4" xfId="13641"/>
    <cellStyle name="Note 2 2 2 4 2 5" xfId="15403"/>
    <cellStyle name="Note 2 2 2 4 2 5 2" xfId="31625"/>
    <cellStyle name="Note 2 2 2 4 3" xfId="9042"/>
    <cellStyle name="Note 2 2 2 4 3 2" xfId="13644"/>
    <cellStyle name="Note 2 2 2 4 3 3" xfId="16196"/>
    <cellStyle name="Note 2 2 2 4 3 3 2" xfId="32417"/>
    <cellStyle name="Note 2 2 2 4 4" xfId="9043"/>
    <cellStyle name="Note 2 2 2 4 4 2" xfId="13645"/>
    <cellStyle name="Note 2 2 2 4 5" xfId="13640"/>
    <cellStyle name="Note 2 2 2 4 6" xfId="14611"/>
    <cellStyle name="Note 2 2 2 4 6 2" xfId="30833"/>
    <cellStyle name="Note 2 2 2 5" xfId="9044"/>
    <cellStyle name="Note 2 2 2 5 2" xfId="9045"/>
    <cellStyle name="Note 2 2 2 5 2 2" xfId="9046"/>
    <cellStyle name="Note 2 2 2 5 2 2 2" xfId="13648"/>
    <cellStyle name="Note 2 2 2 5 2 2 3" xfId="17252"/>
    <cellStyle name="Note 2 2 2 5 2 2 3 2" xfId="33473"/>
    <cellStyle name="Note 2 2 2 5 2 3" xfId="9047"/>
    <cellStyle name="Note 2 2 2 5 2 3 2" xfId="13649"/>
    <cellStyle name="Note 2 2 2 5 2 4" xfId="13647"/>
    <cellStyle name="Note 2 2 2 5 2 5" xfId="15667"/>
    <cellStyle name="Note 2 2 2 5 2 5 2" xfId="31889"/>
    <cellStyle name="Note 2 2 2 5 3" xfId="9048"/>
    <cellStyle name="Note 2 2 2 5 3 2" xfId="13650"/>
    <cellStyle name="Note 2 2 2 5 3 3" xfId="16460"/>
    <cellStyle name="Note 2 2 2 5 3 3 2" xfId="32681"/>
    <cellStyle name="Note 2 2 2 5 4" xfId="9049"/>
    <cellStyle name="Note 2 2 2 5 4 2" xfId="13651"/>
    <cellStyle name="Note 2 2 2 5 5" xfId="13646"/>
    <cellStyle name="Note 2 2 2 5 6" xfId="14875"/>
    <cellStyle name="Note 2 2 2 5 6 2" xfId="31097"/>
    <cellStyle name="Note 2 2 2 6" xfId="9050"/>
    <cellStyle name="Note 2 2 2 6 2" xfId="9051"/>
    <cellStyle name="Note 2 2 2 6 2 2" xfId="13653"/>
    <cellStyle name="Note 2 2 2 6 2 3" xfId="16724"/>
    <cellStyle name="Note 2 2 2 6 2 3 2" xfId="32945"/>
    <cellStyle name="Note 2 2 2 6 3" xfId="9052"/>
    <cellStyle name="Note 2 2 2 6 3 2" xfId="13654"/>
    <cellStyle name="Note 2 2 2 6 4" xfId="13652"/>
    <cellStyle name="Note 2 2 2 6 5" xfId="15139"/>
    <cellStyle name="Note 2 2 2 6 5 2" xfId="31361"/>
    <cellStyle name="Note 2 2 2 7" xfId="9053"/>
    <cellStyle name="Note 2 2 2 7 2" xfId="13655"/>
    <cellStyle name="Note 2 2 2 7 3" xfId="15932"/>
    <cellStyle name="Note 2 2 2 7 3 2" xfId="32153"/>
    <cellStyle name="Note 2 2 2 8" xfId="9054"/>
    <cellStyle name="Note 2 2 2 8 2" xfId="13656"/>
    <cellStyle name="Note 2 2 2 9" xfId="13585"/>
    <cellStyle name="Note 2 2 3" xfId="9055"/>
    <cellStyle name="Note 2 2 3 10" xfId="39296"/>
    <cellStyle name="Note 2 2 3 2" xfId="9056"/>
    <cellStyle name="Note 2 2 3 2 2" xfId="9057"/>
    <cellStyle name="Note 2 2 3 2 2 2" xfId="9058"/>
    <cellStyle name="Note 2 2 3 2 2 2 2" xfId="9059"/>
    <cellStyle name="Note 2 2 3 2 2 2 2 2" xfId="13661"/>
    <cellStyle name="Note 2 2 3 2 2 2 2 3" xfId="17153"/>
    <cellStyle name="Note 2 2 3 2 2 2 2 3 2" xfId="33374"/>
    <cellStyle name="Note 2 2 3 2 2 2 3" xfId="9060"/>
    <cellStyle name="Note 2 2 3 2 2 2 3 2" xfId="13662"/>
    <cellStyle name="Note 2 2 3 2 2 2 4" xfId="13660"/>
    <cellStyle name="Note 2 2 3 2 2 2 5" xfId="15568"/>
    <cellStyle name="Note 2 2 3 2 2 2 5 2" xfId="31790"/>
    <cellStyle name="Note 2 2 3 2 2 3" xfId="9061"/>
    <cellStyle name="Note 2 2 3 2 2 3 2" xfId="13663"/>
    <cellStyle name="Note 2 2 3 2 2 3 3" xfId="16361"/>
    <cellStyle name="Note 2 2 3 2 2 3 3 2" xfId="32582"/>
    <cellStyle name="Note 2 2 3 2 2 4" xfId="9062"/>
    <cellStyle name="Note 2 2 3 2 2 4 2" xfId="13664"/>
    <cellStyle name="Note 2 2 3 2 2 5" xfId="13659"/>
    <cellStyle name="Note 2 2 3 2 2 6" xfId="14776"/>
    <cellStyle name="Note 2 2 3 2 2 6 2" xfId="30998"/>
    <cellStyle name="Note 2 2 3 2 3" xfId="9063"/>
    <cellStyle name="Note 2 2 3 2 3 2" xfId="9064"/>
    <cellStyle name="Note 2 2 3 2 3 2 2" xfId="9065"/>
    <cellStyle name="Note 2 2 3 2 3 2 2 2" xfId="13667"/>
    <cellStyle name="Note 2 2 3 2 3 2 2 3" xfId="17417"/>
    <cellStyle name="Note 2 2 3 2 3 2 2 3 2" xfId="33638"/>
    <cellStyle name="Note 2 2 3 2 3 2 3" xfId="9066"/>
    <cellStyle name="Note 2 2 3 2 3 2 3 2" xfId="13668"/>
    <cellStyle name="Note 2 2 3 2 3 2 4" xfId="13666"/>
    <cellStyle name="Note 2 2 3 2 3 2 5" xfId="15832"/>
    <cellStyle name="Note 2 2 3 2 3 2 5 2" xfId="32054"/>
    <cellStyle name="Note 2 2 3 2 3 3" xfId="9067"/>
    <cellStyle name="Note 2 2 3 2 3 3 2" xfId="13669"/>
    <cellStyle name="Note 2 2 3 2 3 3 3" xfId="16625"/>
    <cellStyle name="Note 2 2 3 2 3 3 3 2" xfId="32846"/>
    <cellStyle name="Note 2 2 3 2 3 4" xfId="9068"/>
    <cellStyle name="Note 2 2 3 2 3 4 2" xfId="13670"/>
    <cellStyle name="Note 2 2 3 2 3 5" xfId="13665"/>
    <cellStyle name="Note 2 2 3 2 3 6" xfId="15040"/>
    <cellStyle name="Note 2 2 3 2 3 6 2" xfId="31262"/>
    <cellStyle name="Note 2 2 3 2 4" xfId="9069"/>
    <cellStyle name="Note 2 2 3 2 4 2" xfId="9070"/>
    <cellStyle name="Note 2 2 3 2 4 2 2" xfId="13672"/>
    <cellStyle name="Note 2 2 3 2 4 2 3" xfId="16889"/>
    <cellStyle name="Note 2 2 3 2 4 2 3 2" xfId="33110"/>
    <cellStyle name="Note 2 2 3 2 4 3" xfId="9071"/>
    <cellStyle name="Note 2 2 3 2 4 3 2" xfId="13673"/>
    <cellStyle name="Note 2 2 3 2 4 4" xfId="13671"/>
    <cellStyle name="Note 2 2 3 2 4 5" xfId="15304"/>
    <cellStyle name="Note 2 2 3 2 4 5 2" xfId="31526"/>
    <cellStyle name="Note 2 2 3 2 5" xfId="9072"/>
    <cellStyle name="Note 2 2 3 2 5 2" xfId="13674"/>
    <cellStyle name="Note 2 2 3 2 5 3" xfId="16097"/>
    <cellStyle name="Note 2 2 3 2 5 3 2" xfId="32318"/>
    <cellStyle name="Note 2 2 3 2 6" xfId="9073"/>
    <cellStyle name="Note 2 2 3 2 6 2" xfId="13675"/>
    <cellStyle name="Note 2 2 3 2 7" xfId="13658"/>
    <cellStyle name="Note 2 2 3 2 8" xfId="14512"/>
    <cellStyle name="Note 2 2 3 2 8 2" xfId="30734"/>
    <cellStyle name="Note 2 2 3 3" xfId="9074"/>
    <cellStyle name="Note 2 2 3 3 2" xfId="9075"/>
    <cellStyle name="Note 2 2 3 3 2 2" xfId="9076"/>
    <cellStyle name="Note 2 2 3 3 2 2 2" xfId="13678"/>
    <cellStyle name="Note 2 2 3 3 2 2 3" xfId="17021"/>
    <cellStyle name="Note 2 2 3 3 2 2 3 2" xfId="33242"/>
    <cellStyle name="Note 2 2 3 3 2 3" xfId="9077"/>
    <cellStyle name="Note 2 2 3 3 2 3 2" xfId="13679"/>
    <cellStyle name="Note 2 2 3 3 2 4" xfId="13677"/>
    <cellStyle name="Note 2 2 3 3 2 5" xfId="15436"/>
    <cellStyle name="Note 2 2 3 3 2 5 2" xfId="31658"/>
    <cellStyle name="Note 2 2 3 3 3" xfId="9078"/>
    <cellStyle name="Note 2 2 3 3 3 2" xfId="13680"/>
    <cellStyle name="Note 2 2 3 3 3 3" xfId="16229"/>
    <cellStyle name="Note 2 2 3 3 3 3 2" xfId="32450"/>
    <cellStyle name="Note 2 2 3 3 4" xfId="9079"/>
    <cellStyle name="Note 2 2 3 3 4 2" xfId="13681"/>
    <cellStyle name="Note 2 2 3 3 5" xfId="13676"/>
    <cellStyle name="Note 2 2 3 3 6" xfId="14644"/>
    <cellStyle name="Note 2 2 3 3 6 2" xfId="30866"/>
    <cellStyle name="Note 2 2 3 4" xfId="9080"/>
    <cellStyle name="Note 2 2 3 4 2" xfId="9081"/>
    <cellStyle name="Note 2 2 3 4 2 2" xfId="9082"/>
    <cellStyle name="Note 2 2 3 4 2 2 2" xfId="13684"/>
    <cellStyle name="Note 2 2 3 4 2 2 3" xfId="17285"/>
    <cellStyle name="Note 2 2 3 4 2 2 3 2" xfId="33506"/>
    <cellStyle name="Note 2 2 3 4 2 3" xfId="9083"/>
    <cellStyle name="Note 2 2 3 4 2 3 2" xfId="13685"/>
    <cellStyle name="Note 2 2 3 4 2 4" xfId="13683"/>
    <cellStyle name="Note 2 2 3 4 2 5" xfId="15700"/>
    <cellStyle name="Note 2 2 3 4 2 5 2" xfId="31922"/>
    <cellStyle name="Note 2 2 3 4 3" xfId="9084"/>
    <cellStyle name="Note 2 2 3 4 3 2" xfId="13686"/>
    <cellStyle name="Note 2 2 3 4 3 3" xfId="16493"/>
    <cellStyle name="Note 2 2 3 4 3 3 2" xfId="32714"/>
    <cellStyle name="Note 2 2 3 4 4" xfId="9085"/>
    <cellStyle name="Note 2 2 3 4 4 2" xfId="13687"/>
    <cellStyle name="Note 2 2 3 4 5" xfId="13682"/>
    <cellStyle name="Note 2 2 3 4 6" xfId="14908"/>
    <cellStyle name="Note 2 2 3 4 6 2" xfId="31130"/>
    <cellStyle name="Note 2 2 3 5" xfId="9086"/>
    <cellStyle name="Note 2 2 3 5 2" xfId="9087"/>
    <cellStyle name="Note 2 2 3 5 2 2" xfId="13689"/>
    <cellStyle name="Note 2 2 3 5 2 3" xfId="16757"/>
    <cellStyle name="Note 2 2 3 5 2 3 2" xfId="32978"/>
    <cellStyle name="Note 2 2 3 5 3" xfId="9088"/>
    <cellStyle name="Note 2 2 3 5 3 2" xfId="13690"/>
    <cellStyle name="Note 2 2 3 5 4" xfId="13688"/>
    <cellStyle name="Note 2 2 3 5 5" xfId="15172"/>
    <cellStyle name="Note 2 2 3 5 5 2" xfId="31394"/>
    <cellStyle name="Note 2 2 3 6" xfId="9089"/>
    <cellStyle name="Note 2 2 3 6 2" xfId="13691"/>
    <cellStyle name="Note 2 2 3 6 3" xfId="15965"/>
    <cellStyle name="Note 2 2 3 6 3 2" xfId="32186"/>
    <cellStyle name="Note 2 2 3 7" xfId="9090"/>
    <cellStyle name="Note 2 2 3 7 2" xfId="13692"/>
    <cellStyle name="Note 2 2 3 8" xfId="13657"/>
    <cellStyle name="Note 2 2 3 9" xfId="14380"/>
    <cellStyle name="Note 2 2 3 9 2" xfId="30602"/>
    <cellStyle name="Note 2 2 4" xfId="9091"/>
    <cellStyle name="Note 2 2 4 2" xfId="9092"/>
    <cellStyle name="Note 2 2 4 2 2" xfId="9093"/>
    <cellStyle name="Note 2 2 4 2 2 2" xfId="9094"/>
    <cellStyle name="Note 2 2 4 2 2 2 2" xfId="13696"/>
    <cellStyle name="Note 2 2 4 2 2 2 3" xfId="17087"/>
    <cellStyle name="Note 2 2 4 2 2 2 3 2" xfId="33308"/>
    <cellStyle name="Note 2 2 4 2 2 3" xfId="9095"/>
    <cellStyle name="Note 2 2 4 2 2 3 2" xfId="13697"/>
    <cellStyle name="Note 2 2 4 2 2 4" xfId="13695"/>
    <cellStyle name="Note 2 2 4 2 2 5" xfId="15502"/>
    <cellStyle name="Note 2 2 4 2 2 5 2" xfId="31724"/>
    <cellStyle name="Note 2 2 4 2 3" xfId="9096"/>
    <cellStyle name="Note 2 2 4 2 3 2" xfId="13698"/>
    <cellStyle name="Note 2 2 4 2 3 3" xfId="16295"/>
    <cellStyle name="Note 2 2 4 2 3 3 2" xfId="32516"/>
    <cellStyle name="Note 2 2 4 2 4" xfId="9097"/>
    <cellStyle name="Note 2 2 4 2 4 2" xfId="13699"/>
    <cellStyle name="Note 2 2 4 2 5" xfId="13694"/>
    <cellStyle name="Note 2 2 4 2 6" xfId="14710"/>
    <cellStyle name="Note 2 2 4 2 6 2" xfId="30932"/>
    <cellStyle name="Note 2 2 4 3" xfId="9098"/>
    <cellStyle name="Note 2 2 4 3 2" xfId="9099"/>
    <cellStyle name="Note 2 2 4 3 2 2" xfId="9100"/>
    <cellStyle name="Note 2 2 4 3 2 2 2" xfId="13702"/>
    <cellStyle name="Note 2 2 4 3 2 2 3" xfId="17351"/>
    <cellStyle name="Note 2 2 4 3 2 2 3 2" xfId="33572"/>
    <cellStyle name="Note 2 2 4 3 2 3" xfId="9101"/>
    <cellStyle name="Note 2 2 4 3 2 3 2" xfId="13703"/>
    <cellStyle name="Note 2 2 4 3 2 4" xfId="13701"/>
    <cellStyle name="Note 2 2 4 3 2 5" xfId="15766"/>
    <cellStyle name="Note 2 2 4 3 2 5 2" xfId="31988"/>
    <cellStyle name="Note 2 2 4 3 3" xfId="9102"/>
    <cellStyle name="Note 2 2 4 3 3 2" xfId="13704"/>
    <cellStyle name="Note 2 2 4 3 3 3" xfId="16559"/>
    <cellStyle name="Note 2 2 4 3 3 3 2" xfId="32780"/>
    <cellStyle name="Note 2 2 4 3 4" xfId="9103"/>
    <cellStyle name="Note 2 2 4 3 4 2" xfId="13705"/>
    <cellStyle name="Note 2 2 4 3 5" xfId="13700"/>
    <cellStyle name="Note 2 2 4 3 6" xfId="14974"/>
    <cellStyle name="Note 2 2 4 3 6 2" xfId="31196"/>
    <cellStyle name="Note 2 2 4 4" xfId="9104"/>
    <cellStyle name="Note 2 2 4 4 2" xfId="9105"/>
    <cellStyle name="Note 2 2 4 4 2 2" xfId="13707"/>
    <cellStyle name="Note 2 2 4 4 2 3" xfId="16823"/>
    <cellStyle name="Note 2 2 4 4 2 3 2" xfId="33044"/>
    <cellStyle name="Note 2 2 4 4 3" xfId="9106"/>
    <cellStyle name="Note 2 2 4 4 3 2" xfId="13708"/>
    <cellStyle name="Note 2 2 4 4 4" xfId="13706"/>
    <cellStyle name="Note 2 2 4 4 5" xfId="15238"/>
    <cellStyle name="Note 2 2 4 4 5 2" xfId="31460"/>
    <cellStyle name="Note 2 2 4 5" xfId="9107"/>
    <cellStyle name="Note 2 2 4 5 2" xfId="13709"/>
    <cellStyle name="Note 2 2 4 5 3" xfId="16031"/>
    <cellStyle name="Note 2 2 4 5 3 2" xfId="32252"/>
    <cellStyle name="Note 2 2 4 6" xfId="9108"/>
    <cellStyle name="Note 2 2 4 6 2" xfId="13710"/>
    <cellStyle name="Note 2 2 4 7" xfId="13693"/>
    <cellStyle name="Note 2 2 4 8" xfId="14446"/>
    <cellStyle name="Note 2 2 4 8 2" xfId="30668"/>
    <cellStyle name="Note 2 2 4 9" xfId="39445"/>
    <cellStyle name="Note 2 2 5" xfId="9109"/>
    <cellStyle name="Note 2 2 5 2" xfId="9110"/>
    <cellStyle name="Note 2 2 5 2 2" xfId="9111"/>
    <cellStyle name="Note 2 2 5 2 2 2" xfId="13713"/>
    <cellStyle name="Note 2 2 5 2 2 3" xfId="16955"/>
    <cellStyle name="Note 2 2 5 2 2 3 2" xfId="33176"/>
    <cellStyle name="Note 2 2 5 2 3" xfId="9112"/>
    <cellStyle name="Note 2 2 5 2 3 2" xfId="13714"/>
    <cellStyle name="Note 2 2 5 2 4" xfId="13712"/>
    <cellStyle name="Note 2 2 5 2 5" xfId="15370"/>
    <cellStyle name="Note 2 2 5 2 5 2" xfId="31592"/>
    <cellStyle name="Note 2 2 5 3" xfId="9113"/>
    <cellStyle name="Note 2 2 5 3 2" xfId="13715"/>
    <cellStyle name="Note 2 2 5 3 3" xfId="16163"/>
    <cellStyle name="Note 2 2 5 3 3 2" xfId="32384"/>
    <cellStyle name="Note 2 2 5 4" xfId="9114"/>
    <cellStyle name="Note 2 2 5 4 2" xfId="13716"/>
    <cellStyle name="Note 2 2 5 5" xfId="13711"/>
    <cellStyle name="Note 2 2 5 6" xfId="14578"/>
    <cellStyle name="Note 2 2 5 6 2" xfId="30800"/>
    <cellStyle name="Note 2 2 6" xfId="9115"/>
    <cellStyle name="Note 2 2 6 2" xfId="9116"/>
    <cellStyle name="Note 2 2 6 2 2" xfId="9117"/>
    <cellStyle name="Note 2 2 6 2 2 2" xfId="13719"/>
    <cellStyle name="Note 2 2 6 2 2 3" xfId="17219"/>
    <cellStyle name="Note 2 2 6 2 2 3 2" xfId="33440"/>
    <cellStyle name="Note 2 2 6 2 3" xfId="9118"/>
    <cellStyle name="Note 2 2 6 2 3 2" xfId="13720"/>
    <cellStyle name="Note 2 2 6 2 4" xfId="13718"/>
    <cellStyle name="Note 2 2 6 2 5" xfId="15634"/>
    <cellStyle name="Note 2 2 6 2 5 2" xfId="31856"/>
    <cellStyle name="Note 2 2 6 3" xfId="9119"/>
    <cellStyle name="Note 2 2 6 3 2" xfId="13721"/>
    <cellStyle name="Note 2 2 6 3 3" xfId="16427"/>
    <cellStyle name="Note 2 2 6 3 3 2" xfId="32648"/>
    <cellStyle name="Note 2 2 6 4" xfId="9120"/>
    <cellStyle name="Note 2 2 6 4 2" xfId="13722"/>
    <cellStyle name="Note 2 2 6 5" xfId="13717"/>
    <cellStyle name="Note 2 2 6 6" xfId="14842"/>
    <cellStyle name="Note 2 2 6 6 2" xfId="31064"/>
    <cellStyle name="Note 2 2 7" xfId="9121"/>
    <cellStyle name="Note 2 2 7 2" xfId="9122"/>
    <cellStyle name="Note 2 2 7 2 2" xfId="13724"/>
    <cellStyle name="Note 2 2 7 2 3" xfId="16691"/>
    <cellStyle name="Note 2 2 7 2 3 2" xfId="32912"/>
    <cellStyle name="Note 2 2 7 3" xfId="9123"/>
    <cellStyle name="Note 2 2 7 3 2" xfId="13725"/>
    <cellStyle name="Note 2 2 7 4" xfId="13723"/>
    <cellStyle name="Note 2 2 7 5" xfId="15106"/>
    <cellStyle name="Note 2 2 7 5 2" xfId="31328"/>
    <cellStyle name="Note 2 2 8" xfId="9124"/>
    <cellStyle name="Note 2 2 8 2" xfId="13726"/>
    <cellStyle name="Note 2 2 8 3" xfId="15899"/>
    <cellStyle name="Note 2 2 8 3 2" xfId="32120"/>
    <cellStyle name="Note 2 2 9" xfId="9125"/>
    <cellStyle name="Note 2 2 9 2" xfId="13727"/>
    <cellStyle name="Note 2 3" xfId="9126"/>
    <cellStyle name="Note 2 3 10" xfId="14346"/>
    <cellStyle name="Note 2 3 10 2" xfId="30568"/>
    <cellStyle name="Note 2 3 11" xfId="39092"/>
    <cellStyle name="Note 2 3 2" xfId="9127"/>
    <cellStyle name="Note 2 3 2 10" xfId="39498"/>
    <cellStyle name="Note 2 3 2 2" xfId="9128"/>
    <cellStyle name="Note 2 3 2 2 2" xfId="9129"/>
    <cellStyle name="Note 2 3 2 2 2 2" xfId="9130"/>
    <cellStyle name="Note 2 3 2 2 2 2 2" xfId="9131"/>
    <cellStyle name="Note 2 3 2 2 2 2 2 2" xfId="13733"/>
    <cellStyle name="Note 2 3 2 2 2 2 2 3" xfId="17185"/>
    <cellStyle name="Note 2 3 2 2 2 2 2 3 2" xfId="33406"/>
    <cellStyle name="Note 2 3 2 2 2 2 3" xfId="9132"/>
    <cellStyle name="Note 2 3 2 2 2 2 3 2" xfId="13734"/>
    <cellStyle name="Note 2 3 2 2 2 2 4" xfId="13732"/>
    <cellStyle name="Note 2 3 2 2 2 2 5" xfId="15600"/>
    <cellStyle name="Note 2 3 2 2 2 2 5 2" xfId="31822"/>
    <cellStyle name="Note 2 3 2 2 2 3" xfId="9133"/>
    <cellStyle name="Note 2 3 2 2 2 3 2" xfId="13735"/>
    <cellStyle name="Note 2 3 2 2 2 3 3" xfId="16393"/>
    <cellStyle name="Note 2 3 2 2 2 3 3 2" xfId="32614"/>
    <cellStyle name="Note 2 3 2 2 2 4" xfId="9134"/>
    <cellStyle name="Note 2 3 2 2 2 4 2" xfId="13736"/>
    <cellStyle name="Note 2 3 2 2 2 5" xfId="13731"/>
    <cellStyle name="Note 2 3 2 2 2 6" xfId="14808"/>
    <cellStyle name="Note 2 3 2 2 2 6 2" xfId="31030"/>
    <cellStyle name="Note 2 3 2 2 3" xfId="9135"/>
    <cellStyle name="Note 2 3 2 2 3 2" xfId="9136"/>
    <cellStyle name="Note 2 3 2 2 3 2 2" xfId="9137"/>
    <cellStyle name="Note 2 3 2 2 3 2 2 2" xfId="13739"/>
    <cellStyle name="Note 2 3 2 2 3 2 2 3" xfId="17449"/>
    <cellStyle name="Note 2 3 2 2 3 2 2 3 2" xfId="33670"/>
    <cellStyle name="Note 2 3 2 2 3 2 3" xfId="9138"/>
    <cellStyle name="Note 2 3 2 2 3 2 3 2" xfId="13740"/>
    <cellStyle name="Note 2 3 2 2 3 2 4" xfId="13738"/>
    <cellStyle name="Note 2 3 2 2 3 2 5" xfId="15864"/>
    <cellStyle name="Note 2 3 2 2 3 2 5 2" xfId="32086"/>
    <cellStyle name="Note 2 3 2 2 3 3" xfId="9139"/>
    <cellStyle name="Note 2 3 2 2 3 3 2" xfId="13741"/>
    <cellStyle name="Note 2 3 2 2 3 3 3" xfId="16657"/>
    <cellStyle name="Note 2 3 2 2 3 3 3 2" xfId="32878"/>
    <cellStyle name="Note 2 3 2 2 3 4" xfId="9140"/>
    <cellStyle name="Note 2 3 2 2 3 4 2" xfId="13742"/>
    <cellStyle name="Note 2 3 2 2 3 5" xfId="13737"/>
    <cellStyle name="Note 2 3 2 2 3 6" xfId="15072"/>
    <cellStyle name="Note 2 3 2 2 3 6 2" xfId="31294"/>
    <cellStyle name="Note 2 3 2 2 4" xfId="9141"/>
    <cellStyle name="Note 2 3 2 2 4 2" xfId="9142"/>
    <cellStyle name="Note 2 3 2 2 4 2 2" xfId="13744"/>
    <cellStyle name="Note 2 3 2 2 4 2 3" xfId="16921"/>
    <cellStyle name="Note 2 3 2 2 4 2 3 2" xfId="33142"/>
    <cellStyle name="Note 2 3 2 2 4 3" xfId="9143"/>
    <cellStyle name="Note 2 3 2 2 4 3 2" xfId="13745"/>
    <cellStyle name="Note 2 3 2 2 4 4" xfId="13743"/>
    <cellStyle name="Note 2 3 2 2 4 5" xfId="15336"/>
    <cellStyle name="Note 2 3 2 2 4 5 2" xfId="31558"/>
    <cellStyle name="Note 2 3 2 2 5" xfId="9144"/>
    <cellStyle name="Note 2 3 2 2 5 2" xfId="13746"/>
    <cellStyle name="Note 2 3 2 2 5 3" xfId="16129"/>
    <cellStyle name="Note 2 3 2 2 5 3 2" xfId="32350"/>
    <cellStyle name="Note 2 3 2 2 6" xfId="9145"/>
    <cellStyle name="Note 2 3 2 2 6 2" xfId="13747"/>
    <cellStyle name="Note 2 3 2 2 7" xfId="13730"/>
    <cellStyle name="Note 2 3 2 2 8" xfId="14544"/>
    <cellStyle name="Note 2 3 2 2 8 2" xfId="30766"/>
    <cellStyle name="Note 2 3 2 3" xfId="9146"/>
    <cellStyle name="Note 2 3 2 3 2" xfId="9147"/>
    <cellStyle name="Note 2 3 2 3 2 2" xfId="9148"/>
    <cellStyle name="Note 2 3 2 3 2 2 2" xfId="13750"/>
    <cellStyle name="Note 2 3 2 3 2 2 3" xfId="17053"/>
    <cellStyle name="Note 2 3 2 3 2 2 3 2" xfId="33274"/>
    <cellStyle name="Note 2 3 2 3 2 3" xfId="9149"/>
    <cellStyle name="Note 2 3 2 3 2 3 2" xfId="13751"/>
    <cellStyle name="Note 2 3 2 3 2 4" xfId="13749"/>
    <cellStyle name="Note 2 3 2 3 2 5" xfId="15468"/>
    <cellStyle name="Note 2 3 2 3 2 5 2" xfId="31690"/>
    <cellStyle name="Note 2 3 2 3 3" xfId="9150"/>
    <cellStyle name="Note 2 3 2 3 3 2" xfId="13752"/>
    <cellStyle name="Note 2 3 2 3 3 3" xfId="16261"/>
    <cellStyle name="Note 2 3 2 3 3 3 2" xfId="32482"/>
    <cellStyle name="Note 2 3 2 3 4" xfId="9151"/>
    <cellStyle name="Note 2 3 2 3 4 2" xfId="13753"/>
    <cellStyle name="Note 2 3 2 3 5" xfId="13748"/>
    <cellStyle name="Note 2 3 2 3 6" xfId="14676"/>
    <cellStyle name="Note 2 3 2 3 6 2" xfId="30898"/>
    <cellStyle name="Note 2 3 2 4" xfId="9152"/>
    <cellStyle name="Note 2 3 2 4 2" xfId="9153"/>
    <cellStyle name="Note 2 3 2 4 2 2" xfId="9154"/>
    <cellStyle name="Note 2 3 2 4 2 2 2" xfId="13756"/>
    <cellStyle name="Note 2 3 2 4 2 2 3" xfId="17317"/>
    <cellStyle name="Note 2 3 2 4 2 2 3 2" xfId="33538"/>
    <cellStyle name="Note 2 3 2 4 2 3" xfId="9155"/>
    <cellStyle name="Note 2 3 2 4 2 3 2" xfId="13757"/>
    <cellStyle name="Note 2 3 2 4 2 4" xfId="13755"/>
    <cellStyle name="Note 2 3 2 4 2 5" xfId="15732"/>
    <cellStyle name="Note 2 3 2 4 2 5 2" xfId="31954"/>
    <cellStyle name="Note 2 3 2 4 3" xfId="9156"/>
    <cellStyle name="Note 2 3 2 4 3 2" xfId="13758"/>
    <cellStyle name="Note 2 3 2 4 3 3" xfId="16525"/>
    <cellStyle name="Note 2 3 2 4 3 3 2" xfId="32746"/>
    <cellStyle name="Note 2 3 2 4 4" xfId="9157"/>
    <cellStyle name="Note 2 3 2 4 4 2" xfId="13759"/>
    <cellStyle name="Note 2 3 2 4 5" xfId="13754"/>
    <cellStyle name="Note 2 3 2 4 6" xfId="14940"/>
    <cellStyle name="Note 2 3 2 4 6 2" xfId="31162"/>
    <cellStyle name="Note 2 3 2 5" xfId="9158"/>
    <cellStyle name="Note 2 3 2 5 2" xfId="9159"/>
    <cellStyle name="Note 2 3 2 5 2 2" xfId="13761"/>
    <cellStyle name="Note 2 3 2 5 2 3" xfId="16789"/>
    <cellStyle name="Note 2 3 2 5 2 3 2" xfId="33010"/>
    <cellStyle name="Note 2 3 2 5 3" xfId="9160"/>
    <cellStyle name="Note 2 3 2 5 3 2" xfId="13762"/>
    <cellStyle name="Note 2 3 2 5 4" xfId="13760"/>
    <cellStyle name="Note 2 3 2 5 5" xfId="15204"/>
    <cellStyle name="Note 2 3 2 5 5 2" xfId="31426"/>
    <cellStyle name="Note 2 3 2 6" xfId="9161"/>
    <cellStyle name="Note 2 3 2 6 2" xfId="13763"/>
    <cellStyle name="Note 2 3 2 6 3" xfId="15997"/>
    <cellStyle name="Note 2 3 2 6 3 2" xfId="32218"/>
    <cellStyle name="Note 2 3 2 7" xfId="9162"/>
    <cellStyle name="Note 2 3 2 7 2" xfId="13764"/>
    <cellStyle name="Note 2 3 2 8" xfId="13729"/>
    <cellStyle name="Note 2 3 2 9" xfId="14412"/>
    <cellStyle name="Note 2 3 2 9 2" xfId="30634"/>
    <cellStyle name="Note 2 3 3" xfId="9163"/>
    <cellStyle name="Note 2 3 3 2" xfId="9164"/>
    <cellStyle name="Note 2 3 3 2 2" xfId="9165"/>
    <cellStyle name="Note 2 3 3 2 2 2" xfId="9166"/>
    <cellStyle name="Note 2 3 3 2 2 2 2" xfId="13768"/>
    <cellStyle name="Note 2 3 3 2 2 2 3" xfId="17119"/>
    <cellStyle name="Note 2 3 3 2 2 2 3 2" xfId="33340"/>
    <cellStyle name="Note 2 3 3 2 2 3" xfId="9167"/>
    <cellStyle name="Note 2 3 3 2 2 3 2" xfId="13769"/>
    <cellStyle name="Note 2 3 3 2 2 4" xfId="13767"/>
    <cellStyle name="Note 2 3 3 2 2 5" xfId="15534"/>
    <cellStyle name="Note 2 3 3 2 2 5 2" xfId="31756"/>
    <cellStyle name="Note 2 3 3 2 3" xfId="9168"/>
    <cellStyle name="Note 2 3 3 2 3 2" xfId="13770"/>
    <cellStyle name="Note 2 3 3 2 3 3" xfId="16327"/>
    <cellStyle name="Note 2 3 3 2 3 3 2" xfId="32548"/>
    <cellStyle name="Note 2 3 3 2 4" xfId="9169"/>
    <cellStyle name="Note 2 3 3 2 4 2" xfId="13771"/>
    <cellStyle name="Note 2 3 3 2 5" xfId="13766"/>
    <cellStyle name="Note 2 3 3 2 6" xfId="14742"/>
    <cellStyle name="Note 2 3 3 2 6 2" xfId="30964"/>
    <cellStyle name="Note 2 3 3 3" xfId="9170"/>
    <cellStyle name="Note 2 3 3 3 2" xfId="9171"/>
    <cellStyle name="Note 2 3 3 3 2 2" xfId="9172"/>
    <cellStyle name="Note 2 3 3 3 2 2 2" xfId="13774"/>
    <cellStyle name="Note 2 3 3 3 2 2 3" xfId="17383"/>
    <cellStyle name="Note 2 3 3 3 2 2 3 2" xfId="33604"/>
    <cellStyle name="Note 2 3 3 3 2 3" xfId="9173"/>
    <cellStyle name="Note 2 3 3 3 2 3 2" xfId="13775"/>
    <cellStyle name="Note 2 3 3 3 2 4" xfId="13773"/>
    <cellStyle name="Note 2 3 3 3 2 5" xfId="15798"/>
    <cellStyle name="Note 2 3 3 3 2 5 2" xfId="32020"/>
    <cellStyle name="Note 2 3 3 3 3" xfId="9174"/>
    <cellStyle name="Note 2 3 3 3 3 2" xfId="13776"/>
    <cellStyle name="Note 2 3 3 3 3 3" xfId="16591"/>
    <cellStyle name="Note 2 3 3 3 3 3 2" xfId="32812"/>
    <cellStyle name="Note 2 3 3 3 4" xfId="9175"/>
    <cellStyle name="Note 2 3 3 3 4 2" xfId="13777"/>
    <cellStyle name="Note 2 3 3 3 5" xfId="13772"/>
    <cellStyle name="Note 2 3 3 3 6" xfId="15006"/>
    <cellStyle name="Note 2 3 3 3 6 2" xfId="31228"/>
    <cellStyle name="Note 2 3 3 4" xfId="9176"/>
    <cellStyle name="Note 2 3 3 4 2" xfId="9177"/>
    <cellStyle name="Note 2 3 3 4 2 2" xfId="13779"/>
    <cellStyle name="Note 2 3 3 4 2 3" xfId="16855"/>
    <cellStyle name="Note 2 3 3 4 2 3 2" xfId="33076"/>
    <cellStyle name="Note 2 3 3 4 3" xfId="9178"/>
    <cellStyle name="Note 2 3 3 4 3 2" xfId="13780"/>
    <cellStyle name="Note 2 3 3 4 4" xfId="13778"/>
    <cellStyle name="Note 2 3 3 4 5" xfId="15270"/>
    <cellStyle name="Note 2 3 3 4 5 2" xfId="31492"/>
    <cellStyle name="Note 2 3 3 5" xfId="9179"/>
    <cellStyle name="Note 2 3 3 5 2" xfId="13781"/>
    <cellStyle name="Note 2 3 3 5 3" xfId="16063"/>
    <cellStyle name="Note 2 3 3 5 3 2" xfId="32284"/>
    <cellStyle name="Note 2 3 3 6" xfId="9180"/>
    <cellStyle name="Note 2 3 3 6 2" xfId="13782"/>
    <cellStyle name="Note 2 3 3 7" xfId="13765"/>
    <cellStyle name="Note 2 3 3 8" xfId="14478"/>
    <cellStyle name="Note 2 3 3 8 2" xfId="30700"/>
    <cellStyle name="Note 2 3 4" xfId="9181"/>
    <cellStyle name="Note 2 3 4 2" xfId="9182"/>
    <cellStyle name="Note 2 3 4 2 2" xfId="9183"/>
    <cellStyle name="Note 2 3 4 2 2 2" xfId="13785"/>
    <cellStyle name="Note 2 3 4 2 2 3" xfId="16987"/>
    <cellStyle name="Note 2 3 4 2 2 3 2" xfId="33208"/>
    <cellStyle name="Note 2 3 4 2 3" xfId="9184"/>
    <cellStyle name="Note 2 3 4 2 3 2" xfId="13786"/>
    <cellStyle name="Note 2 3 4 2 4" xfId="13784"/>
    <cellStyle name="Note 2 3 4 2 5" xfId="15402"/>
    <cellStyle name="Note 2 3 4 2 5 2" xfId="31624"/>
    <cellStyle name="Note 2 3 4 3" xfId="9185"/>
    <cellStyle name="Note 2 3 4 3 2" xfId="13787"/>
    <cellStyle name="Note 2 3 4 3 3" xfId="16195"/>
    <cellStyle name="Note 2 3 4 3 3 2" xfId="32416"/>
    <cellStyle name="Note 2 3 4 4" xfId="9186"/>
    <cellStyle name="Note 2 3 4 4 2" xfId="13788"/>
    <cellStyle name="Note 2 3 4 5" xfId="13783"/>
    <cellStyle name="Note 2 3 4 6" xfId="14610"/>
    <cellStyle name="Note 2 3 4 6 2" xfId="30832"/>
    <cellStyle name="Note 2 3 5" xfId="9187"/>
    <cellStyle name="Note 2 3 5 2" xfId="9188"/>
    <cellStyle name="Note 2 3 5 2 2" xfId="9189"/>
    <cellStyle name="Note 2 3 5 2 2 2" xfId="13791"/>
    <cellStyle name="Note 2 3 5 2 2 3" xfId="17251"/>
    <cellStyle name="Note 2 3 5 2 2 3 2" xfId="33472"/>
    <cellStyle name="Note 2 3 5 2 3" xfId="9190"/>
    <cellStyle name="Note 2 3 5 2 3 2" xfId="13792"/>
    <cellStyle name="Note 2 3 5 2 4" xfId="13790"/>
    <cellStyle name="Note 2 3 5 2 5" xfId="15666"/>
    <cellStyle name="Note 2 3 5 2 5 2" xfId="31888"/>
    <cellStyle name="Note 2 3 5 3" xfId="9191"/>
    <cellStyle name="Note 2 3 5 3 2" xfId="13793"/>
    <cellStyle name="Note 2 3 5 3 3" xfId="16459"/>
    <cellStyle name="Note 2 3 5 3 3 2" xfId="32680"/>
    <cellStyle name="Note 2 3 5 4" xfId="9192"/>
    <cellStyle name="Note 2 3 5 4 2" xfId="13794"/>
    <cellStyle name="Note 2 3 5 5" xfId="13789"/>
    <cellStyle name="Note 2 3 5 6" xfId="14874"/>
    <cellStyle name="Note 2 3 5 6 2" xfId="31096"/>
    <cellStyle name="Note 2 3 6" xfId="9193"/>
    <cellStyle name="Note 2 3 6 2" xfId="9194"/>
    <cellStyle name="Note 2 3 6 2 2" xfId="13796"/>
    <cellStyle name="Note 2 3 6 2 3" xfId="16723"/>
    <cellStyle name="Note 2 3 6 2 3 2" xfId="32944"/>
    <cellStyle name="Note 2 3 6 3" xfId="9195"/>
    <cellStyle name="Note 2 3 6 3 2" xfId="13797"/>
    <cellStyle name="Note 2 3 6 4" xfId="13795"/>
    <cellStyle name="Note 2 3 6 5" xfId="15138"/>
    <cellStyle name="Note 2 3 6 5 2" xfId="31360"/>
    <cellStyle name="Note 2 3 7" xfId="9196"/>
    <cellStyle name="Note 2 3 7 2" xfId="13798"/>
    <cellStyle name="Note 2 3 7 3" xfId="15931"/>
    <cellStyle name="Note 2 3 7 3 2" xfId="32152"/>
    <cellStyle name="Note 2 3 8" xfId="9197"/>
    <cellStyle name="Note 2 3 8 2" xfId="13799"/>
    <cellStyle name="Note 2 3 9" xfId="13728"/>
    <cellStyle name="Note 2 4" xfId="9198"/>
    <cellStyle name="Note 2 4 10" xfId="39240"/>
    <cellStyle name="Note 2 4 2" xfId="9199"/>
    <cellStyle name="Note 2 4 2 2" xfId="9200"/>
    <cellStyle name="Note 2 4 2 2 2" xfId="9201"/>
    <cellStyle name="Note 2 4 2 2 2 2" xfId="9202"/>
    <cellStyle name="Note 2 4 2 2 2 2 2" xfId="13804"/>
    <cellStyle name="Note 2 4 2 2 2 2 3" xfId="17152"/>
    <cellStyle name="Note 2 4 2 2 2 2 3 2" xfId="33373"/>
    <cellStyle name="Note 2 4 2 2 2 3" xfId="9203"/>
    <cellStyle name="Note 2 4 2 2 2 3 2" xfId="13805"/>
    <cellStyle name="Note 2 4 2 2 2 4" xfId="13803"/>
    <cellStyle name="Note 2 4 2 2 2 5" xfId="15567"/>
    <cellStyle name="Note 2 4 2 2 2 5 2" xfId="31789"/>
    <cellStyle name="Note 2 4 2 2 3" xfId="9204"/>
    <cellStyle name="Note 2 4 2 2 3 2" xfId="13806"/>
    <cellStyle name="Note 2 4 2 2 3 3" xfId="16360"/>
    <cellStyle name="Note 2 4 2 2 3 3 2" xfId="32581"/>
    <cellStyle name="Note 2 4 2 2 4" xfId="9205"/>
    <cellStyle name="Note 2 4 2 2 4 2" xfId="13807"/>
    <cellStyle name="Note 2 4 2 2 5" xfId="13802"/>
    <cellStyle name="Note 2 4 2 2 6" xfId="14775"/>
    <cellStyle name="Note 2 4 2 2 6 2" xfId="30997"/>
    <cellStyle name="Note 2 4 2 3" xfId="9206"/>
    <cellStyle name="Note 2 4 2 3 2" xfId="9207"/>
    <cellStyle name="Note 2 4 2 3 2 2" xfId="9208"/>
    <cellStyle name="Note 2 4 2 3 2 2 2" xfId="13810"/>
    <cellStyle name="Note 2 4 2 3 2 2 3" xfId="17416"/>
    <cellStyle name="Note 2 4 2 3 2 2 3 2" xfId="33637"/>
    <cellStyle name="Note 2 4 2 3 2 3" xfId="9209"/>
    <cellStyle name="Note 2 4 2 3 2 3 2" xfId="13811"/>
    <cellStyle name="Note 2 4 2 3 2 4" xfId="13809"/>
    <cellStyle name="Note 2 4 2 3 2 5" xfId="15831"/>
    <cellStyle name="Note 2 4 2 3 2 5 2" xfId="32053"/>
    <cellStyle name="Note 2 4 2 3 3" xfId="9210"/>
    <cellStyle name="Note 2 4 2 3 3 2" xfId="13812"/>
    <cellStyle name="Note 2 4 2 3 3 3" xfId="16624"/>
    <cellStyle name="Note 2 4 2 3 3 3 2" xfId="32845"/>
    <cellStyle name="Note 2 4 2 3 4" xfId="9211"/>
    <cellStyle name="Note 2 4 2 3 4 2" xfId="13813"/>
    <cellStyle name="Note 2 4 2 3 5" xfId="13808"/>
    <cellStyle name="Note 2 4 2 3 6" xfId="15039"/>
    <cellStyle name="Note 2 4 2 3 6 2" xfId="31261"/>
    <cellStyle name="Note 2 4 2 4" xfId="9212"/>
    <cellStyle name="Note 2 4 2 4 2" xfId="9213"/>
    <cellStyle name="Note 2 4 2 4 2 2" xfId="13815"/>
    <cellStyle name="Note 2 4 2 4 2 3" xfId="16888"/>
    <cellStyle name="Note 2 4 2 4 2 3 2" xfId="33109"/>
    <cellStyle name="Note 2 4 2 4 3" xfId="9214"/>
    <cellStyle name="Note 2 4 2 4 3 2" xfId="13816"/>
    <cellStyle name="Note 2 4 2 4 4" xfId="13814"/>
    <cellStyle name="Note 2 4 2 4 5" xfId="15303"/>
    <cellStyle name="Note 2 4 2 4 5 2" xfId="31525"/>
    <cellStyle name="Note 2 4 2 5" xfId="9215"/>
    <cellStyle name="Note 2 4 2 5 2" xfId="13817"/>
    <cellStyle name="Note 2 4 2 5 3" xfId="16096"/>
    <cellStyle name="Note 2 4 2 5 3 2" xfId="32317"/>
    <cellStyle name="Note 2 4 2 6" xfId="9216"/>
    <cellStyle name="Note 2 4 2 6 2" xfId="13818"/>
    <cellStyle name="Note 2 4 2 7" xfId="13801"/>
    <cellStyle name="Note 2 4 2 8" xfId="14511"/>
    <cellStyle name="Note 2 4 2 8 2" xfId="30733"/>
    <cellStyle name="Note 2 4 3" xfId="9217"/>
    <cellStyle name="Note 2 4 3 2" xfId="9218"/>
    <cellStyle name="Note 2 4 3 2 2" xfId="9219"/>
    <cellStyle name="Note 2 4 3 2 2 2" xfId="13821"/>
    <cellStyle name="Note 2 4 3 2 2 3" xfId="17020"/>
    <cellStyle name="Note 2 4 3 2 2 3 2" xfId="33241"/>
    <cellStyle name="Note 2 4 3 2 3" xfId="9220"/>
    <cellStyle name="Note 2 4 3 2 3 2" xfId="13822"/>
    <cellStyle name="Note 2 4 3 2 4" xfId="13820"/>
    <cellStyle name="Note 2 4 3 2 5" xfId="15435"/>
    <cellStyle name="Note 2 4 3 2 5 2" xfId="31657"/>
    <cellStyle name="Note 2 4 3 3" xfId="9221"/>
    <cellStyle name="Note 2 4 3 3 2" xfId="13823"/>
    <cellStyle name="Note 2 4 3 3 3" xfId="16228"/>
    <cellStyle name="Note 2 4 3 3 3 2" xfId="32449"/>
    <cellStyle name="Note 2 4 3 4" xfId="9222"/>
    <cellStyle name="Note 2 4 3 4 2" xfId="13824"/>
    <cellStyle name="Note 2 4 3 5" xfId="13819"/>
    <cellStyle name="Note 2 4 3 6" xfId="14643"/>
    <cellStyle name="Note 2 4 3 6 2" xfId="30865"/>
    <cellStyle name="Note 2 4 4" xfId="9223"/>
    <cellStyle name="Note 2 4 4 2" xfId="9224"/>
    <cellStyle name="Note 2 4 4 2 2" xfId="9225"/>
    <cellStyle name="Note 2 4 4 2 2 2" xfId="13827"/>
    <cellStyle name="Note 2 4 4 2 2 3" xfId="17284"/>
    <cellStyle name="Note 2 4 4 2 2 3 2" xfId="33505"/>
    <cellStyle name="Note 2 4 4 2 3" xfId="9226"/>
    <cellStyle name="Note 2 4 4 2 3 2" xfId="13828"/>
    <cellStyle name="Note 2 4 4 2 4" xfId="13826"/>
    <cellStyle name="Note 2 4 4 2 5" xfId="15699"/>
    <cellStyle name="Note 2 4 4 2 5 2" xfId="31921"/>
    <cellStyle name="Note 2 4 4 3" xfId="9227"/>
    <cellStyle name="Note 2 4 4 3 2" xfId="13829"/>
    <cellStyle name="Note 2 4 4 3 3" xfId="16492"/>
    <cellStyle name="Note 2 4 4 3 3 2" xfId="32713"/>
    <cellStyle name="Note 2 4 4 4" xfId="9228"/>
    <cellStyle name="Note 2 4 4 4 2" xfId="13830"/>
    <cellStyle name="Note 2 4 4 5" xfId="13825"/>
    <cellStyle name="Note 2 4 4 6" xfId="14907"/>
    <cellStyle name="Note 2 4 4 6 2" xfId="31129"/>
    <cellStyle name="Note 2 4 5" xfId="9229"/>
    <cellStyle name="Note 2 4 5 2" xfId="9230"/>
    <cellStyle name="Note 2 4 5 2 2" xfId="13832"/>
    <cellStyle name="Note 2 4 5 2 3" xfId="16756"/>
    <cellStyle name="Note 2 4 5 2 3 2" xfId="32977"/>
    <cellStyle name="Note 2 4 5 3" xfId="9231"/>
    <cellStyle name="Note 2 4 5 3 2" xfId="13833"/>
    <cellStyle name="Note 2 4 5 4" xfId="13831"/>
    <cellStyle name="Note 2 4 5 5" xfId="15171"/>
    <cellStyle name="Note 2 4 5 5 2" xfId="31393"/>
    <cellStyle name="Note 2 4 6" xfId="9232"/>
    <cellStyle name="Note 2 4 6 2" xfId="13834"/>
    <cellStyle name="Note 2 4 6 3" xfId="15964"/>
    <cellStyle name="Note 2 4 6 3 2" xfId="32185"/>
    <cellStyle name="Note 2 4 7" xfId="9233"/>
    <cellStyle name="Note 2 4 7 2" xfId="13835"/>
    <cellStyle name="Note 2 4 8" xfId="13800"/>
    <cellStyle name="Note 2 4 9" xfId="14379"/>
    <cellStyle name="Note 2 4 9 2" xfId="30601"/>
    <cellStyle name="Note 2 5" xfId="9234"/>
    <cellStyle name="Note 2 5 2" xfId="9235"/>
    <cellStyle name="Note 2 5 2 2" xfId="9236"/>
    <cellStyle name="Note 2 5 2 2 2" xfId="9237"/>
    <cellStyle name="Note 2 5 2 2 2 2" xfId="13839"/>
    <cellStyle name="Note 2 5 2 2 2 3" xfId="17086"/>
    <cellStyle name="Note 2 5 2 2 2 3 2" xfId="33307"/>
    <cellStyle name="Note 2 5 2 2 3" xfId="9238"/>
    <cellStyle name="Note 2 5 2 2 3 2" xfId="13840"/>
    <cellStyle name="Note 2 5 2 2 4" xfId="13838"/>
    <cellStyle name="Note 2 5 2 2 5" xfId="15501"/>
    <cellStyle name="Note 2 5 2 2 5 2" xfId="31723"/>
    <cellStyle name="Note 2 5 2 3" xfId="9239"/>
    <cellStyle name="Note 2 5 2 3 2" xfId="13841"/>
    <cellStyle name="Note 2 5 2 3 3" xfId="16294"/>
    <cellStyle name="Note 2 5 2 3 3 2" xfId="32515"/>
    <cellStyle name="Note 2 5 2 4" xfId="9240"/>
    <cellStyle name="Note 2 5 2 4 2" xfId="13842"/>
    <cellStyle name="Note 2 5 2 5" xfId="13837"/>
    <cellStyle name="Note 2 5 2 6" xfId="14709"/>
    <cellStyle name="Note 2 5 2 6 2" xfId="30931"/>
    <cellStyle name="Note 2 5 3" xfId="9241"/>
    <cellStyle name="Note 2 5 3 2" xfId="9242"/>
    <cellStyle name="Note 2 5 3 2 2" xfId="9243"/>
    <cellStyle name="Note 2 5 3 2 2 2" xfId="13845"/>
    <cellStyle name="Note 2 5 3 2 2 3" xfId="17350"/>
    <cellStyle name="Note 2 5 3 2 2 3 2" xfId="33571"/>
    <cellStyle name="Note 2 5 3 2 3" xfId="9244"/>
    <cellStyle name="Note 2 5 3 2 3 2" xfId="13846"/>
    <cellStyle name="Note 2 5 3 2 4" xfId="13844"/>
    <cellStyle name="Note 2 5 3 2 5" xfId="15765"/>
    <cellStyle name="Note 2 5 3 2 5 2" xfId="31987"/>
    <cellStyle name="Note 2 5 3 3" xfId="9245"/>
    <cellStyle name="Note 2 5 3 3 2" xfId="13847"/>
    <cellStyle name="Note 2 5 3 3 3" xfId="16558"/>
    <cellStyle name="Note 2 5 3 3 3 2" xfId="32779"/>
    <cellStyle name="Note 2 5 3 4" xfId="9246"/>
    <cellStyle name="Note 2 5 3 4 2" xfId="13848"/>
    <cellStyle name="Note 2 5 3 5" xfId="13843"/>
    <cellStyle name="Note 2 5 3 6" xfId="14973"/>
    <cellStyle name="Note 2 5 3 6 2" xfId="31195"/>
    <cellStyle name="Note 2 5 4" xfId="9247"/>
    <cellStyle name="Note 2 5 4 2" xfId="9248"/>
    <cellStyle name="Note 2 5 4 2 2" xfId="13850"/>
    <cellStyle name="Note 2 5 4 2 3" xfId="16822"/>
    <cellStyle name="Note 2 5 4 2 3 2" xfId="33043"/>
    <cellStyle name="Note 2 5 4 3" xfId="9249"/>
    <cellStyle name="Note 2 5 4 3 2" xfId="13851"/>
    <cellStyle name="Note 2 5 4 4" xfId="13849"/>
    <cellStyle name="Note 2 5 4 5" xfId="15237"/>
    <cellStyle name="Note 2 5 4 5 2" xfId="31459"/>
    <cellStyle name="Note 2 5 5" xfId="9250"/>
    <cellStyle name="Note 2 5 5 2" xfId="13852"/>
    <cellStyle name="Note 2 5 5 3" xfId="16030"/>
    <cellStyle name="Note 2 5 5 3 2" xfId="32251"/>
    <cellStyle name="Note 2 5 6" xfId="9251"/>
    <cellStyle name="Note 2 5 6 2" xfId="13853"/>
    <cellStyle name="Note 2 5 7" xfId="13836"/>
    <cellStyle name="Note 2 5 8" xfId="14445"/>
    <cellStyle name="Note 2 5 8 2" xfId="30667"/>
    <cellStyle name="Note 2 5 9" xfId="39389"/>
    <cellStyle name="Note 2 6" xfId="9252"/>
    <cellStyle name="Note 2 6 2" xfId="9253"/>
    <cellStyle name="Note 2 6 2 2" xfId="9254"/>
    <cellStyle name="Note 2 6 2 2 2" xfId="13856"/>
    <cellStyle name="Note 2 6 2 2 3" xfId="16954"/>
    <cellStyle name="Note 2 6 2 2 3 2" xfId="33175"/>
    <cellStyle name="Note 2 6 2 3" xfId="9255"/>
    <cellStyle name="Note 2 6 2 3 2" xfId="13857"/>
    <cellStyle name="Note 2 6 2 4" xfId="13855"/>
    <cellStyle name="Note 2 6 2 5" xfId="15369"/>
    <cellStyle name="Note 2 6 2 5 2" xfId="31591"/>
    <cellStyle name="Note 2 6 3" xfId="9256"/>
    <cellStyle name="Note 2 6 3 2" xfId="13858"/>
    <cellStyle name="Note 2 6 3 3" xfId="16162"/>
    <cellStyle name="Note 2 6 3 3 2" xfId="32383"/>
    <cellStyle name="Note 2 6 4" xfId="9257"/>
    <cellStyle name="Note 2 6 4 2" xfId="13859"/>
    <cellStyle name="Note 2 6 5" xfId="13854"/>
    <cellStyle name="Note 2 6 6" xfId="14577"/>
    <cellStyle name="Note 2 6 6 2" xfId="30799"/>
    <cellStyle name="Note 2 7" xfId="9258"/>
    <cellStyle name="Note 2 7 2" xfId="9259"/>
    <cellStyle name="Note 2 7 2 2" xfId="9260"/>
    <cellStyle name="Note 2 7 2 2 2" xfId="13862"/>
    <cellStyle name="Note 2 7 2 2 3" xfId="17218"/>
    <cellStyle name="Note 2 7 2 2 3 2" xfId="33439"/>
    <cellStyle name="Note 2 7 2 3" xfId="9261"/>
    <cellStyle name="Note 2 7 2 3 2" xfId="13863"/>
    <cellStyle name="Note 2 7 2 4" xfId="13861"/>
    <cellStyle name="Note 2 7 2 5" xfId="15633"/>
    <cellStyle name="Note 2 7 2 5 2" xfId="31855"/>
    <cellStyle name="Note 2 7 3" xfId="9262"/>
    <cellStyle name="Note 2 7 3 2" xfId="13864"/>
    <cellStyle name="Note 2 7 3 3" xfId="16426"/>
    <cellStyle name="Note 2 7 3 3 2" xfId="32647"/>
    <cellStyle name="Note 2 7 4" xfId="9263"/>
    <cellStyle name="Note 2 7 4 2" xfId="13865"/>
    <cellStyle name="Note 2 7 5" xfId="13860"/>
    <cellStyle name="Note 2 7 6" xfId="14841"/>
    <cellStyle name="Note 2 7 6 2" xfId="31063"/>
    <cellStyle name="Note 2 8" xfId="9264"/>
    <cellStyle name="Note 2 8 2" xfId="9265"/>
    <cellStyle name="Note 2 8 2 2" xfId="13867"/>
    <cellStyle name="Note 2 8 2 3" xfId="16690"/>
    <cellStyle name="Note 2 8 2 3 2" xfId="32911"/>
    <cellStyle name="Note 2 8 3" xfId="9266"/>
    <cellStyle name="Note 2 8 3 2" xfId="13868"/>
    <cellStyle name="Note 2 8 4" xfId="13866"/>
    <cellStyle name="Note 2 8 5" xfId="15105"/>
    <cellStyle name="Note 2 8 5 2" xfId="31327"/>
    <cellStyle name="Note 2 9" xfId="9267"/>
    <cellStyle name="Note 2 9 2" xfId="13869"/>
    <cellStyle name="Note 2 9 3" xfId="15898"/>
    <cellStyle name="Note 2 9 3 2" xfId="32119"/>
    <cellStyle name="Note 3" xfId="9268"/>
    <cellStyle name="Note 3 10" xfId="9269"/>
    <cellStyle name="Note 3 10 2" xfId="13871"/>
    <cellStyle name="Note 3 11" xfId="13870"/>
    <cellStyle name="Note 3 12" xfId="14301"/>
    <cellStyle name="Note 3 12 2" xfId="30537"/>
    <cellStyle name="Note 3 13" xfId="38814"/>
    <cellStyle name="Note 3 2" xfId="9270"/>
    <cellStyle name="Note 3 2 10" xfId="13872"/>
    <cellStyle name="Note 3 2 11" xfId="14302"/>
    <cellStyle name="Note 3 2 11 2" xfId="30538"/>
    <cellStyle name="Note 3 2 12" xfId="38959"/>
    <cellStyle name="Note 3 2 2" xfId="9271"/>
    <cellStyle name="Note 3 2 2 10" xfId="14349"/>
    <cellStyle name="Note 3 2 2 10 2" xfId="30571"/>
    <cellStyle name="Note 3 2 2 11" xfId="39149"/>
    <cellStyle name="Note 3 2 2 2" xfId="9272"/>
    <cellStyle name="Note 3 2 2 2 2" xfId="9273"/>
    <cellStyle name="Note 3 2 2 2 2 2" xfId="9274"/>
    <cellStyle name="Note 3 2 2 2 2 2 2" xfId="9275"/>
    <cellStyle name="Note 3 2 2 2 2 2 2 2" xfId="9276"/>
    <cellStyle name="Note 3 2 2 2 2 2 2 2 2" xfId="13878"/>
    <cellStyle name="Note 3 2 2 2 2 2 2 2 3" xfId="17188"/>
    <cellStyle name="Note 3 2 2 2 2 2 2 2 3 2" xfId="33409"/>
    <cellStyle name="Note 3 2 2 2 2 2 2 3" xfId="9277"/>
    <cellStyle name="Note 3 2 2 2 2 2 2 3 2" xfId="13879"/>
    <cellStyle name="Note 3 2 2 2 2 2 2 4" xfId="13877"/>
    <cellStyle name="Note 3 2 2 2 2 2 2 5" xfId="15603"/>
    <cellStyle name="Note 3 2 2 2 2 2 2 5 2" xfId="31825"/>
    <cellStyle name="Note 3 2 2 2 2 2 3" xfId="9278"/>
    <cellStyle name="Note 3 2 2 2 2 2 3 2" xfId="13880"/>
    <cellStyle name="Note 3 2 2 2 2 2 3 3" xfId="16396"/>
    <cellStyle name="Note 3 2 2 2 2 2 3 3 2" xfId="32617"/>
    <cellStyle name="Note 3 2 2 2 2 2 4" xfId="9279"/>
    <cellStyle name="Note 3 2 2 2 2 2 4 2" xfId="13881"/>
    <cellStyle name="Note 3 2 2 2 2 2 5" xfId="13876"/>
    <cellStyle name="Note 3 2 2 2 2 2 6" xfId="14811"/>
    <cellStyle name="Note 3 2 2 2 2 2 6 2" xfId="31033"/>
    <cellStyle name="Note 3 2 2 2 2 3" xfId="9280"/>
    <cellStyle name="Note 3 2 2 2 2 3 2" xfId="9281"/>
    <cellStyle name="Note 3 2 2 2 2 3 2 2" xfId="9282"/>
    <cellStyle name="Note 3 2 2 2 2 3 2 2 2" xfId="13884"/>
    <cellStyle name="Note 3 2 2 2 2 3 2 2 3" xfId="17452"/>
    <cellStyle name="Note 3 2 2 2 2 3 2 2 3 2" xfId="33673"/>
    <cellStyle name="Note 3 2 2 2 2 3 2 3" xfId="9283"/>
    <cellStyle name="Note 3 2 2 2 2 3 2 3 2" xfId="13885"/>
    <cellStyle name="Note 3 2 2 2 2 3 2 4" xfId="13883"/>
    <cellStyle name="Note 3 2 2 2 2 3 2 5" xfId="15867"/>
    <cellStyle name="Note 3 2 2 2 2 3 2 5 2" xfId="32089"/>
    <cellStyle name="Note 3 2 2 2 2 3 3" xfId="9284"/>
    <cellStyle name="Note 3 2 2 2 2 3 3 2" xfId="13886"/>
    <cellStyle name="Note 3 2 2 2 2 3 3 3" xfId="16660"/>
    <cellStyle name="Note 3 2 2 2 2 3 3 3 2" xfId="32881"/>
    <cellStyle name="Note 3 2 2 2 2 3 4" xfId="9285"/>
    <cellStyle name="Note 3 2 2 2 2 3 4 2" xfId="13887"/>
    <cellStyle name="Note 3 2 2 2 2 3 5" xfId="13882"/>
    <cellStyle name="Note 3 2 2 2 2 3 6" xfId="15075"/>
    <cellStyle name="Note 3 2 2 2 2 3 6 2" xfId="31297"/>
    <cellStyle name="Note 3 2 2 2 2 4" xfId="9286"/>
    <cellStyle name="Note 3 2 2 2 2 4 2" xfId="9287"/>
    <cellStyle name="Note 3 2 2 2 2 4 2 2" xfId="13889"/>
    <cellStyle name="Note 3 2 2 2 2 4 2 3" xfId="16924"/>
    <cellStyle name="Note 3 2 2 2 2 4 2 3 2" xfId="33145"/>
    <cellStyle name="Note 3 2 2 2 2 4 3" xfId="9288"/>
    <cellStyle name="Note 3 2 2 2 2 4 3 2" xfId="13890"/>
    <cellStyle name="Note 3 2 2 2 2 4 4" xfId="13888"/>
    <cellStyle name="Note 3 2 2 2 2 4 5" xfId="15339"/>
    <cellStyle name="Note 3 2 2 2 2 4 5 2" xfId="31561"/>
    <cellStyle name="Note 3 2 2 2 2 5" xfId="9289"/>
    <cellStyle name="Note 3 2 2 2 2 5 2" xfId="13891"/>
    <cellStyle name="Note 3 2 2 2 2 5 3" xfId="16132"/>
    <cellStyle name="Note 3 2 2 2 2 5 3 2" xfId="32353"/>
    <cellStyle name="Note 3 2 2 2 2 6" xfId="9290"/>
    <cellStyle name="Note 3 2 2 2 2 6 2" xfId="13892"/>
    <cellStyle name="Note 3 2 2 2 2 7" xfId="13875"/>
    <cellStyle name="Note 3 2 2 2 2 8" xfId="14547"/>
    <cellStyle name="Note 3 2 2 2 2 8 2" xfId="30769"/>
    <cellStyle name="Note 3 2 2 2 3" xfId="9291"/>
    <cellStyle name="Note 3 2 2 2 3 2" xfId="9292"/>
    <cellStyle name="Note 3 2 2 2 3 2 2" xfId="9293"/>
    <cellStyle name="Note 3 2 2 2 3 2 2 2" xfId="13895"/>
    <cellStyle name="Note 3 2 2 2 3 2 2 3" xfId="17056"/>
    <cellStyle name="Note 3 2 2 2 3 2 2 3 2" xfId="33277"/>
    <cellStyle name="Note 3 2 2 2 3 2 3" xfId="9294"/>
    <cellStyle name="Note 3 2 2 2 3 2 3 2" xfId="13896"/>
    <cellStyle name="Note 3 2 2 2 3 2 4" xfId="13894"/>
    <cellStyle name="Note 3 2 2 2 3 2 5" xfId="15471"/>
    <cellStyle name="Note 3 2 2 2 3 2 5 2" xfId="31693"/>
    <cellStyle name="Note 3 2 2 2 3 3" xfId="9295"/>
    <cellStyle name="Note 3 2 2 2 3 3 2" xfId="13897"/>
    <cellStyle name="Note 3 2 2 2 3 3 3" xfId="16264"/>
    <cellStyle name="Note 3 2 2 2 3 3 3 2" xfId="32485"/>
    <cellStyle name="Note 3 2 2 2 3 4" xfId="9296"/>
    <cellStyle name="Note 3 2 2 2 3 4 2" xfId="13898"/>
    <cellStyle name="Note 3 2 2 2 3 5" xfId="13893"/>
    <cellStyle name="Note 3 2 2 2 3 6" xfId="14679"/>
    <cellStyle name="Note 3 2 2 2 3 6 2" xfId="30901"/>
    <cellStyle name="Note 3 2 2 2 4" xfId="9297"/>
    <cellStyle name="Note 3 2 2 2 4 2" xfId="9298"/>
    <cellStyle name="Note 3 2 2 2 4 2 2" xfId="9299"/>
    <cellStyle name="Note 3 2 2 2 4 2 2 2" xfId="13901"/>
    <cellStyle name="Note 3 2 2 2 4 2 2 3" xfId="17320"/>
    <cellStyle name="Note 3 2 2 2 4 2 2 3 2" xfId="33541"/>
    <cellStyle name="Note 3 2 2 2 4 2 3" xfId="9300"/>
    <cellStyle name="Note 3 2 2 2 4 2 3 2" xfId="13902"/>
    <cellStyle name="Note 3 2 2 2 4 2 4" xfId="13900"/>
    <cellStyle name="Note 3 2 2 2 4 2 5" xfId="15735"/>
    <cellStyle name="Note 3 2 2 2 4 2 5 2" xfId="31957"/>
    <cellStyle name="Note 3 2 2 2 4 3" xfId="9301"/>
    <cellStyle name="Note 3 2 2 2 4 3 2" xfId="13903"/>
    <cellStyle name="Note 3 2 2 2 4 3 3" xfId="16528"/>
    <cellStyle name="Note 3 2 2 2 4 3 3 2" xfId="32749"/>
    <cellStyle name="Note 3 2 2 2 4 4" xfId="9302"/>
    <cellStyle name="Note 3 2 2 2 4 4 2" xfId="13904"/>
    <cellStyle name="Note 3 2 2 2 4 5" xfId="13899"/>
    <cellStyle name="Note 3 2 2 2 4 6" xfId="14943"/>
    <cellStyle name="Note 3 2 2 2 4 6 2" xfId="31165"/>
    <cellStyle name="Note 3 2 2 2 5" xfId="9303"/>
    <cellStyle name="Note 3 2 2 2 5 2" xfId="9304"/>
    <cellStyle name="Note 3 2 2 2 5 2 2" xfId="13906"/>
    <cellStyle name="Note 3 2 2 2 5 2 3" xfId="16792"/>
    <cellStyle name="Note 3 2 2 2 5 2 3 2" xfId="33013"/>
    <cellStyle name="Note 3 2 2 2 5 3" xfId="9305"/>
    <cellStyle name="Note 3 2 2 2 5 3 2" xfId="13907"/>
    <cellStyle name="Note 3 2 2 2 5 4" xfId="13905"/>
    <cellStyle name="Note 3 2 2 2 5 5" xfId="15207"/>
    <cellStyle name="Note 3 2 2 2 5 5 2" xfId="31429"/>
    <cellStyle name="Note 3 2 2 2 6" xfId="9306"/>
    <cellStyle name="Note 3 2 2 2 6 2" xfId="13908"/>
    <cellStyle name="Note 3 2 2 2 6 3" xfId="16000"/>
    <cellStyle name="Note 3 2 2 2 6 3 2" xfId="32221"/>
    <cellStyle name="Note 3 2 2 2 7" xfId="9307"/>
    <cellStyle name="Note 3 2 2 2 7 2" xfId="13909"/>
    <cellStyle name="Note 3 2 2 2 8" xfId="13874"/>
    <cellStyle name="Note 3 2 2 2 9" xfId="14415"/>
    <cellStyle name="Note 3 2 2 2 9 2" xfId="30637"/>
    <cellStyle name="Note 3 2 2 3" xfId="9308"/>
    <cellStyle name="Note 3 2 2 3 2" xfId="9309"/>
    <cellStyle name="Note 3 2 2 3 2 2" xfId="9310"/>
    <cellStyle name="Note 3 2 2 3 2 2 2" xfId="9311"/>
    <cellStyle name="Note 3 2 2 3 2 2 2 2" xfId="13913"/>
    <cellStyle name="Note 3 2 2 3 2 2 2 3" xfId="17122"/>
    <cellStyle name="Note 3 2 2 3 2 2 2 3 2" xfId="33343"/>
    <cellStyle name="Note 3 2 2 3 2 2 3" xfId="9312"/>
    <cellStyle name="Note 3 2 2 3 2 2 3 2" xfId="13914"/>
    <cellStyle name="Note 3 2 2 3 2 2 4" xfId="13912"/>
    <cellStyle name="Note 3 2 2 3 2 2 5" xfId="15537"/>
    <cellStyle name="Note 3 2 2 3 2 2 5 2" xfId="31759"/>
    <cellStyle name="Note 3 2 2 3 2 3" xfId="9313"/>
    <cellStyle name="Note 3 2 2 3 2 3 2" xfId="13915"/>
    <cellStyle name="Note 3 2 2 3 2 3 3" xfId="16330"/>
    <cellStyle name="Note 3 2 2 3 2 3 3 2" xfId="32551"/>
    <cellStyle name="Note 3 2 2 3 2 4" xfId="9314"/>
    <cellStyle name="Note 3 2 2 3 2 4 2" xfId="13916"/>
    <cellStyle name="Note 3 2 2 3 2 5" xfId="13911"/>
    <cellStyle name="Note 3 2 2 3 2 6" xfId="14745"/>
    <cellStyle name="Note 3 2 2 3 2 6 2" xfId="30967"/>
    <cellStyle name="Note 3 2 2 3 3" xfId="9315"/>
    <cellStyle name="Note 3 2 2 3 3 2" xfId="9316"/>
    <cellStyle name="Note 3 2 2 3 3 2 2" xfId="9317"/>
    <cellStyle name="Note 3 2 2 3 3 2 2 2" xfId="13919"/>
    <cellStyle name="Note 3 2 2 3 3 2 2 3" xfId="17386"/>
    <cellStyle name="Note 3 2 2 3 3 2 2 3 2" xfId="33607"/>
    <cellStyle name="Note 3 2 2 3 3 2 3" xfId="9318"/>
    <cellStyle name="Note 3 2 2 3 3 2 3 2" xfId="13920"/>
    <cellStyle name="Note 3 2 2 3 3 2 4" xfId="13918"/>
    <cellStyle name="Note 3 2 2 3 3 2 5" xfId="15801"/>
    <cellStyle name="Note 3 2 2 3 3 2 5 2" xfId="32023"/>
    <cellStyle name="Note 3 2 2 3 3 3" xfId="9319"/>
    <cellStyle name="Note 3 2 2 3 3 3 2" xfId="13921"/>
    <cellStyle name="Note 3 2 2 3 3 3 3" xfId="16594"/>
    <cellStyle name="Note 3 2 2 3 3 3 3 2" xfId="32815"/>
    <cellStyle name="Note 3 2 2 3 3 4" xfId="9320"/>
    <cellStyle name="Note 3 2 2 3 3 4 2" xfId="13922"/>
    <cellStyle name="Note 3 2 2 3 3 5" xfId="13917"/>
    <cellStyle name="Note 3 2 2 3 3 6" xfId="15009"/>
    <cellStyle name="Note 3 2 2 3 3 6 2" xfId="31231"/>
    <cellStyle name="Note 3 2 2 3 4" xfId="9321"/>
    <cellStyle name="Note 3 2 2 3 4 2" xfId="9322"/>
    <cellStyle name="Note 3 2 2 3 4 2 2" xfId="13924"/>
    <cellStyle name="Note 3 2 2 3 4 2 3" xfId="16858"/>
    <cellStyle name="Note 3 2 2 3 4 2 3 2" xfId="33079"/>
    <cellStyle name="Note 3 2 2 3 4 3" xfId="9323"/>
    <cellStyle name="Note 3 2 2 3 4 3 2" xfId="13925"/>
    <cellStyle name="Note 3 2 2 3 4 4" xfId="13923"/>
    <cellStyle name="Note 3 2 2 3 4 5" xfId="15273"/>
    <cellStyle name="Note 3 2 2 3 4 5 2" xfId="31495"/>
    <cellStyle name="Note 3 2 2 3 5" xfId="9324"/>
    <cellStyle name="Note 3 2 2 3 5 2" xfId="13926"/>
    <cellStyle name="Note 3 2 2 3 5 3" xfId="16066"/>
    <cellStyle name="Note 3 2 2 3 5 3 2" xfId="32287"/>
    <cellStyle name="Note 3 2 2 3 6" xfId="9325"/>
    <cellStyle name="Note 3 2 2 3 6 2" xfId="13927"/>
    <cellStyle name="Note 3 2 2 3 7" xfId="13910"/>
    <cellStyle name="Note 3 2 2 3 8" xfId="14481"/>
    <cellStyle name="Note 3 2 2 3 8 2" xfId="30703"/>
    <cellStyle name="Note 3 2 2 4" xfId="9326"/>
    <cellStyle name="Note 3 2 2 4 2" xfId="9327"/>
    <cellStyle name="Note 3 2 2 4 2 2" xfId="9328"/>
    <cellStyle name="Note 3 2 2 4 2 2 2" xfId="13930"/>
    <cellStyle name="Note 3 2 2 4 2 2 3" xfId="16990"/>
    <cellStyle name="Note 3 2 2 4 2 2 3 2" xfId="33211"/>
    <cellStyle name="Note 3 2 2 4 2 3" xfId="9329"/>
    <cellStyle name="Note 3 2 2 4 2 3 2" xfId="13931"/>
    <cellStyle name="Note 3 2 2 4 2 4" xfId="13929"/>
    <cellStyle name="Note 3 2 2 4 2 5" xfId="15405"/>
    <cellStyle name="Note 3 2 2 4 2 5 2" xfId="31627"/>
    <cellStyle name="Note 3 2 2 4 3" xfId="9330"/>
    <cellStyle name="Note 3 2 2 4 3 2" xfId="13932"/>
    <cellStyle name="Note 3 2 2 4 3 3" xfId="16198"/>
    <cellStyle name="Note 3 2 2 4 3 3 2" xfId="32419"/>
    <cellStyle name="Note 3 2 2 4 4" xfId="9331"/>
    <cellStyle name="Note 3 2 2 4 4 2" xfId="13933"/>
    <cellStyle name="Note 3 2 2 4 5" xfId="13928"/>
    <cellStyle name="Note 3 2 2 4 6" xfId="14613"/>
    <cellStyle name="Note 3 2 2 4 6 2" xfId="30835"/>
    <cellStyle name="Note 3 2 2 5" xfId="9332"/>
    <cellStyle name="Note 3 2 2 5 2" xfId="9333"/>
    <cellStyle name="Note 3 2 2 5 2 2" xfId="9334"/>
    <cellStyle name="Note 3 2 2 5 2 2 2" xfId="13936"/>
    <cellStyle name="Note 3 2 2 5 2 2 3" xfId="17254"/>
    <cellStyle name="Note 3 2 2 5 2 2 3 2" xfId="33475"/>
    <cellStyle name="Note 3 2 2 5 2 3" xfId="9335"/>
    <cellStyle name="Note 3 2 2 5 2 3 2" xfId="13937"/>
    <cellStyle name="Note 3 2 2 5 2 4" xfId="13935"/>
    <cellStyle name="Note 3 2 2 5 2 5" xfId="15669"/>
    <cellStyle name="Note 3 2 2 5 2 5 2" xfId="31891"/>
    <cellStyle name="Note 3 2 2 5 3" xfId="9336"/>
    <cellStyle name="Note 3 2 2 5 3 2" xfId="13938"/>
    <cellStyle name="Note 3 2 2 5 3 3" xfId="16462"/>
    <cellStyle name="Note 3 2 2 5 3 3 2" xfId="32683"/>
    <cellStyle name="Note 3 2 2 5 4" xfId="9337"/>
    <cellStyle name="Note 3 2 2 5 4 2" xfId="13939"/>
    <cellStyle name="Note 3 2 2 5 5" xfId="13934"/>
    <cellStyle name="Note 3 2 2 5 6" xfId="14877"/>
    <cellStyle name="Note 3 2 2 5 6 2" xfId="31099"/>
    <cellStyle name="Note 3 2 2 6" xfId="9338"/>
    <cellStyle name="Note 3 2 2 6 2" xfId="9339"/>
    <cellStyle name="Note 3 2 2 6 2 2" xfId="13941"/>
    <cellStyle name="Note 3 2 2 6 2 3" xfId="16726"/>
    <cellStyle name="Note 3 2 2 6 2 3 2" xfId="32947"/>
    <cellStyle name="Note 3 2 2 6 3" xfId="9340"/>
    <cellStyle name="Note 3 2 2 6 3 2" xfId="13942"/>
    <cellStyle name="Note 3 2 2 6 4" xfId="13940"/>
    <cellStyle name="Note 3 2 2 6 5" xfId="15141"/>
    <cellStyle name="Note 3 2 2 6 5 2" xfId="31363"/>
    <cellStyle name="Note 3 2 2 7" xfId="9341"/>
    <cellStyle name="Note 3 2 2 7 2" xfId="13943"/>
    <cellStyle name="Note 3 2 2 7 3" xfId="15934"/>
    <cellStyle name="Note 3 2 2 7 3 2" xfId="32155"/>
    <cellStyle name="Note 3 2 2 8" xfId="9342"/>
    <cellStyle name="Note 3 2 2 8 2" xfId="13944"/>
    <cellStyle name="Note 3 2 2 9" xfId="13873"/>
    <cellStyle name="Note 3 2 3" xfId="9343"/>
    <cellStyle name="Note 3 2 3 10" xfId="39297"/>
    <cellStyle name="Note 3 2 3 2" xfId="9344"/>
    <cellStyle name="Note 3 2 3 2 2" xfId="9345"/>
    <cellStyle name="Note 3 2 3 2 2 2" xfId="9346"/>
    <cellStyle name="Note 3 2 3 2 2 2 2" xfId="9347"/>
    <cellStyle name="Note 3 2 3 2 2 2 2 2" xfId="13949"/>
    <cellStyle name="Note 3 2 3 2 2 2 2 3" xfId="17155"/>
    <cellStyle name="Note 3 2 3 2 2 2 2 3 2" xfId="33376"/>
    <cellStyle name="Note 3 2 3 2 2 2 3" xfId="9348"/>
    <cellStyle name="Note 3 2 3 2 2 2 3 2" xfId="13950"/>
    <cellStyle name="Note 3 2 3 2 2 2 4" xfId="13948"/>
    <cellStyle name="Note 3 2 3 2 2 2 5" xfId="15570"/>
    <cellStyle name="Note 3 2 3 2 2 2 5 2" xfId="31792"/>
    <cellStyle name="Note 3 2 3 2 2 3" xfId="9349"/>
    <cellStyle name="Note 3 2 3 2 2 3 2" xfId="13951"/>
    <cellStyle name="Note 3 2 3 2 2 3 3" xfId="16363"/>
    <cellStyle name="Note 3 2 3 2 2 3 3 2" xfId="32584"/>
    <cellStyle name="Note 3 2 3 2 2 4" xfId="9350"/>
    <cellStyle name="Note 3 2 3 2 2 4 2" xfId="13952"/>
    <cellStyle name="Note 3 2 3 2 2 5" xfId="13947"/>
    <cellStyle name="Note 3 2 3 2 2 6" xfId="14778"/>
    <cellStyle name="Note 3 2 3 2 2 6 2" xfId="31000"/>
    <cellStyle name="Note 3 2 3 2 3" xfId="9351"/>
    <cellStyle name="Note 3 2 3 2 3 2" xfId="9352"/>
    <cellStyle name="Note 3 2 3 2 3 2 2" xfId="9353"/>
    <cellStyle name="Note 3 2 3 2 3 2 2 2" xfId="13955"/>
    <cellStyle name="Note 3 2 3 2 3 2 2 3" xfId="17419"/>
    <cellStyle name="Note 3 2 3 2 3 2 2 3 2" xfId="33640"/>
    <cellStyle name="Note 3 2 3 2 3 2 3" xfId="9354"/>
    <cellStyle name="Note 3 2 3 2 3 2 3 2" xfId="13956"/>
    <cellStyle name="Note 3 2 3 2 3 2 4" xfId="13954"/>
    <cellStyle name="Note 3 2 3 2 3 2 5" xfId="15834"/>
    <cellStyle name="Note 3 2 3 2 3 2 5 2" xfId="32056"/>
    <cellStyle name="Note 3 2 3 2 3 3" xfId="9355"/>
    <cellStyle name="Note 3 2 3 2 3 3 2" xfId="13957"/>
    <cellStyle name="Note 3 2 3 2 3 3 3" xfId="16627"/>
    <cellStyle name="Note 3 2 3 2 3 3 3 2" xfId="32848"/>
    <cellStyle name="Note 3 2 3 2 3 4" xfId="9356"/>
    <cellStyle name="Note 3 2 3 2 3 4 2" xfId="13958"/>
    <cellStyle name="Note 3 2 3 2 3 5" xfId="13953"/>
    <cellStyle name="Note 3 2 3 2 3 6" xfId="15042"/>
    <cellStyle name="Note 3 2 3 2 3 6 2" xfId="31264"/>
    <cellStyle name="Note 3 2 3 2 4" xfId="9357"/>
    <cellStyle name="Note 3 2 3 2 4 2" xfId="9358"/>
    <cellStyle name="Note 3 2 3 2 4 2 2" xfId="13960"/>
    <cellStyle name="Note 3 2 3 2 4 2 3" xfId="16891"/>
    <cellStyle name="Note 3 2 3 2 4 2 3 2" xfId="33112"/>
    <cellStyle name="Note 3 2 3 2 4 3" xfId="9359"/>
    <cellStyle name="Note 3 2 3 2 4 3 2" xfId="13961"/>
    <cellStyle name="Note 3 2 3 2 4 4" xfId="13959"/>
    <cellStyle name="Note 3 2 3 2 4 5" xfId="15306"/>
    <cellStyle name="Note 3 2 3 2 4 5 2" xfId="31528"/>
    <cellStyle name="Note 3 2 3 2 5" xfId="9360"/>
    <cellStyle name="Note 3 2 3 2 5 2" xfId="13962"/>
    <cellStyle name="Note 3 2 3 2 5 3" xfId="16099"/>
    <cellStyle name="Note 3 2 3 2 5 3 2" xfId="32320"/>
    <cellStyle name="Note 3 2 3 2 6" xfId="9361"/>
    <cellStyle name="Note 3 2 3 2 6 2" xfId="13963"/>
    <cellStyle name="Note 3 2 3 2 7" xfId="13946"/>
    <cellStyle name="Note 3 2 3 2 8" xfId="14514"/>
    <cellStyle name="Note 3 2 3 2 8 2" xfId="30736"/>
    <cellStyle name="Note 3 2 3 3" xfId="9362"/>
    <cellStyle name="Note 3 2 3 3 2" xfId="9363"/>
    <cellStyle name="Note 3 2 3 3 2 2" xfId="9364"/>
    <cellStyle name="Note 3 2 3 3 2 2 2" xfId="13966"/>
    <cellStyle name="Note 3 2 3 3 2 2 3" xfId="17023"/>
    <cellStyle name="Note 3 2 3 3 2 2 3 2" xfId="33244"/>
    <cellStyle name="Note 3 2 3 3 2 3" xfId="9365"/>
    <cellStyle name="Note 3 2 3 3 2 3 2" xfId="13967"/>
    <cellStyle name="Note 3 2 3 3 2 4" xfId="13965"/>
    <cellStyle name="Note 3 2 3 3 2 5" xfId="15438"/>
    <cellStyle name="Note 3 2 3 3 2 5 2" xfId="31660"/>
    <cellStyle name="Note 3 2 3 3 3" xfId="9366"/>
    <cellStyle name="Note 3 2 3 3 3 2" xfId="13968"/>
    <cellStyle name="Note 3 2 3 3 3 3" xfId="16231"/>
    <cellStyle name="Note 3 2 3 3 3 3 2" xfId="32452"/>
    <cellStyle name="Note 3 2 3 3 4" xfId="9367"/>
    <cellStyle name="Note 3 2 3 3 4 2" xfId="13969"/>
    <cellStyle name="Note 3 2 3 3 5" xfId="13964"/>
    <cellStyle name="Note 3 2 3 3 6" xfId="14646"/>
    <cellStyle name="Note 3 2 3 3 6 2" xfId="30868"/>
    <cellStyle name="Note 3 2 3 4" xfId="9368"/>
    <cellStyle name="Note 3 2 3 4 2" xfId="9369"/>
    <cellStyle name="Note 3 2 3 4 2 2" xfId="9370"/>
    <cellStyle name="Note 3 2 3 4 2 2 2" xfId="13972"/>
    <cellStyle name="Note 3 2 3 4 2 2 3" xfId="17287"/>
    <cellStyle name="Note 3 2 3 4 2 2 3 2" xfId="33508"/>
    <cellStyle name="Note 3 2 3 4 2 3" xfId="9371"/>
    <cellStyle name="Note 3 2 3 4 2 3 2" xfId="13973"/>
    <cellStyle name="Note 3 2 3 4 2 4" xfId="13971"/>
    <cellStyle name="Note 3 2 3 4 2 5" xfId="15702"/>
    <cellStyle name="Note 3 2 3 4 2 5 2" xfId="31924"/>
    <cellStyle name="Note 3 2 3 4 3" xfId="9372"/>
    <cellStyle name="Note 3 2 3 4 3 2" xfId="13974"/>
    <cellStyle name="Note 3 2 3 4 3 3" xfId="16495"/>
    <cellStyle name="Note 3 2 3 4 3 3 2" xfId="32716"/>
    <cellStyle name="Note 3 2 3 4 4" xfId="9373"/>
    <cellStyle name="Note 3 2 3 4 4 2" xfId="13975"/>
    <cellStyle name="Note 3 2 3 4 5" xfId="13970"/>
    <cellStyle name="Note 3 2 3 4 6" xfId="14910"/>
    <cellStyle name="Note 3 2 3 4 6 2" xfId="31132"/>
    <cellStyle name="Note 3 2 3 5" xfId="9374"/>
    <cellStyle name="Note 3 2 3 5 2" xfId="9375"/>
    <cellStyle name="Note 3 2 3 5 2 2" xfId="13977"/>
    <cellStyle name="Note 3 2 3 5 2 3" xfId="16759"/>
    <cellStyle name="Note 3 2 3 5 2 3 2" xfId="32980"/>
    <cellStyle name="Note 3 2 3 5 3" xfId="9376"/>
    <cellStyle name="Note 3 2 3 5 3 2" xfId="13978"/>
    <cellStyle name="Note 3 2 3 5 4" xfId="13976"/>
    <cellStyle name="Note 3 2 3 5 5" xfId="15174"/>
    <cellStyle name="Note 3 2 3 5 5 2" xfId="31396"/>
    <cellStyle name="Note 3 2 3 6" xfId="9377"/>
    <cellStyle name="Note 3 2 3 6 2" xfId="13979"/>
    <cellStyle name="Note 3 2 3 6 3" xfId="15967"/>
    <cellStyle name="Note 3 2 3 6 3 2" xfId="32188"/>
    <cellStyle name="Note 3 2 3 7" xfId="9378"/>
    <cellStyle name="Note 3 2 3 7 2" xfId="13980"/>
    <cellStyle name="Note 3 2 3 8" xfId="13945"/>
    <cellStyle name="Note 3 2 3 9" xfId="14382"/>
    <cellStyle name="Note 3 2 3 9 2" xfId="30604"/>
    <cellStyle name="Note 3 2 4" xfId="9379"/>
    <cellStyle name="Note 3 2 4 2" xfId="9380"/>
    <cellStyle name="Note 3 2 4 2 2" xfId="9381"/>
    <cellStyle name="Note 3 2 4 2 2 2" xfId="9382"/>
    <cellStyle name="Note 3 2 4 2 2 2 2" xfId="13984"/>
    <cellStyle name="Note 3 2 4 2 2 2 3" xfId="17089"/>
    <cellStyle name="Note 3 2 4 2 2 2 3 2" xfId="33310"/>
    <cellStyle name="Note 3 2 4 2 2 3" xfId="9383"/>
    <cellStyle name="Note 3 2 4 2 2 3 2" xfId="13985"/>
    <cellStyle name="Note 3 2 4 2 2 4" xfId="13983"/>
    <cellStyle name="Note 3 2 4 2 2 5" xfId="15504"/>
    <cellStyle name="Note 3 2 4 2 2 5 2" xfId="31726"/>
    <cellStyle name="Note 3 2 4 2 3" xfId="9384"/>
    <cellStyle name="Note 3 2 4 2 3 2" xfId="13986"/>
    <cellStyle name="Note 3 2 4 2 3 3" xfId="16297"/>
    <cellStyle name="Note 3 2 4 2 3 3 2" xfId="32518"/>
    <cellStyle name="Note 3 2 4 2 4" xfId="9385"/>
    <cellStyle name="Note 3 2 4 2 4 2" xfId="13987"/>
    <cellStyle name="Note 3 2 4 2 5" xfId="13982"/>
    <cellStyle name="Note 3 2 4 2 6" xfId="14712"/>
    <cellStyle name="Note 3 2 4 2 6 2" xfId="30934"/>
    <cellStyle name="Note 3 2 4 3" xfId="9386"/>
    <cellStyle name="Note 3 2 4 3 2" xfId="9387"/>
    <cellStyle name="Note 3 2 4 3 2 2" xfId="9388"/>
    <cellStyle name="Note 3 2 4 3 2 2 2" xfId="13990"/>
    <cellStyle name="Note 3 2 4 3 2 2 3" xfId="17353"/>
    <cellStyle name="Note 3 2 4 3 2 2 3 2" xfId="33574"/>
    <cellStyle name="Note 3 2 4 3 2 3" xfId="9389"/>
    <cellStyle name="Note 3 2 4 3 2 3 2" xfId="13991"/>
    <cellStyle name="Note 3 2 4 3 2 4" xfId="13989"/>
    <cellStyle name="Note 3 2 4 3 2 5" xfId="15768"/>
    <cellStyle name="Note 3 2 4 3 2 5 2" xfId="31990"/>
    <cellStyle name="Note 3 2 4 3 3" xfId="9390"/>
    <cellStyle name="Note 3 2 4 3 3 2" xfId="13992"/>
    <cellStyle name="Note 3 2 4 3 3 3" xfId="16561"/>
    <cellStyle name="Note 3 2 4 3 3 3 2" xfId="32782"/>
    <cellStyle name="Note 3 2 4 3 4" xfId="9391"/>
    <cellStyle name="Note 3 2 4 3 4 2" xfId="13993"/>
    <cellStyle name="Note 3 2 4 3 5" xfId="13988"/>
    <cellStyle name="Note 3 2 4 3 6" xfId="14976"/>
    <cellStyle name="Note 3 2 4 3 6 2" xfId="31198"/>
    <cellStyle name="Note 3 2 4 4" xfId="9392"/>
    <cellStyle name="Note 3 2 4 4 2" xfId="9393"/>
    <cellStyle name="Note 3 2 4 4 2 2" xfId="13995"/>
    <cellStyle name="Note 3 2 4 4 2 3" xfId="16825"/>
    <cellStyle name="Note 3 2 4 4 2 3 2" xfId="33046"/>
    <cellStyle name="Note 3 2 4 4 3" xfId="9394"/>
    <cellStyle name="Note 3 2 4 4 3 2" xfId="13996"/>
    <cellStyle name="Note 3 2 4 4 4" xfId="13994"/>
    <cellStyle name="Note 3 2 4 4 5" xfId="15240"/>
    <cellStyle name="Note 3 2 4 4 5 2" xfId="31462"/>
    <cellStyle name="Note 3 2 4 5" xfId="9395"/>
    <cellStyle name="Note 3 2 4 5 2" xfId="13997"/>
    <cellStyle name="Note 3 2 4 5 3" xfId="16033"/>
    <cellStyle name="Note 3 2 4 5 3 2" xfId="32254"/>
    <cellStyle name="Note 3 2 4 6" xfId="9396"/>
    <cellStyle name="Note 3 2 4 6 2" xfId="13998"/>
    <cellStyle name="Note 3 2 4 7" xfId="13981"/>
    <cellStyle name="Note 3 2 4 8" xfId="14448"/>
    <cellStyle name="Note 3 2 4 8 2" xfId="30670"/>
    <cellStyle name="Note 3 2 4 9" xfId="39446"/>
    <cellStyle name="Note 3 2 5" xfId="9397"/>
    <cellStyle name="Note 3 2 5 2" xfId="9398"/>
    <cellStyle name="Note 3 2 5 2 2" xfId="9399"/>
    <cellStyle name="Note 3 2 5 2 2 2" xfId="14001"/>
    <cellStyle name="Note 3 2 5 2 2 3" xfId="16957"/>
    <cellStyle name="Note 3 2 5 2 2 3 2" xfId="33178"/>
    <cellStyle name="Note 3 2 5 2 3" xfId="9400"/>
    <cellStyle name="Note 3 2 5 2 3 2" xfId="14002"/>
    <cellStyle name="Note 3 2 5 2 4" xfId="14000"/>
    <cellStyle name="Note 3 2 5 2 5" xfId="15372"/>
    <cellStyle name="Note 3 2 5 2 5 2" xfId="31594"/>
    <cellStyle name="Note 3 2 5 3" xfId="9401"/>
    <cellStyle name="Note 3 2 5 3 2" xfId="14003"/>
    <cellStyle name="Note 3 2 5 3 3" xfId="16165"/>
    <cellStyle name="Note 3 2 5 3 3 2" xfId="32386"/>
    <cellStyle name="Note 3 2 5 4" xfId="9402"/>
    <cellStyle name="Note 3 2 5 4 2" xfId="14004"/>
    <cellStyle name="Note 3 2 5 5" xfId="13999"/>
    <cellStyle name="Note 3 2 5 6" xfId="14580"/>
    <cellStyle name="Note 3 2 5 6 2" xfId="30802"/>
    <cellStyle name="Note 3 2 6" xfId="9403"/>
    <cellStyle name="Note 3 2 6 2" xfId="9404"/>
    <cellStyle name="Note 3 2 6 2 2" xfId="9405"/>
    <cellStyle name="Note 3 2 6 2 2 2" xfId="14007"/>
    <cellStyle name="Note 3 2 6 2 2 3" xfId="17221"/>
    <cellStyle name="Note 3 2 6 2 2 3 2" xfId="33442"/>
    <cellStyle name="Note 3 2 6 2 3" xfId="9406"/>
    <cellStyle name="Note 3 2 6 2 3 2" xfId="14008"/>
    <cellStyle name="Note 3 2 6 2 4" xfId="14006"/>
    <cellStyle name="Note 3 2 6 2 5" xfId="15636"/>
    <cellStyle name="Note 3 2 6 2 5 2" xfId="31858"/>
    <cellStyle name="Note 3 2 6 3" xfId="9407"/>
    <cellStyle name="Note 3 2 6 3 2" xfId="14009"/>
    <cellStyle name="Note 3 2 6 3 3" xfId="16429"/>
    <cellStyle name="Note 3 2 6 3 3 2" xfId="32650"/>
    <cellStyle name="Note 3 2 6 4" xfId="9408"/>
    <cellStyle name="Note 3 2 6 4 2" xfId="14010"/>
    <cellStyle name="Note 3 2 6 5" xfId="14005"/>
    <cellStyle name="Note 3 2 6 6" xfId="14844"/>
    <cellStyle name="Note 3 2 6 6 2" xfId="31066"/>
    <cellStyle name="Note 3 2 7" xfId="9409"/>
    <cellStyle name="Note 3 2 7 2" xfId="9410"/>
    <cellStyle name="Note 3 2 7 2 2" xfId="14012"/>
    <cellStyle name="Note 3 2 7 2 3" xfId="16693"/>
    <cellStyle name="Note 3 2 7 2 3 2" xfId="32914"/>
    <cellStyle name="Note 3 2 7 3" xfId="9411"/>
    <cellStyle name="Note 3 2 7 3 2" xfId="14013"/>
    <cellStyle name="Note 3 2 7 4" xfId="14011"/>
    <cellStyle name="Note 3 2 7 5" xfId="15108"/>
    <cellStyle name="Note 3 2 7 5 2" xfId="31330"/>
    <cellStyle name="Note 3 2 8" xfId="9412"/>
    <cellStyle name="Note 3 2 8 2" xfId="14014"/>
    <cellStyle name="Note 3 2 8 3" xfId="15901"/>
    <cellStyle name="Note 3 2 8 3 2" xfId="32122"/>
    <cellStyle name="Note 3 2 9" xfId="9413"/>
    <cellStyle name="Note 3 2 9 2" xfId="14015"/>
    <cellStyle name="Note 3 3" xfId="9414"/>
    <cellStyle name="Note 3 3 10" xfId="14348"/>
    <cellStyle name="Note 3 3 10 2" xfId="30570"/>
    <cellStyle name="Note 3 3 11" xfId="39093"/>
    <cellStyle name="Note 3 3 2" xfId="9415"/>
    <cellStyle name="Note 3 3 2 2" xfId="9416"/>
    <cellStyle name="Note 3 3 2 2 2" xfId="9417"/>
    <cellStyle name="Note 3 3 2 2 2 2" xfId="9418"/>
    <cellStyle name="Note 3 3 2 2 2 2 2" xfId="9419"/>
    <cellStyle name="Note 3 3 2 2 2 2 2 2" xfId="14021"/>
    <cellStyle name="Note 3 3 2 2 2 2 2 3" xfId="17187"/>
    <cellStyle name="Note 3 3 2 2 2 2 2 3 2" xfId="33408"/>
    <cellStyle name="Note 3 3 2 2 2 2 3" xfId="9420"/>
    <cellStyle name="Note 3 3 2 2 2 2 3 2" xfId="14022"/>
    <cellStyle name="Note 3 3 2 2 2 2 4" xfId="14020"/>
    <cellStyle name="Note 3 3 2 2 2 2 5" xfId="15602"/>
    <cellStyle name="Note 3 3 2 2 2 2 5 2" xfId="31824"/>
    <cellStyle name="Note 3 3 2 2 2 3" xfId="9421"/>
    <cellStyle name="Note 3 3 2 2 2 3 2" xfId="14023"/>
    <cellStyle name="Note 3 3 2 2 2 3 3" xfId="16395"/>
    <cellStyle name="Note 3 3 2 2 2 3 3 2" xfId="32616"/>
    <cellStyle name="Note 3 3 2 2 2 4" xfId="9422"/>
    <cellStyle name="Note 3 3 2 2 2 4 2" xfId="14024"/>
    <cellStyle name="Note 3 3 2 2 2 5" xfId="14019"/>
    <cellStyle name="Note 3 3 2 2 2 6" xfId="14810"/>
    <cellStyle name="Note 3 3 2 2 2 6 2" xfId="31032"/>
    <cellStyle name="Note 3 3 2 2 3" xfId="9423"/>
    <cellStyle name="Note 3 3 2 2 3 2" xfId="9424"/>
    <cellStyle name="Note 3 3 2 2 3 2 2" xfId="9425"/>
    <cellStyle name="Note 3 3 2 2 3 2 2 2" xfId="14027"/>
    <cellStyle name="Note 3 3 2 2 3 2 2 3" xfId="17451"/>
    <cellStyle name="Note 3 3 2 2 3 2 2 3 2" xfId="33672"/>
    <cellStyle name="Note 3 3 2 2 3 2 3" xfId="9426"/>
    <cellStyle name="Note 3 3 2 2 3 2 3 2" xfId="14028"/>
    <cellStyle name="Note 3 3 2 2 3 2 4" xfId="14026"/>
    <cellStyle name="Note 3 3 2 2 3 2 5" xfId="15866"/>
    <cellStyle name="Note 3 3 2 2 3 2 5 2" xfId="32088"/>
    <cellStyle name="Note 3 3 2 2 3 3" xfId="9427"/>
    <cellStyle name="Note 3 3 2 2 3 3 2" xfId="14029"/>
    <cellStyle name="Note 3 3 2 2 3 3 3" xfId="16659"/>
    <cellStyle name="Note 3 3 2 2 3 3 3 2" xfId="32880"/>
    <cellStyle name="Note 3 3 2 2 3 4" xfId="9428"/>
    <cellStyle name="Note 3 3 2 2 3 4 2" xfId="14030"/>
    <cellStyle name="Note 3 3 2 2 3 5" xfId="14025"/>
    <cellStyle name="Note 3 3 2 2 3 6" xfId="15074"/>
    <cellStyle name="Note 3 3 2 2 3 6 2" xfId="31296"/>
    <cellStyle name="Note 3 3 2 2 4" xfId="9429"/>
    <cellStyle name="Note 3 3 2 2 4 2" xfId="9430"/>
    <cellStyle name="Note 3 3 2 2 4 2 2" xfId="14032"/>
    <cellStyle name="Note 3 3 2 2 4 2 3" xfId="16923"/>
    <cellStyle name="Note 3 3 2 2 4 2 3 2" xfId="33144"/>
    <cellStyle name="Note 3 3 2 2 4 3" xfId="9431"/>
    <cellStyle name="Note 3 3 2 2 4 3 2" xfId="14033"/>
    <cellStyle name="Note 3 3 2 2 4 4" xfId="14031"/>
    <cellStyle name="Note 3 3 2 2 4 5" xfId="15338"/>
    <cellStyle name="Note 3 3 2 2 4 5 2" xfId="31560"/>
    <cellStyle name="Note 3 3 2 2 5" xfId="9432"/>
    <cellStyle name="Note 3 3 2 2 5 2" xfId="14034"/>
    <cellStyle name="Note 3 3 2 2 5 3" xfId="16131"/>
    <cellStyle name="Note 3 3 2 2 5 3 2" xfId="32352"/>
    <cellStyle name="Note 3 3 2 2 6" xfId="9433"/>
    <cellStyle name="Note 3 3 2 2 6 2" xfId="14035"/>
    <cellStyle name="Note 3 3 2 2 7" xfId="14018"/>
    <cellStyle name="Note 3 3 2 2 8" xfId="14546"/>
    <cellStyle name="Note 3 3 2 2 8 2" xfId="30768"/>
    <cellStyle name="Note 3 3 2 3" xfId="9434"/>
    <cellStyle name="Note 3 3 2 3 2" xfId="9435"/>
    <cellStyle name="Note 3 3 2 3 2 2" xfId="9436"/>
    <cellStyle name="Note 3 3 2 3 2 2 2" xfId="14038"/>
    <cellStyle name="Note 3 3 2 3 2 2 3" xfId="17055"/>
    <cellStyle name="Note 3 3 2 3 2 2 3 2" xfId="33276"/>
    <cellStyle name="Note 3 3 2 3 2 3" xfId="9437"/>
    <cellStyle name="Note 3 3 2 3 2 3 2" xfId="14039"/>
    <cellStyle name="Note 3 3 2 3 2 4" xfId="14037"/>
    <cellStyle name="Note 3 3 2 3 2 5" xfId="15470"/>
    <cellStyle name="Note 3 3 2 3 2 5 2" xfId="31692"/>
    <cellStyle name="Note 3 3 2 3 3" xfId="9438"/>
    <cellStyle name="Note 3 3 2 3 3 2" xfId="14040"/>
    <cellStyle name="Note 3 3 2 3 3 3" xfId="16263"/>
    <cellStyle name="Note 3 3 2 3 3 3 2" xfId="32484"/>
    <cellStyle name="Note 3 3 2 3 4" xfId="9439"/>
    <cellStyle name="Note 3 3 2 3 4 2" xfId="14041"/>
    <cellStyle name="Note 3 3 2 3 5" xfId="14036"/>
    <cellStyle name="Note 3 3 2 3 6" xfId="14678"/>
    <cellStyle name="Note 3 3 2 3 6 2" xfId="30900"/>
    <cellStyle name="Note 3 3 2 4" xfId="9440"/>
    <cellStyle name="Note 3 3 2 4 2" xfId="9441"/>
    <cellStyle name="Note 3 3 2 4 2 2" xfId="9442"/>
    <cellStyle name="Note 3 3 2 4 2 2 2" xfId="14044"/>
    <cellStyle name="Note 3 3 2 4 2 2 3" xfId="17319"/>
    <cellStyle name="Note 3 3 2 4 2 2 3 2" xfId="33540"/>
    <cellStyle name="Note 3 3 2 4 2 3" xfId="9443"/>
    <cellStyle name="Note 3 3 2 4 2 3 2" xfId="14045"/>
    <cellStyle name="Note 3 3 2 4 2 4" xfId="14043"/>
    <cellStyle name="Note 3 3 2 4 2 5" xfId="15734"/>
    <cellStyle name="Note 3 3 2 4 2 5 2" xfId="31956"/>
    <cellStyle name="Note 3 3 2 4 3" xfId="9444"/>
    <cellStyle name="Note 3 3 2 4 3 2" xfId="14046"/>
    <cellStyle name="Note 3 3 2 4 3 3" xfId="16527"/>
    <cellStyle name="Note 3 3 2 4 3 3 2" xfId="32748"/>
    <cellStyle name="Note 3 3 2 4 4" xfId="9445"/>
    <cellStyle name="Note 3 3 2 4 4 2" xfId="14047"/>
    <cellStyle name="Note 3 3 2 4 5" xfId="14042"/>
    <cellStyle name="Note 3 3 2 4 6" xfId="14942"/>
    <cellStyle name="Note 3 3 2 4 6 2" xfId="31164"/>
    <cellStyle name="Note 3 3 2 5" xfId="9446"/>
    <cellStyle name="Note 3 3 2 5 2" xfId="9447"/>
    <cellStyle name="Note 3 3 2 5 2 2" xfId="14049"/>
    <cellStyle name="Note 3 3 2 5 2 3" xfId="16791"/>
    <cellStyle name="Note 3 3 2 5 2 3 2" xfId="33012"/>
    <cellStyle name="Note 3 3 2 5 3" xfId="9448"/>
    <cellStyle name="Note 3 3 2 5 3 2" xfId="14050"/>
    <cellStyle name="Note 3 3 2 5 4" xfId="14048"/>
    <cellStyle name="Note 3 3 2 5 5" xfId="15206"/>
    <cellStyle name="Note 3 3 2 5 5 2" xfId="31428"/>
    <cellStyle name="Note 3 3 2 6" xfId="9449"/>
    <cellStyle name="Note 3 3 2 6 2" xfId="14051"/>
    <cellStyle name="Note 3 3 2 6 3" xfId="15999"/>
    <cellStyle name="Note 3 3 2 6 3 2" xfId="32220"/>
    <cellStyle name="Note 3 3 2 7" xfId="9450"/>
    <cellStyle name="Note 3 3 2 7 2" xfId="14052"/>
    <cellStyle name="Note 3 3 2 8" xfId="14017"/>
    <cellStyle name="Note 3 3 2 9" xfId="14414"/>
    <cellStyle name="Note 3 3 2 9 2" xfId="30636"/>
    <cellStyle name="Note 3 3 3" xfId="9451"/>
    <cellStyle name="Note 3 3 3 2" xfId="9452"/>
    <cellStyle name="Note 3 3 3 2 2" xfId="9453"/>
    <cellStyle name="Note 3 3 3 2 2 2" xfId="9454"/>
    <cellStyle name="Note 3 3 3 2 2 2 2" xfId="14056"/>
    <cellStyle name="Note 3 3 3 2 2 2 3" xfId="17121"/>
    <cellStyle name="Note 3 3 3 2 2 2 3 2" xfId="33342"/>
    <cellStyle name="Note 3 3 3 2 2 3" xfId="9455"/>
    <cellStyle name="Note 3 3 3 2 2 3 2" xfId="14057"/>
    <cellStyle name="Note 3 3 3 2 2 4" xfId="14055"/>
    <cellStyle name="Note 3 3 3 2 2 5" xfId="15536"/>
    <cellStyle name="Note 3 3 3 2 2 5 2" xfId="31758"/>
    <cellStyle name="Note 3 3 3 2 3" xfId="9456"/>
    <cellStyle name="Note 3 3 3 2 3 2" xfId="14058"/>
    <cellStyle name="Note 3 3 3 2 3 3" xfId="16329"/>
    <cellStyle name="Note 3 3 3 2 3 3 2" xfId="32550"/>
    <cellStyle name="Note 3 3 3 2 4" xfId="9457"/>
    <cellStyle name="Note 3 3 3 2 4 2" xfId="14059"/>
    <cellStyle name="Note 3 3 3 2 5" xfId="14054"/>
    <cellStyle name="Note 3 3 3 2 6" xfId="14744"/>
    <cellStyle name="Note 3 3 3 2 6 2" xfId="30966"/>
    <cellStyle name="Note 3 3 3 3" xfId="9458"/>
    <cellStyle name="Note 3 3 3 3 2" xfId="9459"/>
    <cellStyle name="Note 3 3 3 3 2 2" xfId="9460"/>
    <cellStyle name="Note 3 3 3 3 2 2 2" xfId="14062"/>
    <cellStyle name="Note 3 3 3 3 2 2 3" xfId="17385"/>
    <cellStyle name="Note 3 3 3 3 2 2 3 2" xfId="33606"/>
    <cellStyle name="Note 3 3 3 3 2 3" xfId="9461"/>
    <cellStyle name="Note 3 3 3 3 2 3 2" xfId="14063"/>
    <cellStyle name="Note 3 3 3 3 2 4" xfId="14061"/>
    <cellStyle name="Note 3 3 3 3 2 5" xfId="15800"/>
    <cellStyle name="Note 3 3 3 3 2 5 2" xfId="32022"/>
    <cellStyle name="Note 3 3 3 3 3" xfId="9462"/>
    <cellStyle name="Note 3 3 3 3 3 2" xfId="14064"/>
    <cellStyle name="Note 3 3 3 3 3 3" xfId="16593"/>
    <cellStyle name="Note 3 3 3 3 3 3 2" xfId="32814"/>
    <cellStyle name="Note 3 3 3 3 4" xfId="9463"/>
    <cellStyle name="Note 3 3 3 3 4 2" xfId="14065"/>
    <cellStyle name="Note 3 3 3 3 5" xfId="14060"/>
    <cellStyle name="Note 3 3 3 3 6" xfId="15008"/>
    <cellStyle name="Note 3 3 3 3 6 2" xfId="31230"/>
    <cellStyle name="Note 3 3 3 4" xfId="9464"/>
    <cellStyle name="Note 3 3 3 4 2" xfId="9465"/>
    <cellStyle name="Note 3 3 3 4 2 2" xfId="14067"/>
    <cellStyle name="Note 3 3 3 4 2 3" xfId="16857"/>
    <cellStyle name="Note 3 3 3 4 2 3 2" xfId="33078"/>
    <cellStyle name="Note 3 3 3 4 3" xfId="9466"/>
    <cellStyle name="Note 3 3 3 4 3 2" xfId="14068"/>
    <cellStyle name="Note 3 3 3 4 4" xfId="14066"/>
    <cellStyle name="Note 3 3 3 4 5" xfId="15272"/>
    <cellStyle name="Note 3 3 3 4 5 2" xfId="31494"/>
    <cellStyle name="Note 3 3 3 5" xfId="9467"/>
    <cellStyle name="Note 3 3 3 5 2" xfId="14069"/>
    <cellStyle name="Note 3 3 3 5 3" xfId="16065"/>
    <cellStyle name="Note 3 3 3 5 3 2" xfId="32286"/>
    <cellStyle name="Note 3 3 3 6" xfId="9468"/>
    <cellStyle name="Note 3 3 3 6 2" xfId="14070"/>
    <cellStyle name="Note 3 3 3 7" xfId="14053"/>
    <cellStyle name="Note 3 3 3 8" xfId="14480"/>
    <cellStyle name="Note 3 3 3 8 2" xfId="30702"/>
    <cellStyle name="Note 3 3 4" xfId="9469"/>
    <cellStyle name="Note 3 3 4 2" xfId="9470"/>
    <cellStyle name="Note 3 3 4 2 2" xfId="9471"/>
    <cellStyle name="Note 3 3 4 2 2 2" xfId="14073"/>
    <cellStyle name="Note 3 3 4 2 2 3" xfId="16989"/>
    <cellStyle name="Note 3 3 4 2 2 3 2" xfId="33210"/>
    <cellStyle name="Note 3 3 4 2 3" xfId="9472"/>
    <cellStyle name="Note 3 3 4 2 3 2" xfId="14074"/>
    <cellStyle name="Note 3 3 4 2 4" xfId="14072"/>
    <cellStyle name="Note 3 3 4 2 5" xfId="15404"/>
    <cellStyle name="Note 3 3 4 2 5 2" xfId="31626"/>
    <cellStyle name="Note 3 3 4 3" xfId="9473"/>
    <cellStyle name="Note 3 3 4 3 2" xfId="14075"/>
    <cellStyle name="Note 3 3 4 3 3" xfId="16197"/>
    <cellStyle name="Note 3 3 4 3 3 2" xfId="32418"/>
    <cellStyle name="Note 3 3 4 4" xfId="9474"/>
    <cellStyle name="Note 3 3 4 4 2" xfId="14076"/>
    <cellStyle name="Note 3 3 4 5" xfId="14071"/>
    <cellStyle name="Note 3 3 4 6" xfId="14612"/>
    <cellStyle name="Note 3 3 4 6 2" xfId="30834"/>
    <cellStyle name="Note 3 3 5" xfId="9475"/>
    <cellStyle name="Note 3 3 5 2" xfId="9476"/>
    <cellStyle name="Note 3 3 5 2 2" xfId="9477"/>
    <cellStyle name="Note 3 3 5 2 2 2" xfId="14079"/>
    <cellStyle name="Note 3 3 5 2 2 3" xfId="17253"/>
    <cellStyle name="Note 3 3 5 2 2 3 2" xfId="33474"/>
    <cellStyle name="Note 3 3 5 2 3" xfId="9478"/>
    <cellStyle name="Note 3 3 5 2 3 2" xfId="14080"/>
    <cellStyle name="Note 3 3 5 2 4" xfId="14078"/>
    <cellStyle name="Note 3 3 5 2 5" xfId="15668"/>
    <cellStyle name="Note 3 3 5 2 5 2" xfId="31890"/>
    <cellStyle name="Note 3 3 5 3" xfId="9479"/>
    <cellStyle name="Note 3 3 5 3 2" xfId="14081"/>
    <cellStyle name="Note 3 3 5 3 3" xfId="16461"/>
    <cellStyle name="Note 3 3 5 3 3 2" xfId="32682"/>
    <cellStyle name="Note 3 3 5 4" xfId="9480"/>
    <cellStyle name="Note 3 3 5 4 2" xfId="14082"/>
    <cellStyle name="Note 3 3 5 5" xfId="14077"/>
    <cellStyle name="Note 3 3 5 6" xfId="14876"/>
    <cellStyle name="Note 3 3 5 6 2" xfId="31098"/>
    <cellStyle name="Note 3 3 6" xfId="9481"/>
    <cellStyle name="Note 3 3 6 2" xfId="9482"/>
    <cellStyle name="Note 3 3 6 2 2" xfId="14084"/>
    <cellStyle name="Note 3 3 6 2 3" xfId="16725"/>
    <cellStyle name="Note 3 3 6 2 3 2" xfId="32946"/>
    <cellStyle name="Note 3 3 6 3" xfId="9483"/>
    <cellStyle name="Note 3 3 6 3 2" xfId="14085"/>
    <cellStyle name="Note 3 3 6 4" xfId="14083"/>
    <cellStyle name="Note 3 3 6 5" xfId="15140"/>
    <cellStyle name="Note 3 3 6 5 2" xfId="31362"/>
    <cellStyle name="Note 3 3 7" xfId="9484"/>
    <cellStyle name="Note 3 3 7 2" xfId="14086"/>
    <cellStyle name="Note 3 3 7 3" xfId="15933"/>
    <cellStyle name="Note 3 3 7 3 2" xfId="32154"/>
    <cellStyle name="Note 3 3 8" xfId="9485"/>
    <cellStyle name="Note 3 3 8 2" xfId="14087"/>
    <cellStyle name="Note 3 3 9" xfId="14016"/>
    <cellStyle name="Note 3 4" xfId="9486"/>
    <cellStyle name="Note 3 4 10" xfId="39241"/>
    <cellStyle name="Note 3 4 2" xfId="9487"/>
    <cellStyle name="Note 3 4 2 2" xfId="9488"/>
    <cellStyle name="Note 3 4 2 2 2" xfId="9489"/>
    <cellStyle name="Note 3 4 2 2 2 2" xfId="9490"/>
    <cellStyle name="Note 3 4 2 2 2 2 2" xfId="14092"/>
    <cellStyle name="Note 3 4 2 2 2 2 3" xfId="17154"/>
    <cellStyle name="Note 3 4 2 2 2 2 3 2" xfId="33375"/>
    <cellStyle name="Note 3 4 2 2 2 3" xfId="9491"/>
    <cellStyle name="Note 3 4 2 2 2 3 2" xfId="14093"/>
    <cellStyle name="Note 3 4 2 2 2 4" xfId="14091"/>
    <cellStyle name="Note 3 4 2 2 2 5" xfId="15569"/>
    <cellStyle name="Note 3 4 2 2 2 5 2" xfId="31791"/>
    <cellStyle name="Note 3 4 2 2 3" xfId="9492"/>
    <cellStyle name="Note 3 4 2 2 3 2" xfId="14094"/>
    <cellStyle name="Note 3 4 2 2 3 3" xfId="16362"/>
    <cellStyle name="Note 3 4 2 2 3 3 2" xfId="32583"/>
    <cellStyle name="Note 3 4 2 2 4" xfId="9493"/>
    <cellStyle name="Note 3 4 2 2 4 2" xfId="14095"/>
    <cellStyle name="Note 3 4 2 2 5" xfId="14090"/>
    <cellStyle name="Note 3 4 2 2 6" xfId="14777"/>
    <cellStyle name="Note 3 4 2 2 6 2" xfId="30999"/>
    <cellStyle name="Note 3 4 2 3" xfId="9494"/>
    <cellStyle name="Note 3 4 2 3 2" xfId="9495"/>
    <cellStyle name="Note 3 4 2 3 2 2" xfId="9496"/>
    <cellStyle name="Note 3 4 2 3 2 2 2" xfId="14098"/>
    <cellStyle name="Note 3 4 2 3 2 2 3" xfId="17418"/>
    <cellStyle name="Note 3 4 2 3 2 2 3 2" xfId="33639"/>
    <cellStyle name="Note 3 4 2 3 2 3" xfId="9497"/>
    <cellStyle name="Note 3 4 2 3 2 3 2" xfId="14099"/>
    <cellStyle name="Note 3 4 2 3 2 4" xfId="14097"/>
    <cellStyle name="Note 3 4 2 3 2 5" xfId="15833"/>
    <cellStyle name="Note 3 4 2 3 2 5 2" xfId="32055"/>
    <cellStyle name="Note 3 4 2 3 3" xfId="9498"/>
    <cellStyle name="Note 3 4 2 3 3 2" xfId="14100"/>
    <cellStyle name="Note 3 4 2 3 3 3" xfId="16626"/>
    <cellStyle name="Note 3 4 2 3 3 3 2" xfId="32847"/>
    <cellStyle name="Note 3 4 2 3 4" xfId="9499"/>
    <cellStyle name="Note 3 4 2 3 4 2" xfId="14101"/>
    <cellStyle name="Note 3 4 2 3 5" xfId="14096"/>
    <cellStyle name="Note 3 4 2 3 6" xfId="15041"/>
    <cellStyle name="Note 3 4 2 3 6 2" xfId="31263"/>
    <cellStyle name="Note 3 4 2 4" xfId="9500"/>
    <cellStyle name="Note 3 4 2 4 2" xfId="9501"/>
    <cellStyle name="Note 3 4 2 4 2 2" xfId="14103"/>
    <cellStyle name="Note 3 4 2 4 2 3" xfId="16890"/>
    <cellStyle name="Note 3 4 2 4 2 3 2" xfId="33111"/>
    <cellStyle name="Note 3 4 2 4 3" xfId="9502"/>
    <cellStyle name="Note 3 4 2 4 3 2" xfId="14104"/>
    <cellStyle name="Note 3 4 2 4 4" xfId="14102"/>
    <cellStyle name="Note 3 4 2 4 5" xfId="15305"/>
    <cellStyle name="Note 3 4 2 4 5 2" xfId="31527"/>
    <cellStyle name="Note 3 4 2 5" xfId="9503"/>
    <cellStyle name="Note 3 4 2 5 2" xfId="14105"/>
    <cellStyle name="Note 3 4 2 5 3" xfId="16098"/>
    <cellStyle name="Note 3 4 2 5 3 2" xfId="32319"/>
    <cellStyle name="Note 3 4 2 6" xfId="9504"/>
    <cellStyle name="Note 3 4 2 6 2" xfId="14106"/>
    <cellStyle name="Note 3 4 2 7" xfId="14089"/>
    <cellStyle name="Note 3 4 2 8" xfId="14513"/>
    <cellStyle name="Note 3 4 2 8 2" xfId="30735"/>
    <cellStyle name="Note 3 4 3" xfId="9505"/>
    <cellStyle name="Note 3 4 3 2" xfId="9506"/>
    <cellStyle name="Note 3 4 3 2 2" xfId="9507"/>
    <cellStyle name="Note 3 4 3 2 2 2" xfId="14109"/>
    <cellStyle name="Note 3 4 3 2 2 3" xfId="17022"/>
    <cellStyle name="Note 3 4 3 2 2 3 2" xfId="33243"/>
    <cellStyle name="Note 3 4 3 2 3" xfId="9508"/>
    <cellStyle name="Note 3 4 3 2 3 2" xfId="14110"/>
    <cellStyle name="Note 3 4 3 2 4" xfId="14108"/>
    <cellStyle name="Note 3 4 3 2 5" xfId="15437"/>
    <cellStyle name="Note 3 4 3 2 5 2" xfId="31659"/>
    <cellStyle name="Note 3 4 3 3" xfId="9509"/>
    <cellStyle name="Note 3 4 3 3 2" xfId="14111"/>
    <cellStyle name="Note 3 4 3 3 3" xfId="16230"/>
    <cellStyle name="Note 3 4 3 3 3 2" xfId="32451"/>
    <cellStyle name="Note 3 4 3 4" xfId="9510"/>
    <cellStyle name="Note 3 4 3 4 2" xfId="14112"/>
    <cellStyle name="Note 3 4 3 5" xfId="14107"/>
    <cellStyle name="Note 3 4 3 6" xfId="14645"/>
    <cellStyle name="Note 3 4 3 6 2" xfId="30867"/>
    <cellStyle name="Note 3 4 4" xfId="9511"/>
    <cellStyle name="Note 3 4 4 2" xfId="9512"/>
    <cellStyle name="Note 3 4 4 2 2" xfId="9513"/>
    <cellStyle name="Note 3 4 4 2 2 2" xfId="14115"/>
    <cellStyle name="Note 3 4 4 2 2 3" xfId="17286"/>
    <cellStyle name="Note 3 4 4 2 2 3 2" xfId="33507"/>
    <cellStyle name="Note 3 4 4 2 3" xfId="9514"/>
    <cellStyle name="Note 3 4 4 2 3 2" xfId="14116"/>
    <cellStyle name="Note 3 4 4 2 4" xfId="14114"/>
    <cellStyle name="Note 3 4 4 2 5" xfId="15701"/>
    <cellStyle name="Note 3 4 4 2 5 2" xfId="31923"/>
    <cellStyle name="Note 3 4 4 3" xfId="9515"/>
    <cellStyle name="Note 3 4 4 3 2" xfId="14117"/>
    <cellStyle name="Note 3 4 4 3 3" xfId="16494"/>
    <cellStyle name="Note 3 4 4 3 3 2" xfId="32715"/>
    <cellStyle name="Note 3 4 4 4" xfId="9516"/>
    <cellStyle name="Note 3 4 4 4 2" xfId="14118"/>
    <cellStyle name="Note 3 4 4 5" xfId="14113"/>
    <cellStyle name="Note 3 4 4 6" xfId="14909"/>
    <cellStyle name="Note 3 4 4 6 2" xfId="31131"/>
    <cellStyle name="Note 3 4 5" xfId="9517"/>
    <cellStyle name="Note 3 4 5 2" xfId="9518"/>
    <cellStyle name="Note 3 4 5 2 2" xfId="14120"/>
    <cellStyle name="Note 3 4 5 2 3" xfId="16758"/>
    <cellStyle name="Note 3 4 5 2 3 2" xfId="32979"/>
    <cellStyle name="Note 3 4 5 3" xfId="9519"/>
    <cellStyle name="Note 3 4 5 3 2" xfId="14121"/>
    <cellStyle name="Note 3 4 5 4" xfId="14119"/>
    <cellStyle name="Note 3 4 5 5" xfId="15173"/>
    <cellStyle name="Note 3 4 5 5 2" xfId="31395"/>
    <cellStyle name="Note 3 4 6" xfId="9520"/>
    <cellStyle name="Note 3 4 6 2" xfId="14122"/>
    <cellStyle name="Note 3 4 6 3" xfId="15966"/>
    <cellStyle name="Note 3 4 6 3 2" xfId="32187"/>
    <cellStyle name="Note 3 4 7" xfId="9521"/>
    <cellStyle name="Note 3 4 7 2" xfId="14123"/>
    <cellStyle name="Note 3 4 8" xfId="14088"/>
    <cellStyle name="Note 3 4 9" xfId="14381"/>
    <cellStyle name="Note 3 4 9 2" xfId="30603"/>
    <cellStyle name="Note 3 5" xfId="9522"/>
    <cellStyle name="Note 3 5 2" xfId="9523"/>
    <cellStyle name="Note 3 5 2 2" xfId="9524"/>
    <cellStyle name="Note 3 5 2 2 2" xfId="9525"/>
    <cellStyle name="Note 3 5 2 2 2 2" xfId="14127"/>
    <cellStyle name="Note 3 5 2 2 2 3" xfId="17088"/>
    <cellStyle name="Note 3 5 2 2 2 3 2" xfId="33309"/>
    <cellStyle name="Note 3 5 2 2 3" xfId="9526"/>
    <cellStyle name="Note 3 5 2 2 3 2" xfId="14128"/>
    <cellStyle name="Note 3 5 2 2 4" xfId="14126"/>
    <cellStyle name="Note 3 5 2 2 5" xfId="15503"/>
    <cellStyle name="Note 3 5 2 2 5 2" xfId="31725"/>
    <cellStyle name="Note 3 5 2 3" xfId="9527"/>
    <cellStyle name="Note 3 5 2 3 2" xfId="14129"/>
    <cellStyle name="Note 3 5 2 3 3" xfId="16296"/>
    <cellStyle name="Note 3 5 2 3 3 2" xfId="32517"/>
    <cellStyle name="Note 3 5 2 4" xfId="9528"/>
    <cellStyle name="Note 3 5 2 4 2" xfId="14130"/>
    <cellStyle name="Note 3 5 2 5" xfId="14125"/>
    <cellStyle name="Note 3 5 2 6" xfId="14711"/>
    <cellStyle name="Note 3 5 2 6 2" xfId="30933"/>
    <cellStyle name="Note 3 5 3" xfId="9529"/>
    <cellStyle name="Note 3 5 3 2" xfId="9530"/>
    <cellStyle name="Note 3 5 3 2 2" xfId="9531"/>
    <cellStyle name="Note 3 5 3 2 2 2" xfId="14133"/>
    <cellStyle name="Note 3 5 3 2 2 3" xfId="17352"/>
    <cellStyle name="Note 3 5 3 2 2 3 2" xfId="33573"/>
    <cellStyle name="Note 3 5 3 2 3" xfId="9532"/>
    <cellStyle name="Note 3 5 3 2 3 2" xfId="14134"/>
    <cellStyle name="Note 3 5 3 2 4" xfId="14132"/>
    <cellStyle name="Note 3 5 3 2 5" xfId="15767"/>
    <cellStyle name="Note 3 5 3 2 5 2" xfId="31989"/>
    <cellStyle name="Note 3 5 3 3" xfId="9533"/>
    <cellStyle name="Note 3 5 3 3 2" xfId="14135"/>
    <cellStyle name="Note 3 5 3 3 3" xfId="16560"/>
    <cellStyle name="Note 3 5 3 3 3 2" xfId="32781"/>
    <cellStyle name="Note 3 5 3 4" xfId="9534"/>
    <cellStyle name="Note 3 5 3 4 2" xfId="14136"/>
    <cellStyle name="Note 3 5 3 5" xfId="14131"/>
    <cellStyle name="Note 3 5 3 6" xfId="14975"/>
    <cellStyle name="Note 3 5 3 6 2" xfId="31197"/>
    <cellStyle name="Note 3 5 4" xfId="9535"/>
    <cellStyle name="Note 3 5 4 2" xfId="9536"/>
    <cellStyle name="Note 3 5 4 2 2" xfId="14138"/>
    <cellStyle name="Note 3 5 4 2 3" xfId="16824"/>
    <cellStyle name="Note 3 5 4 2 3 2" xfId="33045"/>
    <cellStyle name="Note 3 5 4 3" xfId="9537"/>
    <cellStyle name="Note 3 5 4 3 2" xfId="14139"/>
    <cellStyle name="Note 3 5 4 4" xfId="14137"/>
    <cellStyle name="Note 3 5 4 5" xfId="15239"/>
    <cellStyle name="Note 3 5 4 5 2" xfId="31461"/>
    <cellStyle name="Note 3 5 5" xfId="9538"/>
    <cellStyle name="Note 3 5 5 2" xfId="14140"/>
    <cellStyle name="Note 3 5 5 3" xfId="16032"/>
    <cellStyle name="Note 3 5 5 3 2" xfId="32253"/>
    <cellStyle name="Note 3 5 6" xfId="9539"/>
    <cellStyle name="Note 3 5 6 2" xfId="14141"/>
    <cellStyle name="Note 3 5 7" xfId="14124"/>
    <cellStyle name="Note 3 5 8" xfId="14447"/>
    <cellStyle name="Note 3 5 8 2" xfId="30669"/>
    <cellStyle name="Note 3 5 9" xfId="39390"/>
    <cellStyle name="Note 3 6" xfId="9540"/>
    <cellStyle name="Note 3 6 2" xfId="9541"/>
    <cellStyle name="Note 3 6 2 2" xfId="9542"/>
    <cellStyle name="Note 3 6 2 2 2" xfId="14144"/>
    <cellStyle name="Note 3 6 2 2 3" xfId="16956"/>
    <cellStyle name="Note 3 6 2 2 3 2" xfId="33177"/>
    <cellStyle name="Note 3 6 2 3" xfId="9543"/>
    <cellStyle name="Note 3 6 2 3 2" xfId="14145"/>
    <cellStyle name="Note 3 6 2 4" xfId="14143"/>
    <cellStyle name="Note 3 6 2 5" xfId="15371"/>
    <cellStyle name="Note 3 6 2 5 2" xfId="31593"/>
    <cellStyle name="Note 3 6 3" xfId="9544"/>
    <cellStyle name="Note 3 6 3 2" xfId="14146"/>
    <cellStyle name="Note 3 6 3 3" xfId="16164"/>
    <cellStyle name="Note 3 6 3 3 2" xfId="32385"/>
    <cellStyle name="Note 3 6 4" xfId="9545"/>
    <cellStyle name="Note 3 6 4 2" xfId="14147"/>
    <cellStyle name="Note 3 6 5" xfId="14142"/>
    <cellStyle name="Note 3 6 6" xfId="14579"/>
    <cellStyle name="Note 3 6 6 2" xfId="30801"/>
    <cellStyle name="Note 3 7" xfId="9546"/>
    <cellStyle name="Note 3 7 2" xfId="9547"/>
    <cellStyle name="Note 3 7 2 2" xfId="9548"/>
    <cellStyle name="Note 3 7 2 2 2" xfId="14150"/>
    <cellStyle name="Note 3 7 2 2 3" xfId="17220"/>
    <cellStyle name="Note 3 7 2 2 3 2" xfId="33441"/>
    <cellStyle name="Note 3 7 2 3" xfId="9549"/>
    <cellStyle name="Note 3 7 2 3 2" xfId="14151"/>
    <cellStyle name="Note 3 7 2 4" xfId="14149"/>
    <cellStyle name="Note 3 7 2 5" xfId="15635"/>
    <cellStyle name="Note 3 7 2 5 2" xfId="31857"/>
    <cellStyle name="Note 3 7 3" xfId="9550"/>
    <cellStyle name="Note 3 7 3 2" xfId="14152"/>
    <cellStyle name="Note 3 7 3 3" xfId="16428"/>
    <cellStyle name="Note 3 7 3 3 2" xfId="32649"/>
    <cellStyle name="Note 3 7 4" xfId="9551"/>
    <cellStyle name="Note 3 7 4 2" xfId="14153"/>
    <cellStyle name="Note 3 7 5" xfId="14148"/>
    <cellStyle name="Note 3 7 6" xfId="14843"/>
    <cellStyle name="Note 3 7 6 2" xfId="31065"/>
    <cellStyle name="Note 3 8" xfId="9552"/>
    <cellStyle name="Note 3 8 2" xfId="9553"/>
    <cellStyle name="Note 3 8 2 2" xfId="14155"/>
    <cellStyle name="Note 3 8 2 3" xfId="16692"/>
    <cellStyle name="Note 3 8 2 3 2" xfId="32913"/>
    <cellStyle name="Note 3 8 3" xfId="9554"/>
    <cellStyle name="Note 3 8 3 2" xfId="14156"/>
    <cellStyle name="Note 3 8 4" xfId="14154"/>
    <cellStyle name="Note 3 8 5" xfId="15107"/>
    <cellStyle name="Note 3 8 5 2" xfId="31329"/>
    <cellStyle name="Note 3 9" xfId="9555"/>
    <cellStyle name="Note 3 9 2" xfId="14157"/>
    <cellStyle name="Note 3 9 3" xfId="15900"/>
    <cellStyle name="Note 3 9 3 2" xfId="32121"/>
    <cellStyle name="Note 4" xfId="38972"/>
    <cellStyle name="Note 4 2" xfId="39014"/>
    <cellStyle name="Note 4 2 2" xfId="39162"/>
    <cellStyle name="Note 4 2 3" xfId="39310"/>
    <cellStyle name="Note 4 2 4" xfId="39459"/>
    <cellStyle name="Note 4 3" xfId="39106"/>
    <cellStyle name="Note 4 4" xfId="39254"/>
    <cellStyle name="Note 4 5" xfId="39403"/>
    <cellStyle name="Note 5" xfId="38985"/>
    <cellStyle name="Note 5 2" xfId="39027"/>
    <cellStyle name="Note 5 2 2" xfId="39175"/>
    <cellStyle name="Note 5 2 3" xfId="39323"/>
    <cellStyle name="Note 5 2 4" xfId="39472"/>
    <cellStyle name="Note 5 3" xfId="39119"/>
    <cellStyle name="Note 5 4" xfId="39267"/>
    <cellStyle name="Note 5 5" xfId="39416"/>
    <cellStyle name="Output" xfId="228" builtinId="21" customBuiltin="1"/>
    <cellStyle name="Output 2" xfId="4915"/>
    <cellStyle name="Output 2 2" xfId="14158"/>
    <cellStyle name="Output 2 3" xfId="38815"/>
    <cellStyle name="Output 3" xfId="14303"/>
    <cellStyle name="Output 4" xfId="9556"/>
    <cellStyle name="Output 5" xfId="38702"/>
    <cellStyle name="Percent" xfId="229" builtinId="5"/>
    <cellStyle name="Percent 10" xfId="15877"/>
    <cellStyle name="Percent 11" xfId="9557"/>
    <cellStyle name="Percent 12" xfId="38701"/>
    <cellStyle name="Percent 12 2" xfId="5689"/>
    <cellStyle name="Percent 12 2 2" xfId="14160"/>
    <cellStyle name="Percent 12 2 3" xfId="9558"/>
    <cellStyle name="Percent 12 3" xfId="5690"/>
    <cellStyle name="Percent 12 3 2" xfId="14161"/>
    <cellStyle name="Percent 12 3 3" xfId="9559"/>
    <cellStyle name="Percent 13 2" xfId="5691"/>
    <cellStyle name="Percent 13 2 2" xfId="14162"/>
    <cellStyle name="Percent 13 2 3" xfId="9560"/>
    <cellStyle name="Percent 14 2" xfId="5692"/>
    <cellStyle name="Percent 14 2 2" xfId="14163"/>
    <cellStyle name="Percent 14 2 3" xfId="9561"/>
    <cellStyle name="Percent 15 2" xfId="5693"/>
    <cellStyle name="Percent 15 2 2" xfId="5694"/>
    <cellStyle name="Percent 15 2 2 2" xfId="14165"/>
    <cellStyle name="Percent 15 2 2 3" xfId="9563"/>
    <cellStyle name="Percent 15 2 3" xfId="14164"/>
    <cellStyle name="Percent 15 2 4" xfId="9562"/>
    <cellStyle name="Percent 15 3" xfId="5695"/>
    <cellStyle name="Percent 15 3 2" xfId="14166"/>
    <cellStyle name="Percent 15 3 3" xfId="9564"/>
    <cellStyle name="Percent 2" xfId="230"/>
    <cellStyle name="Percent 2 2" xfId="231"/>
    <cellStyle name="Percent 2 2 2" xfId="232"/>
    <cellStyle name="Percent 2 2 2 2" xfId="14167"/>
    <cellStyle name="Percent 2 2 2 3" xfId="4955"/>
    <cellStyle name="Percent 2 2 2 4" xfId="39610"/>
    <cellStyle name="Percent 2 2 3" xfId="9565"/>
    <cellStyle name="Percent 2 2 4" xfId="6470"/>
    <cellStyle name="Percent 2 2 5" xfId="4940"/>
    <cellStyle name="Percent 2 3" xfId="233"/>
    <cellStyle name="Percent 2 3 2" xfId="4959"/>
    <cellStyle name="Percent 2 3 3" xfId="5688"/>
    <cellStyle name="Percent 2 3 4" xfId="4927"/>
    <cellStyle name="Percent 2 4" xfId="234"/>
    <cellStyle name="Percent 2 4 2" xfId="235"/>
    <cellStyle name="Percent 2 4 3" xfId="14159"/>
    <cellStyle name="Percent 2 5" xfId="236"/>
    <cellStyle name="Percent 2 5 2" xfId="237"/>
    <cellStyle name="Percent 2 5 3" xfId="4916"/>
    <cellStyle name="Percent 2 6" xfId="238"/>
    <cellStyle name="Percent 3" xfId="239"/>
    <cellStyle name="Percent 3 2" xfId="240"/>
    <cellStyle name="Percent 3 2 2" xfId="14168"/>
    <cellStyle name="Percent 3 2 3" xfId="9566"/>
    <cellStyle name="Percent 3 2 4" xfId="38816"/>
    <cellStyle name="Percent 3 2 5" xfId="386"/>
    <cellStyle name="Percent 3 3" xfId="387"/>
    <cellStyle name="Percent 3 4" xfId="388"/>
    <cellStyle name="Percent 3 4 10" xfId="512"/>
    <cellStyle name="Percent 3 4 10 2" xfId="864"/>
    <cellStyle name="Percent 3 4 10 2 2" xfId="2363"/>
    <cellStyle name="Percent 3 4 10 2 2 2" xfId="24531"/>
    <cellStyle name="Percent 3 4 10 2 3" xfId="3862"/>
    <cellStyle name="Percent 3 4 10 2 3 2" xfId="26029"/>
    <cellStyle name="Percent 3 4 10 2 4" xfId="21535"/>
    <cellStyle name="Percent 3 4 10 2 4 2" xfId="37747"/>
    <cellStyle name="Percent 3 4 10 2 5" xfId="23033"/>
    <cellStyle name="Percent 3 4 10 3" xfId="1215"/>
    <cellStyle name="Percent 3 4 10 3 2" xfId="2714"/>
    <cellStyle name="Percent 3 4 10 3 2 2" xfId="24882"/>
    <cellStyle name="Percent 3 4 10 3 3" xfId="4213"/>
    <cellStyle name="Percent 3 4 10 3 3 2" xfId="26380"/>
    <cellStyle name="Percent 3 4 10 3 4" xfId="21886"/>
    <cellStyle name="Percent 3 4 10 3 4 2" xfId="38098"/>
    <cellStyle name="Percent 3 4 10 3 5" xfId="23384"/>
    <cellStyle name="Percent 3 4 10 4" xfId="1566"/>
    <cellStyle name="Percent 3 4 10 4 2" xfId="3065"/>
    <cellStyle name="Percent 3 4 10 4 2 2" xfId="25233"/>
    <cellStyle name="Percent 3 4 10 4 3" xfId="4564"/>
    <cellStyle name="Percent 3 4 10 4 3 2" xfId="26731"/>
    <cellStyle name="Percent 3 4 10 4 4" xfId="22237"/>
    <cellStyle name="Percent 3 4 10 4 4 2" xfId="38449"/>
    <cellStyle name="Percent 3 4 10 4 5" xfId="23735"/>
    <cellStyle name="Percent 3 4 10 5" xfId="2012"/>
    <cellStyle name="Percent 3 4 10 5 2" xfId="24180"/>
    <cellStyle name="Percent 3 4 10 6" xfId="3511"/>
    <cellStyle name="Percent 3 4 10 6 2" xfId="25678"/>
    <cellStyle name="Percent 3 4 10 7" xfId="21184"/>
    <cellStyle name="Percent 3 4 10 7 2" xfId="37396"/>
    <cellStyle name="Percent 3 4 10 8" xfId="22682"/>
    <cellStyle name="Percent 3 4 11" xfId="630"/>
    <cellStyle name="Percent 3 4 11 2" xfId="981"/>
    <cellStyle name="Percent 3 4 11 2 2" xfId="2480"/>
    <cellStyle name="Percent 3 4 11 2 2 2" xfId="24648"/>
    <cellStyle name="Percent 3 4 11 2 3" xfId="3979"/>
    <cellStyle name="Percent 3 4 11 2 3 2" xfId="26146"/>
    <cellStyle name="Percent 3 4 11 2 4" xfId="21652"/>
    <cellStyle name="Percent 3 4 11 2 4 2" xfId="37864"/>
    <cellStyle name="Percent 3 4 11 2 5" xfId="23150"/>
    <cellStyle name="Percent 3 4 11 3" xfId="1332"/>
    <cellStyle name="Percent 3 4 11 3 2" xfId="2831"/>
    <cellStyle name="Percent 3 4 11 3 2 2" xfId="24999"/>
    <cellStyle name="Percent 3 4 11 3 3" xfId="4330"/>
    <cellStyle name="Percent 3 4 11 3 3 2" xfId="26497"/>
    <cellStyle name="Percent 3 4 11 3 4" xfId="22003"/>
    <cellStyle name="Percent 3 4 11 3 4 2" xfId="38215"/>
    <cellStyle name="Percent 3 4 11 3 5" xfId="23501"/>
    <cellStyle name="Percent 3 4 11 4" xfId="1683"/>
    <cellStyle name="Percent 3 4 11 4 2" xfId="3182"/>
    <cellStyle name="Percent 3 4 11 4 2 2" xfId="25350"/>
    <cellStyle name="Percent 3 4 11 4 3" xfId="4681"/>
    <cellStyle name="Percent 3 4 11 4 3 2" xfId="26848"/>
    <cellStyle name="Percent 3 4 11 4 4" xfId="22354"/>
    <cellStyle name="Percent 3 4 11 4 4 2" xfId="38566"/>
    <cellStyle name="Percent 3 4 11 4 5" xfId="23852"/>
    <cellStyle name="Percent 3 4 11 5" xfId="2129"/>
    <cellStyle name="Percent 3 4 11 5 2" xfId="24297"/>
    <cellStyle name="Percent 3 4 11 6" xfId="3628"/>
    <cellStyle name="Percent 3 4 11 6 2" xfId="25795"/>
    <cellStyle name="Percent 3 4 11 7" xfId="21301"/>
    <cellStyle name="Percent 3 4 11 7 2" xfId="37513"/>
    <cellStyle name="Percent 3 4 11 8" xfId="22799"/>
    <cellStyle name="Percent 3 4 12" xfId="747"/>
    <cellStyle name="Percent 3 4 12 2" xfId="2246"/>
    <cellStyle name="Percent 3 4 12 2 2" xfId="24414"/>
    <cellStyle name="Percent 3 4 12 3" xfId="3745"/>
    <cellStyle name="Percent 3 4 12 3 2" xfId="25912"/>
    <cellStyle name="Percent 3 4 12 4" xfId="21418"/>
    <cellStyle name="Percent 3 4 12 4 2" xfId="37630"/>
    <cellStyle name="Percent 3 4 12 5" xfId="22916"/>
    <cellStyle name="Percent 3 4 13" xfId="1098"/>
    <cellStyle name="Percent 3 4 13 2" xfId="2597"/>
    <cellStyle name="Percent 3 4 13 2 2" xfId="24765"/>
    <cellStyle name="Percent 3 4 13 3" xfId="4096"/>
    <cellStyle name="Percent 3 4 13 3 2" xfId="26263"/>
    <cellStyle name="Percent 3 4 13 4" xfId="21769"/>
    <cellStyle name="Percent 3 4 13 4 2" xfId="37981"/>
    <cellStyle name="Percent 3 4 13 5" xfId="23267"/>
    <cellStyle name="Percent 3 4 14" xfId="1449"/>
    <cellStyle name="Percent 3 4 14 2" xfId="2948"/>
    <cellStyle name="Percent 3 4 14 2 2" xfId="25116"/>
    <cellStyle name="Percent 3 4 14 3" xfId="4447"/>
    <cellStyle name="Percent 3 4 14 3 2" xfId="26614"/>
    <cellStyle name="Percent 3 4 14 4" xfId="22120"/>
    <cellStyle name="Percent 3 4 14 4 2" xfId="38332"/>
    <cellStyle name="Percent 3 4 14 5" xfId="23618"/>
    <cellStyle name="Percent 3 4 15" xfId="1895"/>
    <cellStyle name="Percent 3 4 15 2" xfId="24063"/>
    <cellStyle name="Percent 3 4 16" xfId="3394"/>
    <cellStyle name="Percent 3 4 16 2" xfId="25561"/>
    <cellStyle name="Percent 3 4 17" xfId="21067"/>
    <cellStyle name="Percent 3 4 17 2" xfId="37279"/>
    <cellStyle name="Percent 3 4 18" xfId="22565"/>
    <cellStyle name="Percent 3 4 2" xfId="395"/>
    <cellStyle name="Percent 3 4 2 10" xfId="752"/>
    <cellStyle name="Percent 3 4 2 10 2" xfId="2251"/>
    <cellStyle name="Percent 3 4 2 10 2 2" xfId="24419"/>
    <cellStyle name="Percent 3 4 2 10 3" xfId="3750"/>
    <cellStyle name="Percent 3 4 2 10 3 2" xfId="25917"/>
    <cellStyle name="Percent 3 4 2 10 4" xfId="21423"/>
    <cellStyle name="Percent 3 4 2 10 4 2" xfId="37635"/>
    <cellStyle name="Percent 3 4 2 10 5" xfId="22921"/>
    <cellStyle name="Percent 3 4 2 11" xfId="1103"/>
    <cellStyle name="Percent 3 4 2 11 2" xfId="2602"/>
    <cellStyle name="Percent 3 4 2 11 2 2" xfId="24770"/>
    <cellStyle name="Percent 3 4 2 11 3" xfId="4101"/>
    <cellStyle name="Percent 3 4 2 11 3 2" xfId="26268"/>
    <cellStyle name="Percent 3 4 2 11 4" xfId="21774"/>
    <cellStyle name="Percent 3 4 2 11 4 2" xfId="37986"/>
    <cellStyle name="Percent 3 4 2 11 5" xfId="23272"/>
    <cellStyle name="Percent 3 4 2 12" xfId="1454"/>
    <cellStyle name="Percent 3 4 2 12 2" xfId="2953"/>
    <cellStyle name="Percent 3 4 2 12 2 2" xfId="25121"/>
    <cellStyle name="Percent 3 4 2 12 3" xfId="4452"/>
    <cellStyle name="Percent 3 4 2 12 3 2" xfId="26619"/>
    <cellStyle name="Percent 3 4 2 12 4" xfId="22125"/>
    <cellStyle name="Percent 3 4 2 12 4 2" xfId="38337"/>
    <cellStyle name="Percent 3 4 2 12 5" xfId="23623"/>
    <cellStyle name="Percent 3 4 2 13" xfId="1900"/>
    <cellStyle name="Percent 3 4 2 13 2" xfId="24068"/>
    <cellStyle name="Percent 3 4 2 14" xfId="3399"/>
    <cellStyle name="Percent 3 4 2 14 2" xfId="25566"/>
    <cellStyle name="Percent 3 4 2 15" xfId="21072"/>
    <cellStyle name="Percent 3 4 2 15 2" xfId="37284"/>
    <cellStyle name="Percent 3 4 2 16" xfId="22570"/>
    <cellStyle name="Percent 3 4 2 2" xfId="412"/>
    <cellStyle name="Percent 3 4 2 2 10" xfId="21085"/>
    <cellStyle name="Percent 3 4 2 2 10 2" xfId="37297"/>
    <cellStyle name="Percent 3 4 2 2 11" xfId="22583"/>
    <cellStyle name="Percent 3 4 2 2 2" xfId="464"/>
    <cellStyle name="Percent 3 4 2 2 2 10" xfId="22635"/>
    <cellStyle name="Percent 3 4 2 2 2 2" xfId="582"/>
    <cellStyle name="Percent 3 4 2 2 2 2 2" xfId="934"/>
    <cellStyle name="Percent 3 4 2 2 2 2 2 2" xfId="2433"/>
    <cellStyle name="Percent 3 4 2 2 2 2 2 2 2" xfId="24601"/>
    <cellStyle name="Percent 3 4 2 2 2 2 2 3" xfId="3932"/>
    <cellStyle name="Percent 3 4 2 2 2 2 2 3 2" xfId="26099"/>
    <cellStyle name="Percent 3 4 2 2 2 2 2 4" xfId="21605"/>
    <cellStyle name="Percent 3 4 2 2 2 2 2 4 2" xfId="37817"/>
    <cellStyle name="Percent 3 4 2 2 2 2 2 5" xfId="23103"/>
    <cellStyle name="Percent 3 4 2 2 2 2 3" xfId="1285"/>
    <cellStyle name="Percent 3 4 2 2 2 2 3 2" xfId="2784"/>
    <cellStyle name="Percent 3 4 2 2 2 2 3 2 2" xfId="24952"/>
    <cellStyle name="Percent 3 4 2 2 2 2 3 3" xfId="4283"/>
    <cellStyle name="Percent 3 4 2 2 2 2 3 3 2" xfId="26450"/>
    <cellStyle name="Percent 3 4 2 2 2 2 3 4" xfId="21956"/>
    <cellStyle name="Percent 3 4 2 2 2 2 3 4 2" xfId="38168"/>
    <cellStyle name="Percent 3 4 2 2 2 2 3 5" xfId="23454"/>
    <cellStyle name="Percent 3 4 2 2 2 2 4" xfId="1636"/>
    <cellStyle name="Percent 3 4 2 2 2 2 4 2" xfId="3135"/>
    <cellStyle name="Percent 3 4 2 2 2 2 4 2 2" xfId="25303"/>
    <cellStyle name="Percent 3 4 2 2 2 2 4 3" xfId="4634"/>
    <cellStyle name="Percent 3 4 2 2 2 2 4 3 2" xfId="26801"/>
    <cellStyle name="Percent 3 4 2 2 2 2 4 4" xfId="22307"/>
    <cellStyle name="Percent 3 4 2 2 2 2 4 4 2" xfId="38519"/>
    <cellStyle name="Percent 3 4 2 2 2 2 4 5" xfId="23805"/>
    <cellStyle name="Percent 3 4 2 2 2 2 5" xfId="2082"/>
    <cellStyle name="Percent 3 4 2 2 2 2 5 2" xfId="24250"/>
    <cellStyle name="Percent 3 4 2 2 2 2 6" xfId="3581"/>
    <cellStyle name="Percent 3 4 2 2 2 2 6 2" xfId="25748"/>
    <cellStyle name="Percent 3 4 2 2 2 2 7" xfId="21254"/>
    <cellStyle name="Percent 3 4 2 2 2 2 7 2" xfId="37466"/>
    <cellStyle name="Percent 3 4 2 2 2 2 8" xfId="22752"/>
    <cellStyle name="Percent 3 4 2 2 2 3" xfId="700"/>
    <cellStyle name="Percent 3 4 2 2 2 3 2" xfId="1051"/>
    <cellStyle name="Percent 3 4 2 2 2 3 2 2" xfId="2550"/>
    <cellStyle name="Percent 3 4 2 2 2 3 2 2 2" xfId="24718"/>
    <cellStyle name="Percent 3 4 2 2 2 3 2 3" xfId="4049"/>
    <cellStyle name="Percent 3 4 2 2 2 3 2 3 2" xfId="26216"/>
    <cellStyle name="Percent 3 4 2 2 2 3 2 4" xfId="21722"/>
    <cellStyle name="Percent 3 4 2 2 2 3 2 4 2" xfId="37934"/>
    <cellStyle name="Percent 3 4 2 2 2 3 2 5" xfId="23220"/>
    <cellStyle name="Percent 3 4 2 2 2 3 3" xfId="1402"/>
    <cellStyle name="Percent 3 4 2 2 2 3 3 2" xfId="2901"/>
    <cellStyle name="Percent 3 4 2 2 2 3 3 2 2" xfId="25069"/>
    <cellStyle name="Percent 3 4 2 2 2 3 3 3" xfId="4400"/>
    <cellStyle name="Percent 3 4 2 2 2 3 3 3 2" xfId="26567"/>
    <cellStyle name="Percent 3 4 2 2 2 3 3 4" xfId="22073"/>
    <cellStyle name="Percent 3 4 2 2 2 3 3 4 2" xfId="38285"/>
    <cellStyle name="Percent 3 4 2 2 2 3 3 5" xfId="23571"/>
    <cellStyle name="Percent 3 4 2 2 2 3 4" xfId="1753"/>
    <cellStyle name="Percent 3 4 2 2 2 3 4 2" xfId="3252"/>
    <cellStyle name="Percent 3 4 2 2 2 3 4 2 2" xfId="25420"/>
    <cellStyle name="Percent 3 4 2 2 2 3 4 3" xfId="4751"/>
    <cellStyle name="Percent 3 4 2 2 2 3 4 3 2" xfId="26918"/>
    <cellStyle name="Percent 3 4 2 2 2 3 4 4" xfId="22424"/>
    <cellStyle name="Percent 3 4 2 2 2 3 4 4 2" xfId="38636"/>
    <cellStyle name="Percent 3 4 2 2 2 3 4 5" xfId="23922"/>
    <cellStyle name="Percent 3 4 2 2 2 3 5" xfId="2199"/>
    <cellStyle name="Percent 3 4 2 2 2 3 5 2" xfId="24367"/>
    <cellStyle name="Percent 3 4 2 2 2 3 6" xfId="3698"/>
    <cellStyle name="Percent 3 4 2 2 2 3 6 2" xfId="25865"/>
    <cellStyle name="Percent 3 4 2 2 2 3 7" xfId="21371"/>
    <cellStyle name="Percent 3 4 2 2 2 3 7 2" xfId="37583"/>
    <cellStyle name="Percent 3 4 2 2 2 3 8" xfId="22869"/>
    <cellStyle name="Percent 3 4 2 2 2 4" xfId="817"/>
    <cellStyle name="Percent 3 4 2 2 2 4 2" xfId="2316"/>
    <cellStyle name="Percent 3 4 2 2 2 4 2 2" xfId="24484"/>
    <cellStyle name="Percent 3 4 2 2 2 4 3" xfId="3815"/>
    <cellStyle name="Percent 3 4 2 2 2 4 3 2" xfId="25982"/>
    <cellStyle name="Percent 3 4 2 2 2 4 4" xfId="21488"/>
    <cellStyle name="Percent 3 4 2 2 2 4 4 2" xfId="37700"/>
    <cellStyle name="Percent 3 4 2 2 2 4 5" xfId="22986"/>
    <cellStyle name="Percent 3 4 2 2 2 5" xfId="1168"/>
    <cellStyle name="Percent 3 4 2 2 2 5 2" xfId="2667"/>
    <cellStyle name="Percent 3 4 2 2 2 5 2 2" xfId="24835"/>
    <cellStyle name="Percent 3 4 2 2 2 5 3" xfId="4166"/>
    <cellStyle name="Percent 3 4 2 2 2 5 3 2" xfId="26333"/>
    <cellStyle name="Percent 3 4 2 2 2 5 4" xfId="21839"/>
    <cellStyle name="Percent 3 4 2 2 2 5 4 2" xfId="38051"/>
    <cellStyle name="Percent 3 4 2 2 2 5 5" xfId="23337"/>
    <cellStyle name="Percent 3 4 2 2 2 6" xfId="1519"/>
    <cellStyle name="Percent 3 4 2 2 2 6 2" xfId="3018"/>
    <cellStyle name="Percent 3 4 2 2 2 6 2 2" xfId="25186"/>
    <cellStyle name="Percent 3 4 2 2 2 6 3" xfId="4517"/>
    <cellStyle name="Percent 3 4 2 2 2 6 3 2" xfId="26684"/>
    <cellStyle name="Percent 3 4 2 2 2 6 4" xfId="22190"/>
    <cellStyle name="Percent 3 4 2 2 2 6 4 2" xfId="38402"/>
    <cellStyle name="Percent 3 4 2 2 2 6 5" xfId="23688"/>
    <cellStyle name="Percent 3 4 2 2 2 7" xfId="1965"/>
    <cellStyle name="Percent 3 4 2 2 2 7 2" xfId="24133"/>
    <cellStyle name="Percent 3 4 2 2 2 8" xfId="3464"/>
    <cellStyle name="Percent 3 4 2 2 2 8 2" xfId="25631"/>
    <cellStyle name="Percent 3 4 2 2 2 9" xfId="21137"/>
    <cellStyle name="Percent 3 4 2 2 2 9 2" xfId="37349"/>
    <cellStyle name="Percent 3 4 2 2 3" xfId="530"/>
    <cellStyle name="Percent 3 4 2 2 3 2" xfId="882"/>
    <cellStyle name="Percent 3 4 2 2 3 2 2" xfId="2381"/>
    <cellStyle name="Percent 3 4 2 2 3 2 2 2" xfId="24549"/>
    <cellStyle name="Percent 3 4 2 2 3 2 3" xfId="3880"/>
    <cellStyle name="Percent 3 4 2 2 3 2 3 2" xfId="26047"/>
    <cellStyle name="Percent 3 4 2 2 3 2 4" xfId="21553"/>
    <cellStyle name="Percent 3 4 2 2 3 2 4 2" xfId="37765"/>
    <cellStyle name="Percent 3 4 2 2 3 2 5" xfId="23051"/>
    <cellStyle name="Percent 3 4 2 2 3 3" xfId="1233"/>
    <cellStyle name="Percent 3 4 2 2 3 3 2" xfId="2732"/>
    <cellStyle name="Percent 3 4 2 2 3 3 2 2" xfId="24900"/>
    <cellStyle name="Percent 3 4 2 2 3 3 3" xfId="4231"/>
    <cellStyle name="Percent 3 4 2 2 3 3 3 2" xfId="26398"/>
    <cellStyle name="Percent 3 4 2 2 3 3 4" xfId="21904"/>
    <cellStyle name="Percent 3 4 2 2 3 3 4 2" xfId="38116"/>
    <cellStyle name="Percent 3 4 2 2 3 3 5" xfId="23402"/>
    <cellStyle name="Percent 3 4 2 2 3 4" xfId="1584"/>
    <cellStyle name="Percent 3 4 2 2 3 4 2" xfId="3083"/>
    <cellStyle name="Percent 3 4 2 2 3 4 2 2" xfId="25251"/>
    <cellStyle name="Percent 3 4 2 2 3 4 3" xfId="4582"/>
    <cellStyle name="Percent 3 4 2 2 3 4 3 2" xfId="26749"/>
    <cellStyle name="Percent 3 4 2 2 3 4 4" xfId="22255"/>
    <cellStyle name="Percent 3 4 2 2 3 4 4 2" xfId="38467"/>
    <cellStyle name="Percent 3 4 2 2 3 4 5" xfId="23753"/>
    <cellStyle name="Percent 3 4 2 2 3 5" xfId="2030"/>
    <cellStyle name="Percent 3 4 2 2 3 5 2" xfId="24198"/>
    <cellStyle name="Percent 3 4 2 2 3 6" xfId="3529"/>
    <cellStyle name="Percent 3 4 2 2 3 6 2" xfId="25696"/>
    <cellStyle name="Percent 3 4 2 2 3 7" xfId="21202"/>
    <cellStyle name="Percent 3 4 2 2 3 7 2" xfId="37414"/>
    <cellStyle name="Percent 3 4 2 2 3 8" xfId="22700"/>
    <cellStyle name="Percent 3 4 2 2 4" xfId="648"/>
    <cellStyle name="Percent 3 4 2 2 4 2" xfId="999"/>
    <cellStyle name="Percent 3 4 2 2 4 2 2" xfId="2498"/>
    <cellStyle name="Percent 3 4 2 2 4 2 2 2" xfId="24666"/>
    <cellStyle name="Percent 3 4 2 2 4 2 3" xfId="3997"/>
    <cellStyle name="Percent 3 4 2 2 4 2 3 2" xfId="26164"/>
    <cellStyle name="Percent 3 4 2 2 4 2 4" xfId="21670"/>
    <cellStyle name="Percent 3 4 2 2 4 2 4 2" xfId="37882"/>
    <cellStyle name="Percent 3 4 2 2 4 2 5" xfId="23168"/>
    <cellStyle name="Percent 3 4 2 2 4 3" xfId="1350"/>
    <cellStyle name="Percent 3 4 2 2 4 3 2" xfId="2849"/>
    <cellStyle name="Percent 3 4 2 2 4 3 2 2" xfId="25017"/>
    <cellStyle name="Percent 3 4 2 2 4 3 3" xfId="4348"/>
    <cellStyle name="Percent 3 4 2 2 4 3 3 2" xfId="26515"/>
    <cellStyle name="Percent 3 4 2 2 4 3 4" xfId="22021"/>
    <cellStyle name="Percent 3 4 2 2 4 3 4 2" xfId="38233"/>
    <cellStyle name="Percent 3 4 2 2 4 3 5" xfId="23519"/>
    <cellStyle name="Percent 3 4 2 2 4 4" xfId="1701"/>
    <cellStyle name="Percent 3 4 2 2 4 4 2" xfId="3200"/>
    <cellStyle name="Percent 3 4 2 2 4 4 2 2" xfId="25368"/>
    <cellStyle name="Percent 3 4 2 2 4 4 3" xfId="4699"/>
    <cellStyle name="Percent 3 4 2 2 4 4 3 2" xfId="26866"/>
    <cellStyle name="Percent 3 4 2 2 4 4 4" xfId="22372"/>
    <cellStyle name="Percent 3 4 2 2 4 4 4 2" xfId="38584"/>
    <cellStyle name="Percent 3 4 2 2 4 4 5" xfId="23870"/>
    <cellStyle name="Percent 3 4 2 2 4 5" xfId="2147"/>
    <cellStyle name="Percent 3 4 2 2 4 5 2" xfId="24315"/>
    <cellStyle name="Percent 3 4 2 2 4 6" xfId="3646"/>
    <cellStyle name="Percent 3 4 2 2 4 6 2" xfId="25813"/>
    <cellStyle name="Percent 3 4 2 2 4 7" xfId="21319"/>
    <cellStyle name="Percent 3 4 2 2 4 7 2" xfId="37531"/>
    <cellStyle name="Percent 3 4 2 2 4 8" xfId="22817"/>
    <cellStyle name="Percent 3 4 2 2 5" xfId="765"/>
    <cellStyle name="Percent 3 4 2 2 5 2" xfId="2264"/>
    <cellStyle name="Percent 3 4 2 2 5 2 2" xfId="24432"/>
    <cellStyle name="Percent 3 4 2 2 5 3" xfId="3763"/>
    <cellStyle name="Percent 3 4 2 2 5 3 2" xfId="25930"/>
    <cellStyle name="Percent 3 4 2 2 5 4" xfId="21436"/>
    <cellStyle name="Percent 3 4 2 2 5 4 2" xfId="37648"/>
    <cellStyle name="Percent 3 4 2 2 5 5" xfId="22934"/>
    <cellStyle name="Percent 3 4 2 2 6" xfId="1116"/>
    <cellStyle name="Percent 3 4 2 2 6 2" xfId="2615"/>
    <cellStyle name="Percent 3 4 2 2 6 2 2" xfId="24783"/>
    <cellStyle name="Percent 3 4 2 2 6 3" xfId="4114"/>
    <cellStyle name="Percent 3 4 2 2 6 3 2" xfId="26281"/>
    <cellStyle name="Percent 3 4 2 2 6 4" xfId="21787"/>
    <cellStyle name="Percent 3 4 2 2 6 4 2" xfId="37999"/>
    <cellStyle name="Percent 3 4 2 2 6 5" xfId="23285"/>
    <cellStyle name="Percent 3 4 2 2 7" xfId="1467"/>
    <cellStyle name="Percent 3 4 2 2 7 2" xfId="2966"/>
    <cellStyle name="Percent 3 4 2 2 7 2 2" xfId="25134"/>
    <cellStyle name="Percent 3 4 2 2 7 3" xfId="4465"/>
    <cellStyle name="Percent 3 4 2 2 7 3 2" xfId="26632"/>
    <cellStyle name="Percent 3 4 2 2 7 4" xfId="22138"/>
    <cellStyle name="Percent 3 4 2 2 7 4 2" xfId="38350"/>
    <cellStyle name="Percent 3 4 2 2 7 5" xfId="23636"/>
    <cellStyle name="Percent 3 4 2 2 8" xfId="1913"/>
    <cellStyle name="Percent 3 4 2 2 8 2" xfId="24081"/>
    <cellStyle name="Percent 3 4 2 2 9" xfId="3412"/>
    <cellStyle name="Percent 3 4 2 2 9 2" xfId="25579"/>
    <cellStyle name="Percent 3 4 2 3" xfId="424"/>
    <cellStyle name="Percent 3 4 2 3 10" xfId="22595"/>
    <cellStyle name="Percent 3 4 2 3 2" xfId="542"/>
    <cellStyle name="Percent 3 4 2 3 2 2" xfId="894"/>
    <cellStyle name="Percent 3 4 2 3 2 2 2" xfId="2393"/>
    <cellStyle name="Percent 3 4 2 3 2 2 2 2" xfId="24561"/>
    <cellStyle name="Percent 3 4 2 3 2 2 3" xfId="3892"/>
    <cellStyle name="Percent 3 4 2 3 2 2 3 2" xfId="26059"/>
    <cellStyle name="Percent 3 4 2 3 2 2 4" xfId="21565"/>
    <cellStyle name="Percent 3 4 2 3 2 2 4 2" xfId="37777"/>
    <cellStyle name="Percent 3 4 2 3 2 2 5" xfId="23063"/>
    <cellStyle name="Percent 3 4 2 3 2 3" xfId="1245"/>
    <cellStyle name="Percent 3 4 2 3 2 3 2" xfId="2744"/>
    <cellStyle name="Percent 3 4 2 3 2 3 2 2" xfId="24912"/>
    <cellStyle name="Percent 3 4 2 3 2 3 3" xfId="4243"/>
    <cellStyle name="Percent 3 4 2 3 2 3 3 2" xfId="26410"/>
    <cellStyle name="Percent 3 4 2 3 2 3 4" xfId="21916"/>
    <cellStyle name="Percent 3 4 2 3 2 3 4 2" xfId="38128"/>
    <cellStyle name="Percent 3 4 2 3 2 3 5" xfId="23414"/>
    <cellStyle name="Percent 3 4 2 3 2 4" xfId="1596"/>
    <cellStyle name="Percent 3 4 2 3 2 4 2" xfId="3095"/>
    <cellStyle name="Percent 3 4 2 3 2 4 2 2" xfId="25263"/>
    <cellStyle name="Percent 3 4 2 3 2 4 3" xfId="4594"/>
    <cellStyle name="Percent 3 4 2 3 2 4 3 2" xfId="26761"/>
    <cellStyle name="Percent 3 4 2 3 2 4 4" xfId="22267"/>
    <cellStyle name="Percent 3 4 2 3 2 4 4 2" xfId="38479"/>
    <cellStyle name="Percent 3 4 2 3 2 4 5" xfId="23765"/>
    <cellStyle name="Percent 3 4 2 3 2 5" xfId="2042"/>
    <cellStyle name="Percent 3 4 2 3 2 5 2" xfId="24210"/>
    <cellStyle name="Percent 3 4 2 3 2 6" xfId="3541"/>
    <cellStyle name="Percent 3 4 2 3 2 6 2" xfId="25708"/>
    <cellStyle name="Percent 3 4 2 3 2 7" xfId="21214"/>
    <cellStyle name="Percent 3 4 2 3 2 7 2" xfId="37426"/>
    <cellStyle name="Percent 3 4 2 3 2 8" xfId="22712"/>
    <cellStyle name="Percent 3 4 2 3 3" xfId="660"/>
    <cellStyle name="Percent 3 4 2 3 3 2" xfId="1011"/>
    <cellStyle name="Percent 3 4 2 3 3 2 2" xfId="2510"/>
    <cellStyle name="Percent 3 4 2 3 3 2 2 2" xfId="24678"/>
    <cellStyle name="Percent 3 4 2 3 3 2 3" xfId="4009"/>
    <cellStyle name="Percent 3 4 2 3 3 2 3 2" xfId="26176"/>
    <cellStyle name="Percent 3 4 2 3 3 2 4" xfId="21682"/>
    <cellStyle name="Percent 3 4 2 3 3 2 4 2" xfId="37894"/>
    <cellStyle name="Percent 3 4 2 3 3 2 5" xfId="23180"/>
    <cellStyle name="Percent 3 4 2 3 3 3" xfId="1362"/>
    <cellStyle name="Percent 3 4 2 3 3 3 2" xfId="2861"/>
    <cellStyle name="Percent 3 4 2 3 3 3 2 2" xfId="25029"/>
    <cellStyle name="Percent 3 4 2 3 3 3 3" xfId="4360"/>
    <cellStyle name="Percent 3 4 2 3 3 3 3 2" xfId="26527"/>
    <cellStyle name="Percent 3 4 2 3 3 3 4" xfId="22033"/>
    <cellStyle name="Percent 3 4 2 3 3 3 4 2" xfId="38245"/>
    <cellStyle name="Percent 3 4 2 3 3 3 5" xfId="23531"/>
    <cellStyle name="Percent 3 4 2 3 3 4" xfId="1713"/>
    <cellStyle name="Percent 3 4 2 3 3 4 2" xfId="3212"/>
    <cellStyle name="Percent 3 4 2 3 3 4 2 2" xfId="25380"/>
    <cellStyle name="Percent 3 4 2 3 3 4 3" xfId="4711"/>
    <cellStyle name="Percent 3 4 2 3 3 4 3 2" xfId="26878"/>
    <cellStyle name="Percent 3 4 2 3 3 4 4" xfId="22384"/>
    <cellStyle name="Percent 3 4 2 3 3 4 4 2" xfId="38596"/>
    <cellStyle name="Percent 3 4 2 3 3 4 5" xfId="23882"/>
    <cellStyle name="Percent 3 4 2 3 3 5" xfId="2159"/>
    <cellStyle name="Percent 3 4 2 3 3 5 2" xfId="24327"/>
    <cellStyle name="Percent 3 4 2 3 3 6" xfId="3658"/>
    <cellStyle name="Percent 3 4 2 3 3 6 2" xfId="25825"/>
    <cellStyle name="Percent 3 4 2 3 3 7" xfId="21331"/>
    <cellStyle name="Percent 3 4 2 3 3 7 2" xfId="37543"/>
    <cellStyle name="Percent 3 4 2 3 3 8" xfId="22829"/>
    <cellStyle name="Percent 3 4 2 3 4" xfId="777"/>
    <cellStyle name="Percent 3 4 2 3 4 2" xfId="2276"/>
    <cellStyle name="Percent 3 4 2 3 4 2 2" xfId="24444"/>
    <cellStyle name="Percent 3 4 2 3 4 3" xfId="3775"/>
    <cellStyle name="Percent 3 4 2 3 4 3 2" xfId="25942"/>
    <cellStyle name="Percent 3 4 2 3 4 4" xfId="21448"/>
    <cellStyle name="Percent 3 4 2 3 4 4 2" xfId="37660"/>
    <cellStyle name="Percent 3 4 2 3 4 5" xfId="22946"/>
    <cellStyle name="Percent 3 4 2 3 5" xfId="1128"/>
    <cellStyle name="Percent 3 4 2 3 5 2" xfId="2627"/>
    <cellStyle name="Percent 3 4 2 3 5 2 2" xfId="24795"/>
    <cellStyle name="Percent 3 4 2 3 5 3" xfId="4126"/>
    <cellStyle name="Percent 3 4 2 3 5 3 2" xfId="26293"/>
    <cellStyle name="Percent 3 4 2 3 5 4" xfId="21799"/>
    <cellStyle name="Percent 3 4 2 3 5 4 2" xfId="38011"/>
    <cellStyle name="Percent 3 4 2 3 5 5" xfId="23297"/>
    <cellStyle name="Percent 3 4 2 3 6" xfId="1479"/>
    <cellStyle name="Percent 3 4 2 3 6 2" xfId="2978"/>
    <cellStyle name="Percent 3 4 2 3 6 2 2" xfId="25146"/>
    <cellStyle name="Percent 3 4 2 3 6 3" xfId="4477"/>
    <cellStyle name="Percent 3 4 2 3 6 3 2" xfId="26644"/>
    <cellStyle name="Percent 3 4 2 3 6 4" xfId="22150"/>
    <cellStyle name="Percent 3 4 2 3 6 4 2" xfId="38362"/>
    <cellStyle name="Percent 3 4 2 3 6 5" xfId="23648"/>
    <cellStyle name="Percent 3 4 2 3 7" xfId="1925"/>
    <cellStyle name="Percent 3 4 2 3 7 2" xfId="24093"/>
    <cellStyle name="Percent 3 4 2 3 8" xfId="3424"/>
    <cellStyle name="Percent 3 4 2 3 8 2" xfId="25591"/>
    <cellStyle name="Percent 3 4 2 3 9" xfId="21097"/>
    <cellStyle name="Percent 3 4 2 3 9 2" xfId="37309"/>
    <cellStyle name="Percent 3 4 2 4" xfId="436"/>
    <cellStyle name="Percent 3 4 2 4 10" xfId="22607"/>
    <cellStyle name="Percent 3 4 2 4 2" xfId="554"/>
    <cellStyle name="Percent 3 4 2 4 2 2" xfId="906"/>
    <cellStyle name="Percent 3 4 2 4 2 2 2" xfId="2405"/>
    <cellStyle name="Percent 3 4 2 4 2 2 2 2" xfId="24573"/>
    <cellStyle name="Percent 3 4 2 4 2 2 3" xfId="3904"/>
    <cellStyle name="Percent 3 4 2 4 2 2 3 2" xfId="26071"/>
    <cellStyle name="Percent 3 4 2 4 2 2 4" xfId="21577"/>
    <cellStyle name="Percent 3 4 2 4 2 2 4 2" xfId="37789"/>
    <cellStyle name="Percent 3 4 2 4 2 2 5" xfId="23075"/>
    <cellStyle name="Percent 3 4 2 4 2 3" xfId="1257"/>
    <cellStyle name="Percent 3 4 2 4 2 3 2" xfId="2756"/>
    <cellStyle name="Percent 3 4 2 4 2 3 2 2" xfId="24924"/>
    <cellStyle name="Percent 3 4 2 4 2 3 3" xfId="4255"/>
    <cellStyle name="Percent 3 4 2 4 2 3 3 2" xfId="26422"/>
    <cellStyle name="Percent 3 4 2 4 2 3 4" xfId="21928"/>
    <cellStyle name="Percent 3 4 2 4 2 3 4 2" xfId="38140"/>
    <cellStyle name="Percent 3 4 2 4 2 3 5" xfId="23426"/>
    <cellStyle name="Percent 3 4 2 4 2 4" xfId="1608"/>
    <cellStyle name="Percent 3 4 2 4 2 4 2" xfId="3107"/>
    <cellStyle name="Percent 3 4 2 4 2 4 2 2" xfId="25275"/>
    <cellStyle name="Percent 3 4 2 4 2 4 3" xfId="4606"/>
    <cellStyle name="Percent 3 4 2 4 2 4 3 2" xfId="26773"/>
    <cellStyle name="Percent 3 4 2 4 2 4 4" xfId="22279"/>
    <cellStyle name="Percent 3 4 2 4 2 4 4 2" xfId="38491"/>
    <cellStyle name="Percent 3 4 2 4 2 4 5" xfId="23777"/>
    <cellStyle name="Percent 3 4 2 4 2 5" xfId="2054"/>
    <cellStyle name="Percent 3 4 2 4 2 5 2" xfId="24222"/>
    <cellStyle name="Percent 3 4 2 4 2 6" xfId="3553"/>
    <cellStyle name="Percent 3 4 2 4 2 6 2" xfId="25720"/>
    <cellStyle name="Percent 3 4 2 4 2 7" xfId="21226"/>
    <cellStyle name="Percent 3 4 2 4 2 7 2" xfId="37438"/>
    <cellStyle name="Percent 3 4 2 4 2 8" xfId="22724"/>
    <cellStyle name="Percent 3 4 2 4 3" xfId="672"/>
    <cellStyle name="Percent 3 4 2 4 3 2" xfId="1023"/>
    <cellStyle name="Percent 3 4 2 4 3 2 2" xfId="2522"/>
    <cellStyle name="Percent 3 4 2 4 3 2 2 2" xfId="24690"/>
    <cellStyle name="Percent 3 4 2 4 3 2 3" xfId="4021"/>
    <cellStyle name="Percent 3 4 2 4 3 2 3 2" xfId="26188"/>
    <cellStyle name="Percent 3 4 2 4 3 2 4" xfId="21694"/>
    <cellStyle name="Percent 3 4 2 4 3 2 4 2" xfId="37906"/>
    <cellStyle name="Percent 3 4 2 4 3 2 5" xfId="23192"/>
    <cellStyle name="Percent 3 4 2 4 3 3" xfId="1374"/>
    <cellStyle name="Percent 3 4 2 4 3 3 2" xfId="2873"/>
    <cellStyle name="Percent 3 4 2 4 3 3 2 2" xfId="25041"/>
    <cellStyle name="Percent 3 4 2 4 3 3 3" xfId="4372"/>
    <cellStyle name="Percent 3 4 2 4 3 3 3 2" xfId="26539"/>
    <cellStyle name="Percent 3 4 2 4 3 3 4" xfId="22045"/>
    <cellStyle name="Percent 3 4 2 4 3 3 4 2" xfId="38257"/>
    <cellStyle name="Percent 3 4 2 4 3 3 5" xfId="23543"/>
    <cellStyle name="Percent 3 4 2 4 3 4" xfId="1725"/>
    <cellStyle name="Percent 3 4 2 4 3 4 2" xfId="3224"/>
    <cellStyle name="Percent 3 4 2 4 3 4 2 2" xfId="25392"/>
    <cellStyle name="Percent 3 4 2 4 3 4 3" xfId="4723"/>
    <cellStyle name="Percent 3 4 2 4 3 4 3 2" xfId="26890"/>
    <cellStyle name="Percent 3 4 2 4 3 4 4" xfId="22396"/>
    <cellStyle name="Percent 3 4 2 4 3 4 4 2" xfId="38608"/>
    <cellStyle name="Percent 3 4 2 4 3 4 5" xfId="23894"/>
    <cellStyle name="Percent 3 4 2 4 3 5" xfId="2171"/>
    <cellStyle name="Percent 3 4 2 4 3 5 2" xfId="24339"/>
    <cellStyle name="Percent 3 4 2 4 3 6" xfId="3670"/>
    <cellStyle name="Percent 3 4 2 4 3 6 2" xfId="25837"/>
    <cellStyle name="Percent 3 4 2 4 3 7" xfId="21343"/>
    <cellStyle name="Percent 3 4 2 4 3 7 2" xfId="37555"/>
    <cellStyle name="Percent 3 4 2 4 3 8" xfId="22841"/>
    <cellStyle name="Percent 3 4 2 4 4" xfId="789"/>
    <cellStyle name="Percent 3 4 2 4 4 2" xfId="2288"/>
    <cellStyle name="Percent 3 4 2 4 4 2 2" xfId="24456"/>
    <cellStyle name="Percent 3 4 2 4 4 3" xfId="3787"/>
    <cellStyle name="Percent 3 4 2 4 4 3 2" xfId="25954"/>
    <cellStyle name="Percent 3 4 2 4 4 4" xfId="21460"/>
    <cellStyle name="Percent 3 4 2 4 4 4 2" xfId="37672"/>
    <cellStyle name="Percent 3 4 2 4 4 5" xfId="22958"/>
    <cellStyle name="Percent 3 4 2 4 5" xfId="1140"/>
    <cellStyle name="Percent 3 4 2 4 5 2" xfId="2639"/>
    <cellStyle name="Percent 3 4 2 4 5 2 2" xfId="24807"/>
    <cellStyle name="Percent 3 4 2 4 5 3" xfId="4138"/>
    <cellStyle name="Percent 3 4 2 4 5 3 2" xfId="26305"/>
    <cellStyle name="Percent 3 4 2 4 5 4" xfId="21811"/>
    <cellStyle name="Percent 3 4 2 4 5 4 2" xfId="38023"/>
    <cellStyle name="Percent 3 4 2 4 5 5" xfId="23309"/>
    <cellStyle name="Percent 3 4 2 4 6" xfId="1491"/>
    <cellStyle name="Percent 3 4 2 4 6 2" xfId="2990"/>
    <cellStyle name="Percent 3 4 2 4 6 2 2" xfId="25158"/>
    <cellStyle name="Percent 3 4 2 4 6 3" xfId="4489"/>
    <cellStyle name="Percent 3 4 2 4 6 3 2" xfId="26656"/>
    <cellStyle name="Percent 3 4 2 4 6 4" xfId="22162"/>
    <cellStyle name="Percent 3 4 2 4 6 4 2" xfId="38374"/>
    <cellStyle name="Percent 3 4 2 4 6 5" xfId="23660"/>
    <cellStyle name="Percent 3 4 2 4 7" xfId="1937"/>
    <cellStyle name="Percent 3 4 2 4 7 2" xfId="24105"/>
    <cellStyle name="Percent 3 4 2 4 8" xfId="3436"/>
    <cellStyle name="Percent 3 4 2 4 8 2" xfId="25603"/>
    <cellStyle name="Percent 3 4 2 4 9" xfId="21109"/>
    <cellStyle name="Percent 3 4 2 4 9 2" xfId="37321"/>
    <cellStyle name="Percent 3 4 2 5" xfId="451"/>
    <cellStyle name="Percent 3 4 2 5 10" xfId="22622"/>
    <cellStyle name="Percent 3 4 2 5 2" xfId="569"/>
    <cellStyle name="Percent 3 4 2 5 2 2" xfId="921"/>
    <cellStyle name="Percent 3 4 2 5 2 2 2" xfId="2420"/>
    <cellStyle name="Percent 3 4 2 5 2 2 2 2" xfId="24588"/>
    <cellStyle name="Percent 3 4 2 5 2 2 3" xfId="3919"/>
    <cellStyle name="Percent 3 4 2 5 2 2 3 2" xfId="26086"/>
    <cellStyle name="Percent 3 4 2 5 2 2 4" xfId="21592"/>
    <cellStyle name="Percent 3 4 2 5 2 2 4 2" xfId="37804"/>
    <cellStyle name="Percent 3 4 2 5 2 2 5" xfId="23090"/>
    <cellStyle name="Percent 3 4 2 5 2 3" xfId="1272"/>
    <cellStyle name="Percent 3 4 2 5 2 3 2" xfId="2771"/>
    <cellStyle name="Percent 3 4 2 5 2 3 2 2" xfId="24939"/>
    <cellStyle name="Percent 3 4 2 5 2 3 3" xfId="4270"/>
    <cellStyle name="Percent 3 4 2 5 2 3 3 2" xfId="26437"/>
    <cellStyle name="Percent 3 4 2 5 2 3 4" xfId="21943"/>
    <cellStyle name="Percent 3 4 2 5 2 3 4 2" xfId="38155"/>
    <cellStyle name="Percent 3 4 2 5 2 3 5" xfId="23441"/>
    <cellStyle name="Percent 3 4 2 5 2 4" xfId="1623"/>
    <cellStyle name="Percent 3 4 2 5 2 4 2" xfId="3122"/>
    <cellStyle name="Percent 3 4 2 5 2 4 2 2" xfId="25290"/>
    <cellStyle name="Percent 3 4 2 5 2 4 3" xfId="4621"/>
    <cellStyle name="Percent 3 4 2 5 2 4 3 2" xfId="26788"/>
    <cellStyle name="Percent 3 4 2 5 2 4 4" xfId="22294"/>
    <cellStyle name="Percent 3 4 2 5 2 4 4 2" xfId="38506"/>
    <cellStyle name="Percent 3 4 2 5 2 4 5" xfId="23792"/>
    <cellStyle name="Percent 3 4 2 5 2 5" xfId="2069"/>
    <cellStyle name="Percent 3 4 2 5 2 5 2" xfId="24237"/>
    <cellStyle name="Percent 3 4 2 5 2 6" xfId="3568"/>
    <cellStyle name="Percent 3 4 2 5 2 6 2" xfId="25735"/>
    <cellStyle name="Percent 3 4 2 5 2 7" xfId="21241"/>
    <cellStyle name="Percent 3 4 2 5 2 7 2" xfId="37453"/>
    <cellStyle name="Percent 3 4 2 5 2 8" xfId="22739"/>
    <cellStyle name="Percent 3 4 2 5 3" xfId="687"/>
    <cellStyle name="Percent 3 4 2 5 3 2" xfId="1038"/>
    <cellStyle name="Percent 3 4 2 5 3 2 2" xfId="2537"/>
    <cellStyle name="Percent 3 4 2 5 3 2 2 2" xfId="24705"/>
    <cellStyle name="Percent 3 4 2 5 3 2 3" xfId="4036"/>
    <cellStyle name="Percent 3 4 2 5 3 2 3 2" xfId="26203"/>
    <cellStyle name="Percent 3 4 2 5 3 2 4" xfId="21709"/>
    <cellStyle name="Percent 3 4 2 5 3 2 4 2" xfId="37921"/>
    <cellStyle name="Percent 3 4 2 5 3 2 5" xfId="23207"/>
    <cellStyle name="Percent 3 4 2 5 3 3" xfId="1389"/>
    <cellStyle name="Percent 3 4 2 5 3 3 2" xfId="2888"/>
    <cellStyle name="Percent 3 4 2 5 3 3 2 2" xfId="25056"/>
    <cellStyle name="Percent 3 4 2 5 3 3 3" xfId="4387"/>
    <cellStyle name="Percent 3 4 2 5 3 3 3 2" xfId="26554"/>
    <cellStyle name="Percent 3 4 2 5 3 3 4" xfId="22060"/>
    <cellStyle name="Percent 3 4 2 5 3 3 4 2" xfId="38272"/>
    <cellStyle name="Percent 3 4 2 5 3 3 5" xfId="23558"/>
    <cellStyle name="Percent 3 4 2 5 3 4" xfId="1740"/>
    <cellStyle name="Percent 3 4 2 5 3 4 2" xfId="3239"/>
    <cellStyle name="Percent 3 4 2 5 3 4 2 2" xfId="25407"/>
    <cellStyle name="Percent 3 4 2 5 3 4 3" xfId="4738"/>
    <cellStyle name="Percent 3 4 2 5 3 4 3 2" xfId="26905"/>
    <cellStyle name="Percent 3 4 2 5 3 4 4" xfId="22411"/>
    <cellStyle name="Percent 3 4 2 5 3 4 4 2" xfId="38623"/>
    <cellStyle name="Percent 3 4 2 5 3 4 5" xfId="23909"/>
    <cellStyle name="Percent 3 4 2 5 3 5" xfId="2186"/>
    <cellStyle name="Percent 3 4 2 5 3 5 2" xfId="24354"/>
    <cellStyle name="Percent 3 4 2 5 3 6" xfId="3685"/>
    <cellStyle name="Percent 3 4 2 5 3 6 2" xfId="25852"/>
    <cellStyle name="Percent 3 4 2 5 3 7" xfId="21358"/>
    <cellStyle name="Percent 3 4 2 5 3 7 2" xfId="37570"/>
    <cellStyle name="Percent 3 4 2 5 3 8" xfId="22856"/>
    <cellStyle name="Percent 3 4 2 5 4" xfId="804"/>
    <cellStyle name="Percent 3 4 2 5 4 2" xfId="2303"/>
    <cellStyle name="Percent 3 4 2 5 4 2 2" xfId="24471"/>
    <cellStyle name="Percent 3 4 2 5 4 3" xfId="3802"/>
    <cellStyle name="Percent 3 4 2 5 4 3 2" xfId="25969"/>
    <cellStyle name="Percent 3 4 2 5 4 4" xfId="21475"/>
    <cellStyle name="Percent 3 4 2 5 4 4 2" xfId="37687"/>
    <cellStyle name="Percent 3 4 2 5 4 5" xfId="22973"/>
    <cellStyle name="Percent 3 4 2 5 5" xfId="1155"/>
    <cellStyle name="Percent 3 4 2 5 5 2" xfId="2654"/>
    <cellStyle name="Percent 3 4 2 5 5 2 2" xfId="24822"/>
    <cellStyle name="Percent 3 4 2 5 5 3" xfId="4153"/>
    <cellStyle name="Percent 3 4 2 5 5 3 2" xfId="26320"/>
    <cellStyle name="Percent 3 4 2 5 5 4" xfId="21826"/>
    <cellStyle name="Percent 3 4 2 5 5 4 2" xfId="38038"/>
    <cellStyle name="Percent 3 4 2 5 5 5" xfId="23324"/>
    <cellStyle name="Percent 3 4 2 5 6" xfId="1506"/>
    <cellStyle name="Percent 3 4 2 5 6 2" xfId="3005"/>
    <cellStyle name="Percent 3 4 2 5 6 2 2" xfId="25173"/>
    <cellStyle name="Percent 3 4 2 5 6 3" xfId="4504"/>
    <cellStyle name="Percent 3 4 2 5 6 3 2" xfId="26671"/>
    <cellStyle name="Percent 3 4 2 5 6 4" xfId="22177"/>
    <cellStyle name="Percent 3 4 2 5 6 4 2" xfId="38389"/>
    <cellStyle name="Percent 3 4 2 5 6 5" xfId="23675"/>
    <cellStyle name="Percent 3 4 2 5 7" xfId="1952"/>
    <cellStyle name="Percent 3 4 2 5 7 2" xfId="24120"/>
    <cellStyle name="Percent 3 4 2 5 8" xfId="3451"/>
    <cellStyle name="Percent 3 4 2 5 8 2" xfId="25618"/>
    <cellStyle name="Percent 3 4 2 5 9" xfId="21124"/>
    <cellStyle name="Percent 3 4 2 5 9 2" xfId="37336"/>
    <cellStyle name="Percent 3 4 2 6" xfId="476"/>
    <cellStyle name="Percent 3 4 2 6 10" xfId="22647"/>
    <cellStyle name="Percent 3 4 2 6 2" xfId="594"/>
    <cellStyle name="Percent 3 4 2 6 2 2" xfId="946"/>
    <cellStyle name="Percent 3 4 2 6 2 2 2" xfId="2445"/>
    <cellStyle name="Percent 3 4 2 6 2 2 2 2" xfId="24613"/>
    <cellStyle name="Percent 3 4 2 6 2 2 3" xfId="3944"/>
    <cellStyle name="Percent 3 4 2 6 2 2 3 2" xfId="26111"/>
    <cellStyle name="Percent 3 4 2 6 2 2 4" xfId="21617"/>
    <cellStyle name="Percent 3 4 2 6 2 2 4 2" xfId="37829"/>
    <cellStyle name="Percent 3 4 2 6 2 2 5" xfId="23115"/>
    <cellStyle name="Percent 3 4 2 6 2 3" xfId="1297"/>
    <cellStyle name="Percent 3 4 2 6 2 3 2" xfId="2796"/>
    <cellStyle name="Percent 3 4 2 6 2 3 2 2" xfId="24964"/>
    <cellStyle name="Percent 3 4 2 6 2 3 3" xfId="4295"/>
    <cellStyle name="Percent 3 4 2 6 2 3 3 2" xfId="26462"/>
    <cellStyle name="Percent 3 4 2 6 2 3 4" xfId="21968"/>
    <cellStyle name="Percent 3 4 2 6 2 3 4 2" xfId="38180"/>
    <cellStyle name="Percent 3 4 2 6 2 3 5" xfId="23466"/>
    <cellStyle name="Percent 3 4 2 6 2 4" xfId="1648"/>
    <cellStyle name="Percent 3 4 2 6 2 4 2" xfId="3147"/>
    <cellStyle name="Percent 3 4 2 6 2 4 2 2" xfId="25315"/>
    <cellStyle name="Percent 3 4 2 6 2 4 3" xfId="4646"/>
    <cellStyle name="Percent 3 4 2 6 2 4 3 2" xfId="26813"/>
    <cellStyle name="Percent 3 4 2 6 2 4 4" xfId="22319"/>
    <cellStyle name="Percent 3 4 2 6 2 4 4 2" xfId="38531"/>
    <cellStyle name="Percent 3 4 2 6 2 4 5" xfId="23817"/>
    <cellStyle name="Percent 3 4 2 6 2 5" xfId="2094"/>
    <cellStyle name="Percent 3 4 2 6 2 5 2" xfId="24262"/>
    <cellStyle name="Percent 3 4 2 6 2 6" xfId="3593"/>
    <cellStyle name="Percent 3 4 2 6 2 6 2" xfId="25760"/>
    <cellStyle name="Percent 3 4 2 6 2 7" xfId="21266"/>
    <cellStyle name="Percent 3 4 2 6 2 7 2" xfId="37478"/>
    <cellStyle name="Percent 3 4 2 6 2 8" xfId="22764"/>
    <cellStyle name="Percent 3 4 2 6 3" xfId="712"/>
    <cellStyle name="Percent 3 4 2 6 3 2" xfId="1063"/>
    <cellStyle name="Percent 3 4 2 6 3 2 2" xfId="2562"/>
    <cellStyle name="Percent 3 4 2 6 3 2 2 2" xfId="24730"/>
    <cellStyle name="Percent 3 4 2 6 3 2 3" xfId="4061"/>
    <cellStyle name="Percent 3 4 2 6 3 2 3 2" xfId="26228"/>
    <cellStyle name="Percent 3 4 2 6 3 2 4" xfId="21734"/>
    <cellStyle name="Percent 3 4 2 6 3 2 4 2" xfId="37946"/>
    <cellStyle name="Percent 3 4 2 6 3 2 5" xfId="23232"/>
    <cellStyle name="Percent 3 4 2 6 3 3" xfId="1414"/>
    <cellStyle name="Percent 3 4 2 6 3 3 2" xfId="2913"/>
    <cellStyle name="Percent 3 4 2 6 3 3 2 2" xfId="25081"/>
    <cellStyle name="Percent 3 4 2 6 3 3 3" xfId="4412"/>
    <cellStyle name="Percent 3 4 2 6 3 3 3 2" xfId="26579"/>
    <cellStyle name="Percent 3 4 2 6 3 3 4" xfId="22085"/>
    <cellStyle name="Percent 3 4 2 6 3 3 4 2" xfId="38297"/>
    <cellStyle name="Percent 3 4 2 6 3 3 5" xfId="23583"/>
    <cellStyle name="Percent 3 4 2 6 3 4" xfId="1765"/>
    <cellStyle name="Percent 3 4 2 6 3 4 2" xfId="3264"/>
    <cellStyle name="Percent 3 4 2 6 3 4 2 2" xfId="25432"/>
    <cellStyle name="Percent 3 4 2 6 3 4 3" xfId="4763"/>
    <cellStyle name="Percent 3 4 2 6 3 4 3 2" xfId="26930"/>
    <cellStyle name="Percent 3 4 2 6 3 4 4" xfId="22436"/>
    <cellStyle name="Percent 3 4 2 6 3 4 4 2" xfId="38648"/>
    <cellStyle name="Percent 3 4 2 6 3 4 5" xfId="23934"/>
    <cellStyle name="Percent 3 4 2 6 3 5" xfId="2211"/>
    <cellStyle name="Percent 3 4 2 6 3 5 2" xfId="24379"/>
    <cellStyle name="Percent 3 4 2 6 3 6" xfId="3710"/>
    <cellStyle name="Percent 3 4 2 6 3 6 2" xfId="25877"/>
    <cellStyle name="Percent 3 4 2 6 3 7" xfId="21383"/>
    <cellStyle name="Percent 3 4 2 6 3 7 2" xfId="37595"/>
    <cellStyle name="Percent 3 4 2 6 3 8" xfId="22881"/>
    <cellStyle name="Percent 3 4 2 6 4" xfId="829"/>
    <cellStyle name="Percent 3 4 2 6 4 2" xfId="2328"/>
    <cellStyle name="Percent 3 4 2 6 4 2 2" xfId="24496"/>
    <cellStyle name="Percent 3 4 2 6 4 3" xfId="3827"/>
    <cellStyle name="Percent 3 4 2 6 4 3 2" xfId="25994"/>
    <cellStyle name="Percent 3 4 2 6 4 4" xfId="21500"/>
    <cellStyle name="Percent 3 4 2 6 4 4 2" xfId="37712"/>
    <cellStyle name="Percent 3 4 2 6 4 5" xfId="22998"/>
    <cellStyle name="Percent 3 4 2 6 5" xfId="1180"/>
    <cellStyle name="Percent 3 4 2 6 5 2" xfId="2679"/>
    <cellStyle name="Percent 3 4 2 6 5 2 2" xfId="24847"/>
    <cellStyle name="Percent 3 4 2 6 5 3" xfId="4178"/>
    <cellStyle name="Percent 3 4 2 6 5 3 2" xfId="26345"/>
    <cellStyle name="Percent 3 4 2 6 5 4" xfId="21851"/>
    <cellStyle name="Percent 3 4 2 6 5 4 2" xfId="38063"/>
    <cellStyle name="Percent 3 4 2 6 5 5" xfId="23349"/>
    <cellStyle name="Percent 3 4 2 6 6" xfId="1531"/>
    <cellStyle name="Percent 3 4 2 6 6 2" xfId="3030"/>
    <cellStyle name="Percent 3 4 2 6 6 2 2" xfId="25198"/>
    <cellStyle name="Percent 3 4 2 6 6 3" xfId="4529"/>
    <cellStyle name="Percent 3 4 2 6 6 3 2" xfId="26696"/>
    <cellStyle name="Percent 3 4 2 6 6 4" xfId="22202"/>
    <cellStyle name="Percent 3 4 2 6 6 4 2" xfId="38414"/>
    <cellStyle name="Percent 3 4 2 6 6 5" xfId="23700"/>
    <cellStyle name="Percent 3 4 2 6 7" xfId="1977"/>
    <cellStyle name="Percent 3 4 2 6 7 2" xfId="24145"/>
    <cellStyle name="Percent 3 4 2 6 8" xfId="3476"/>
    <cellStyle name="Percent 3 4 2 6 8 2" xfId="25643"/>
    <cellStyle name="Percent 3 4 2 6 9" xfId="21149"/>
    <cellStyle name="Percent 3 4 2 6 9 2" xfId="37361"/>
    <cellStyle name="Percent 3 4 2 7" xfId="489"/>
    <cellStyle name="Percent 3 4 2 7 10" xfId="22660"/>
    <cellStyle name="Percent 3 4 2 7 2" xfId="607"/>
    <cellStyle name="Percent 3 4 2 7 2 2" xfId="959"/>
    <cellStyle name="Percent 3 4 2 7 2 2 2" xfId="2458"/>
    <cellStyle name="Percent 3 4 2 7 2 2 2 2" xfId="24626"/>
    <cellStyle name="Percent 3 4 2 7 2 2 3" xfId="3957"/>
    <cellStyle name="Percent 3 4 2 7 2 2 3 2" xfId="26124"/>
    <cellStyle name="Percent 3 4 2 7 2 2 4" xfId="21630"/>
    <cellStyle name="Percent 3 4 2 7 2 2 4 2" xfId="37842"/>
    <cellStyle name="Percent 3 4 2 7 2 2 5" xfId="23128"/>
    <cellStyle name="Percent 3 4 2 7 2 3" xfId="1310"/>
    <cellStyle name="Percent 3 4 2 7 2 3 2" xfId="2809"/>
    <cellStyle name="Percent 3 4 2 7 2 3 2 2" xfId="24977"/>
    <cellStyle name="Percent 3 4 2 7 2 3 3" xfId="4308"/>
    <cellStyle name="Percent 3 4 2 7 2 3 3 2" xfId="26475"/>
    <cellStyle name="Percent 3 4 2 7 2 3 4" xfId="21981"/>
    <cellStyle name="Percent 3 4 2 7 2 3 4 2" xfId="38193"/>
    <cellStyle name="Percent 3 4 2 7 2 3 5" xfId="23479"/>
    <cellStyle name="Percent 3 4 2 7 2 4" xfId="1661"/>
    <cellStyle name="Percent 3 4 2 7 2 4 2" xfId="3160"/>
    <cellStyle name="Percent 3 4 2 7 2 4 2 2" xfId="25328"/>
    <cellStyle name="Percent 3 4 2 7 2 4 3" xfId="4659"/>
    <cellStyle name="Percent 3 4 2 7 2 4 3 2" xfId="26826"/>
    <cellStyle name="Percent 3 4 2 7 2 4 4" xfId="22332"/>
    <cellStyle name="Percent 3 4 2 7 2 4 4 2" xfId="38544"/>
    <cellStyle name="Percent 3 4 2 7 2 4 5" xfId="23830"/>
    <cellStyle name="Percent 3 4 2 7 2 5" xfId="2107"/>
    <cellStyle name="Percent 3 4 2 7 2 5 2" xfId="24275"/>
    <cellStyle name="Percent 3 4 2 7 2 6" xfId="3606"/>
    <cellStyle name="Percent 3 4 2 7 2 6 2" xfId="25773"/>
    <cellStyle name="Percent 3 4 2 7 2 7" xfId="21279"/>
    <cellStyle name="Percent 3 4 2 7 2 7 2" xfId="37491"/>
    <cellStyle name="Percent 3 4 2 7 2 8" xfId="22777"/>
    <cellStyle name="Percent 3 4 2 7 3" xfId="725"/>
    <cellStyle name="Percent 3 4 2 7 3 2" xfId="1076"/>
    <cellStyle name="Percent 3 4 2 7 3 2 2" xfId="2575"/>
    <cellStyle name="Percent 3 4 2 7 3 2 2 2" xfId="24743"/>
    <cellStyle name="Percent 3 4 2 7 3 2 3" xfId="4074"/>
    <cellStyle name="Percent 3 4 2 7 3 2 3 2" xfId="26241"/>
    <cellStyle name="Percent 3 4 2 7 3 2 4" xfId="21747"/>
    <cellStyle name="Percent 3 4 2 7 3 2 4 2" xfId="37959"/>
    <cellStyle name="Percent 3 4 2 7 3 2 5" xfId="23245"/>
    <cellStyle name="Percent 3 4 2 7 3 3" xfId="1427"/>
    <cellStyle name="Percent 3 4 2 7 3 3 2" xfId="2926"/>
    <cellStyle name="Percent 3 4 2 7 3 3 2 2" xfId="25094"/>
    <cellStyle name="Percent 3 4 2 7 3 3 3" xfId="4425"/>
    <cellStyle name="Percent 3 4 2 7 3 3 3 2" xfId="26592"/>
    <cellStyle name="Percent 3 4 2 7 3 3 4" xfId="22098"/>
    <cellStyle name="Percent 3 4 2 7 3 3 4 2" xfId="38310"/>
    <cellStyle name="Percent 3 4 2 7 3 3 5" xfId="23596"/>
    <cellStyle name="Percent 3 4 2 7 3 4" xfId="1778"/>
    <cellStyle name="Percent 3 4 2 7 3 4 2" xfId="3277"/>
    <cellStyle name="Percent 3 4 2 7 3 4 2 2" xfId="25445"/>
    <cellStyle name="Percent 3 4 2 7 3 4 3" xfId="4776"/>
    <cellStyle name="Percent 3 4 2 7 3 4 3 2" xfId="26943"/>
    <cellStyle name="Percent 3 4 2 7 3 4 4" xfId="22449"/>
    <cellStyle name="Percent 3 4 2 7 3 4 4 2" xfId="38661"/>
    <cellStyle name="Percent 3 4 2 7 3 4 5" xfId="23947"/>
    <cellStyle name="Percent 3 4 2 7 3 5" xfId="2224"/>
    <cellStyle name="Percent 3 4 2 7 3 5 2" xfId="24392"/>
    <cellStyle name="Percent 3 4 2 7 3 6" xfId="3723"/>
    <cellStyle name="Percent 3 4 2 7 3 6 2" xfId="25890"/>
    <cellStyle name="Percent 3 4 2 7 3 7" xfId="21396"/>
    <cellStyle name="Percent 3 4 2 7 3 7 2" xfId="37608"/>
    <cellStyle name="Percent 3 4 2 7 3 8" xfId="22894"/>
    <cellStyle name="Percent 3 4 2 7 4" xfId="842"/>
    <cellStyle name="Percent 3 4 2 7 4 2" xfId="2341"/>
    <cellStyle name="Percent 3 4 2 7 4 2 2" xfId="24509"/>
    <cellStyle name="Percent 3 4 2 7 4 3" xfId="3840"/>
    <cellStyle name="Percent 3 4 2 7 4 3 2" xfId="26007"/>
    <cellStyle name="Percent 3 4 2 7 4 4" xfId="21513"/>
    <cellStyle name="Percent 3 4 2 7 4 4 2" xfId="37725"/>
    <cellStyle name="Percent 3 4 2 7 4 5" xfId="23011"/>
    <cellStyle name="Percent 3 4 2 7 5" xfId="1193"/>
    <cellStyle name="Percent 3 4 2 7 5 2" xfId="2692"/>
    <cellStyle name="Percent 3 4 2 7 5 2 2" xfId="24860"/>
    <cellStyle name="Percent 3 4 2 7 5 3" xfId="4191"/>
    <cellStyle name="Percent 3 4 2 7 5 3 2" xfId="26358"/>
    <cellStyle name="Percent 3 4 2 7 5 4" xfId="21864"/>
    <cellStyle name="Percent 3 4 2 7 5 4 2" xfId="38076"/>
    <cellStyle name="Percent 3 4 2 7 5 5" xfId="23362"/>
    <cellStyle name="Percent 3 4 2 7 6" xfId="1544"/>
    <cellStyle name="Percent 3 4 2 7 6 2" xfId="3043"/>
    <cellStyle name="Percent 3 4 2 7 6 2 2" xfId="25211"/>
    <cellStyle name="Percent 3 4 2 7 6 3" xfId="4542"/>
    <cellStyle name="Percent 3 4 2 7 6 3 2" xfId="26709"/>
    <cellStyle name="Percent 3 4 2 7 6 4" xfId="22215"/>
    <cellStyle name="Percent 3 4 2 7 6 4 2" xfId="38427"/>
    <cellStyle name="Percent 3 4 2 7 6 5" xfId="23713"/>
    <cellStyle name="Percent 3 4 2 7 7" xfId="1990"/>
    <cellStyle name="Percent 3 4 2 7 7 2" xfId="24158"/>
    <cellStyle name="Percent 3 4 2 7 8" xfId="3489"/>
    <cellStyle name="Percent 3 4 2 7 8 2" xfId="25656"/>
    <cellStyle name="Percent 3 4 2 7 9" xfId="21162"/>
    <cellStyle name="Percent 3 4 2 7 9 2" xfId="37374"/>
    <cellStyle name="Percent 3 4 2 8" xfId="517"/>
    <cellStyle name="Percent 3 4 2 8 2" xfId="869"/>
    <cellStyle name="Percent 3 4 2 8 2 2" xfId="2368"/>
    <cellStyle name="Percent 3 4 2 8 2 2 2" xfId="24536"/>
    <cellStyle name="Percent 3 4 2 8 2 3" xfId="3867"/>
    <cellStyle name="Percent 3 4 2 8 2 3 2" xfId="26034"/>
    <cellStyle name="Percent 3 4 2 8 2 4" xfId="21540"/>
    <cellStyle name="Percent 3 4 2 8 2 4 2" xfId="37752"/>
    <cellStyle name="Percent 3 4 2 8 2 5" xfId="23038"/>
    <cellStyle name="Percent 3 4 2 8 3" xfId="1220"/>
    <cellStyle name="Percent 3 4 2 8 3 2" xfId="2719"/>
    <cellStyle name="Percent 3 4 2 8 3 2 2" xfId="24887"/>
    <cellStyle name="Percent 3 4 2 8 3 3" xfId="4218"/>
    <cellStyle name="Percent 3 4 2 8 3 3 2" xfId="26385"/>
    <cellStyle name="Percent 3 4 2 8 3 4" xfId="21891"/>
    <cellStyle name="Percent 3 4 2 8 3 4 2" xfId="38103"/>
    <cellStyle name="Percent 3 4 2 8 3 5" xfId="23389"/>
    <cellStyle name="Percent 3 4 2 8 4" xfId="1571"/>
    <cellStyle name="Percent 3 4 2 8 4 2" xfId="3070"/>
    <cellStyle name="Percent 3 4 2 8 4 2 2" xfId="25238"/>
    <cellStyle name="Percent 3 4 2 8 4 3" xfId="4569"/>
    <cellStyle name="Percent 3 4 2 8 4 3 2" xfId="26736"/>
    <cellStyle name="Percent 3 4 2 8 4 4" xfId="22242"/>
    <cellStyle name="Percent 3 4 2 8 4 4 2" xfId="38454"/>
    <cellStyle name="Percent 3 4 2 8 4 5" xfId="23740"/>
    <cellStyle name="Percent 3 4 2 8 5" xfId="2017"/>
    <cellStyle name="Percent 3 4 2 8 5 2" xfId="24185"/>
    <cellStyle name="Percent 3 4 2 8 6" xfId="3516"/>
    <cellStyle name="Percent 3 4 2 8 6 2" xfId="25683"/>
    <cellStyle name="Percent 3 4 2 8 7" xfId="21189"/>
    <cellStyle name="Percent 3 4 2 8 7 2" xfId="37401"/>
    <cellStyle name="Percent 3 4 2 8 8" xfId="22687"/>
    <cellStyle name="Percent 3 4 2 9" xfId="635"/>
    <cellStyle name="Percent 3 4 2 9 2" xfId="986"/>
    <cellStyle name="Percent 3 4 2 9 2 2" xfId="2485"/>
    <cellStyle name="Percent 3 4 2 9 2 2 2" xfId="24653"/>
    <cellStyle name="Percent 3 4 2 9 2 3" xfId="3984"/>
    <cellStyle name="Percent 3 4 2 9 2 3 2" xfId="26151"/>
    <cellStyle name="Percent 3 4 2 9 2 4" xfId="21657"/>
    <cellStyle name="Percent 3 4 2 9 2 4 2" xfId="37869"/>
    <cellStyle name="Percent 3 4 2 9 2 5" xfId="23155"/>
    <cellStyle name="Percent 3 4 2 9 3" xfId="1337"/>
    <cellStyle name="Percent 3 4 2 9 3 2" xfId="2836"/>
    <cellStyle name="Percent 3 4 2 9 3 2 2" xfId="25004"/>
    <cellStyle name="Percent 3 4 2 9 3 3" xfId="4335"/>
    <cellStyle name="Percent 3 4 2 9 3 3 2" xfId="26502"/>
    <cellStyle name="Percent 3 4 2 9 3 4" xfId="22008"/>
    <cellStyle name="Percent 3 4 2 9 3 4 2" xfId="38220"/>
    <cellStyle name="Percent 3 4 2 9 3 5" xfId="23506"/>
    <cellStyle name="Percent 3 4 2 9 4" xfId="1688"/>
    <cellStyle name="Percent 3 4 2 9 4 2" xfId="3187"/>
    <cellStyle name="Percent 3 4 2 9 4 2 2" xfId="25355"/>
    <cellStyle name="Percent 3 4 2 9 4 3" xfId="4686"/>
    <cellStyle name="Percent 3 4 2 9 4 3 2" xfId="26853"/>
    <cellStyle name="Percent 3 4 2 9 4 4" xfId="22359"/>
    <cellStyle name="Percent 3 4 2 9 4 4 2" xfId="38571"/>
    <cellStyle name="Percent 3 4 2 9 4 5" xfId="23857"/>
    <cellStyle name="Percent 3 4 2 9 5" xfId="2134"/>
    <cellStyle name="Percent 3 4 2 9 5 2" xfId="24302"/>
    <cellStyle name="Percent 3 4 2 9 6" xfId="3633"/>
    <cellStyle name="Percent 3 4 2 9 6 2" xfId="25800"/>
    <cellStyle name="Percent 3 4 2 9 7" xfId="21306"/>
    <cellStyle name="Percent 3 4 2 9 7 2" xfId="37518"/>
    <cellStyle name="Percent 3 4 2 9 8" xfId="22804"/>
    <cellStyle name="Percent 3 4 3" xfId="411"/>
    <cellStyle name="Percent 3 4 3 10" xfId="21084"/>
    <cellStyle name="Percent 3 4 3 10 2" xfId="37296"/>
    <cellStyle name="Percent 3 4 3 11" xfId="22582"/>
    <cellStyle name="Percent 3 4 3 2" xfId="463"/>
    <cellStyle name="Percent 3 4 3 2 10" xfId="22634"/>
    <cellStyle name="Percent 3 4 3 2 2" xfId="581"/>
    <cellStyle name="Percent 3 4 3 2 2 2" xfId="933"/>
    <cellStyle name="Percent 3 4 3 2 2 2 2" xfId="2432"/>
    <cellStyle name="Percent 3 4 3 2 2 2 2 2" xfId="24600"/>
    <cellStyle name="Percent 3 4 3 2 2 2 3" xfId="3931"/>
    <cellStyle name="Percent 3 4 3 2 2 2 3 2" xfId="26098"/>
    <cellStyle name="Percent 3 4 3 2 2 2 4" xfId="21604"/>
    <cellStyle name="Percent 3 4 3 2 2 2 4 2" xfId="37816"/>
    <cellStyle name="Percent 3 4 3 2 2 2 5" xfId="23102"/>
    <cellStyle name="Percent 3 4 3 2 2 3" xfId="1284"/>
    <cellStyle name="Percent 3 4 3 2 2 3 2" xfId="2783"/>
    <cellStyle name="Percent 3 4 3 2 2 3 2 2" xfId="24951"/>
    <cellStyle name="Percent 3 4 3 2 2 3 3" xfId="4282"/>
    <cellStyle name="Percent 3 4 3 2 2 3 3 2" xfId="26449"/>
    <cellStyle name="Percent 3 4 3 2 2 3 4" xfId="21955"/>
    <cellStyle name="Percent 3 4 3 2 2 3 4 2" xfId="38167"/>
    <cellStyle name="Percent 3 4 3 2 2 3 5" xfId="23453"/>
    <cellStyle name="Percent 3 4 3 2 2 4" xfId="1635"/>
    <cellStyle name="Percent 3 4 3 2 2 4 2" xfId="3134"/>
    <cellStyle name="Percent 3 4 3 2 2 4 2 2" xfId="25302"/>
    <cellStyle name="Percent 3 4 3 2 2 4 3" xfId="4633"/>
    <cellStyle name="Percent 3 4 3 2 2 4 3 2" xfId="26800"/>
    <cellStyle name="Percent 3 4 3 2 2 4 4" xfId="22306"/>
    <cellStyle name="Percent 3 4 3 2 2 4 4 2" xfId="38518"/>
    <cellStyle name="Percent 3 4 3 2 2 4 5" xfId="23804"/>
    <cellStyle name="Percent 3 4 3 2 2 5" xfId="2081"/>
    <cellStyle name="Percent 3 4 3 2 2 5 2" xfId="24249"/>
    <cellStyle name="Percent 3 4 3 2 2 6" xfId="3580"/>
    <cellStyle name="Percent 3 4 3 2 2 6 2" xfId="25747"/>
    <cellStyle name="Percent 3 4 3 2 2 7" xfId="21253"/>
    <cellStyle name="Percent 3 4 3 2 2 7 2" xfId="37465"/>
    <cellStyle name="Percent 3 4 3 2 2 8" xfId="22751"/>
    <cellStyle name="Percent 3 4 3 2 3" xfId="699"/>
    <cellStyle name="Percent 3 4 3 2 3 2" xfId="1050"/>
    <cellStyle name="Percent 3 4 3 2 3 2 2" xfId="2549"/>
    <cellStyle name="Percent 3 4 3 2 3 2 2 2" xfId="24717"/>
    <cellStyle name="Percent 3 4 3 2 3 2 3" xfId="4048"/>
    <cellStyle name="Percent 3 4 3 2 3 2 3 2" xfId="26215"/>
    <cellStyle name="Percent 3 4 3 2 3 2 4" xfId="21721"/>
    <cellStyle name="Percent 3 4 3 2 3 2 4 2" xfId="37933"/>
    <cellStyle name="Percent 3 4 3 2 3 2 5" xfId="23219"/>
    <cellStyle name="Percent 3 4 3 2 3 3" xfId="1401"/>
    <cellStyle name="Percent 3 4 3 2 3 3 2" xfId="2900"/>
    <cellStyle name="Percent 3 4 3 2 3 3 2 2" xfId="25068"/>
    <cellStyle name="Percent 3 4 3 2 3 3 3" xfId="4399"/>
    <cellStyle name="Percent 3 4 3 2 3 3 3 2" xfId="26566"/>
    <cellStyle name="Percent 3 4 3 2 3 3 4" xfId="22072"/>
    <cellStyle name="Percent 3 4 3 2 3 3 4 2" xfId="38284"/>
    <cellStyle name="Percent 3 4 3 2 3 3 5" xfId="23570"/>
    <cellStyle name="Percent 3 4 3 2 3 4" xfId="1752"/>
    <cellStyle name="Percent 3 4 3 2 3 4 2" xfId="3251"/>
    <cellStyle name="Percent 3 4 3 2 3 4 2 2" xfId="25419"/>
    <cellStyle name="Percent 3 4 3 2 3 4 3" xfId="4750"/>
    <cellStyle name="Percent 3 4 3 2 3 4 3 2" xfId="26917"/>
    <cellStyle name="Percent 3 4 3 2 3 4 4" xfId="22423"/>
    <cellStyle name="Percent 3 4 3 2 3 4 4 2" xfId="38635"/>
    <cellStyle name="Percent 3 4 3 2 3 4 5" xfId="23921"/>
    <cellStyle name="Percent 3 4 3 2 3 5" xfId="2198"/>
    <cellStyle name="Percent 3 4 3 2 3 5 2" xfId="24366"/>
    <cellStyle name="Percent 3 4 3 2 3 6" xfId="3697"/>
    <cellStyle name="Percent 3 4 3 2 3 6 2" xfId="25864"/>
    <cellStyle name="Percent 3 4 3 2 3 7" xfId="21370"/>
    <cellStyle name="Percent 3 4 3 2 3 7 2" xfId="37582"/>
    <cellStyle name="Percent 3 4 3 2 3 8" xfId="22868"/>
    <cellStyle name="Percent 3 4 3 2 4" xfId="816"/>
    <cellStyle name="Percent 3 4 3 2 4 2" xfId="2315"/>
    <cellStyle name="Percent 3 4 3 2 4 2 2" xfId="24483"/>
    <cellStyle name="Percent 3 4 3 2 4 3" xfId="3814"/>
    <cellStyle name="Percent 3 4 3 2 4 3 2" xfId="25981"/>
    <cellStyle name="Percent 3 4 3 2 4 4" xfId="21487"/>
    <cellStyle name="Percent 3 4 3 2 4 4 2" xfId="37699"/>
    <cellStyle name="Percent 3 4 3 2 4 5" xfId="22985"/>
    <cellStyle name="Percent 3 4 3 2 5" xfId="1167"/>
    <cellStyle name="Percent 3 4 3 2 5 2" xfId="2666"/>
    <cellStyle name="Percent 3 4 3 2 5 2 2" xfId="24834"/>
    <cellStyle name="Percent 3 4 3 2 5 3" xfId="4165"/>
    <cellStyle name="Percent 3 4 3 2 5 3 2" xfId="26332"/>
    <cellStyle name="Percent 3 4 3 2 5 4" xfId="21838"/>
    <cellStyle name="Percent 3 4 3 2 5 4 2" xfId="38050"/>
    <cellStyle name="Percent 3 4 3 2 5 5" xfId="23336"/>
    <cellStyle name="Percent 3 4 3 2 6" xfId="1518"/>
    <cellStyle name="Percent 3 4 3 2 6 2" xfId="3017"/>
    <cellStyle name="Percent 3 4 3 2 6 2 2" xfId="25185"/>
    <cellStyle name="Percent 3 4 3 2 6 3" xfId="4516"/>
    <cellStyle name="Percent 3 4 3 2 6 3 2" xfId="26683"/>
    <cellStyle name="Percent 3 4 3 2 6 4" xfId="22189"/>
    <cellStyle name="Percent 3 4 3 2 6 4 2" xfId="38401"/>
    <cellStyle name="Percent 3 4 3 2 6 5" xfId="23687"/>
    <cellStyle name="Percent 3 4 3 2 7" xfId="1964"/>
    <cellStyle name="Percent 3 4 3 2 7 2" xfId="24132"/>
    <cellStyle name="Percent 3 4 3 2 8" xfId="3463"/>
    <cellStyle name="Percent 3 4 3 2 8 2" xfId="25630"/>
    <cellStyle name="Percent 3 4 3 2 9" xfId="21136"/>
    <cellStyle name="Percent 3 4 3 2 9 2" xfId="37348"/>
    <cellStyle name="Percent 3 4 3 3" xfId="529"/>
    <cellStyle name="Percent 3 4 3 3 2" xfId="881"/>
    <cellStyle name="Percent 3 4 3 3 2 2" xfId="2380"/>
    <cellStyle name="Percent 3 4 3 3 2 2 2" xfId="24548"/>
    <cellStyle name="Percent 3 4 3 3 2 3" xfId="3879"/>
    <cellStyle name="Percent 3 4 3 3 2 3 2" xfId="26046"/>
    <cellStyle name="Percent 3 4 3 3 2 4" xfId="21552"/>
    <cellStyle name="Percent 3 4 3 3 2 4 2" xfId="37764"/>
    <cellStyle name="Percent 3 4 3 3 2 5" xfId="23050"/>
    <cellStyle name="Percent 3 4 3 3 3" xfId="1232"/>
    <cellStyle name="Percent 3 4 3 3 3 2" xfId="2731"/>
    <cellStyle name="Percent 3 4 3 3 3 2 2" xfId="24899"/>
    <cellStyle name="Percent 3 4 3 3 3 3" xfId="4230"/>
    <cellStyle name="Percent 3 4 3 3 3 3 2" xfId="26397"/>
    <cellStyle name="Percent 3 4 3 3 3 4" xfId="21903"/>
    <cellStyle name="Percent 3 4 3 3 3 4 2" xfId="38115"/>
    <cellStyle name="Percent 3 4 3 3 3 5" xfId="23401"/>
    <cellStyle name="Percent 3 4 3 3 4" xfId="1583"/>
    <cellStyle name="Percent 3 4 3 3 4 2" xfId="3082"/>
    <cellStyle name="Percent 3 4 3 3 4 2 2" xfId="25250"/>
    <cellStyle name="Percent 3 4 3 3 4 3" xfId="4581"/>
    <cellStyle name="Percent 3 4 3 3 4 3 2" xfId="26748"/>
    <cellStyle name="Percent 3 4 3 3 4 4" xfId="22254"/>
    <cellStyle name="Percent 3 4 3 3 4 4 2" xfId="38466"/>
    <cellStyle name="Percent 3 4 3 3 4 5" xfId="23752"/>
    <cellStyle name="Percent 3 4 3 3 5" xfId="2029"/>
    <cellStyle name="Percent 3 4 3 3 5 2" xfId="24197"/>
    <cellStyle name="Percent 3 4 3 3 6" xfId="3528"/>
    <cellStyle name="Percent 3 4 3 3 6 2" xfId="25695"/>
    <cellStyle name="Percent 3 4 3 3 7" xfId="21201"/>
    <cellStyle name="Percent 3 4 3 3 7 2" xfId="37413"/>
    <cellStyle name="Percent 3 4 3 3 8" xfId="22699"/>
    <cellStyle name="Percent 3 4 3 4" xfId="647"/>
    <cellStyle name="Percent 3 4 3 4 2" xfId="998"/>
    <cellStyle name="Percent 3 4 3 4 2 2" xfId="2497"/>
    <cellStyle name="Percent 3 4 3 4 2 2 2" xfId="24665"/>
    <cellStyle name="Percent 3 4 3 4 2 3" xfId="3996"/>
    <cellStyle name="Percent 3 4 3 4 2 3 2" xfId="26163"/>
    <cellStyle name="Percent 3 4 3 4 2 4" xfId="21669"/>
    <cellStyle name="Percent 3 4 3 4 2 4 2" xfId="37881"/>
    <cellStyle name="Percent 3 4 3 4 2 5" xfId="23167"/>
    <cellStyle name="Percent 3 4 3 4 3" xfId="1349"/>
    <cellStyle name="Percent 3 4 3 4 3 2" xfId="2848"/>
    <cellStyle name="Percent 3 4 3 4 3 2 2" xfId="25016"/>
    <cellStyle name="Percent 3 4 3 4 3 3" xfId="4347"/>
    <cellStyle name="Percent 3 4 3 4 3 3 2" xfId="26514"/>
    <cellStyle name="Percent 3 4 3 4 3 4" xfId="22020"/>
    <cellStyle name="Percent 3 4 3 4 3 4 2" xfId="38232"/>
    <cellStyle name="Percent 3 4 3 4 3 5" xfId="23518"/>
    <cellStyle name="Percent 3 4 3 4 4" xfId="1700"/>
    <cellStyle name="Percent 3 4 3 4 4 2" xfId="3199"/>
    <cellStyle name="Percent 3 4 3 4 4 2 2" xfId="25367"/>
    <cellStyle name="Percent 3 4 3 4 4 3" xfId="4698"/>
    <cellStyle name="Percent 3 4 3 4 4 3 2" xfId="26865"/>
    <cellStyle name="Percent 3 4 3 4 4 4" xfId="22371"/>
    <cellStyle name="Percent 3 4 3 4 4 4 2" xfId="38583"/>
    <cellStyle name="Percent 3 4 3 4 4 5" xfId="23869"/>
    <cellStyle name="Percent 3 4 3 4 5" xfId="2146"/>
    <cellStyle name="Percent 3 4 3 4 5 2" xfId="24314"/>
    <cellStyle name="Percent 3 4 3 4 6" xfId="3645"/>
    <cellStyle name="Percent 3 4 3 4 6 2" xfId="25812"/>
    <cellStyle name="Percent 3 4 3 4 7" xfId="21318"/>
    <cellStyle name="Percent 3 4 3 4 7 2" xfId="37530"/>
    <cellStyle name="Percent 3 4 3 4 8" xfId="22816"/>
    <cellStyle name="Percent 3 4 3 5" xfId="764"/>
    <cellStyle name="Percent 3 4 3 5 2" xfId="2263"/>
    <cellStyle name="Percent 3 4 3 5 2 2" xfId="24431"/>
    <cellStyle name="Percent 3 4 3 5 3" xfId="3762"/>
    <cellStyle name="Percent 3 4 3 5 3 2" xfId="25929"/>
    <cellStyle name="Percent 3 4 3 5 4" xfId="21435"/>
    <cellStyle name="Percent 3 4 3 5 4 2" xfId="37647"/>
    <cellStyle name="Percent 3 4 3 5 5" xfId="22933"/>
    <cellStyle name="Percent 3 4 3 6" xfId="1115"/>
    <cellStyle name="Percent 3 4 3 6 2" xfId="2614"/>
    <cellStyle name="Percent 3 4 3 6 2 2" xfId="24782"/>
    <cellStyle name="Percent 3 4 3 6 3" xfId="4113"/>
    <cellStyle name="Percent 3 4 3 6 3 2" xfId="26280"/>
    <cellStyle name="Percent 3 4 3 6 4" xfId="21786"/>
    <cellStyle name="Percent 3 4 3 6 4 2" xfId="37998"/>
    <cellStyle name="Percent 3 4 3 6 5" xfId="23284"/>
    <cellStyle name="Percent 3 4 3 7" xfId="1466"/>
    <cellStyle name="Percent 3 4 3 7 2" xfId="2965"/>
    <cellStyle name="Percent 3 4 3 7 2 2" xfId="25133"/>
    <cellStyle name="Percent 3 4 3 7 3" xfId="4464"/>
    <cellStyle name="Percent 3 4 3 7 3 2" xfId="26631"/>
    <cellStyle name="Percent 3 4 3 7 4" xfId="22137"/>
    <cellStyle name="Percent 3 4 3 7 4 2" xfId="38349"/>
    <cellStyle name="Percent 3 4 3 7 5" xfId="23635"/>
    <cellStyle name="Percent 3 4 3 8" xfId="1912"/>
    <cellStyle name="Percent 3 4 3 8 2" xfId="24080"/>
    <cellStyle name="Percent 3 4 3 9" xfId="3411"/>
    <cellStyle name="Percent 3 4 3 9 2" xfId="25578"/>
    <cellStyle name="Percent 3 4 4" xfId="423"/>
    <cellStyle name="Percent 3 4 4 10" xfId="22594"/>
    <cellStyle name="Percent 3 4 4 2" xfId="541"/>
    <cellStyle name="Percent 3 4 4 2 2" xfId="893"/>
    <cellStyle name="Percent 3 4 4 2 2 2" xfId="2392"/>
    <cellStyle name="Percent 3 4 4 2 2 2 2" xfId="24560"/>
    <cellStyle name="Percent 3 4 4 2 2 3" xfId="3891"/>
    <cellStyle name="Percent 3 4 4 2 2 3 2" xfId="26058"/>
    <cellStyle name="Percent 3 4 4 2 2 4" xfId="21564"/>
    <cellStyle name="Percent 3 4 4 2 2 4 2" xfId="37776"/>
    <cellStyle name="Percent 3 4 4 2 2 5" xfId="23062"/>
    <cellStyle name="Percent 3 4 4 2 3" xfId="1244"/>
    <cellStyle name="Percent 3 4 4 2 3 2" xfId="2743"/>
    <cellStyle name="Percent 3 4 4 2 3 2 2" xfId="24911"/>
    <cellStyle name="Percent 3 4 4 2 3 3" xfId="4242"/>
    <cellStyle name="Percent 3 4 4 2 3 3 2" xfId="26409"/>
    <cellStyle name="Percent 3 4 4 2 3 4" xfId="21915"/>
    <cellStyle name="Percent 3 4 4 2 3 4 2" xfId="38127"/>
    <cellStyle name="Percent 3 4 4 2 3 5" xfId="23413"/>
    <cellStyle name="Percent 3 4 4 2 4" xfId="1595"/>
    <cellStyle name="Percent 3 4 4 2 4 2" xfId="3094"/>
    <cellStyle name="Percent 3 4 4 2 4 2 2" xfId="25262"/>
    <cellStyle name="Percent 3 4 4 2 4 3" xfId="4593"/>
    <cellStyle name="Percent 3 4 4 2 4 3 2" xfId="26760"/>
    <cellStyle name="Percent 3 4 4 2 4 4" xfId="22266"/>
    <cellStyle name="Percent 3 4 4 2 4 4 2" xfId="38478"/>
    <cellStyle name="Percent 3 4 4 2 4 5" xfId="23764"/>
    <cellStyle name="Percent 3 4 4 2 5" xfId="2041"/>
    <cellStyle name="Percent 3 4 4 2 5 2" xfId="24209"/>
    <cellStyle name="Percent 3 4 4 2 6" xfId="3540"/>
    <cellStyle name="Percent 3 4 4 2 6 2" xfId="25707"/>
    <cellStyle name="Percent 3 4 4 2 7" xfId="21213"/>
    <cellStyle name="Percent 3 4 4 2 7 2" xfId="37425"/>
    <cellStyle name="Percent 3 4 4 2 8" xfId="22711"/>
    <cellStyle name="Percent 3 4 4 3" xfId="659"/>
    <cellStyle name="Percent 3 4 4 3 2" xfId="1010"/>
    <cellStyle name="Percent 3 4 4 3 2 2" xfId="2509"/>
    <cellStyle name="Percent 3 4 4 3 2 2 2" xfId="24677"/>
    <cellStyle name="Percent 3 4 4 3 2 3" xfId="4008"/>
    <cellStyle name="Percent 3 4 4 3 2 3 2" xfId="26175"/>
    <cellStyle name="Percent 3 4 4 3 2 4" xfId="21681"/>
    <cellStyle name="Percent 3 4 4 3 2 4 2" xfId="37893"/>
    <cellStyle name="Percent 3 4 4 3 2 5" xfId="23179"/>
    <cellStyle name="Percent 3 4 4 3 3" xfId="1361"/>
    <cellStyle name="Percent 3 4 4 3 3 2" xfId="2860"/>
    <cellStyle name="Percent 3 4 4 3 3 2 2" xfId="25028"/>
    <cellStyle name="Percent 3 4 4 3 3 3" xfId="4359"/>
    <cellStyle name="Percent 3 4 4 3 3 3 2" xfId="26526"/>
    <cellStyle name="Percent 3 4 4 3 3 4" xfId="22032"/>
    <cellStyle name="Percent 3 4 4 3 3 4 2" xfId="38244"/>
    <cellStyle name="Percent 3 4 4 3 3 5" xfId="23530"/>
    <cellStyle name="Percent 3 4 4 3 4" xfId="1712"/>
    <cellStyle name="Percent 3 4 4 3 4 2" xfId="3211"/>
    <cellStyle name="Percent 3 4 4 3 4 2 2" xfId="25379"/>
    <cellStyle name="Percent 3 4 4 3 4 3" xfId="4710"/>
    <cellStyle name="Percent 3 4 4 3 4 3 2" xfId="26877"/>
    <cellStyle name="Percent 3 4 4 3 4 4" xfId="22383"/>
    <cellStyle name="Percent 3 4 4 3 4 4 2" xfId="38595"/>
    <cellStyle name="Percent 3 4 4 3 4 5" xfId="23881"/>
    <cellStyle name="Percent 3 4 4 3 5" xfId="2158"/>
    <cellStyle name="Percent 3 4 4 3 5 2" xfId="24326"/>
    <cellStyle name="Percent 3 4 4 3 6" xfId="3657"/>
    <cellStyle name="Percent 3 4 4 3 6 2" xfId="25824"/>
    <cellStyle name="Percent 3 4 4 3 7" xfId="21330"/>
    <cellStyle name="Percent 3 4 4 3 7 2" xfId="37542"/>
    <cellStyle name="Percent 3 4 4 3 8" xfId="22828"/>
    <cellStyle name="Percent 3 4 4 4" xfId="776"/>
    <cellStyle name="Percent 3 4 4 4 2" xfId="2275"/>
    <cellStyle name="Percent 3 4 4 4 2 2" xfId="24443"/>
    <cellStyle name="Percent 3 4 4 4 3" xfId="3774"/>
    <cellStyle name="Percent 3 4 4 4 3 2" xfId="25941"/>
    <cellStyle name="Percent 3 4 4 4 4" xfId="21447"/>
    <cellStyle name="Percent 3 4 4 4 4 2" xfId="37659"/>
    <cellStyle name="Percent 3 4 4 4 5" xfId="22945"/>
    <cellStyle name="Percent 3 4 4 5" xfId="1127"/>
    <cellStyle name="Percent 3 4 4 5 2" xfId="2626"/>
    <cellStyle name="Percent 3 4 4 5 2 2" xfId="24794"/>
    <cellStyle name="Percent 3 4 4 5 3" xfId="4125"/>
    <cellStyle name="Percent 3 4 4 5 3 2" xfId="26292"/>
    <cellStyle name="Percent 3 4 4 5 4" xfId="21798"/>
    <cellStyle name="Percent 3 4 4 5 4 2" xfId="38010"/>
    <cellStyle name="Percent 3 4 4 5 5" xfId="23296"/>
    <cellStyle name="Percent 3 4 4 6" xfId="1478"/>
    <cellStyle name="Percent 3 4 4 6 2" xfId="2977"/>
    <cellStyle name="Percent 3 4 4 6 2 2" xfId="25145"/>
    <cellStyle name="Percent 3 4 4 6 3" xfId="4476"/>
    <cellStyle name="Percent 3 4 4 6 3 2" xfId="26643"/>
    <cellStyle name="Percent 3 4 4 6 4" xfId="22149"/>
    <cellStyle name="Percent 3 4 4 6 4 2" xfId="38361"/>
    <cellStyle name="Percent 3 4 4 6 5" xfId="23647"/>
    <cellStyle name="Percent 3 4 4 7" xfId="1924"/>
    <cellStyle name="Percent 3 4 4 7 2" xfId="24092"/>
    <cellStyle name="Percent 3 4 4 8" xfId="3423"/>
    <cellStyle name="Percent 3 4 4 8 2" xfId="25590"/>
    <cellStyle name="Percent 3 4 4 9" xfId="21096"/>
    <cellStyle name="Percent 3 4 4 9 2" xfId="37308"/>
    <cellStyle name="Percent 3 4 5" xfId="435"/>
    <cellStyle name="Percent 3 4 5 10" xfId="22606"/>
    <cellStyle name="Percent 3 4 5 2" xfId="553"/>
    <cellStyle name="Percent 3 4 5 2 2" xfId="905"/>
    <cellStyle name="Percent 3 4 5 2 2 2" xfId="2404"/>
    <cellStyle name="Percent 3 4 5 2 2 2 2" xfId="24572"/>
    <cellStyle name="Percent 3 4 5 2 2 3" xfId="3903"/>
    <cellStyle name="Percent 3 4 5 2 2 3 2" xfId="26070"/>
    <cellStyle name="Percent 3 4 5 2 2 4" xfId="21576"/>
    <cellStyle name="Percent 3 4 5 2 2 4 2" xfId="37788"/>
    <cellStyle name="Percent 3 4 5 2 2 5" xfId="23074"/>
    <cellStyle name="Percent 3 4 5 2 3" xfId="1256"/>
    <cellStyle name="Percent 3 4 5 2 3 2" xfId="2755"/>
    <cellStyle name="Percent 3 4 5 2 3 2 2" xfId="24923"/>
    <cellStyle name="Percent 3 4 5 2 3 3" xfId="4254"/>
    <cellStyle name="Percent 3 4 5 2 3 3 2" xfId="26421"/>
    <cellStyle name="Percent 3 4 5 2 3 4" xfId="21927"/>
    <cellStyle name="Percent 3 4 5 2 3 4 2" xfId="38139"/>
    <cellStyle name="Percent 3 4 5 2 3 5" xfId="23425"/>
    <cellStyle name="Percent 3 4 5 2 4" xfId="1607"/>
    <cellStyle name="Percent 3 4 5 2 4 2" xfId="3106"/>
    <cellStyle name="Percent 3 4 5 2 4 2 2" xfId="25274"/>
    <cellStyle name="Percent 3 4 5 2 4 3" xfId="4605"/>
    <cellStyle name="Percent 3 4 5 2 4 3 2" xfId="26772"/>
    <cellStyle name="Percent 3 4 5 2 4 4" xfId="22278"/>
    <cellStyle name="Percent 3 4 5 2 4 4 2" xfId="38490"/>
    <cellStyle name="Percent 3 4 5 2 4 5" xfId="23776"/>
    <cellStyle name="Percent 3 4 5 2 5" xfId="2053"/>
    <cellStyle name="Percent 3 4 5 2 5 2" xfId="24221"/>
    <cellStyle name="Percent 3 4 5 2 6" xfId="3552"/>
    <cellStyle name="Percent 3 4 5 2 6 2" xfId="25719"/>
    <cellStyle name="Percent 3 4 5 2 7" xfId="21225"/>
    <cellStyle name="Percent 3 4 5 2 7 2" xfId="37437"/>
    <cellStyle name="Percent 3 4 5 2 8" xfId="22723"/>
    <cellStyle name="Percent 3 4 5 3" xfId="671"/>
    <cellStyle name="Percent 3 4 5 3 2" xfId="1022"/>
    <cellStyle name="Percent 3 4 5 3 2 2" xfId="2521"/>
    <cellStyle name="Percent 3 4 5 3 2 2 2" xfId="24689"/>
    <cellStyle name="Percent 3 4 5 3 2 3" xfId="4020"/>
    <cellStyle name="Percent 3 4 5 3 2 3 2" xfId="26187"/>
    <cellStyle name="Percent 3 4 5 3 2 4" xfId="21693"/>
    <cellStyle name="Percent 3 4 5 3 2 4 2" xfId="37905"/>
    <cellStyle name="Percent 3 4 5 3 2 5" xfId="23191"/>
    <cellStyle name="Percent 3 4 5 3 3" xfId="1373"/>
    <cellStyle name="Percent 3 4 5 3 3 2" xfId="2872"/>
    <cellStyle name="Percent 3 4 5 3 3 2 2" xfId="25040"/>
    <cellStyle name="Percent 3 4 5 3 3 3" xfId="4371"/>
    <cellStyle name="Percent 3 4 5 3 3 3 2" xfId="26538"/>
    <cellStyle name="Percent 3 4 5 3 3 4" xfId="22044"/>
    <cellStyle name="Percent 3 4 5 3 3 4 2" xfId="38256"/>
    <cellStyle name="Percent 3 4 5 3 3 5" xfId="23542"/>
    <cellStyle name="Percent 3 4 5 3 4" xfId="1724"/>
    <cellStyle name="Percent 3 4 5 3 4 2" xfId="3223"/>
    <cellStyle name="Percent 3 4 5 3 4 2 2" xfId="25391"/>
    <cellStyle name="Percent 3 4 5 3 4 3" xfId="4722"/>
    <cellStyle name="Percent 3 4 5 3 4 3 2" xfId="26889"/>
    <cellStyle name="Percent 3 4 5 3 4 4" xfId="22395"/>
    <cellStyle name="Percent 3 4 5 3 4 4 2" xfId="38607"/>
    <cellStyle name="Percent 3 4 5 3 4 5" xfId="23893"/>
    <cellStyle name="Percent 3 4 5 3 5" xfId="2170"/>
    <cellStyle name="Percent 3 4 5 3 5 2" xfId="24338"/>
    <cellStyle name="Percent 3 4 5 3 6" xfId="3669"/>
    <cellStyle name="Percent 3 4 5 3 6 2" xfId="25836"/>
    <cellStyle name="Percent 3 4 5 3 7" xfId="21342"/>
    <cellStyle name="Percent 3 4 5 3 7 2" xfId="37554"/>
    <cellStyle name="Percent 3 4 5 3 8" xfId="22840"/>
    <cellStyle name="Percent 3 4 5 4" xfId="788"/>
    <cellStyle name="Percent 3 4 5 4 2" xfId="2287"/>
    <cellStyle name="Percent 3 4 5 4 2 2" xfId="24455"/>
    <cellStyle name="Percent 3 4 5 4 3" xfId="3786"/>
    <cellStyle name="Percent 3 4 5 4 3 2" xfId="25953"/>
    <cellStyle name="Percent 3 4 5 4 4" xfId="21459"/>
    <cellStyle name="Percent 3 4 5 4 4 2" xfId="37671"/>
    <cellStyle name="Percent 3 4 5 4 5" xfId="22957"/>
    <cellStyle name="Percent 3 4 5 5" xfId="1139"/>
    <cellStyle name="Percent 3 4 5 5 2" xfId="2638"/>
    <cellStyle name="Percent 3 4 5 5 2 2" xfId="24806"/>
    <cellStyle name="Percent 3 4 5 5 3" xfId="4137"/>
    <cellStyle name="Percent 3 4 5 5 3 2" xfId="26304"/>
    <cellStyle name="Percent 3 4 5 5 4" xfId="21810"/>
    <cellStyle name="Percent 3 4 5 5 4 2" xfId="38022"/>
    <cellStyle name="Percent 3 4 5 5 5" xfId="23308"/>
    <cellStyle name="Percent 3 4 5 6" xfId="1490"/>
    <cellStyle name="Percent 3 4 5 6 2" xfId="2989"/>
    <cellStyle name="Percent 3 4 5 6 2 2" xfId="25157"/>
    <cellStyle name="Percent 3 4 5 6 3" xfId="4488"/>
    <cellStyle name="Percent 3 4 5 6 3 2" xfId="26655"/>
    <cellStyle name="Percent 3 4 5 6 4" xfId="22161"/>
    <cellStyle name="Percent 3 4 5 6 4 2" xfId="38373"/>
    <cellStyle name="Percent 3 4 5 6 5" xfId="23659"/>
    <cellStyle name="Percent 3 4 5 7" xfId="1936"/>
    <cellStyle name="Percent 3 4 5 7 2" xfId="24104"/>
    <cellStyle name="Percent 3 4 5 8" xfId="3435"/>
    <cellStyle name="Percent 3 4 5 8 2" xfId="25602"/>
    <cellStyle name="Percent 3 4 5 9" xfId="21108"/>
    <cellStyle name="Percent 3 4 5 9 2" xfId="37320"/>
    <cellStyle name="Percent 3 4 6" xfId="441"/>
    <cellStyle name="Percent 3 4 6 10" xfId="22612"/>
    <cellStyle name="Percent 3 4 6 2" xfId="559"/>
    <cellStyle name="Percent 3 4 6 2 2" xfId="911"/>
    <cellStyle name="Percent 3 4 6 2 2 2" xfId="2410"/>
    <cellStyle name="Percent 3 4 6 2 2 2 2" xfId="24578"/>
    <cellStyle name="Percent 3 4 6 2 2 3" xfId="3909"/>
    <cellStyle name="Percent 3 4 6 2 2 3 2" xfId="26076"/>
    <cellStyle name="Percent 3 4 6 2 2 4" xfId="21582"/>
    <cellStyle name="Percent 3 4 6 2 2 4 2" xfId="37794"/>
    <cellStyle name="Percent 3 4 6 2 2 5" xfId="23080"/>
    <cellStyle name="Percent 3 4 6 2 3" xfId="1262"/>
    <cellStyle name="Percent 3 4 6 2 3 2" xfId="2761"/>
    <cellStyle name="Percent 3 4 6 2 3 2 2" xfId="24929"/>
    <cellStyle name="Percent 3 4 6 2 3 3" xfId="4260"/>
    <cellStyle name="Percent 3 4 6 2 3 3 2" xfId="26427"/>
    <cellStyle name="Percent 3 4 6 2 3 4" xfId="21933"/>
    <cellStyle name="Percent 3 4 6 2 3 4 2" xfId="38145"/>
    <cellStyle name="Percent 3 4 6 2 3 5" xfId="23431"/>
    <cellStyle name="Percent 3 4 6 2 4" xfId="1613"/>
    <cellStyle name="Percent 3 4 6 2 4 2" xfId="3112"/>
    <cellStyle name="Percent 3 4 6 2 4 2 2" xfId="25280"/>
    <cellStyle name="Percent 3 4 6 2 4 3" xfId="4611"/>
    <cellStyle name="Percent 3 4 6 2 4 3 2" xfId="26778"/>
    <cellStyle name="Percent 3 4 6 2 4 4" xfId="22284"/>
    <cellStyle name="Percent 3 4 6 2 4 4 2" xfId="38496"/>
    <cellStyle name="Percent 3 4 6 2 4 5" xfId="23782"/>
    <cellStyle name="Percent 3 4 6 2 5" xfId="2059"/>
    <cellStyle name="Percent 3 4 6 2 5 2" xfId="24227"/>
    <cellStyle name="Percent 3 4 6 2 6" xfId="3558"/>
    <cellStyle name="Percent 3 4 6 2 6 2" xfId="25725"/>
    <cellStyle name="Percent 3 4 6 2 7" xfId="21231"/>
    <cellStyle name="Percent 3 4 6 2 7 2" xfId="37443"/>
    <cellStyle name="Percent 3 4 6 2 8" xfId="22729"/>
    <cellStyle name="Percent 3 4 6 3" xfId="677"/>
    <cellStyle name="Percent 3 4 6 3 2" xfId="1028"/>
    <cellStyle name="Percent 3 4 6 3 2 2" xfId="2527"/>
    <cellStyle name="Percent 3 4 6 3 2 2 2" xfId="24695"/>
    <cellStyle name="Percent 3 4 6 3 2 3" xfId="4026"/>
    <cellStyle name="Percent 3 4 6 3 2 3 2" xfId="26193"/>
    <cellStyle name="Percent 3 4 6 3 2 4" xfId="21699"/>
    <cellStyle name="Percent 3 4 6 3 2 4 2" xfId="37911"/>
    <cellStyle name="Percent 3 4 6 3 2 5" xfId="23197"/>
    <cellStyle name="Percent 3 4 6 3 3" xfId="1379"/>
    <cellStyle name="Percent 3 4 6 3 3 2" xfId="2878"/>
    <cellStyle name="Percent 3 4 6 3 3 2 2" xfId="25046"/>
    <cellStyle name="Percent 3 4 6 3 3 3" xfId="4377"/>
    <cellStyle name="Percent 3 4 6 3 3 3 2" xfId="26544"/>
    <cellStyle name="Percent 3 4 6 3 3 4" xfId="22050"/>
    <cellStyle name="Percent 3 4 6 3 3 4 2" xfId="38262"/>
    <cellStyle name="Percent 3 4 6 3 3 5" xfId="23548"/>
    <cellStyle name="Percent 3 4 6 3 4" xfId="1730"/>
    <cellStyle name="Percent 3 4 6 3 4 2" xfId="3229"/>
    <cellStyle name="Percent 3 4 6 3 4 2 2" xfId="25397"/>
    <cellStyle name="Percent 3 4 6 3 4 3" xfId="4728"/>
    <cellStyle name="Percent 3 4 6 3 4 3 2" xfId="26895"/>
    <cellStyle name="Percent 3 4 6 3 4 4" xfId="22401"/>
    <cellStyle name="Percent 3 4 6 3 4 4 2" xfId="38613"/>
    <cellStyle name="Percent 3 4 6 3 4 5" xfId="23899"/>
    <cellStyle name="Percent 3 4 6 3 5" xfId="2176"/>
    <cellStyle name="Percent 3 4 6 3 5 2" xfId="24344"/>
    <cellStyle name="Percent 3 4 6 3 6" xfId="3675"/>
    <cellStyle name="Percent 3 4 6 3 6 2" xfId="25842"/>
    <cellStyle name="Percent 3 4 6 3 7" xfId="21348"/>
    <cellStyle name="Percent 3 4 6 3 7 2" xfId="37560"/>
    <cellStyle name="Percent 3 4 6 3 8" xfId="22846"/>
    <cellStyle name="Percent 3 4 6 4" xfId="794"/>
    <cellStyle name="Percent 3 4 6 4 2" xfId="2293"/>
    <cellStyle name="Percent 3 4 6 4 2 2" xfId="24461"/>
    <cellStyle name="Percent 3 4 6 4 3" xfId="3792"/>
    <cellStyle name="Percent 3 4 6 4 3 2" xfId="25959"/>
    <cellStyle name="Percent 3 4 6 4 4" xfId="21465"/>
    <cellStyle name="Percent 3 4 6 4 4 2" xfId="37677"/>
    <cellStyle name="Percent 3 4 6 4 5" xfId="22963"/>
    <cellStyle name="Percent 3 4 6 5" xfId="1145"/>
    <cellStyle name="Percent 3 4 6 5 2" xfId="2644"/>
    <cellStyle name="Percent 3 4 6 5 2 2" xfId="24812"/>
    <cellStyle name="Percent 3 4 6 5 3" xfId="4143"/>
    <cellStyle name="Percent 3 4 6 5 3 2" xfId="26310"/>
    <cellStyle name="Percent 3 4 6 5 4" xfId="21816"/>
    <cellStyle name="Percent 3 4 6 5 4 2" xfId="38028"/>
    <cellStyle name="Percent 3 4 6 5 5" xfId="23314"/>
    <cellStyle name="Percent 3 4 6 6" xfId="1496"/>
    <cellStyle name="Percent 3 4 6 6 2" xfId="2995"/>
    <cellStyle name="Percent 3 4 6 6 2 2" xfId="25163"/>
    <cellStyle name="Percent 3 4 6 6 3" xfId="4494"/>
    <cellStyle name="Percent 3 4 6 6 3 2" xfId="26661"/>
    <cellStyle name="Percent 3 4 6 6 4" xfId="22167"/>
    <cellStyle name="Percent 3 4 6 6 4 2" xfId="38379"/>
    <cellStyle name="Percent 3 4 6 6 5" xfId="23665"/>
    <cellStyle name="Percent 3 4 6 7" xfId="1942"/>
    <cellStyle name="Percent 3 4 6 7 2" xfId="24110"/>
    <cellStyle name="Percent 3 4 6 8" xfId="3441"/>
    <cellStyle name="Percent 3 4 6 8 2" xfId="25608"/>
    <cellStyle name="Percent 3 4 6 9" xfId="21114"/>
    <cellStyle name="Percent 3 4 6 9 2" xfId="37326"/>
    <cellStyle name="Percent 3 4 7" xfId="446"/>
    <cellStyle name="Percent 3 4 7 10" xfId="22617"/>
    <cellStyle name="Percent 3 4 7 2" xfId="564"/>
    <cellStyle name="Percent 3 4 7 2 2" xfId="916"/>
    <cellStyle name="Percent 3 4 7 2 2 2" xfId="2415"/>
    <cellStyle name="Percent 3 4 7 2 2 2 2" xfId="24583"/>
    <cellStyle name="Percent 3 4 7 2 2 3" xfId="3914"/>
    <cellStyle name="Percent 3 4 7 2 2 3 2" xfId="26081"/>
    <cellStyle name="Percent 3 4 7 2 2 4" xfId="21587"/>
    <cellStyle name="Percent 3 4 7 2 2 4 2" xfId="37799"/>
    <cellStyle name="Percent 3 4 7 2 2 5" xfId="23085"/>
    <cellStyle name="Percent 3 4 7 2 3" xfId="1267"/>
    <cellStyle name="Percent 3 4 7 2 3 2" xfId="2766"/>
    <cellStyle name="Percent 3 4 7 2 3 2 2" xfId="24934"/>
    <cellStyle name="Percent 3 4 7 2 3 3" xfId="4265"/>
    <cellStyle name="Percent 3 4 7 2 3 3 2" xfId="26432"/>
    <cellStyle name="Percent 3 4 7 2 3 4" xfId="21938"/>
    <cellStyle name="Percent 3 4 7 2 3 4 2" xfId="38150"/>
    <cellStyle name="Percent 3 4 7 2 3 5" xfId="23436"/>
    <cellStyle name="Percent 3 4 7 2 4" xfId="1618"/>
    <cellStyle name="Percent 3 4 7 2 4 2" xfId="3117"/>
    <cellStyle name="Percent 3 4 7 2 4 2 2" xfId="25285"/>
    <cellStyle name="Percent 3 4 7 2 4 3" xfId="4616"/>
    <cellStyle name="Percent 3 4 7 2 4 3 2" xfId="26783"/>
    <cellStyle name="Percent 3 4 7 2 4 4" xfId="22289"/>
    <cellStyle name="Percent 3 4 7 2 4 4 2" xfId="38501"/>
    <cellStyle name="Percent 3 4 7 2 4 5" xfId="23787"/>
    <cellStyle name="Percent 3 4 7 2 5" xfId="2064"/>
    <cellStyle name="Percent 3 4 7 2 5 2" xfId="24232"/>
    <cellStyle name="Percent 3 4 7 2 6" xfId="3563"/>
    <cellStyle name="Percent 3 4 7 2 6 2" xfId="25730"/>
    <cellStyle name="Percent 3 4 7 2 7" xfId="21236"/>
    <cellStyle name="Percent 3 4 7 2 7 2" xfId="37448"/>
    <cellStyle name="Percent 3 4 7 2 8" xfId="22734"/>
    <cellStyle name="Percent 3 4 7 3" xfId="682"/>
    <cellStyle name="Percent 3 4 7 3 2" xfId="1033"/>
    <cellStyle name="Percent 3 4 7 3 2 2" xfId="2532"/>
    <cellStyle name="Percent 3 4 7 3 2 2 2" xfId="24700"/>
    <cellStyle name="Percent 3 4 7 3 2 3" xfId="4031"/>
    <cellStyle name="Percent 3 4 7 3 2 3 2" xfId="26198"/>
    <cellStyle name="Percent 3 4 7 3 2 4" xfId="21704"/>
    <cellStyle name="Percent 3 4 7 3 2 4 2" xfId="37916"/>
    <cellStyle name="Percent 3 4 7 3 2 5" xfId="23202"/>
    <cellStyle name="Percent 3 4 7 3 3" xfId="1384"/>
    <cellStyle name="Percent 3 4 7 3 3 2" xfId="2883"/>
    <cellStyle name="Percent 3 4 7 3 3 2 2" xfId="25051"/>
    <cellStyle name="Percent 3 4 7 3 3 3" xfId="4382"/>
    <cellStyle name="Percent 3 4 7 3 3 3 2" xfId="26549"/>
    <cellStyle name="Percent 3 4 7 3 3 4" xfId="22055"/>
    <cellStyle name="Percent 3 4 7 3 3 4 2" xfId="38267"/>
    <cellStyle name="Percent 3 4 7 3 3 5" xfId="23553"/>
    <cellStyle name="Percent 3 4 7 3 4" xfId="1735"/>
    <cellStyle name="Percent 3 4 7 3 4 2" xfId="3234"/>
    <cellStyle name="Percent 3 4 7 3 4 2 2" xfId="25402"/>
    <cellStyle name="Percent 3 4 7 3 4 3" xfId="4733"/>
    <cellStyle name="Percent 3 4 7 3 4 3 2" xfId="26900"/>
    <cellStyle name="Percent 3 4 7 3 4 4" xfId="22406"/>
    <cellStyle name="Percent 3 4 7 3 4 4 2" xfId="38618"/>
    <cellStyle name="Percent 3 4 7 3 4 5" xfId="23904"/>
    <cellStyle name="Percent 3 4 7 3 5" xfId="2181"/>
    <cellStyle name="Percent 3 4 7 3 5 2" xfId="24349"/>
    <cellStyle name="Percent 3 4 7 3 6" xfId="3680"/>
    <cellStyle name="Percent 3 4 7 3 6 2" xfId="25847"/>
    <cellStyle name="Percent 3 4 7 3 7" xfId="21353"/>
    <cellStyle name="Percent 3 4 7 3 7 2" xfId="37565"/>
    <cellStyle name="Percent 3 4 7 3 8" xfId="22851"/>
    <cellStyle name="Percent 3 4 7 4" xfId="799"/>
    <cellStyle name="Percent 3 4 7 4 2" xfId="2298"/>
    <cellStyle name="Percent 3 4 7 4 2 2" xfId="24466"/>
    <cellStyle name="Percent 3 4 7 4 3" xfId="3797"/>
    <cellStyle name="Percent 3 4 7 4 3 2" xfId="25964"/>
    <cellStyle name="Percent 3 4 7 4 4" xfId="21470"/>
    <cellStyle name="Percent 3 4 7 4 4 2" xfId="37682"/>
    <cellStyle name="Percent 3 4 7 4 5" xfId="22968"/>
    <cellStyle name="Percent 3 4 7 5" xfId="1150"/>
    <cellStyle name="Percent 3 4 7 5 2" xfId="2649"/>
    <cellStyle name="Percent 3 4 7 5 2 2" xfId="24817"/>
    <cellStyle name="Percent 3 4 7 5 3" xfId="4148"/>
    <cellStyle name="Percent 3 4 7 5 3 2" xfId="26315"/>
    <cellStyle name="Percent 3 4 7 5 4" xfId="21821"/>
    <cellStyle name="Percent 3 4 7 5 4 2" xfId="38033"/>
    <cellStyle name="Percent 3 4 7 5 5" xfId="23319"/>
    <cellStyle name="Percent 3 4 7 6" xfId="1501"/>
    <cellStyle name="Percent 3 4 7 6 2" xfId="3000"/>
    <cellStyle name="Percent 3 4 7 6 2 2" xfId="25168"/>
    <cellStyle name="Percent 3 4 7 6 3" xfId="4499"/>
    <cellStyle name="Percent 3 4 7 6 3 2" xfId="26666"/>
    <cellStyle name="Percent 3 4 7 6 4" xfId="22172"/>
    <cellStyle name="Percent 3 4 7 6 4 2" xfId="38384"/>
    <cellStyle name="Percent 3 4 7 6 5" xfId="23670"/>
    <cellStyle name="Percent 3 4 7 7" xfId="1947"/>
    <cellStyle name="Percent 3 4 7 7 2" xfId="24115"/>
    <cellStyle name="Percent 3 4 7 8" xfId="3446"/>
    <cellStyle name="Percent 3 4 7 8 2" xfId="25613"/>
    <cellStyle name="Percent 3 4 7 9" xfId="21119"/>
    <cellStyle name="Percent 3 4 7 9 2" xfId="37331"/>
    <cellStyle name="Percent 3 4 8" xfId="469"/>
    <cellStyle name="Percent 3 4 8 10" xfId="22640"/>
    <cellStyle name="Percent 3 4 8 2" xfId="587"/>
    <cellStyle name="Percent 3 4 8 2 2" xfId="939"/>
    <cellStyle name="Percent 3 4 8 2 2 2" xfId="2438"/>
    <cellStyle name="Percent 3 4 8 2 2 2 2" xfId="24606"/>
    <cellStyle name="Percent 3 4 8 2 2 3" xfId="3937"/>
    <cellStyle name="Percent 3 4 8 2 2 3 2" xfId="26104"/>
    <cellStyle name="Percent 3 4 8 2 2 4" xfId="21610"/>
    <cellStyle name="Percent 3 4 8 2 2 4 2" xfId="37822"/>
    <cellStyle name="Percent 3 4 8 2 2 5" xfId="23108"/>
    <cellStyle name="Percent 3 4 8 2 3" xfId="1290"/>
    <cellStyle name="Percent 3 4 8 2 3 2" xfId="2789"/>
    <cellStyle name="Percent 3 4 8 2 3 2 2" xfId="24957"/>
    <cellStyle name="Percent 3 4 8 2 3 3" xfId="4288"/>
    <cellStyle name="Percent 3 4 8 2 3 3 2" xfId="26455"/>
    <cellStyle name="Percent 3 4 8 2 3 4" xfId="21961"/>
    <cellStyle name="Percent 3 4 8 2 3 4 2" xfId="38173"/>
    <cellStyle name="Percent 3 4 8 2 3 5" xfId="23459"/>
    <cellStyle name="Percent 3 4 8 2 4" xfId="1641"/>
    <cellStyle name="Percent 3 4 8 2 4 2" xfId="3140"/>
    <cellStyle name="Percent 3 4 8 2 4 2 2" xfId="25308"/>
    <cellStyle name="Percent 3 4 8 2 4 3" xfId="4639"/>
    <cellStyle name="Percent 3 4 8 2 4 3 2" xfId="26806"/>
    <cellStyle name="Percent 3 4 8 2 4 4" xfId="22312"/>
    <cellStyle name="Percent 3 4 8 2 4 4 2" xfId="38524"/>
    <cellStyle name="Percent 3 4 8 2 4 5" xfId="23810"/>
    <cellStyle name="Percent 3 4 8 2 5" xfId="2087"/>
    <cellStyle name="Percent 3 4 8 2 5 2" xfId="24255"/>
    <cellStyle name="Percent 3 4 8 2 6" xfId="3586"/>
    <cellStyle name="Percent 3 4 8 2 6 2" xfId="25753"/>
    <cellStyle name="Percent 3 4 8 2 7" xfId="21259"/>
    <cellStyle name="Percent 3 4 8 2 7 2" xfId="37471"/>
    <cellStyle name="Percent 3 4 8 2 8" xfId="22757"/>
    <cellStyle name="Percent 3 4 8 3" xfId="705"/>
    <cellStyle name="Percent 3 4 8 3 2" xfId="1056"/>
    <cellStyle name="Percent 3 4 8 3 2 2" xfId="2555"/>
    <cellStyle name="Percent 3 4 8 3 2 2 2" xfId="24723"/>
    <cellStyle name="Percent 3 4 8 3 2 3" xfId="4054"/>
    <cellStyle name="Percent 3 4 8 3 2 3 2" xfId="26221"/>
    <cellStyle name="Percent 3 4 8 3 2 4" xfId="21727"/>
    <cellStyle name="Percent 3 4 8 3 2 4 2" xfId="37939"/>
    <cellStyle name="Percent 3 4 8 3 2 5" xfId="23225"/>
    <cellStyle name="Percent 3 4 8 3 3" xfId="1407"/>
    <cellStyle name="Percent 3 4 8 3 3 2" xfId="2906"/>
    <cellStyle name="Percent 3 4 8 3 3 2 2" xfId="25074"/>
    <cellStyle name="Percent 3 4 8 3 3 3" xfId="4405"/>
    <cellStyle name="Percent 3 4 8 3 3 3 2" xfId="26572"/>
    <cellStyle name="Percent 3 4 8 3 3 4" xfId="22078"/>
    <cellStyle name="Percent 3 4 8 3 3 4 2" xfId="38290"/>
    <cellStyle name="Percent 3 4 8 3 3 5" xfId="23576"/>
    <cellStyle name="Percent 3 4 8 3 4" xfId="1758"/>
    <cellStyle name="Percent 3 4 8 3 4 2" xfId="3257"/>
    <cellStyle name="Percent 3 4 8 3 4 2 2" xfId="25425"/>
    <cellStyle name="Percent 3 4 8 3 4 3" xfId="4756"/>
    <cellStyle name="Percent 3 4 8 3 4 3 2" xfId="26923"/>
    <cellStyle name="Percent 3 4 8 3 4 4" xfId="22429"/>
    <cellStyle name="Percent 3 4 8 3 4 4 2" xfId="38641"/>
    <cellStyle name="Percent 3 4 8 3 4 5" xfId="23927"/>
    <cellStyle name="Percent 3 4 8 3 5" xfId="2204"/>
    <cellStyle name="Percent 3 4 8 3 5 2" xfId="24372"/>
    <cellStyle name="Percent 3 4 8 3 6" xfId="3703"/>
    <cellStyle name="Percent 3 4 8 3 6 2" xfId="25870"/>
    <cellStyle name="Percent 3 4 8 3 7" xfId="21376"/>
    <cellStyle name="Percent 3 4 8 3 7 2" xfId="37588"/>
    <cellStyle name="Percent 3 4 8 3 8" xfId="22874"/>
    <cellStyle name="Percent 3 4 8 4" xfId="822"/>
    <cellStyle name="Percent 3 4 8 4 2" xfId="2321"/>
    <cellStyle name="Percent 3 4 8 4 2 2" xfId="24489"/>
    <cellStyle name="Percent 3 4 8 4 3" xfId="3820"/>
    <cellStyle name="Percent 3 4 8 4 3 2" xfId="25987"/>
    <cellStyle name="Percent 3 4 8 4 4" xfId="21493"/>
    <cellStyle name="Percent 3 4 8 4 4 2" xfId="37705"/>
    <cellStyle name="Percent 3 4 8 4 5" xfId="22991"/>
    <cellStyle name="Percent 3 4 8 5" xfId="1173"/>
    <cellStyle name="Percent 3 4 8 5 2" xfId="2672"/>
    <cellStyle name="Percent 3 4 8 5 2 2" xfId="24840"/>
    <cellStyle name="Percent 3 4 8 5 3" xfId="4171"/>
    <cellStyle name="Percent 3 4 8 5 3 2" xfId="26338"/>
    <cellStyle name="Percent 3 4 8 5 4" xfId="21844"/>
    <cellStyle name="Percent 3 4 8 5 4 2" xfId="38056"/>
    <cellStyle name="Percent 3 4 8 5 5" xfId="23342"/>
    <cellStyle name="Percent 3 4 8 6" xfId="1524"/>
    <cellStyle name="Percent 3 4 8 6 2" xfId="3023"/>
    <cellStyle name="Percent 3 4 8 6 2 2" xfId="25191"/>
    <cellStyle name="Percent 3 4 8 6 3" xfId="4522"/>
    <cellStyle name="Percent 3 4 8 6 3 2" xfId="26689"/>
    <cellStyle name="Percent 3 4 8 6 4" xfId="22195"/>
    <cellStyle name="Percent 3 4 8 6 4 2" xfId="38407"/>
    <cellStyle name="Percent 3 4 8 6 5" xfId="23693"/>
    <cellStyle name="Percent 3 4 8 7" xfId="1970"/>
    <cellStyle name="Percent 3 4 8 7 2" xfId="24138"/>
    <cellStyle name="Percent 3 4 8 8" xfId="3469"/>
    <cellStyle name="Percent 3 4 8 8 2" xfId="25636"/>
    <cellStyle name="Percent 3 4 8 9" xfId="21142"/>
    <cellStyle name="Percent 3 4 8 9 2" xfId="37354"/>
    <cellStyle name="Percent 3 4 9" xfId="482"/>
    <cellStyle name="Percent 3 4 9 10" xfId="22653"/>
    <cellStyle name="Percent 3 4 9 2" xfId="600"/>
    <cellStyle name="Percent 3 4 9 2 2" xfId="952"/>
    <cellStyle name="Percent 3 4 9 2 2 2" xfId="2451"/>
    <cellStyle name="Percent 3 4 9 2 2 2 2" xfId="24619"/>
    <cellStyle name="Percent 3 4 9 2 2 3" xfId="3950"/>
    <cellStyle name="Percent 3 4 9 2 2 3 2" xfId="26117"/>
    <cellStyle name="Percent 3 4 9 2 2 4" xfId="21623"/>
    <cellStyle name="Percent 3 4 9 2 2 4 2" xfId="37835"/>
    <cellStyle name="Percent 3 4 9 2 2 5" xfId="23121"/>
    <cellStyle name="Percent 3 4 9 2 3" xfId="1303"/>
    <cellStyle name="Percent 3 4 9 2 3 2" xfId="2802"/>
    <cellStyle name="Percent 3 4 9 2 3 2 2" xfId="24970"/>
    <cellStyle name="Percent 3 4 9 2 3 3" xfId="4301"/>
    <cellStyle name="Percent 3 4 9 2 3 3 2" xfId="26468"/>
    <cellStyle name="Percent 3 4 9 2 3 4" xfId="21974"/>
    <cellStyle name="Percent 3 4 9 2 3 4 2" xfId="38186"/>
    <cellStyle name="Percent 3 4 9 2 3 5" xfId="23472"/>
    <cellStyle name="Percent 3 4 9 2 4" xfId="1654"/>
    <cellStyle name="Percent 3 4 9 2 4 2" xfId="3153"/>
    <cellStyle name="Percent 3 4 9 2 4 2 2" xfId="25321"/>
    <cellStyle name="Percent 3 4 9 2 4 3" xfId="4652"/>
    <cellStyle name="Percent 3 4 9 2 4 3 2" xfId="26819"/>
    <cellStyle name="Percent 3 4 9 2 4 4" xfId="22325"/>
    <cellStyle name="Percent 3 4 9 2 4 4 2" xfId="38537"/>
    <cellStyle name="Percent 3 4 9 2 4 5" xfId="23823"/>
    <cellStyle name="Percent 3 4 9 2 5" xfId="2100"/>
    <cellStyle name="Percent 3 4 9 2 5 2" xfId="24268"/>
    <cellStyle name="Percent 3 4 9 2 6" xfId="3599"/>
    <cellStyle name="Percent 3 4 9 2 6 2" xfId="25766"/>
    <cellStyle name="Percent 3 4 9 2 7" xfId="21272"/>
    <cellStyle name="Percent 3 4 9 2 7 2" xfId="37484"/>
    <cellStyle name="Percent 3 4 9 2 8" xfId="22770"/>
    <cellStyle name="Percent 3 4 9 3" xfId="718"/>
    <cellStyle name="Percent 3 4 9 3 2" xfId="1069"/>
    <cellStyle name="Percent 3 4 9 3 2 2" xfId="2568"/>
    <cellStyle name="Percent 3 4 9 3 2 2 2" xfId="24736"/>
    <cellStyle name="Percent 3 4 9 3 2 3" xfId="4067"/>
    <cellStyle name="Percent 3 4 9 3 2 3 2" xfId="26234"/>
    <cellStyle name="Percent 3 4 9 3 2 4" xfId="21740"/>
    <cellStyle name="Percent 3 4 9 3 2 4 2" xfId="37952"/>
    <cellStyle name="Percent 3 4 9 3 2 5" xfId="23238"/>
    <cellStyle name="Percent 3 4 9 3 3" xfId="1420"/>
    <cellStyle name="Percent 3 4 9 3 3 2" xfId="2919"/>
    <cellStyle name="Percent 3 4 9 3 3 2 2" xfId="25087"/>
    <cellStyle name="Percent 3 4 9 3 3 3" xfId="4418"/>
    <cellStyle name="Percent 3 4 9 3 3 3 2" xfId="26585"/>
    <cellStyle name="Percent 3 4 9 3 3 4" xfId="22091"/>
    <cellStyle name="Percent 3 4 9 3 3 4 2" xfId="38303"/>
    <cellStyle name="Percent 3 4 9 3 3 5" xfId="23589"/>
    <cellStyle name="Percent 3 4 9 3 4" xfId="1771"/>
    <cellStyle name="Percent 3 4 9 3 4 2" xfId="3270"/>
    <cellStyle name="Percent 3 4 9 3 4 2 2" xfId="25438"/>
    <cellStyle name="Percent 3 4 9 3 4 3" xfId="4769"/>
    <cellStyle name="Percent 3 4 9 3 4 3 2" xfId="26936"/>
    <cellStyle name="Percent 3 4 9 3 4 4" xfId="22442"/>
    <cellStyle name="Percent 3 4 9 3 4 4 2" xfId="38654"/>
    <cellStyle name="Percent 3 4 9 3 4 5" xfId="23940"/>
    <cellStyle name="Percent 3 4 9 3 5" xfId="2217"/>
    <cellStyle name="Percent 3 4 9 3 5 2" xfId="24385"/>
    <cellStyle name="Percent 3 4 9 3 6" xfId="3716"/>
    <cellStyle name="Percent 3 4 9 3 6 2" xfId="25883"/>
    <cellStyle name="Percent 3 4 9 3 7" xfId="21389"/>
    <cellStyle name="Percent 3 4 9 3 7 2" xfId="37601"/>
    <cellStyle name="Percent 3 4 9 3 8" xfId="22887"/>
    <cellStyle name="Percent 3 4 9 4" xfId="835"/>
    <cellStyle name="Percent 3 4 9 4 2" xfId="2334"/>
    <cellStyle name="Percent 3 4 9 4 2 2" xfId="24502"/>
    <cellStyle name="Percent 3 4 9 4 3" xfId="3833"/>
    <cellStyle name="Percent 3 4 9 4 3 2" xfId="26000"/>
    <cellStyle name="Percent 3 4 9 4 4" xfId="21506"/>
    <cellStyle name="Percent 3 4 9 4 4 2" xfId="37718"/>
    <cellStyle name="Percent 3 4 9 4 5" xfId="23004"/>
    <cellStyle name="Percent 3 4 9 5" xfId="1186"/>
    <cellStyle name="Percent 3 4 9 5 2" xfId="2685"/>
    <cellStyle name="Percent 3 4 9 5 2 2" xfId="24853"/>
    <cellStyle name="Percent 3 4 9 5 3" xfId="4184"/>
    <cellStyle name="Percent 3 4 9 5 3 2" xfId="26351"/>
    <cellStyle name="Percent 3 4 9 5 4" xfId="21857"/>
    <cellStyle name="Percent 3 4 9 5 4 2" xfId="38069"/>
    <cellStyle name="Percent 3 4 9 5 5" xfId="23355"/>
    <cellStyle name="Percent 3 4 9 6" xfId="1537"/>
    <cellStyle name="Percent 3 4 9 6 2" xfId="3036"/>
    <cellStyle name="Percent 3 4 9 6 2 2" xfId="25204"/>
    <cellStyle name="Percent 3 4 9 6 3" xfId="4535"/>
    <cellStyle name="Percent 3 4 9 6 3 2" xfId="26702"/>
    <cellStyle name="Percent 3 4 9 6 4" xfId="22208"/>
    <cellStyle name="Percent 3 4 9 6 4 2" xfId="38420"/>
    <cellStyle name="Percent 3 4 9 6 5" xfId="23706"/>
    <cellStyle name="Percent 3 4 9 7" xfId="1983"/>
    <cellStyle name="Percent 3 4 9 7 2" xfId="24151"/>
    <cellStyle name="Percent 3 4 9 8" xfId="3482"/>
    <cellStyle name="Percent 3 4 9 8 2" xfId="25649"/>
    <cellStyle name="Percent 3 4 9 9" xfId="21155"/>
    <cellStyle name="Percent 3 4 9 9 2" xfId="37367"/>
    <cellStyle name="Percent 3 5" xfId="14304"/>
    <cellStyle name="Percent 3 6" xfId="385"/>
    <cellStyle name="Percent 4" xfId="241"/>
    <cellStyle name="Percent 4 2" xfId="242"/>
    <cellStyle name="Percent 4 2 2" xfId="14169"/>
    <cellStyle name="Percent 4 2 3" xfId="9567"/>
    <cellStyle name="Percent 4 3" xfId="14305"/>
    <cellStyle name="Percent 4 4" xfId="389"/>
    <cellStyle name="Percent 47" xfId="5696"/>
    <cellStyle name="Percent 47 2" xfId="5697"/>
    <cellStyle name="Percent 47 2 2" xfId="14171"/>
    <cellStyle name="Percent 47 2 3" xfId="14321"/>
    <cellStyle name="Percent 47 2 4" xfId="9569"/>
    <cellStyle name="Percent 47 3" xfId="14170"/>
    <cellStyle name="Percent 47 4" xfId="14320"/>
    <cellStyle name="Percent 47 5" xfId="9568"/>
    <cellStyle name="Percent 5" xfId="243"/>
    <cellStyle name="Percent 5 2" xfId="244"/>
    <cellStyle name="Percent 5 2 2" xfId="14172"/>
    <cellStyle name="Percent 5 2 3" xfId="9570"/>
    <cellStyle name="Percent 5 3" xfId="14306"/>
    <cellStyle name="Percent 56" xfId="5698"/>
    <cellStyle name="Percent 56 2" xfId="5699"/>
    <cellStyle name="Percent 56 2 2" xfId="14174"/>
    <cellStyle name="Percent 56 2 3" xfId="9572"/>
    <cellStyle name="Percent 56 3" xfId="14173"/>
    <cellStyle name="Percent 56 4" xfId="14322"/>
    <cellStyle name="Percent 56 5" xfId="9571"/>
    <cellStyle name="Percent 57" xfId="5700"/>
    <cellStyle name="Percent 57 2" xfId="5701"/>
    <cellStyle name="Percent 57 2 2" xfId="14176"/>
    <cellStyle name="Percent 57 2 3" xfId="9574"/>
    <cellStyle name="Percent 57 3" xfId="14175"/>
    <cellStyle name="Percent 57 4" xfId="9573"/>
    <cellStyle name="Percent 58" xfId="5702"/>
    <cellStyle name="Percent 58 2" xfId="5703"/>
    <cellStyle name="Percent 58 2 2" xfId="14178"/>
    <cellStyle name="Percent 58 2 3" xfId="9576"/>
    <cellStyle name="Percent 58 3" xfId="14177"/>
    <cellStyle name="Percent 58 4" xfId="9575"/>
    <cellStyle name="Percent 59" xfId="5704"/>
    <cellStyle name="Percent 59 2" xfId="5705"/>
    <cellStyle name="Percent 59 2 2" xfId="14180"/>
    <cellStyle name="Percent 59 2 3" xfId="9578"/>
    <cellStyle name="Percent 59 3" xfId="14179"/>
    <cellStyle name="Percent 59 4" xfId="9577"/>
    <cellStyle name="Percent 6" xfId="245"/>
    <cellStyle name="Percent 6 2" xfId="246"/>
    <cellStyle name="Percent 6 2 2" xfId="14181"/>
    <cellStyle name="Percent 6 2 3" xfId="9579"/>
    <cellStyle name="Percent 6 3" xfId="14307"/>
    <cellStyle name="Percent 60" xfId="5706"/>
    <cellStyle name="Percent 60 2" xfId="5707"/>
    <cellStyle name="Percent 60 2 2" xfId="14183"/>
    <cellStyle name="Percent 60 2 3" xfId="9581"/>
    <cellStyle name="Percent 60 3" xfId="14182"/>
    <cellStyle name="Percent 60 4" xfId="9580"/>
    <cellStyle name="Percent 61" xfId="5708"/>
    <cellStyle name="Percent 61 2" xfId="5709"/>
    <cellStyle name="Percent 61 2 2" xfId="14185"/>
    <cellStyle name="Percent 61 2 3" xfId="9583"/>
    <cellStyle name="Percent 61 3" xfId="14184"/>
    <cellStyle name="Percent 61 4" xfId="9582"/>
    <cellStyle name="Percent 62" xfId="5710"/>
    <cellStyle name="Percent 62 2" xfId="5711"/>
    <cellStyle name="Percent 62 2 2" xfId="14187"/>
    <cellStyle name="Percent 62 2 3" xfId="9585"/>
    <cellStyle name="Percent 62 3" xfId="5712"/>
    <cellStyle name="Percent 62 3 2" xfId="5713"/>
    <cellStyle name="Percent 62 3 2 2" xfId="14189"/>
    <cellStyle name="Percent 62 3 2 3" xfId="9587"/>
    <cellStyle name="Percent 62 3 3" xfId="14188"/>
    <cellStyle name="Percent 62 3 4" xfId="9586"/>
    <cellStyle name="Percent 62 4" xfId="14186"/>
    <cellStyle name="Percent 62 5" xfId="9584"/>
    <cellStyle name="Percent 63" xfId="5714"/>
    <cellStyle name="Percent 63 2" xfId="14190"/>
    <cellStyle name="Percent 63 3" xfId="9588"/>
    <cellStyle name="Percent 64" xfId="5715"/>
    <cellStyle name="Percent 64 2" xfId="5716"/>
    <cellStyle name="Percent 64 2 2" xfId="14192"/>
    <cellStyle name="Percent 64 2 3" xfId="9590"/>
    <cellStyle name="Percent 64 3" xfId="14191"/>
    <cellStyle name="Percent 64 4" xfId="9589"/>
    <cellStyle name="Percent 65" xfId="9591"/>
    <cellStyle name="Percent 65 2" xfId="14193"/>
    <cellStyle name="Percent 7" xfId="247"/>
    <cellStyle name="Percent 7 2" xfId="9592"/>
    <cellStyle name="Percent 7 2 2" xfId="14194"/>
    <cellStyle name="Percent 7 3" xfId="14308"/>
    <cellStyle name="Percent 8" xfId="14309"/>
    <cellStyle name="Percent 8 2" xfId="9593"/>
    <cellStyle name="Percent 8 2 2" xfId="14195"/>
    <cellStyle name="Percent 9" xfId="14310"/>
    <cellStyle name="Percent 9 2" xfId="9594"/>
    <cellStyle name="Percent 9 2 2" xfId="14196"/>
    <cellStyle name="Report Header" xfId="39536"/>
    <cellStyle name="SAPBorder" xfId="39526"/>
    <cellStyle name="SAPColumnHeader" xfId="39542"/>
    <cellStyle name="SAPDataCell" xfId="39509"/>
    <cellStyle name="SAPDataTotalCell" xfId="39510"/>
    <cellStyle name="SAPDimensionCell" xfId="39508"/>
    <cellStyle name="SAPEditableDataCell" xfId="39511"/>
    <cellStyle name="SAPEditableDataTotalCell" xfId="39514"/>
    <cellStyle name="SAPEmphasized" xfId="39528"/>
    <cellStyle name="SAPEmphasizedEditableDataCell" xfId="39530"/>
    <cellStyle name="SAPEmphasizedEditableDataTotalCell" xfId="39531"/>
    <cellStyle name="SAPEmphasizedLockedDataCell" xfId="39534"/>
    <cellStyle name="SAPEmphasizedLockedDataTotalCell" xfId="39535"/>
    <cellStyle name="SAPEmphasizedReadonlyDataCell" xfId="39532"/>
    <cellStyle name="SAPEmphasizedReadonlyDataTotalCell" xfId="39533"/>
    <cellStyle name="SAPEmphasizedTotal" xfId="39529"/>
    <cellStyle name="SAPExceptionLevel1" xfId="39517"/>
    <cellStyle name="SAPExceptionLevel2" xfId="39518"/>
    <cellStyle name="SAPExceptionLevel3" xfId="39519"/>
    <cellStyle name="SAPExceptionLevel4" xfId="39520"/>
    <cellStyle name="SAPExceptionLevel5" xfId="39521"/>
    <cellStyle name="SAPExceptionLevel6" xfId="39522"/>
    <cellStyle name="SAPExceptionLevel7" xfId="39523"/>
    <cellStyle name="SAPExceptionLevel8" xfId="39524"/>
    <cellStyle name="SAPExceptionLevel9" xfId="39525"/>
    <cellStyle name="SAPGroupingFillCell" xfId="39545"/>
    <cellStyle name="SAPHierarchyCell" xfId="39543"/>
    <cellStyle name="SAPHierarchyCell0" xfId="39537"/>
    <cellStyle name="SAPHierarchyCell1" xfId="39538"/>
    <cellStyle name="SAPHierarchyCell2" xfId="39539"/>
    <cellStyle name="SAPHierarchyCell3" xfId="39540"/>
    <cellStyle name="SAPHierarchyCell4" xfId="39541"/>
    <cellStyle name="SAPHierarchyOddCell" xfId="39544"/>
    <cellStyle name="SAPLockedDataCell" xfId="39513"/>
    <cellStyle name="SAPLockedDataTotalCell" xfId="39516"/>
    <cellStyle name="SAPMemberCell" xfId="39506"/>
    <cellStyle name="SAPMemberTotalCell" xfId="39527"/>
    <cellStyle name="SAPReadonlyDataCell" xfId="39512"/>
    <cellStyle name="SAPReadonlyDataTotalCell" xfId="39515"/>
    <cellStyle name="Style 1" xfId="248"/>
    <cellStyle name="Style 1 2" xfId="249"/>
    <cellStyle name="Style 1 2 2" xfId="250"/>
    <cellStyle name="Style 1 2 3" xfId="251"/>
    <cellStyle name="Style 1 3" xfId="252"/>
    <cellStyle name="Style 1 4" xfId="253"/>
    <cellStyle name="Style 1 5" xfId="254"/>
    <cellStyle name="Style 1 5 2" xfId="255"/>
    <cellStyle name="Style 1 6" xfId="256"/>
    <cellStyle name="Style 1 6 2" xfId="257"/>
    <cellStyle name="Style 1 7" xfId="258"/>
    <cellStyle name="Style 1_Sheet3" xfId="259"/>
    <cellStyle name="STYLE1" xfId="260"/>
    <cellStyle name="STYLE2" xfId="261"/>
    <cellStyle name="STYLE3" xfId="262"/>
    <cellStyle name="STYLE4" xfId="263"/>
    <cellStyle name="TIME Detail" xfId="39615"/>
    <cellStyle name="TIME Period Start" xfId="39617"/>
    <cellStyle name="Title" xfId="264" builtinId="15" customBuiltin="1"/>
    <cellStyle name="Title 2" xfId="14197"/>
    <cellStyle name="Title 2 2" xfId="38817"/>
    <cellStyle name="Title 3" xfId="14311"/>
    <cellStyle name="Title 4" xfId="9595"/>
    <cellStyle name="Title 5" xfId="4816"/>
    <cellStyle name="Total" xfId="265" builtinId="25" customBuiltin="1"/>
    <cellStyle name="Total 2" xfId="4918"/>
    <cellStyle name="Total 2 2" xfId="14198"/>
    <cellStyle name="Total 2 2 2" xfId="38958"/>
    <cellStyle name="Total 2 3" xfId="38708"/>
    <cellStyle name="Total 3" xfId="4917"/>
    <cellStyle name="Total 3 2" xfId="14312"/>
    <cellStyle name="Total 4" xfId="9596"/>
    <cellStyle name="Warning Text" xfId="266" builtinId="11" customBuiltin="1"/>
    <cellStyle name="Warning Text 2" xfId="4919"/>
    <cellStyle name="Warning Text 2 2" xfId="14199"/>
    <cellStyle name="Warning Text 2 3" xfId="38818"/>
    <cellStyle name="Warning Text 3" xfId="14313"/>
    <cellStyle name="Warning Text 4" xfId="9597"/>
    <cellStyle name="Warning Text 5" xfId="38703"/>
  </cellStyles>
  <dxfs count="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lor theme="1"/>
      </font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 tint="-0.3499862666707357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CC"/>
      <color rgb="FFFFE5E5"/>
      <color rgb="FFFFFFCC"/>
      <color rgb="FFEAE476"/>
      <color rgb="FF0000FF"/>
      <color rgb="FFFFFF99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3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1714500</xdr:colOff>
          <xdr:row>3</xdr:row>
          <xdr:rowOff>28575</xdr:rowOff>
        </xdr:from>
        <xdr:to>
          <xdr:col>5</xdr:col>
          <xdr:colOff>323850</xdr:colOff>
          <xdr:row>4</xdr:row>
          <xdr:rowOff>219075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COPY INTERFACE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33618</xdr:colOff>
      <xdr:row>113</xdr:row>
      <xdr:rowOff>22413</xdr:rowOff>
    </xdr:from>
    <xdr:to>
      <xdr:col>70</xdr:col>
      <xdr:colOff>416460</xdr:colOff>
      <xdr:row>144</xdr:row>
      <xdr:rowOff>16809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7706" y="14097001"/>
          <a:ext cx="5029200" cy="484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73</xdr:col>
      <xdr:colOff>78442</xdr:colOff>
      <xdr:row>113</xdr:row>
      <xdr:rowOff>44824</xdr:rowOff>
    </xdr:from>
    <xdr:to>
      <xdr:col>79</xdr:col>
      <xdr:colOff>372570</xdr:colOff>
      <xdr:row>139</xdr:row>
      <xdr:rowOff>59726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8589" y="14119412"/>
          <a:ext cx="5029199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64</xdr:col>
      <xdr:colOff>33618</xdr:colOff>
      <xdr:row>113</xdr:row>
      <xdr:rowOff>22413</xdr:rowOff>
    </xdr:from>
    <xdr:ext cx="4853990" cy="4857749"/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1677" y="17122589"/>
          <a:ext cx="4853990" cy="485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76</xdr:col>
      <xdr:colOff>0</xdr:colOff>
      <xdr:row>113</xdr:row>
      <xdr:rowOff>22413</xdr:rowOff>
    </xdr:from>
    <xdr:ext cx="4853990" cy="4857749"/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1677" y="17122589"/>
          <a:ext cx="4853990" cy="485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76</xdr:col>
      <xdr:colOff>0</xdr:colOff>
      <xdr:row>113</xdr:row>
      <xdr:rowOff>22413</xdr:rowOff>
    </xdr:from>
    <xdr:ext cx="4853990" cy="4857749"/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1677" y="17122589"/>
          <a:ext cx="4853990" cy="485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230</xdr:row>
      <xdr:rowOff>83820</xdr:rowOff>
    </xdr:from>
    <xdr:to>
      <xdr:col>23</xdr:col>
      <xdr:colOff>503102</xdr:colOff>
      <xdr:row>255</xdr:row>
      <xdr:rowOff>105410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2280" y="46314360"/>
          <a:ext cx="4990012" cy="477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906780</xdr:colOff>
      <xdr:row>230</xdr:row>
      <xdr:rowOff>45720</xdr:rowOff>
    </xdr:from>
    <xdr:to>
      <xdr:col>17</xdr:col>
      <xdr:colOff>10160</xdr:colOff>
      <xdr:row>255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1540" y="46276260"/>
          <a:ext cx="5181600" cy="482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914400</xdr:colOff>
      <xdr:row>255</xdr:row>
      <xdr:rowOff>167640</xdr:rowOff>
    </xdr:from>
    <xdr:to>
      <xdr:col>16</xdr:col>
      <xdr:colOff>524510</xdr:colOff>
      <xdr:row>280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9160" y="51160680"/>
          <a:ext cx="5097780" cy="477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321537" name="FPMExcelClientSheetOptionstb1" hidden="1">
              <a:extLst>
                <a:ext uri="{63B3BB69-23CF-44E3-9099-C40C66FF867C}">
                  <a14:compatExt spid="_x0000_s321537"/>
                </a:ext>
                <a:ext uri="{FF2B5EF4-FFF2-40B4-BE49-F238E27FC236}">
                  <a16:creationId xmlns:a16="http://schemas.microsoft.com/office/drawing/2014/main" id="{00000000-0008-0000-0C00-000001E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111</xdr:row>
      <xdr:rowOff>0</xdr:rowOff>
    </xdr:from>
    <xdr:to>
      <xdr:col>35</xdr:col>
      <xdr:colOff>470726</xdr:colOff>
      <xdr:row>142</xdr:row>
      <xdr:rowOff>94015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08941" y="17705294"/>
          <a:ext cx="8807903" cy="50358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16</xdr:row>
      <xdr:rowOff>0</xdr:rowOff>
    </xdr:from>
    <xdr:to>
      <xdr:col>31</xdr:col>
      <xdr:colOff>30186</xdr:colOff>
      <xdr:row>45</xdr:row>
      <xdr:rowOff>38765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4175" y="2647950"/>
          <a:ext cx="11545911" cy="47631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12700</xdr:colOff>
      <xdr:row>3</xdr:row>
      <xdr:rowOff>63500</xdr:rowOff>
    </xdr:from>
    <xdr:to>
      <xdr:col>25</xdr:col>
      <xdr:colOff>401033</xdr:colOff>
      <xdr:row>6</xdr:row>
      <xdr:rowOff>171997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61200" y="711200"/>
          <a:ext cx="2297143" cy="708572"/>
        </a:xfrm>
        <a:prstGeom prst="rect">
          <a:avLst/>
        </a:prstGeom>
      </xdr:spPr>
    </xdr:pic>
    <xdr:clientData/>
  </xdr:twoCellAnchor>
  <xdr:twoCellAnchor editAs="oneCell">
    <xdr:from>
      <xdr:col>21</xdr:col>
      <xdr:colOff>622301</xdr:colOff>
      <xdr:row>9</xdr:row>
      <xdr:rowOff>76200</xdr:rowOff>
    </xdr:from>
    <xdr:to>
      <xdr:col>44</xdr:col>
      <xdr:colOff>542926</xdr:colOff>
      <xdr:row>16</xdr:row>
      <xdr:rowOff>57286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35801" y="1930400"/>
          <a:ext cx="14519910" cy="1139961"/>
        </a:xfrm>
        <a:prstGeom prst="rect">
          <a:avLst/>
        </a:prstGeom>
      </xdr:spPr>
    </xdr:pic>
    <xdr:clientData/>
  </xdr:twoCellAnchor>
  <xdr:twoCellAnchor editAs="oneCell">
    <xdr:from>
      <xdr:col>21</xdr:col>
      <xdr:colOff>622300</xdr:colOff>
      <xdr:row>19</xdr:row>
      <xdr:rowOff>101600</xdr:rowOff>
    </xdr:from>
    <xdr:to>
      <xdr:col>29</xdr:col>
      <xdr:colOff>16585</xdr:colOff>
      <xdr:row>23</xdr:row>
      <xdr:rowOff>3739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35800" y="3619500"/>
          <a:ext cx="4474285" cy="57523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27</xdr:row>
      <xdr:rowOff>0</xdr:rowOff>
    </xdr:from>
    <xdr:to>
      <xdr:col>31</xdr:col>
      <xdr:colOff>227857</xdr:colOff>
      <xdr:row>40</xdr:row>
      <xdr:rowOff>117176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48500" y="4711700"/>
          <a:ext cx="5942857" cy="239047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42</xdr:row>
      <xdr:rowOff>177800</xdr:rowOff>
    </xdr:from>
    <xdr:to>
      <xdr:col>32</xdr:col>
      <xdr:colOff>457200</xdr:colOff>
      <xdr:row>49</xdr:row>
      <xdr:rowOff>71702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48500" y="7543800"/>
          <a:ext cx="6807200" cy="1227402"/>
        </a:xfrm>
        <a:prstGeom prst="rect">
          <a:avLst/>
        </a:prstGeom>
      </xdr:spPr>
    </xdr:pic>
    <xdr:clientData/>
  </xdr:twoCellAnchor>
  <xdr:twoCellAnchor editAs="oneCell">
    <xdr:from>
      <xdr:col>22</xdr:col>
      <xdr:colOff>1</xdr:colOff>
      <xdr:row>50</xdr:row>
      <xdr:rowOff>0</xdr:rowOff>
    </xdr:from>
    <xdr:to>
      <xdr:col>28</xdr:col>
      <xdr:colOff>107329</xdr:colOff>
      <xdr:row>80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48501" y="8890000"/>
          <a:ext cx="3917328" cy="5422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scroft, Sean M." id="{BB286386-0124-4E35-BA00-AE8185AB9D44}" userId="S::SMAscroft@tecoenergy.com::3f076bc3-aa2e-48f8-8935-dbde864a2c4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09" dT="2019-09-24T15:01:35.85" personId="{BB286386-0124-4E35-BA00-AE8185AB9D44}" id="{07356C62-FDED-4CD5-ABF3-A072C0795739}">
    <text>Taking out all lease accounts (1040001, 1080901, 1720101, 1720201, 1720202, 2530360) They all zero out in the end.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2:DX194"/>
  <sheetViews>
    <sheetView showGridLines="0" zoomScale="85" zoomScaleNormal="85" workbookViewId="0">
      <pane xSplit="8" ySplit="5" topLeftCell="I55" activePane="bottomRight" state="frozen"/>
      <selection pane="topRight" activeCell="I1" sqref="I1"/>
      <selection pane="bottomLeft" activeCell="A7" sqref="A7"/>
      <selection pane="bottomRight" activeCell="D16" sqref="D16"/>
    </sheetView>
  </sheetViews>
  <sheetFormatPr defaultColWidth="0" defaultRowHeight="12.75" outlineLevelRow="1" outlineLevelCol="2"/>
  <cols>
    <col min="1" max="1" width="3.7109375" customWidth="1"/>
    <col min="2" max="2" width="23.28515625" customWidth="1"/>
    <col min="3" max="3" width="25.7109375" customWidth="1"/>
    <col min="4" max="4" width="9.7109375" customWidth="1"/>
    <col min="5" max="5" width="6.28515625" bestFit="1" customWidth="1"/>
    <col min="6" max="6" width="5.28515625" customWidth="1"/>
    <col min="7" max="7" width="3.85546875" customWidth="1"/>
    <col min="8" max="8" width="6.85546875" bestFit="1" customWidth="1"/>
    <col min="9" max="9" width="3.7109375" customWidth="1"/>
    <col min="10" max="17" width="13.7109375" customWidth="1" outlineLevel="1"/>
    <col min="18" max="18" width="3.7109375" customWidth="1"/>
    <col min="19" max="114" width="13.7109375" hidden="1" customWidth="1" outlineLevel="2"/>
    <col min="115" max="115" width="3.7109375" customWidth="1" collapsed="1"/>
    <col min="116" max="128" width="0" hidden="1" customWidth="1"/>
    <col min="129" max="16384" width="8.85546875" hidden="1"/>
  </cols>
  <sheetData>
    <row r="2" spans="1:114" ht="15.75">
      <c r="B2" s="912" t="s">
        <v>0</v>
      </c>
      <c r="C2" s="912"/>
      <c r="D2" s="1017" t="e">
        <f ca="1">SUM(H24,H30,H35,H42,H46,H51,H58,H76,H86,H91,H104,H111,H118,H141,H148,H157,H169,H179,H188)</f>
        <v>#NAME?</v>
      </c>
      <c r="E2" s="913"/>
      <c r="F2" s="914"/>
      <c r="J2" s="915">
        <f>YEAR(J4)</f>
        <v>2020</v>
      </c>
      <c r="K2" s="915">
        <f>J2+1</f>
        <v>2021</v>
      </c>
      <c r="L2" s="915">
        <f t="shared" ref="L2:Q2" si="0">K2+1</f>
        <v>2022</v>
      </c>
      <c r="M2" s="915">
        <f t="shared" si="0"/>
        <v>2023</v>
      </c>
      <c r="N2" s="915">
        <f t="shared" si="0"/>
        <v>2024</v>
      </c>
      <c r="O2" s="915">
        <f t="shared" si="0"/>
        <v>2025</v>
      </c>
      <c r="P2" s="915">
        <f t="shared" si="0"/>
        <v>2026</v>
      </c>
      <c r="Q2" s="915">
        <f t="shared" si="0"/>
        <v>2027</v>
      </c>
      <c r="S2" s="915" t="str">
        <f t="shared" ref="S2:CD2" si="1">TEXT(S4,"mmm yy")</f>
        <v>Jan 20</v>
      </c>
      <c r="T2" s="915" t="str">
        <f t="shared" si="1"/>
        <v>Feb 20</v>
      </c>
      <c r="U2" s="915" t="str">
        <f t="shared" si="1"/>
        <v>Mar 20</v>
      </c>
      <c r="V2" s="915" t="str">
        <f t="shared" si="1"/>
        <v>Apr 20</v>
      </c>
      <c r="W2" s="915" t="str">
        <f t="shared" si="1"/>
        <v>May 20</v>
      </c>
      <c r="X2" s="915" t="str">
        <f t="shared" si="1"/>
        <v>Jun 20</v>
      </c>
      <c r="Y2" s="915" t="str">
        <f t="shared" si="1"/>
        <v>Jul 20</v>
      </c>
      <c r="Z2" s="915" t="str">
        <f t="shared" si="1"/>
        <v>Aug 20</v>
      </c>
      <c r="AA2" s="915" t="str">
        <f t="shared" si="1"/>
        <v>Sep 20</v>
      </c>
      <c r="AB2" s="915" t="str">
        <f t="shared" si="1"/>
        <v>Oct 20</v>
      </c>
      <c r="AC2" s="915" t="str">
        <f t="shared" si="1"/>
        <v>Nov 20</v>
      </c>
      <c r="AD2" s="915" t="str">
        <f t="shared" si="1"/>
        <v>Dec 20</v>
      </c>
      <c r="AE2" s="915" t="str">
        <f t="shared" si="1"/>
        <v>Jan 21</v>
      </c>
      <c r="AF2" s="915" t="str">
        <f t="shared" si="1"/>
        <v>Feb 21</v>
      </c>
      <c r="AG2" s="915" t="str">
        <f t="shared" si="1"/>
        <v>Mar 21</v>
      </c>
      <c r="AH2" s="915" t="str">
        <f t="shared" si="1"/>
        <v>Apr 21</v>
      </c>
      <c r="AI2" s="915" t="str">
        <f t="shared" si="1"/>
        <v>May 21</v>
      </c>
      <c r="AJ2" s="915" t="str">
        <f t="shared" si="1"/>
        <v>Jun 21</v>
      </c>
      <c r="AK2" s="915" t="str">
        <f t="shared" si="1"/>
        <v>Jul 21</v>
      </c>
      <c r="AL2" s="915" t="str">
        <f t="shared" si="1"/>
        <v>Aug 21</v>
      </c>
      <c r="AM2" s="915" t="str">
        <f t="shared" si="1"/>
        <v>Sep 21</v>
      </c>
      <c r="AN2" s="915" t="str">
        <f t="shared" si="1"/>
        <v>Oct 21</v>
      </c>
      <c r="AO2" s="915" t="str">
        <f t="shared" si="1"/>
        <v>Nov 21</v>
      </c>
      <c r="AP2" s="915" t="str">
        <f t="shared" si="1"/>
        <v>Dec 21</v>
      </c>
      <c r="AQ2" s="915" t="str">
        <f t="shared" si="1"/>
        <v>Jan 22</v>
      </c>
      <c r="AR2" s="915" t="str">
        <f t="shared" si="1"/>
        <v>Feb 22</v>
      </c>
      <c r="AS2" s="915" t="str">
        <f t="shared" si="1"/>
        <v>Mar 22</v>
      </c>
      <c r="AT2" s="915" t="str">
        <f t="shared" si="1"/>
        <v>Apr 22</v>
      </c>
      <c r="AU2" s="915" t="str">
        <f t="shared" si="1"/>
        <v>May 22</v>
      </c>
      <c r="AV2" s="915" t="str">
        <f t="shared" si="1"/>
        <v>Jun 22</v>
      </c>
      <c r="AW2" s="915" t="str">
        <f t="shared" si="1"/>
        <v>Jul 22</v>
      </c>
      <c r="AX2" s="915" t="str">
        <f t="shared" si="1"/>
        <v>Aug 22</v>
      </c>
      <c r="AY2" s="915" t="str">
        <f t="shared" si="1"/>
        <v>Sep 22</v>
      </c>
      <c r="AZ2" s="915" t="str">
        <f t="shared" si="1"/>
        <v>Oct 22</v>
      </c>
      <c r="BA2" s="915" t="str">
        <f t="shared" si="1"/>
        <v>Nov 22</v>
      </c>
      <c r="BB2" s="915" t="str">
        <f t="shared" si="1"/>
        <v>Dec 22</v>
      </c>
      <c r="BC2" s="915" t="str">
        <f t="shared" si="1"/>
        <v>Jan 23</v>
      </c>
      <c r="BD2" s="915" t="str">
        <f t="shared" si="1"/>
        <v>Feb 23</v>
      </c>
      <c r="BE2" s="915" t="str">
        <f t="shared" si="1"/>
        <v>Mar 23</v>
      </c>
      <c r="BF2" s="915" t="str">
        <f t="shared" si="1"/>
        <v>Apr 23</v>
      </c>
      <c r="BG2" s="915" t="str">
        <f t="shared" si="1"/>
        <v>May 23</v>
      </c>
      <c r="BH2" s="915" t="str">
        <f t="shared" si="1"/>
        <v>Jun 23</v>
      </c>
      <c r="BI2" s="915" t="str">
        <f t="shared" si="1"/>
        <v>Jul 23</v>
      </c>
      <c r="BJ2" s="915" t="str">
        <f t="shared" si="1"/>
        <v>Aug 23</v>
      </c>
      <c r="BK2" s="915" t="str">
        <f t="shared" si="1"/>
        <v>Sep 23</v>
      </c>
      <c r="BL2" s="915" t="str">
        <f t="shared" si="1"/>
        <v>Oct 23</v>
      </c>
      <c r="BM2" s="915" t="str">
        <f t="shared" si="1"/>
        <v>Nov 23</v>
      </c>
      <c r="BN2" s="915" t="str">
        <f t="shared" si="1"/>
        <v>Dec 23</v>
      </c>
      <c r="BO2" s="915" t="str">
        <f t="shared" si="1"/>
        <v>Jan 24</v>
      </c>
      <c r="BP2" s="915" t="str">
        <f t="shared" si="1"/>
        <v>Feb 24</v>
      </c>
      <c r="BQ2" s="915" t="str">
        <f t="shared" si="1"/>
        <v>Mar 24</v>
      </c>
      <c r="BR2" s="915" t="str">
        <f t="shared" si="1"/>
        <v>Apr 24</v>
      </c>
      <c r="BS2" s="915" t="str">
        <f t="shared" si="1"/>
        <v>May 24</v>
      </c>
      <c r="BT2" s="915" t="str">
        <f t="shared" si="1"/>
        <v>Jun 24</v>
      </c>
      <c r="BU2" s="915" t="str">
        <f t="shared" si="1"/>
        <v>Jul 24</v>
      </c>
      <c r="BV2" s="915" t="str">
        <f t="shared" si="1"/>
        <v>Aug 24</v>
      </c>
      <c r="BW2" s="915" t="str">
        <f t="shared" si="1"/>
        <v>Sep 24</v>
      </c>
      <c r="BX2" s="915" t="str">
        <f t="shared" si="1"/>
        <v>Oct 24</v>
      </c>
      <c r="BY2" s="915" t="str">
        <f t="shared" si="1"/>
        <v>Nov 24</v>
      </c>
      <c r="BZ2" s="915" t="str">
        <f t="shared" si="1"/>
        <v>Dec 24</v>
      </c>
      <c r="CA2" s="915" t="str">
        <f t="shared" si="1"/>
        <v>Jan 25</v>
      </c>
      <c r="CB2" s="915" t="str">
        <f t="shared" si="1"/>
        <v>Feb 25</v>
      </c>
      <c r="CC2" s="915" t="str">
        <f t="shared" si="1"/>
        <v>Mar 25</v>
      </c>
      <c r="CD2" s="915" t="str">
        <f t="shared" si="1"/>
        <v>Apr 25</v>
      </c>
      <c r="CE2" s="915" t="str">
        <f t="shared" ref="CE2:DJ2" si="2">TEXT(CE4,"mmm yy")</f>
        <v>May 25</v>
      </c>
      <c r="CF2" s="915" t="str">
        <f t="shared" si="2"/>
        <v>Jun 25</v>
      </c>
      <c r="CG2" s="915" t="str">
        <f t="shared" si="2"/>
        <v>Jul 25</v>
      </c>
      <c r="CH2" s="915" t="str">
        <f t="shared" si="2"/>
        <v>Aug 25</v>
      </c>
      <c r="CI2" s="915" t="str">
        <f t="shared" si="2"/>
        <v>Sep 25</v>
      </c>
      <c r="CJ2" s="915" t="str">
        <f t="shared" si="2"/>
        <v>Oct 25</v>
      </c>
      <c r="CK2" s="915" t="str">
        <f t="shared" si="2"/>
        <v>Nov 25</v>
      </c>
      <c r="CL2" s="915" t="str">
        <f t="shared" si="2"/>
        <v>Dec 25</v>
      </c>
      <c r="CM2" s="915" t="str">
        <f t="shared" si="2"/>
        <v>Jan 26</v>
      </c>
      <c r="CN2" s="915" t="str">
        <f t="shared" si="2"/>
        <v>Feb 26</v>
      </c>
      <c r="CO2" s="915" t="str">
        <f t="shared" si="2"/>
        <v>Mar 26</v>
      </c>
      <c r="CP2" s="915" t="str">
        <f t="shared" si="2"/>
        <v>Apr 26</v>
      </c>
      <c r="CQ2" s="915" t="str">
        <f t="shared" si="2"/>
        <v>May 26</v>
      </c>
      <c r="CR2" s="915" t="str">
        <f t="shared" si="2"/>
        <v>Jun 26</v>
      </c>
      <c r="CS2" s="915" t="str">
        <f t="shared" si="2"/>
        <v>Jul 26</v>
      </c>
      <c r="CT2" s="915" t="str">
        <f t="shared" si="2"/>
        <v>Aug 26</v>
      </c>
      <c r="CU2" s="915" t="str">
        <f t="shared" si="2"/>
        <v>Sep 26</v>
      </c>
      <c r="CV2" s="915" t="str">
        <f t="shared" si="2"/>
        <v>Oct 26</v>
      </c>
      <c r="CW2" s="915" t="str">
        <f t="shared" si="2"/>
        <v>Nov 26</v>
      </c>
      <c r="CX2" s="915" t="str">
        <f t="shared" si="2"/>
        <v>Dec 26</v>
      </c>
      <c r="CY2" s="915" t="str">
        <f t="shared" si="2"/>
        <v>Jan 27</v>
      </c>
      <c r="CZ2" s="915" t="str">
        <f t="shared" si="2"/>
        <v>Feb 27</v>
      </c>
      <c r="DA2" s="915" t="str">
        <f t="shared" si="2"/>
        <v>Mar 27</v>
      </c>
      <c r="DB2" s="915" t="str">
        <f t="shared" si="2"/>
        <v>Apr 27</v>
      </c>
      <c r="DC2" s="915" t="str">
        <f t="shared" si="2"/>
        <v>May 27</v>
      </c>
      <c r="DD2" s="915" t="str">
        <f t="shared" si="2"/>
        <v>Jun 27</v>
      </c>
      <c r="DE2" s="915" t="str">
        <f t="shared" si="2"/>
        <v>Jul 27</v>
      </c>
      <c r="DF2" s="915" t="str">
        <f t="shared" si="2"/>
        <v>Aug 27</v>
      </c>
      <c r="DG2" s="915" t="str">
        <f t="shared" si="2"/>
        <v>Sep 27</v>
      </c>
      <c r="DH2" s="915" t="str">
        <f t="shared" si="2"/>
        <v>Oct 27</v>
      </c>
      <c r="DI2" s="915" t="str">
        <f t="shared" si="2"/>
        <v>Nov 27</v>
      </c>
      <c r="DJ2" s="915" t="str">
        <f t="shared" si="2"/>
        <v>Dec 27</v>
      </c>
    </row>
    <row r="3" spans="1:114" ht="15.75">
      <c r="B3" s="916" t="str">
        <f ca="1">MID(CELL("filename",A2),FIND("]",CELL("filename",A2))+1,256)</f>
        <v>i.SR</v>
      </c>
      <c r="C3" s="917"/>
      <c r="D3" s="916" t="s">
        <v>1</v>
      </c>
      <c r="E3" s="916"/>
      <c r="F3" s="922">
        <v>1</v>
      </c>
      <c r="J3" s="918" t="s">
        <v>2</v>
      </c>
      <c r="K3" s="918" t="s">
        <v>2</v>
      </c>
      <c r="L3" s="918" t="s">
        <v>3</v>
      </c>
      <c r="M3" s="918" t="s">
        <v>4</v>
      </c>
      <c r="N3" s="918" t="s">
        <v>4</v>
      </c>
      <c r="O3" s="918" t="s">
        <v>4</v>
      </c>
      <c r="P3" s="918" t="s">
        <v>4</v>
      </c>
      <c r="Q3" s="918" t="s">
        <v>4</v>
      </c>
      <c r="S3" s="918" t="str" cm="1">
        <f t="array" ref="S3">INDEX($J$3:$Q$3,S6)</f>
        <v>Actual</v>
      </c>
      <c r="T3" s="918" t="str" cm="1">
        <f t="array" ref="T3">INDEX($J$3:$Q$3,T6)</f>
        <v>Actual</v>
      </c>
      <c r="U3" s="918" t="str" cm="1">
        <f t="array" ref="U3">INDEX($J$3:$Q$3,U6)</f>
        <v>Actual</v>
      </c>
      <c r="V3" s="918" t="str" cm="1">
        <f t="array" ref="V3">INDEX($J$3:$Q$3,V6)</f>
        <v>Actual</v>
      </c>
      <c r="W3" s="918" t="str" cm="1">
        <f t="array" ref="W3">INDEX($J$3:$Q$3,W6)</f>
        <v>Actual</v>
      </c>
      <c r="X3" s="918" t="str" cm="1">
        <f t="array" ref="X3">INDEX($J$3:$Q$3,X6)</f>
        <v>Actual</v>
      </c>
      <c r="Y3" s="918" t="str" cm="1">
        <f t="array" ref="Y3">INDEX($J$3:$Q$3,Y6)</f>
        <v>Actual</v>
      </c>
      <c r="Z3" s="918" t="str" cm="1">
        <f t="array" ref="Z3">INDEX($J$3:$Q$3,Z6)</f>
        <v>Actual</v>
      </c>
      <c r="AA3" s="918" t="str" cm="1">
        <f t="array" ref="AA3">INDEX($J$3:$Q$3,AA6)</f>
        <v>Actual</v>
      </c>
      <c r="AB3" s="918" t="str" cm="1">
        <f t="array" ref="AB3">INDEX($J$3:$Q$3,AB6)</f>
        <v>Actual</v>
      </c>
      <c r="AC3" s="918" t="str" cm="1">
        <f t="array" ref="AC3">INDEX($J$3:$Q$3,AC6)</f>
        <v>Actual</v>
      </c>
      <c r="AD3" s="918" t="str" cm="1">
        <f t="array" ref="AD3">INDEX($J$3:$Q$3,AD6)</f>
        <v>Actual</v>
      </c>
      <c r="AE3" s="918" t="str" cm="1">
        <f t="array" ref="AE3">INDEX($J$3:$Q$3,AE6)</f>
        <v>Actual</v>
      </c>
      <c r="AF3" s="918" t="str" cm="1">
        <f t="array" ref="AF3">INDEX($J$3:$Q$3,AF6)</f>
        <v>Actual</v>
      </c>
      <c r="AG3" s="918" t="str" cm="1">
        <f t="array" ref="AG3">INDEX($J$3:$Q$3,AG6)</f>
        <v>Actual</v>
      </c>
      <c r="AH3" s="918" t="str" cm="1">
        <f t="array" ref="AH3">INDEX($J$3:$Q$3,AH6)</f>
        <v>Actual</v>
      </c>
      <c r="AI3" s="918" t="str" cm="1">
        <f t="array" ref="AI3">INDEX($J$3:$Q$3,AI6)</f>
        <v>Actual</v>
      </c>
      <c r="AJ3" s="918" t="str" cm="1">
        <f t="array" ref="AJ3">INDEX($J$3:$Q$3,AJ6)</f>
        <v>Actual</v>
      </c>
      <c r="AK3" s="918" t="str" cm="1">
        <f t="array" ref="AK3">INDEX($J$3:$Q$3,AK6)</f>
        <v>Actual</v>
      </c>
      <c r="AL3" s="918" t="str" cm="1">
        <f t="array" ref="AL3">INDEX($J$3:$Q$3,AL6)</f>
        <v>Actual</v>
      </c>
      <c r="AM3" s="918" t="str" cm="1">
        <f t="array" ref="AM3">INDEX($J$3:$Q$3,AM6)</f>
        <v>Actual</v>
      </c>
      <c r="AN3" s="918" t="str" cm="1">
        <f t="array" ref="AN3">INDEX($J$3:$Q$3,AN6)</f>
        <v>Actual</v>
      </c>
      <c r="AO3" s="918" t="str" cm="1">
        <f t="array" ref="AO3">INDEX($J$3:$Q$3,AO6)</f>
        <v>Actual</v>
      </c>
      <c r="AP3" s="918" t="str" cm="1">
        <f t="array" ref="AP3">INDEX($J$3:$Q$3,AP6)</f>
        <v>Actual</v>
      </c>
      <c r="AQ3" s="918" t="str" cm="1">
        <f t="array" ref="AQ3">INDEX($J$3:$Q$3,AQ6)</f>
        <v>Budget</v>
      </c>
      <c r="AR3" s="918" t="str" cm="1">
        <f t="array" ref="AR3">INDEX($J$3:$Q$3,AR6)</f>
        <v>Budget</v>
      </c>
      <c r="AS3" s="918" t="str" cm="1">
        <f t="array" ref="AS3">INDEX($J$3:$Q$3,AS6)</f>
        <v>Budget</v>
      </c>
      <c r="AT3" s="918" t="str" cm="1">
        <f t="array" ref="AT3">INDEX($J$3:$Q$3,AT6)</f>
        <v>Budget</v>
      </c>
      <c r="AU3" s="918" t="str" cm="1">
        <f t="array" ref="AU3">INDEX($J$3:$Q$3,AU6)</f>
        <v>Budget</v>
      </c>
      <c r="AV3" s="918" t="str" cm="1">
        <f t="array" ref="AV3">INDEX($J$3:$Q$3,AV6)</f>
        <v>Budget</v>
      </c>
      <c r="AW3" s="918" t="str" cm="1">
        <f t="array" ref="AW3">INDEX($J$3:$Q$3,AW6)</f>
        <v>Budget</v>
      </c>
      <c r="AX3" s="918" t="str" cm="1">
        <f t="array" ref="AX3">INDEX($J$3:$Q$3,AX6)</f>
        <v>Budget</v>
      </c>
      <c r="AY3" s="918" t="str" cm="1">
        <f t="array" ref="AY3">INDEX($J$3:$Q$3,AY6)</f>
        <v>Budget</v>
      </c>
      <c r="AZ3" s="918" t="str" cm="1">
        <f t="array" ref="AZ3">INDEX($J$3:$Q$3,AZ6)</f>
        <v>Budget</v>
      </c>
      <c r="BA3" s="918" t="str" cm="1">
        <f t="array" ref="BA3">INDEX($J$3:$Q$3,BA6)</f>
        <v>Budget</v>
      </c>
      <c r="BB3" s="918" t="str" cm="1">
        <f t="array" ref="BB3">INDEX($J$3:$Q$3,BB6)</f>
        <v>Budget</v>
      </c>
      <c r="BC3" s="918" t="str" cm="1">
        <f t="array" ref="BC3">INDEX($J$3:$Q$3,BC6)</f>
        <v>Forecast</v>
      </c>
      <c r="BD3" s="918" t="str" cm="1">
        <f t="array" ref="BD3">INDEX($J$3:$Q$3,BD6)</f>
        <v>Forecast</v>
      </c>
      <c r="BE3" s="918" t="str" cm="1">
        <f t="array" ref="BE3">INDEX($J$3:$Q$3,BE6)</f>
        <v>Forecast</v>
      </c>
      <c r="BF3" s="918" t="str" cm="1">
        <f t="array" ref="BF3">INDEX($J$3:$Q$3,BF6)</f>
        <v>Forecast</v>
      </c>
      <c r="BG3" s="918" t="str" cm="1">
        <f t="array" ref="BG3">INDEX($J$3:$Q$3,BG6)</f>
        <v>Forecast</v>
      </c>
      <c r="BH3" s="918" t="str" cm="1">
        <f t="array" ref="BH3">INDEX($J$3:$Q$3,BH6)</f>
        <v>Forecast</v>
      </c>
      <c r="BI3" s="918" t="str" cm="1">
        <f t="array" ref="BI3">INDEX($J$3:$Q$3,BI6)</f>
        <v>Forecast</v>
      </c>
      <c r="BJ3" s="918" t="str" cm="1">
        <f t="array" ref="BJ3">INDEX($J$3:$Q$3,BJ6)</f>
        <v>Forecast</v>
      </c>
      <c r="BK3" s="918" t="str" cm="1">
        <f t="array" ref="BK3">INDEX($J$3:$Q$3,BK6)</f>
        <v>Forecast</v>
      </c>
      <c r="BL3" s="918" t="str" cm="1">
        <f t="array" ref="BL3">INDEX($J$3:$Q$3,BL6)</f>
        <v>Forecast</v>
      </c>
      <c r="BM3" s="918" t="str" cm="1">
        <f t="array" ref="BM3">INDEX($J$3:$Q$3,BM6)</f>
        <v>Forecast</v>
      </c>
      <c r="BN3" s="918" t="str" cm="1">
        <f t="array" ref="BN3">INDEX($J$3:$Q$3,BN6)</f>
        <v>Forecast</v>
      </c>
      <c r="BO3" s="918" t="str" cm="1">
        <f t="array" ref="BO3">INDEX($J$3:$Q$3,BO6)</f>
        <v>Forecast</v>
      </c>
      <c r="BP3" s="918" t="str" cm="1">
        <f t="array" ref="BP3">INDEX($J$3:$Q$3,BP6)</f>
        <v>Forecast</v>
      </c>
      <c r="BQ3" s="918" t="str" cm="1">
        <f t="array" ref="BQ3">INDEX($J$3:$Q$3,BQ6)</f>
        <v>Forecast</v>
      </c>
      <c r="BR3" s="918" t="str" cm="1">
        <f t="array" ref="BR3">INDEX($J$3:$Q$3,BR6)</f>
        <v>Forecast</v>
      </c>
      <c r="BS3" s="918" t="str" cm="1">
        <f t="array" ref="BS3">INDEX($J$3:$Q$3,BS6)</f>
        <v>Forecast</v>
      </c>
      <c r="BT3" s="918" t="str" cm="1">
        <f t="array" ref="BT3">INDEX($J$3:$Q$3,BT6)</f>
        <v>Forecast</v>
      </c>
      <c r="BU3" s="918" t="str" cm="1">
        <f t="array" ref="BU3">INDEX($J$3:$Q$3,BU6)</f>
        <v>Forecast</v>
      </c>
      <c r="BV3" s="918" t="str" cm="1">
        <f t="array" ref="BV3">INDEX($J$3:$Q$3,BV6)</f>
        <v>Forecast</v>
      </c>
      <c r="BW3" s="918" t="str" cm="1">
        <f t="array" ref="BW3">INDEX($J$3:$Q$3,BW6)</f>
        <v>Forecast</v>
      </c>
      <c r="BX3" s="918" t="str" cm="1">
        <f t="array" ref="BX3">INDEX($J$3:$Q$3,BX6)</f>
        <v>Forecast</v>
      </c>
      <c r="BY3" s="918" t="str" cm="1">
        <f t="array" ref="BY3">INDEX($J$3:$Q$3,BY6)</f>
        <v>Forecast</v>
      </c>
      <c r="BZ3" s="918" t="str" cm="1">
        <f t="array" ref="BZ3">INDEX($J$3:$Q$3,BZ6)</f>
        <v>Forecast</v>
      </c>
      <c r="CA3" s="918" t="str" cm="1">
        <f t="array" ref="CA3">INDEX($J$3:$Q$3,CA6)</f>
        <v>Forecast</v>
      </c>
      <c r="CB3" s="918" t="str" cm="1">
        <f t="array" ref="CB3">INDEX($J$3:$Q$3,CB6)</f>
        <v>Forecast</v>
      </c>
      <c r="CC3" s="918" t="str" cm="1">
        <f t="array" ref="CC3">INDEX($J$3:$Q$3,CC6)</f>
        <v>Forecast</v>
      </c>
      <c r="CD3" s="918" t="str" cm="1">
        <f t="array" ref="CD3">INDEX($J$3:$Q$3,CD6)</f>
        <v>Forecast</v>
      </c>
      <c r="CE3" s="918" t="str" cm="1">
        <f t="array" ref="CE3">INDEX($J$3:$Q$3,CE6)</f>
        <v>Forecast</v>
      </c>
      <c r="CF3" s="918" t="str" cm="1">
        <f t="array" ref="CF3">INDEX($J$3:$Q$3,CF6)</f>
        <v>Forecast</v>
      </c>
      <c r="CG3" s="918" t="str" cm="1">
        <f t="array" ref="CG3">INDEX($J$3:$Q$3,CG6)</f>
        <v>Forecast</v>
      </c>
      <c r="CH3" s="918" t="str" cm="1">
        <f t="array" ref="CH3">INDEX($J$3:$Q$3,CH6)</f>
        <v>Forecast</v>
      </c>
      <c r="CI3" s="918" t="str" cm="1">
        <f t="array" ref="CI3">INDEX($J$3:$Q$3,CI6)</f>
        <v>Forecast</v>
      </c>
      <c r="CJ3" s="918" t="str" cm="1">
        <f t="array" ref="CJ3">INDEX($J$3:$Q$3,CJ6)</f>
        <v>Forecast</v>
      </c>
      <c r="CK3" s="918" t="str" cm="1">
        <f t="array" ref="CK3">INDEX($J$3:$Q$3,CK6)</f>
        <v>Forecast</v>
      </c>
      <c r="CL3" s="918" t="str" cm="1">
        <f t="array" ref="CL3">INDEX($J$3:$Q$3,CL6)</f>
        <v>Forecast</v>
      </c>
      <c r="CM3" s="918" t="str" cm="1">
        <f t="array" ref="CM3">INDEX($J$3:$Q$3,CM6)</f>
        <v>Forecast</v>
      </c>
      <c r="CN3" s="918" t="str" cm="1">
        <f t="array" ref="CN3">INDEX($J$3:$Q$3,CN6)</f>
        <v>Forecast</v>
      </c>
      <c r="CO3" s="918" t="str" cm="1">
        <f t="array" ref="CO3">INDEX($J$3:$Q$3,CO6)</f>
        <v>Forecast</v>
      </c>
      <c r="CP3" s="918" t="str" cm="1">
        <f t="array" ref="CP3">INDEX($J$3:$Q$3,CP6)</f>
        <v>Forecast</v>
      </c>
      <c r="CQ3" s="918" t="str" cm="1">
        <f t="array" ref="CQ3">INDEX($J$3:$Q$3,CQ6)</f>
        <v>Forecast</v>
      </c>
      <c r="CR3" s="918" t="str" cm="1">
        <f t="array" ref="CR3">INDEX($J$3:$Q$3,CR6)</f>
        <v>Forecast</v>
      </c>
      <c r="CS3" s="918" t="str" cm="1">
        <f t="array" ref="CS3">INDEX($J$3:$Q$3,CS6)</f>
        <v>Forecast</v>
      </c>
      <c r="CT3" s="918" t="str" cm="1">
        <f t="array" ref="CT3">INDEX($J$3:$Q$3,CT6)</f>
        <v>Forecast</v>
      </c>
      <c r="CU3" s="918" t="str" cm="1">
        <f t="array" ref="CU3">INDEX($J$3:$Q$3,CU6)</f>
        <v>Forecast</v>
      </c>
      <c r="CV3" s="918" t="str" cm="1">
        <f t="array" ref="CV3">INDEX($J$3:$Q$3,CV6)</f>
        <v>Forecast</v>
      </c>
      <c r="CW3" s="918" t="str" cm="1">
        <f t="array" ref="CW3">INDEX($J$3:$Q$3,CW6)</f>
        <v>Forecast</v>
      </c>
      <c r="CX3" s="918" t="str" cm="1">
        <f t="array" ref="CX3">INDEX($J$3:$Q$3,CX6)</f>
        <v>Forecast</v>
      </c>
      <c r="CY3" s="918" t="str" cm="1">
        <f t="array" ref="CY3">INDEX($J$3:$Q$3,CY6)</f>
        <v>Forecast</v>
      </c>
      <c r="CZ3" s="918" t="str" cm="1">
        <f t="array" ref="CZ3">INDEX($J$3:$Q$3,CZ6)</f>
        <v>Forecast</v>
      </c>
      <c r="DA3" s="918" t="str" cm="1">
        <f t="array" ref="DA3">INDEX($J$3:$Q$3,DA6)</f>
        <v>Forecast</v>
      </c>
      <c r="DB3" s="918" t="str" cm="1">
        <f t="array" ref="DB3">INDEX($J$3:$Q$3,DB6)</f>
        <v>Forecast</v>
      </c>
      <c r="DC3" s="918" t="str" cm="1">
        <f t="array" ref="DC3">INDEX($J$3:$Q$3,DC6)</f>
        <v>Forecast</v>
      </c>
      <c r="DD3" s="918" t="str" cm="1">
        <f t="array" ref="DD3">INDEX($J$3:$Q$3,DD6)</f>
        <v>Forecast</v>
      </c>
      <c r="DE3" s="918" t="str" cm="1">
        <f t="array" ref="DE3">INDEX($J$3:$Q$3,DE6)</f>
        <v>Forecast</v>
      </c>
      <c r="DF3" s="918" t="str" cm="1">
        <f t="array" ref="DF3">INDEX($J$3:$Q$3,DF6)</f>
        <v>Forecast</v>
      </c>
      <c r="DG3" s="918" t="str" cm="1">
        <f t="array" ref="DG3">INDEX($J$3:$Q$3,DG6)</f>
        <v>Forecast</v>
      </c>
      <c r="DH3" s="918" t="str" cm="1">
        <f t="array" ref="DH3">INDEX($J$3:$Q$3,DH6)</f>
        <v>Forecast</v>
      </c>
      <c r="DI3" s="918" t="str" cm="1">
        <f t="array" ref="DI3">INDEX($J$3:$Q$3,DI6)</f>
        <v>Forecast</v>
      </c>
      <c r="DJ3" s="918" t="str" cm="1">
        <f t="array" ref="DJ3">INDEX($J$3:$Q$3,DJ6)</f>
        <v>Forecast</v>
      </c>
    </row>
    <row r="4" spans="1:114">
      <c r="J4" s="919">
        <v>43831</v>
      </c>
      <c r="K4" s="920">
        <f>J5+1</f>
        <v>44197</v>
      </c>
      <c r="L4" s="920">
        <f t="shared" ref="L4:Q4" si="3">K5+1</f>
        <v>44562</v>
      </c>
      <c r="M4" s="920">
        <f t="shared" si="3"/>
        <v>44927</v>
      </c>
      <c r="N4" s="920">
        <f t="shared" si="3"/>
        <v>45292</v>
      </c>
      <c r="O4" s="920">
        <f t="shared" si="3"/>
        <v>45658</v>
      </c>
      <c r="P4" s="920">
        <f t="shared" si="3"/>
        <v>46023</v>
      </c>
      <c r="Q4" s="920">
        <f t="shared" si="3"/>
        <v>46388</v>
      </c>
      <c r="S4" s="920">
        <f>J4</f>
        <v>43831</v>
      </c>
      <c r="T4" s="920">
        <f>S5+1</f>
        <v>43862</v>
      </c>
      <c r="U4" s="920">
        <f t="shared" ref="U4:CF4" si="4">T5+1</f>
        <v>43891</v>
      </c>
      <c r="V4" s="920">
        <f t="shared" si="4"/>
        <v>43922</v>
      </c>
      <c r="W4" s="920">
        <f t="shared" si="4"/>
        <v>43952</v>
      </c>
      <c r="X4" s="920">
        <f t="shared" si="4"/>
        <v>43983</v>
      </c>
      <c r="Y4" s="920">
        <f t="shared" si="4"/>
        <v>44013</v>
      </c>
      <c r="Z4" s="920">
        <f t="shared" si="4"/>
        <v>44044</v>
      </c>
      <c r="AA4" s="920">
        <f t="shared" si="4"/>
        <v>44075</v>
      </c>
      <c r="AB4" s="920">
        <f t="shared" si="4"/>
        <v>44105</v>
      </c>
      <c r="AC4" s="920">
        <f t="shared" si="4"/>
        <v>44136</v>
      </c>
      <c r="AD4" s="920">
        <f t="shared" si="4"/>
        <v>44166</v>
      </c>
      <c r="AE4" s="920">
        <f t="shared" si="4"/>
        <v>44197</v>
      </c>
      <c r="AF4" s="920">
        <f t="shared" si="4"/>
        <v>44228</v>
      </c>
      <c r="AG4" s="920">
        <f t="shared" si="4"/>
        <v>44256</v>
      </c>
      <c r="AH4" s="920">
        <f t="shared" si="4"/>
        <v>44287</v>
      </c>
      <c r="AI4" s="920">
        <f t="shared" si="4"/>
        <v>44317</v>
      </c>
      <c r="AJ4" s="920">
        <f t="shared" si="4"/>
        <v>44348</v>
      </c>
      <c r="AK4" s="920">
        <f t="shared" si="4"/>
        <v>44378</v>
      </c>
      <c r="AL4" s="920">
        <f t="shared" si="4"/>
        <v>44409</v>
      </c>
      <c r="AM4" s="920">
        <f t="shared" si="4"/>
        <v>44440</v>
      </c>
      <c r="AN4" s="920">
        <f t="shared" si="4"/>
        <v>44470</v>
      </c>
      <c r="AO4" s="920">
        <f t="shared" si="4"/>
        <v>44501</v>
      </c>
      <c r="AP4" s="920">
        <f t="shared" si="4"/>
        <v>44531</v>
      </c>
      <c r="AQ4" s="920">
        <f t="shared" si="4"/>
        <v>44562</v>
      </c>
      <c r="AR4" s="920">
        <f t="shared" si="4"/>
        <v>44593</v>
      </c>
      <c r="AS4" s="920">
        <f t="shared" si="4"/>
        <v>44621</v>
      </c>
      <c r="AT4" s="920">
        <f t="shared" si="4"/>
        <v>44652</v>
      </c>
      <c r="AU4" s="920">
        <f t="shared" si="4"/>
        <v>44682</v>
      </c>
      <c r="AV4" s="920">
        <f t="shared" si="4"/>
        <v>44713</v>
      </c>
      <c r="AW4" s="920">
        <f t="shared" si="4"/>
        <v>44743</v>
      </c>
      <c r="AX4" s="920">
        <f t="shared" si="4"/>
        <v>44774</v>
      </c>
      <c r="AY4" s="920">
        <f t="shared" si="4"/>
        <v>44805</v>
      </c>
      <c r="AZ4" s="920">
        <f t="shared" si="4"/>
        <v>44835</v>
      </c>
      <c r="BA4" s="920">
        <f t="shared" si="4"/>
        <v>44866</v>
      </c>
      <c r="BB4" s="920">
        <f t="shared" si="4"/>
        <v>44896</v>
      </c>
      <c r="BC4" s="920">
        <f t="shared" si="4"/>
        <v>44927</v>
      </c>
      <c r="BD4" s="920">
        <f t="shared" si="4"/>
        <v>44958</v>
      </c>
      <c r="BE4" s="920">
        <f t="shared" si="4"/>
        <v>44986</v>
      </c>
      <c r="BF4" s="920">
        <f t="shared" si="4"/>
        <v>45017</v>
      </c>
      <c r="BG4" s="920">
        <f t="shared" si="4"/>
        <v>45047</v>
      </c>
      <c r="BH4" s="920">
        <f t="shared" si="4"/>
        <v>45078</v>
      </c>
      <c r="BI4" s="920">
        <f t="shared" si="4"/>
        <v>45108</v>
      </c>
      <c r="BJ4" s="920">
        <f t="shared" si="4"/>
        <v>45139</v>
      </c>
      <c r="BK4" s="920">
        <f t="shared" si="4"/>
        <v>45170</v>
      </c>
      <c r="BL4" s="920">
        <f t="shared" si="4"/>
        <v>45200</v>
      </c>
      <c r="BM4" s="920">
        <f t="shared" si="4"/>
        <v>45231</v>
      </c>
      <c r="BN4" s="920">
        <f t="shared" si="4"/>
        <v>45261</v>
      </c>
      <c r="BO4" s="920">
        <f t="shared" si="4"/>
        <v>45292</v>
      </c>
      <c r="BP4" s="920">
        <f t="shared" si="4"/>
        <v>45323</v>
      </c>
      <c r="BQ4" s="920">
        <f t="shared" si="4"/>
        <v>45352</v>
      </c>
      <c r="BR4" s="920">
        <f t="shared" si="4"/>
        <v>45383</v>
      </c>
      <c r="BS4" s="920">
        <f t="shared" si="4"/>
        <v>45413</v>
      </c>
      <c r="BT4" s="920">
        <f t="shared" si="4"/>
        <v>45444</v>
      </c>
      <c r="BU4" s="920">
        <f t="shared" si="4"/>
        <v>45474</v>
      </c>
      <c r="BV4" s="920">
        <f t="shared" si="4"/>
        <v>45505</v>
      </c>
      <c r="BW4" s="920">
        <f t="shared" si="4"/>
        <v>45536</v>
      </c>
      <c r="BX4" s="920">
        <f t="shared" si="4"/>
        <v>45566</v>
      </c>
      <c r="BY4" s="920">
        <f t="shared" si="4"/>
        <v>45597</v>
      </c>
      <c r="BZ4" s="920">
        <f t="shared" si="4"/>
        <v>45627</v>
      </c>
      <c r="CA4" s="920">
        <f t="shared" si="4"/>
        <v>45658</v>
      </c>
      <c r="CB4" s="920">
        <f t="shared" si="4"/>
        <v>45689</v>
      </c>
      <c r="CC4" s="920">
        <f t="shared" si="4"/>
        <v>45717</v>
      </c>
      <c r="CD4" s="920">
        <f t="shared" si="4"/>
        <v>45748</v>
      </c>
      <c r="CE4" s="920">
        <f t="shared" si="4"/>
        <v>45778</v>
      </c>
      <c r="CF4" s="920">
        <f t="shared" si="4"/>
        <v>45809</v>
      </c>
      <c r="CG4" s="920">
        <f t="shared" ref="CG4:DJ4" si="5">CF5+1</f>
        <v>45839</v>
      </c>
      <c r="CH4" s="920">
        <f t="shared" si="5"/>
        <v>45870</v>
      </c>
      <c r="CI4" s="920">
        <f t="shared" si="5"/>
        <v>45901</v>
      </c>
      <c r="CJ4" s="920">
        <f t="shared" si="5"/>
        <v>45931</v>
      </c>
      <c r="CK4" s="920">
        <f t="shared" si="5"/>
        <v>45962</v>
      </c>
      <c r="CL4" s="920">
        <f t="shared" si="5"/>
        <v>45992</v>
      </c>
      <c r="CM4" s="920">
        <f t="shared" si="5"/>
        <v>46023</v>
      </c>
      <c r="CN4" s="920">
        <f t="shared" si="5"/>
        <v>46054</v>
      </c>
      <c r="CO4" s="920">
        <f t="shared" si="5"/>
        <v>46082</v>
      </c>
      <c r="CP4" s="920">
        <f t="shared" si="5"/>
        <v>46113</v>
      </c>
      <c r="CQ4" s="920">
        <f t="shared" si="5"/>
        <v>46143</v>
      </c>
      <c r="CR4" s="920">
        <f t="shared" si="5"/>
        <v>46174</v>
      </c>
      <c r="CS4" s="920">
        <f t="shared" si="5"/>
        <v>46204</v>
      </c>
      <c r="CT4" s="920">
        <f t="shared" si="5"/>
        <v>46235</v>
      </c>
      <c r="CU4" s="920">
        <f t="shared" si="5"/>
        <v>46266</v>
      </c>
      <c r="CV4" s="920">
        <f t="shared" si="5"/>
        <v>46296</v>
      </c>
      <c r="CW4" s="920">
        <f t="shared" si="5"/>
        <v>46327</v>
      </c>
      <c r="CX4" s="920">
        <f t="shared" si="5"/>
        <v>46357</v>
      </c>
      <c r="CY4" s="920">
        <f t="shared" si="5"/>
        <v>46388</v>
      </c>
      <c r="CZ4" s="920">
        <f t="shared" si="5"/>
        <v>46419</v>
      </c>
      <c r="DA4" s="920">
        <f t="shared" si="5"/>
        <v>46447</v>
      </c>
      <c r="DB4" s="920">
        <f t="shared" si="5"/>
        <v>46478</v>
      </c>
      <c r="DC4" s="920">
        <f t="shared" si="5"/>
        <v>46508</v>
      </c>
      <c r="DD4" s="920">
        <f t="shared" si="5"/>
        <v>46539</v>
      </c>
      <c r="DE4" s="920">
        <f t="shared" si="5"/>
        <v>46569</v>
      </c>
      <c r="DF4" s="920">
        <f t="shared" si="5"/>
        <v>46600</v>
      </c>
      <c r="DG4" s="920">
        <f t="shared" si="5"/>
        <v>46631</v>
      </c>
      <c r="DH4" s="920">
        <f t="shared" si="5"/>
        <v>46661</v>
      </c>
      <c r="DI4" s="920">
        <f t="shared" si="5"/>
        <v>46692</v>
      </c>
      <c r="DJ4" s="920">
        <f t="shared" si="5"/>
        <v>46722</v>
      </c>
    </row>
    <row r="5" spans="1:114" ht="19.899999999999999" customHeight="1">
      <c r="B5" s="1023" t="s">
        <v>5</v>
      </c>
      <c r="C5" s="1024"/>
      <c r="D5" s="1025"/>
      <c r="E5" s="1024"/>
      <c r="F5" s="1024"/>
      <c r="G5" s="1024"/>
      <c r="H5" s="1024"/>
      <c r="I5" s="1024"/>
      <c r="J5" s="1026">
        <f>EDATE(J4,12)-1</f>
        <v>44196</v>
      </c>
      <c r="K5" s="1026">
        <f>EDATE(K4,12)-1</f>
        <v>44561</v>
      </c>
      <c r="L5" s="1026">
        <f t="shared" ref="L5:Q5" si="6">EDATE(L4,12)-1</f>
        <v>44926</v>
      </c>
      <c r="M5" s="1026">
        <f t="shared" si="6"/>
        <v>45291</v>
      </c>
      <c r="N5" s="1026">
        <f t="shared" si="6"/>
        <v>45657</v>
      </c>
      <c r="O5" s="1026">
        <f t="shared" si="6"/>
        <v>46022</v>
      </c>
      <c r="P5" s="1026">
        <f t="shared" si="6"/>
        <v>46387</v>
      </c>
      <c r="Q5" s="1026">
        <f t="shared" si="6"/>
        <v>46752</v>
      </c>
      <c r="R5" s="1024"/>
      <c r="S5" s="1026">
        <f>EDATE(S4,1)-1</f>
        <v>43861</v>
      </c>
      <c r="T5" s="1026">
        <f>EDATE(T4,1)-1</f>
        <v>43890</v>
      </c>
      <c r="U5" s="1026">
        <f t="shared" ref="U5:CF5" si="7">EDATE(U4,1)-1</f>
        <v>43921</v>
      </c>
      <c r="V5" s="1026">
        <f t="shared" si="7"/>
        <v>43951</v>
      </c>
      <c r="W5" s="1026">
        <f t="shared" si="7"/>
        <v>43982</v>
      </c>
      <c r="X5" s="1026">
        <f t="shared" si="7"/>
        <v>44012</v>
      </c>
      <c r="Y5" s="1026">
        <f t="shared" si="7"/>
        <v>44043</v>
      </c>
      <c r="Z5" s="1026">
        <f t="shared" si="7"/>
        <v>44074</v>
      </c>
      <c r="AA5" s="1026">
        <f t="shared" si="7"/>
        <v>44104</v>
      </c>
      <c r="AB5" s="1026">
        <f t="shared" si="7"/>
        <v>44135</v>
      </c>
      <c r="AC5" s="1026">
        <f t="shared" si="7"/>
        <v>44165</v>
      </c>
      <c r="AD5" s="1026">
        <f t="shared" si="7"/>
        <v>44196</v>
      </c>
      <c r="AE5" s="1026">
        <f t="shared" si="7"/>
        <v>44227</v>
      </c>
      <c r="AF5" s="1026">
        <f t="shared" si="7"/>
        <v>44255</v>
      </c>
      <c r="AG5" s="1026">
        <f t="shared" si="7"/>
        <v>44286</v>
      </c>
      <c r="AH5" s="1026">
        <f t="shared" si="7"/>
        <v>44316</v>
      </c>
      <c r="AI5" s="1026">
        <f t="shared" si="7"/>
        <v>44347</v>
      </c>
      <c r="AJ5" s="1026">
        <f t="shared" si="7"/>
        <v>44377</v>
      </c>
      <c r="AK5" s="1026">
        <f t="shared" si="7"/>
        <v>44408</v>
      </c>
      <c r="AL5" s="1026">
        <f t="shared" si="7"/>
        <v>44439</v>
      </c>
      <c r="AM5" s="1026">
        <f t="shared" si="7"/>
        <v>44469</v>
      </c>
      <c r="AN5" s="1026">
        <f t="shared" si="7"/>
        <v>44500</v>
      </c>
      <c r="AO5" s="1026">
        <f t="shared" si="7"/>
        <v>44530</v>
      </c>
      <c r="AP5" s="1026">
        <f t="shared" si="7"/>
        <v>44561</v>
      </c>
      <c r="AQ5" s="1026">
        <f t="shared" si="7"/>
        <v>44592</v>
      </c>
      <c r="AR5" s="1026">
        <f t="shared" si="7"/>
        <v>44620</v>
      </c>
      <c r="AS5" s="1026">
        <f t="shared" si="7"/>
        <v>44651</v>
      </c>
      <c r="AT5" s="1026">
        <f t="shared" si="7"/>
        <v>44681</v>
      </c>
      <c r="AU5" s="1026">
        <f t="shared" si="7"/>
        <v>44712</v>
      </c>
      <c r="AV5" s="1026">
        <f t="shared" si="7"/>
        <v>44742</v>
      </c>
      <c r="AW5" s="1026">
        <f t="shared" si="7"/>
        <v>44773</v>
      </c>
      <c r="AX5" s="1026">
        <f t="shared" si="7"/>
        <v>44804</v>
      </c>
      <c r="AY5" s="1026">
        <f t="shared" si="7"/>
        <v>44834</v>
      </c>
      <c r="AZ5" s="1026">
        <f t="shared" si="7"/>
        <v>44865</v>
      </c>
      <c r="BA5" s="1026">
        <f t="shared" si="7"/>
        <v>44895</v>
      </c>
      <c r="BB5" s="1026">
        <f t="shared" si="7"/>
        <v>44926</v>
      </c>
      <c r="BC5" s="1026">
        <f t="shared" si="7"/>
        <v>44957</v>
      </c>
      <c r="BD5" s="1026">
        <f t="shared" si="7"/>
        <v>44985</v>
      </c>
      <c r="BE5" s="1026">
        <f t="shared" si="7"/>
        <v>45016</v>
      </c>
      <c r="BF5" s="1026">
        <f t="shared" si="7"/>
        <v>45046</v>
      </c>
      <c r="BG5" s="1026">
        <f t="shared" si="7"/>
        <v>45077</v>
      </c>
      <c r="BH5" s="1026">
        <f t="shared" si="7"/>
        <v>45107</v>
      </c>
      <c r="BI5" s="1026">
        <f t="shared" si="7"/>
        <v>45138</v>
      </c>
      <c r="BJ5" s="1026">
        <f t="shared" si="7"/>
        <v>45169</v>
      </c>
      <c r="BK5" s="1026">
        <f t="shared" si="7"/>
        <v>45199</v>
      </c>
      <c r="BL5" s="1026">
        <f t="shared" si="7"/>
        <v>45230</v>
      </c>
      <c r="BM5" s="1026">
        <f t="shared" si="7"/>
        <v>45260</v>
      </c>
      <c r="BN5" s="1026">
        <f t="shared" si="7"/>
        <v>45291</v>
      </c>
      <c r="BO5" s="1026">
        <f t="shared" si="7"/>
        <v>45322</v>
      </c>
      <c r="BP5" s="1026">
        <f t="shared" si="7"/>
        <v>45351</v>
      </c>
      <c r="BQ5" s="1026">
        <f t="shared" si="7"/>
        <v>45382</v>
      </c>
      <c r="BR5" s="1026">
        <f t="shared" si="7"/>
        <v>45412</v>
      </c>
      <c r="BS5" s="1026">
        <f t="shared" si="7"/>
        <v>45443</v>
      </c>
      <c r="BT5" s="1026">
        <f t="shared" si="7"/>
        <v>45473</v>
      </c>
      <c r="BU5" s="1026">
        <f t="shared" si="7"/>
        <v>45504</v>
      </c>
      <c r="BV5" s="1026">
        <f t="shared" si="7"/>
        <v>45535</v>
      </c>
      <c r="BW5" s="1026">
        <f t="shared" si="7"/>
        <v>45565</v>
      </c>
      <c r="BX5" s="1026">
        <f t="shared" si="7"/>
        <v>45596</v>
      </c>
      <c r="BY5" s="1026">
        <f t="shared" si="7"/>
        <v>45626</v>
      </c>
      <c r="BZ5" s="1026">
        <f t="shared" si="7"/>
        <v>45657</v>
      </c>
      <c r="CA5" s="1026">
        <f t="shared" si="7"/>
        <v>45688</v>
      </c>
      <c r="CB5" s="1026">
        <f t="shared" si="7"/>
        <v>45716</v>
      </c>
      <c r="CC5" s="1026">
        <f t="shared" si="7"/>
        <v>45747</v>
      </c>
      <c r="CD5" s="1026">
        <f t="shared" si="7"/>
        <v>45777</v>
      </c>
      <c r="CE5" s="1026">
        <f t="shared" si="7"/>
        <v>45808</v>
      </c>
      <c r="CF5" s="1026">
        <f t="shared" si="7"/>
        <v>45838</v>
      </c>
      <c r="CG5" s="1026">
        <f t="shared" ref="CG5:DJ5" si="8">EDATE(CG4,1)-1</f>
        <v>45869</v>
      </c>
      <c r="CH5" s="1026">
        <f t="shared" si="8"/>
        <v>45900</v>
      </c>
      <c r="CI5" s="1026">
        <f t="shared" si="8"/>
        <v>45930</v>
      </c>
      <c r="CJ5" s="1026">
        <f t="shared" si="8"/>
        <v>45961</v>
      </c>
      <c r="CK5" s="1026">
        <f t="shared" si="8"/>
        <v>45991</v>
      </c>
      <c r="CL5" s="1026">
        <f t="shared" si="8"/>
        <v>46022</v>
      </c>
      <c r="CM5" s="1026">
        <f t="shared" si="8"/>
        <v>46053</v>
      </c>
      <c r="CN5" s="1026">
        <f t="shared" si="8"/>
        <v>46081</v>
      </c>
      <c r="CO5" s="1026">
        <f t="shared" si="8"/>
        <v>46112</v>
      </c>
      <c r="CP5" s="1026">
        <f t="shared" si="8"/>
        <v>46142</v>
      </c>
      <c r="CQ5" s="1026">
        <f t="shared" si="8"/>
        <v>46173</v>
      </c>
      <c r="CR5" s="1026">
        <f t="shared" si="8"/>
        <v>46203</v>
      </c>
      <c r="CS5" s="1026">
        <f t="shared" si="8"/>
        <v>46234</v>
      </c>
      <c r="CT5" s="1026">
        <f t="shared" si="8"/>
        <v>46265</v>
      </c>
      <c r="CU5" s="1026">
        <f t="shared" si="8"/>
        <v>46295</v>
      </c>
      <c r="CV5" s="1026">
        <f t="shared" si="8"/>
        <v>46326</v>
      </c>
      <c r="CW5" s="1026">
        <f t="shared" si="8"/>
        <v>46356</v>
      </c>
      <c r="CX5" s="1026">
        <f t="shared" si="8"/>
        <v>46387</v>
      </c>
      <c r="CY5" s="1026">
        <f t="shared" si="8"/>
        <v>46418</v>
      </c>
      <c r="CZ5" s="1026">
        <f t="shared" si="8"/>
        <v>46446</v>
      </c>
      <c r="DA5" s="1026">
        <f t="shared" si="8"/>
        <v>46477</v>
      </c>
      <c r="DB5" s="1026">
        <f t="shared" si="8"/>
        <v>46507</v>
      </c>
      <c r="DC5" s="1026">
        <f t="shared" si="8"/>
        <v>46538</v>
      </c>
      <c r="DD5" s="1026">
        <f t="shared" si="8"/>
        <v>46568</v>
      </c>
      <c r="DE5" s="1026">
        <f t="shared" si="8"/>
        <v>46599</v>
      </c>
      <c r="DF5" s="1026">
        <f t="shared" si="8"/>
        <v>46630</v>
      </c>
      <c r="DG5" s="1026">
        <f t="shared" si="8"/>
        <v>46660</v>
      </c>
      <c r="DH5" s="1026">
        <f t="shared" si="8"/>
        <v>46691</v>
      </c>
      <c r="DI5" s="1026">
        <f t="shared" si="8"/>
        <v>46721</v>
      </c>
      <c r="DJ5" s="1026">
        <f t="shared" si="8"/>
        <v>46752</v>
      </c>
    </row>
    <row r="6" spans="1:114" hidden="1" outlineLevel="1">
      <c r="B6" s="925" t="s">
        <v>6</v>
      </c>
      <c r="H6" s="926" t="s">
        <v>7</v>
      </c>
      <c r="J6" s="927">
        <v>1</v>
      </c>
      <c r="K6" s="927">
        <f>J6+1</f>
        <v>2</v>
      </c>
      <c r="L6" s="927">
        <f t="shared" ref="L6:Q6" si="9">K6+1</f>
        <v>3</v>
      </c>
      <c r="M6" s="927">
        <f t="shared" si="9"/>
        <v>4</v>
      </c>
      <c r="N6" s="927">
        <f t="shared" si="9"/>
        <v>5</v>
      </c>
      <c r="O6" s="927">
        <f t="shared" si="9"/>
        <v>6</v>
      </c>
      <c r="P6" s="927">
        <f t="shared" si="9"/>
        <v>7</v>
      </c>
      <c r="Q6" s="927">
        <f t="shared" si="9"/>
        <v>8</v>
      </c>
      <c r="S6" s="927">
        <f>J6</f>
        <v>1</v>
      </c>
      <c r="T6" s="927">
        <f>IF(T7=1,S6+1,S6)</f>
        <v>1</v>
      </c>
      <c r="U6" s="927">
        <f t="shared" ref="U6:AZ6" si="10">_xlfn.XMATCH(YEAR(U4),$J$2:$Q$2)</f>
        <v>1</v>
      </c>
      <c r="V6" s="927">
        <f t="shared" si="10"/>
        <v>1</v>
      </c>
      <c r="W6" s="927">
        <f t="shared" si="10"/>
        <v>1</v>
      </c>
      <c r="X6" s="927">
        <f t="shared" si="10"/>
        <v>1</v>
      </c>
      <c r="Y6" s="927">
        <f t="shared" si="10"/>
        <v>1</v>
      </c>
      <c r="Z6" s="927">
        <f t="shared" si="10"/>
        <v>1</v>
      </c>
      <c r="AA6" s="927">
        <f t="shared" si="10"/>
        <v>1</v>
      </c>
      <c r="AB6" s="927">
        <f t="shared" si="10"/>
        <v>1</v>
      </c>
      <c r="AC6" s="927">
        <f t="shared" si="10"/>
        <v>1</v>
      </c>
      <c r="AD6" s="927">
        <f t="shared" si="10"/>
        <v>1</v>
      </c>
      <c r="AE6" s="927">
        <f t="shared" si="10"/>
        <v>2</v>
      </c>
      <c r="AF6" s="927">
        <f t="shared" si="10"/>
        <v>2</v>
      </c>
      <c r="AG6" s="927">
        <f t="shared" si="10"/>
        <v>2</v>
      </c>
      <c r="AH6" s="927">
        <f t="shared" si="10"/>
        <v>2</v>
      </c>
      <c r="AI6" s="927">
        <f t="shared" si="10"/>
        <v>2</v>
      </c>
      <c r="AJ6" s="927">
        <f t="shared" si="10"/>
        <v>2</v>
      </c>
      <c r="AK6" s="927">
        <f t="shared" si="10"/>
        <v>2</v>
      </c>
      <c r="AL6" s="927">
        <f t="shared" si="10"/>
        <v>2</v>
      </c>
      <c r="AM6" s="927">
        <f t="shared" si="10"/>
        <v>2</v>
      </c>
      <c r="AN6" s="927">
        <f t="shared" si="10"/>
        <v>2</v>
      </c>
      <c r="AO6" s="927">
        <f t="shared" si="10"/>
        <v>2</v>
      </c>
      <c r="AP6" s="927">
        <f t="shared" si="10"/>
        <v>2</v>
      </c>
      <c r="AQ6" s="927">
        <f t="shared" si="10"/>
        <v>3</v>
      </c>
      <c r="AR6" s="927">
        <f t="shared" si="10"/>
        <v>3</v>
      </c>
      <c r="AS6" s="927">
        <f t="shared" si="10"/>
        <v>3</v>
      </c>
      <c r="AT6" s="927">
        <f t="shared" si="10"/>
        <v>3</v>
      </c>
      <c r="AU6" s="927">
        <f t="shared" si="10"/>
        <v>3</v>
      </c>
      <c r="AV6" s="927">
        <f t="shared" si="10"/>
        <v>3</v>
      </c>
      <c r="AW6" s="927">
        <f t="shared" si="10"/>
        <v>3</v>
      </c>
      <c r="AX6" s="927">
        <f t="shared" si="10"/>
        <v>3</v>
      </c>
      <c r="AY6" s="927">
        <f t="shared" si="10"/>
        <v>3</v>
      </c>
      <c r="AZ6" s="927">
        <f t="shared" si="10"/>
        <v>3</v>
      </c>
      <c r="BA6" s="927">
        <f t="shared" ref="BA6:CF6" si="11">_xlfn.XMATCH(YEAR(BA4),$J$2:$Q$2)</f>
        <v>3</v>
      </c>
      <c r="BB6" s="927">
        <f t="shared" si="11"/>
        <v>3</v>
      </c>
      <c r="BC6" s="927">
        <f t="shared" si="11"/>
        <v>4</v>
      </c>
      <c r="BD6" s="927">
        <f t="shared" si="11"/>
        <v>4</v>
      </c>
      <c r="BE6" s="927">
        <f t="shared" si="11"/>
        <v>4</v>
      </c>
      <c r="BF6" s="927">
        <f t="shared" si="11"/>
        <v>4</v>
      </c>
      <c r="BG6" s="927">
        <f t="shared" si="11"/>
        <v>4</v>
      </c>
      <c r="BH6" s="927">
        <f t="shared" si="11"/>
        <v>4</v>
      </c>
      <c r="BI6" s="927">
        <f t="shared" si="11"/>
        <v>4</v>
      </c>
      <c r="BJ6" s="927">
        <f t="shared" si="11"/>
        <v>4</v>
      </c>
      <c r="BK6" s="927">
        <f t="shared" si="11"/>
        <v>4</v>
      </c>
      <c r="BL6" s="927">
        <f t="shared" si="11"/>
        <v>4</v>
      </c>
      <c r="BM6" s="927">
        <f t="shared" si="11"/>
        <v>4</v>
      </c>
      <c r="BN6" s="927">
        <f t="shared" si="11"/>
        <v>4</v>
      </c>
      <c r="BO6" s="927">
        <f t="shared" si="11"/>
        <v>5</v>
      </c>
      <c r="BP6" s="927">
        <f t="shared" si="11"/>
        <v>5</v>
      </c>
      <c r="BQ6" s="927">
        <f t="shared" si="11"/>
        <v>5</v>
      </c>
      <c r="BR6" s="927">
        <f t="shared" si="11"/>
        <v>5</v>
      </c>
      <c r="BS6" s="927">
        <f t="shared" si="11"/>
        <v>5</v>
      </c>
      <c r="BT6" s="927">
        <f t="shared" si="11"/>
        <v>5</v>
      </c>
      <c r="BU6" s="927">
        <f t="shared" si="11"/>
        <v>5</v>
      </c>
      <c r="BV6" s="927">
        <f t="shared" si="11"/>
        <v>5</v>
      </c>
      <c r="BW6" s="927">
        <f t="shared" si="11"/>
        <v>5</v>
      </c>
      <c r="BX6" s="927">
        <f t="shared" si="11"/>
        <v>5</v>
      </c>
      <c r="BY6" s="927">
        <f t="shared" si="11"/>
        <v>5</v>
      </c>
      <c r="BZ6" s="927">
        <f t="shared" si="11"/>
        <v>5</v>
      </c>
      <c r="CA6" s="927">
        <f t="shared" si="11"/>
        <v>6</v>
      </c>
      <c r="CB6" s="927">
        <f t="shared" si="11"/>
        <v>6</v>
      </c>
      <c r="CC6" s="927">
        <f t="shared" si="11"/>
        <v>6</v>
      </c>
      <c r="CD6" s="927">
        <f t="shared" si="11"/>
        <v>6</v>
      </c>
      <c r="CE6" s="927">
        <f t="shared" si="11"/>
        <v>6</v>
      </c>
      <c r="CF6" s="927">
        <f t="shared" si="11"/>
        <v>6</v>
      </c>
      <c r="CG6" s="927">
        <f t="shared" ref="CG6:DJ6" si="12">_xlfn.XMATCH(YEAR(CG4),$J$2:$Q$2)</f>
        <v>6</v>
      </c>
      <c r="CH6" s="927">
        <f t="shared" si="12"/>
        <v>6</v>
      </c>
      <c r="CI6" s="927">
        <f t="shared" si="12"/>
        <v>6</v>
      </c>
      <c r="CJ6" s="927">
        <f t="shared" si="12"/>
        <v>6</v>
      </c>
      <c r="CK6" s="927">
        <f t="shared" si="12"/>
        <v>6</v>
      </c>
      <c r="CL6" s="927">
        <f t="shared" si="12"/>
        <v>6</v>
      </c>
      <c r="CM6" s="927">
        <f t="shared" si="12"/>
        <v>7</v>
      </c>
      <c r="CN6" s="927">
        <f t="shared" si="12"/>
        <v>7</v>
      </c>
      <c r="CO6" s="927">
        <f t="shared" si="12"/>
        <v>7</v>
      </c>
      <c r="CP6" s="927">
        <f t="shared" si="12"/>
        <v>7</v>
      </c>
      <c r="CQ6" s="927">
        <f t="shared" si="12"/>
        <v>7</v>
      </c>
      <c r="CR6" s="927">
        <f t="shared" si="12"/>
        <v>7</v>
      </c>
      <c r="CS6" s="927">
        <f t="shared" si="12"/>
        <v>7</v>
      </c>
      <c r="CT6" s="927">
        <f t="shared" si="12"/>
        <v>7</v>
      </c>
      <c r="CU6" s="927">
        <f t="shared" si="12"/>
        <v>7</v>
      </c>
      <c r="CV6" s="927">
        <f t="shared" si="12"/>
        <v>7</v>
      </c>
      <c r="CW6" s="927">
        <f t="shared" si="12"/>
        <v>7</v>
      </c>
      <c r="CX6" s="927">
        <f t="shared" si="12"/>
        <v>7</v>
      </c>
      <c r="CY6" s="927">
        <f t="shared" si="12"/>
        <v>8</v>
      </c>
      <c r="CZ6" s="927">
        <f t="shared" si="12"/>
        <v>8</v>
      </c>
      <c r="DA6" s="927">
        <f t="shared" si="12"/>
        <v>8</v>
      </c>
      <c r="DB6" s="927">
        <f t="shared" si="12"/>
        <v>8</v>
      </c>
      <c r="DC6" s="927">
        <f t="shared" si="12"/>
        <v>8</v>
      </c>
      <c r="DD6" s="927">
        <f t="shared" si="12"/>
        <v>8</v>
      </c>
      <c r="DE6" s="927">
        <f t="shared" si="12"/>
        <v>8</v>
      </c>
      <c r="DF6" s="927">
        <f t="shared" si="12"/>
        <v>8</v>
      </c>
      <c r="DG6" s="927">
        <f t="shared" si="12"/>
        <v>8</v>
      </c>
      <c r="DH6" s="927">
        <f t="shared" si="12"/>
        <v>8</v>
      </c>
      <c r="DI6" s="927">
        <f t="shared" si="12"/>
        <v>8</v>
      </c>
      <c r="DJ6" s="927">
        <f t="shared" si="12"/>
        <v>8</v>
      </c>
    </row>
    <row r="7" spans="1:114" hidden="1" outlineLevel="1">
      <c r="B7" s="925" t="s">
        <v>8</v>
      </c>
      <c r="H7" s="926" t="s">
        <v>7</v>
      </c>
      <c r="J7" s="927">
        <v>1</v>
      </c>
      <c r="K7" s="927">
        <f>J7</f>
        <v>1</v>
      </c>
      <c r="L7" s="927">
        <f t="shared" ref="L7:Q7" si="13">K7</f>
        <v>1</v>
      </c>
      <c r="M7" s="927">
        <f t="shared" si="13"/>
        <v>1</v>
      </c>
      <c r="N7" s="927">
        <f t="shared" si="13"/>
        <v>1</v>
      </c>
      <c r="O7" s="927">
        <f t="shared" si="13"/>
        <v>1</v>
      </c>
      <c r="P7" s="927">
        <f t="shared" si="13"/>
        <v>1</v>
      </c>
      <c r="Q7" s="927">
        <f t="shared" si="13"/>
        <v>1</v>
      </c>
      <c r="S7" s="927">
        <f>J7</f>
        <v>1</v>
      </c>
      <c r="T7" s="927">
        <f>IF(S8=dcMonthsinYear,1,S7+1)</f>
        <v>2</v>
      </c>
      <c r="U7" s="927">
        <f t="shared" ref="U7:CF7" si="14">IF(T8=dcMonthsinYear,1,T7+1)</f>
        <v>3</v>
      </c>
      <c r="V7" s="927">
        <f t="shared" si="14"/>
        <v>4</v>
      </c>
      <c r="W7" s="927">
        <f t="shared" si="14"/>
        <v>5</v>
      </c>
      <c r="X7" s="927">
        <f t="shared" si="14"/>
        <v>6</v>
      </c>
      <c r="Y7" s="927">
        <f t="shared" si="14"/>
        <v>7</v>
      </c>
      <c r="Z7" s="927">
        <f t="shared" si="14"/>
        <v>8</v>
      </c>
      <c r="AA7" s="927">
        <f t="shared" si="14"/>
        <v>9</v>
      </c>
      <c r="AB7" s="927">
        <f t="shared" si="14"/>
        <v>10</v>
      </c>
      <c r="AC7" s="927">
        <f t="shared" si="14"/>
        <v>11</v>
      </c>
      <c r="AD7" s="927">
        <f t="shared" si="14"/>
        <v>12</v>
      </c>
      <c r="AE7" s="927">
        <f t="shared" si="14"/>
        <v>1</v>
      </c>
      <c r="AF7" s="927">
        <f t="shared" si="14"/>
        <v>2</v>
      </c>
      <c r="AG7" s="927">
        <f t="shared" si="14"/>
        <v>3</v>
      </c>
      <c r="AH7" s="927">
        <f t="shared" si="14"/>
        <v>4</v>
      </c>
      <c r="AI7" s="927">
        <f t="shared" si="14"/>
        <v>5</v>
      </c>
      <c r="AJ7" s="927">
        <f t="shared" si="14"/>
        <v>6</v>
      </c>
      <c r="AK7" s="927">
        <f t="shared" si="14"/>
        <v>7</v>
      </c>
      <c r="AL7" s="927">
        <f t="shared" si="14"/>
        <v>8</v>
      </c>
      <c r="AM7" s="927">
        <f t="shared" si="14"/>
        <v>9</v>
      </c>
      <c r="AN7" s="927">
        <f t="shared" si="14"/>
        <v>10</v>
      </c>
      <c r="AO7" s="927">
        <f t="shared" si="14"/>
        <v>11</v>
      </c>
      <c r="AP7" s="927">
        <f t="shared" si="14"/>
        <v>12</v>
      </c>
      <c r="AQ7" s="927">
        <f t="shared" si="14"/>
        <v>13</v>
      </c>
      <c r="AR7" s="927">
        <f t="shared" si="14"/>
        <v>14</v>
      </c>
      <c r="AS7" s="927">
        <f t="shared" si="14"/>
        <v>15</v>
      </c>
      <c r="AT7" s="927">
        <f t="shared" si="14"/>
        <v>16</v>
      </c>
      <c r="AU7" s="927">
        <f t="shared" si="14"/>
        <v>17</v>
      </c>
      <c r="AV7" s="927">
        <f t="shared" si="14"/>
        <v>18</v>
      </c>
      <c r="AW7" s="927">
        <f t="shared" si="14"/>
        <v>19</v>
      </c>
      <c r="AX7" s="927">
        <f t="shared" si="14"/>
        <v>20</v>
      </c>
      <c r="AY7" s="927">
        <f t="shared" si="14"/>
        <v>21</v>
      </c>
      <c r="AZ7" s="927">
        <f t="shared" si="14"/>
        <v>22</v>
      </c>
      <c r="BA7" s="927">
        <f t="shared" si="14"/>
        <v>23</v>
      </c>
      <c r="BB7" s="927">
        <f t="shared" si="14"/>
        <v>24</v>
      </c>
      <c r="BC7" s="927">
        <f t="shared" si="14"/>
        <v>25</v>
      </c>
      <c r="BD7" s="927">
        <f t="shared" si="14"/>
        <v>26</v>
      </c>
      <c r="BE7" s="927">
        <f t="shared" si="14"/>
        <v>27</v>
      </c>
      <c r="BF7" s="927">
        <f t="shared" si="14"/>
        <v>28</v>
      </c>
      <c r="BG7" s="927">
        <f t="shared" si="14"/>
        <v>29</v>
      </c>
      <c r="BH7" s="927">
        <f t="shared" si="14"/>
        <v>30</v>
      </c>
      <c r="BI7" s="927">
        <f t="shared" si="14"/>
        <v>31</v>
      </c>
      <c r="BJ7" s="927">
        <f t="shared" si="14"/>
        <v>32</v>
      </c>
      <c r="BK7" s="927">
        <f t="shared" si="14"/>
        <v>33</v>
      </c>
      <c r="BL7" s="927">
        <f t="shared" si="14"/>
        <v>34</v>
      </c>
      <c r="BM7" s="927">
        <f t="shared" si="14"/>
        <v>35</v>
      </c>
      <c r="BN7" s="927">
        <f t="shared" si="14"/>
        <v>36</v>
      </c>
      <c r="BO7" s="927">
        <f t="shared" si="14"/>
        <v>37</v>
      </c>
      <c r="BP7" s="927">
        <f t="shared" si="14"/>
        <v>38</v>
      </c>
      <c r="BQ7" s="927">
        <f t="shared" si="14"/>
        <v>39</v>
      </c>
      <c r="BR7" s="927">
        <f t="shared" si="14"/>
        <v>40</v>
      </c>
      <c r="BS7" s="927">
        <f t="shared" si="14"/>
        <v>41</v>
      </c>
      <c r="BT7" s="927">
        <f t="shared" si="14"/>
        <v>42</v>
      </c>
      <c r="BU7" s="927">
        <f t="shared" si="14"/>
        <v>43</v>
      </c>
      <c r="BV7" s="927">
        <f t="shared" si="14"/>
        <v>44</v>
      </c>
      <c r="BW7" s="927">
        <f t="shared" si="14"/>
        <v>45</v>
      </c>
      <c r="BX7" s="927">
        <f t="shared" si="14"/>
        <v>46</v>
      </c>
      <c r="BY7" s="927">
        <f t="shared" si="14"/>
        <v>47</v>
      </c>
      <c r="BZ7" s="927">
        <f t="shared" si="14"/>
        <v>48</v>
      </c>
      <c r="CA7" s="927">
        <f t="shared" si="14"/>
        <v>49</v>
      </c>
      <c r="CB7" s="927">
        <f t="shared" si="14"/>
        <v>50</v>
      </c>
      <c r="CC7" s="927">
        <f t="shared" si="14"/>
        <v>51</v>
      </c>
      <c r="CD7" s="927">
        <f t="shared" si="14"/>
        <v>52</v>
      </c>
      <c r="CE7" s="927">
        <f t="shared" si="14"/>
        <v>53</v>
      </c>
      <c r="CF7" s="927">
        <f t="shared" si="14"/>
        <v>54</v>
      </c>
      <c r="CG7" s="927">
        <f t="shared" ref="CG7:CY7" si="15">IF(CF8=dcMonthsinYear,1,CF7+1)</f>
        <v>55</v>
      </c>
      <c r="CH7" s="927">
        <f t="shared" si="15"/>
        <v>56</v>
      </c>
      <c r="CI7" s="927">
        <f t="shared" si="15"/>
        <v>57</v>
      </c>
      <c r="CJ7" s="927">
        <f t="shared" si="15"/>
        <v>58</v>
      </c>
      <c r="CK7" s="927">
        <f t="shared" si="15"/>
        <v>59</v>
      </c>
      <c r="CL7" s="927">
        <f t="shared" si="15"/>
        <v>60</v>
      </c>
      <c r="CM7" s="927">
        <f t="shared" si="15"/>
        <v>61</v>
      </c>
      <c r="CN7" s="927">
        <f t="shared" si="15"/>
        <v>62</v>
      </c>
      <c r="CO7" s="927">
        <f t="shared" si="15"/>
        <v>63</v>
      </c>
      <c r="CP7" s="927">
        <f t="shared" si="15"/>
        <v>64</v>
      </c>
      <c r="CQ7" s="927">
        <f t="shared" si="15"/>
        <v>65</v>
      </c>
      <c r="CR7" s="927">
        <f t="shared" si="15"/>
        <v>66</v>
      </c>
      <c r="CS7" s="927">
        <f t="shared" si="15"/>
        <v>67</v>
      </c>
      <c r="CT7" s="927">
        <f t="shared" si="15"/>
        <v>68</v>
      </c>
      <c r="CU7" s="927">
        <f t="shared" si="15"/>
        <v>69</v>
      </c>
      <c r="CV7" s="927">
        <f t="shared" si="15"/>
        <v>70</v>
      </c>
      <c r="CW7" s="927">
        <f t="shared" si="15"/>
        <v>71</v>
      </c>
      <c r="CX7" s="927">
        <f t="shared" si="15"/>
        <v>72</v>
      </c>
      <c r="CY7" s="927">
        <f t="shared" si="15"/>
        <v>73</v>
      </c>
      <c r="CZ7" s="927">
        <f t="shared" ref="CZ7" si="16">IF(CY8=dcMonthsinYear,1,CY7+1)</f>
        <v>74</v>
      </c>
      <c r="DA7" s="927">
        <f t="shared" ref="DA7" si="17">IF(CZ8=dcMonthsinYear,1,CZ7+1)</f>
        <v>75</v>
      </c>
      <c r="DB7" s="927">
        <f t="shared" ref="DB7" si="18">IF(DA8=dcMonthsinYear,1,DA7+1)</f>
        <v>76</v>
      </c>
      <c r="DC7" s="927">
        <f t="shared" ref="DC7" si="19">IF(DB8=dcMonthsinYear,1,DB7+1)</f>
        <v>77</v>
      </c>
      <c r="DD7" s="927">
        <f t="shared" ref="DD7" si="20">IF(DC8=dcMonthsinYear,1,DC7+1)</f>
        <v>78</v>
      </c>
      <c r="DE7" s="927">
        <f t="shared" ref="DE7" si="21">IF(DD8=dcMonthsinYear,1,DD7+1)</f>
        <v>79</v>
      </c>
      <c r="DF7" s="927">
        <f t="shared" ref="DF7" si="22">IF(DE8=dcMonthsinYear,1,DE7+1)</f>
        <v>80</v>
      </c>
      <c r="DG7" s="927">
        <f t="shared" ref="DG7" si="23">IF(DF8=dcMonthsinYear,1,DF7+1)</f>
        <v>81</v>
      </c>
      <c r="DH7" s="927">
        <f t="shared" ref="DH7" si="24">IF(DG8=dcMonthsinYear,1,DG7+1)</f>
        <v>82</v>
      </c>
      <c r="DI7" s="927">
        <f t="shared" ref="DI7" si="25">IF(DH8=dcMonthsinYear,1,DH7+1)</f>
        <v>83</v>
      </c>
      <c r="DJ7" s="927">
        <f t="shared" ref="DJ7" si="26">IF(DI8=dcMonthsinYear,1,DI7+1)</f>
        <v>84</v>
      </c>
    </row>
    <row r="8" spans="1:114" hidden="1" outlineLevel="1">
      <c r="B8" s="925" t="s">
        <v>9</v>
      </c>
      <c r="H8" s="926" t="s">
        <v>7</v>
      </c>
      <c r="J8" s="927">
        <v>1</v>
      </c>
      <c r="K8" s="927">
        <f>J8+1</f>
        <v>2</v>
      </c>
      <c r="L8" s="927">
        <f t="shared" ref="L8:Q8" si="27">K8+1</f>
        <v>3</v>
      </c>
      <c r="M8" s="927">
        <f t="shared" si="27"/>
        <v>4</v>
      </c>
      <c r="N8" s="927">
        <f t="shared" si="27"/>
        <v>5</v>
      </c>
      <c r="O8" s="927">
        <f t="shared" si="27"/>
        <v>6</v>
      </c>
      <c r="P8" s="927">
        <f t="shared" si="27"/>
        <v>7</v>
      </c>
      <c r="Q8" s="927">
        <f t="shared" si="27"/>
        <v>8</v>
      </c>
      <c r="S8" s="927">
        <f>J8</f>
        <v>1</v>
      </c>
      <c r="T8" s="927">
        <f>S8+1</f>
        <v>2</v>
      </c>
      <c r="U8" s="927">
        <f t="shared" ref="U8:CF8" si="28">T8+1</f>
        <v>3</v>
      </c>
      <c r="V8" s="927">
        <f t="shared" si="28"/>
        <v>4</v>
      </c>
      <c r="W8" s="927">
        <f t="shared" si="28"/>
        <v>5</v>
      </c>
      <c r="X8" s="927">
        <f t="shared" si="28"/>
        <v>6</v>
      </c>
      <c r="Y8" s="927">
        <f t="shared" si="28"/>
        <v>7</v>
      </c>
      <c r="Z8" s="927">
        <f t="shared" si="28"/>
        <v>8</v>
      </c>
      <c r="AA8" s="927">
        <f t="shared" si="28"/>
        <v>9</v>
      </c>
      <c r="AB8" s="927">
        <f t="shared" si="28"/>
        <v>10</v>
      </c>
      <c r="AC8" s="927">
        <f t="shared" si="28"/>
        <v>11</v>
      </c>
      <c r="AD8" s="927">
        <f t="shared" si="28"/>
        <v>12</v>
      </c>
      <c r="AE8" s="927">
        <f t="shared" si="28"/>
        <v>13</v>
      </c>
      <c r="AF8" s="927">
        <f t="shared" si="28"/>
        <v>14</v>
      </c>
      <c r="AG8" s="927">
        <f t="shared" si="28"/>
        <v>15</v>
      </c>
      <c r="AH8" s="927">
        <f t="shared" si="28"/>
        <v>16</v>
      </c>
      <c r="AI8" s="927">
        <f t="shared" si="28"/>
        <v>17</v>
      </c>
      <c r="AJ8" s="927">
        <f t="shared" si="28"/>
        <v>18</v>
      </c>
      <c r="AK8" s="927">
        <f t="shared" si="28"/>
        <v>19</v>
      </c>
      <c r="AL8" s="927">
        <f t="shared" si="28"/>
        <v>20</v>
      </c>
      <c r="AM8" s="927">
        <f t="shared" si="28"/>
        <v>21</v>
      </c>
      <c r="AN8" s="927">
        <f t="shared" si="28"/>
        <v>22</v>
      </c>
      <c r="AO8" s="927">
        <f t="shared" si="28"/>
        <v>23</v>
      </c>
      <c r="AP8" s="927">
        <f t="shared" si="28"/>
        <v>24</v>
      </c>
      <c r="AQ8" s="927">
        <f t="shared" si="28"/>
        <v>25</v>
      </c>
      <c r="AR8" s="927">
        <f t="shared" si="28"/>
        <v>26</v>
      </c>
      <c r="AS8" s="927">
        <f t="shared" si="28"/>
        <v>27</v>
      </c>
      <c r="AT8" s="927">
        <f t="shared" si="28"/>
        <v>28</v>
      </c>
      <c r="AU8" s="927">
        <f t="shared" si="28"/>
        <v>29</v>
      </c>
      <c r="AV8" s="927">
        <f t="shared" si="28"/>
        <v>30</v>
      </c>
      <c r="AW8" s="927">
        <f t="shared" si="28"/>
        <v>31</v>
      </c>
      <c r="AX8" s="927">
        <f t="shared" si="28"/>
        <v>32</v>
      </c>
      <c r="AY8" s="927">
        <f t="shared" si="28"/>
        <v>33</v>
      </c>
      <c r="AZ8" s="927">
        <f t="shared" si="28"/>
        <v>34</v>
      </c>
      <c r="BA8" s="927">
        <f t="shared" si="28"/>
        <v>35</v>
      </c>
      <c r="BB8" s="927">
        <f t="shared" si="28"/>
        <v>36</v>
      </c>
      <c r="BC8" s="927">
        <f t="shared" si="28"/>
        <v>37</v>
      </c>
      <c r="BD8" s="927">
        <f t="shared" si="28"/>
        <v>38</v>
      </c>
      <c r="BE8" s="927">
        <f t="shared" si="28"/>
        <v>39</v>
      </c>
      <c r="BF8" s="927">
        <f t="shared" si="28"/>
        <v>40</v>
      </c>
      <c r="BG8" s="927">
        <f t="shared" si="28"/>
        <v>41</v>
      </c>
      <c r="BH8" s="927">
        <f t="shared" si="28"/>
        <v>42</v>
      </c>
      <c r="BI8" s="927">
        <f t="shared" si="28"/>
        <v>43</v>
      </c>
      <c r="BJ8" s="927">
        <f t="shared" si="28"/>
        <v>44</v>
      </c>
      <c r="BK8" s="927">
        <f t="shared" si="28"/>
        <v>45</v>
      </c>
      <c r="BL8" s="927">
        <f t="shared" si="28"/>
        <v>46</v>
      </c>
      <c r="BM8" s="927">
        <f t="shared" si="28"/>
        <v>47</v>
      </c>
      <c r="BN8" s="927">
        <f t="shared" si="28"/>
        <v>48</v>
      </c>
      <c r="BO8" s="927">
        <f t="shared" si="28"/>
        <v>49</v>
      </c>
      <c r="BP8" s="927">
        <f t="shared" si="28"/>
        <v>50</v>
      </c>
      <c r="BQ8" s="927">
        <f t="shared" si="28"/>
        <v>51</v>
      </c>
      <c r="BR8" s="927">
        <f t="shared" si="28"/>
        <v>52</v>
      </c>
      <c r="BS8" s="927">
        <f t="shared" si="28"/>
        <v>53</v>
      </c>
      <c r="BT8" s="927">
        <f t="shared" si="28"/>
        <v>54</v>
      </c>
      <c r="BU8" s="927">
        <f t="shared" si="28"/>
        <v>55</v>
      </c>
      <c r="BV8" s="927">
        <f t="shared" si="28"/>
        <v>56</v>
      </c>
      <c r="BW8" s="927">
        <f t="shared" si="28"/>
        <v>57</v>
      </c>
      <c r="BX8" s="927">
        <f t="shared" si="28"/>
        <v>58</v>
      </c>
      <c r="BY8" s="927">
        <f t="shared" si="28"/>
        <v>59</v>
      </c>
      <c r="BZ8" s="927">
        <f t="shared" si="28"/>
        <v>60</v>
      </c>
      <c r="CA8" s="927">
        <f t="shared" si="28"/>
        <v>61</v>
      </c>
      <c r="CB8" s="927">
        <f t="shared" si="28"/>
        <v>62</v>
      </c>
      <c r="CC8" s="927">
        <f t="shared" si="28"/>
        <v>63</v>
      </c>
      <c r="CD8" s="927">
        <f t="shared" si="28"/>
        <v>64</v>
      </c>
      <c r="CE8" s="927">
        <f t="shared" si="28"/>
        <v>65</v>
      </c>
      <c r="CF8" s="927">
        <f t="shared" si="28"/>
        <v>66</v>
      </c>
      <c r="CG8" s="927">
        <f t="shared" ref="CG8:DJ8" si="29">CF8+1</f>
        <v>67</v>
      </c>
      <c r="CH8" s="927">
        <f t="shared" si="29"/>
        <v>68</v>
      </c>
      <c r="CI8" s="927">
        <f t="shared" si="29"/>
        <v>69</v>
      </c>
      <c r="CJ8" s="927">
        <f t="shared" si="29"/>
        <v>70</v>
      </c>
      <c r="CK8" s="927">
        <f t="shared" si="29"/>
        <v>71</v>
      </c>
      <c r="CL8" s="927">
        <f t="shared" si="29"/>
        <v>72</v>
      </c>
      <c r="CM8" s="927">
        <f t="shared" si="29"/>
        <v>73</v>
      </c>
      <c r="CN8" s="927">
        <f t="shared" si="29"/>
        <v>74</v>
      </c>
      <c r="CO8" s="927">
        <f t="shared" si="29"/>
        <v>75</v>
      </c>
      <c r="CP8" s="927">
        <f t="shared" si="29"/>
        <v>76</v>
      </c>
      <c r="CQ8" s="927">
        <f t="shared" si="29"/>
        <v>77</v>
      </c>
      <c r="CR8" s="927">
        <f t="shared" si="29"/>
        <v>78</v>
      </c>
      <c r="CS8" s="927">
        <f t="shared" si="29"/>
        <v>79</v>
      </c>
      <c r="CT8" s="927">
        <f t="shared" si="29"/>
        <v>80</v>
      </c>
      <c r="CU8" s="927">
        <f t="shared" si="29"/>
        <v>81</v>
      </c>
      <c r="CV8" s="927">
        <f t="shared" si="29"/>
        <v>82</v>
      </c>
      <c r="CW8" s="927">
        <f t="shared" si="29"/>
        <v>83</v>
      </c>
      <c r="CX8" s="927">
        <f t="shared" si="29"/>
        <v>84</v>
      </c>
      <c r="CY8" s="927">
        <f t="shared" si="29"/>
        <v>85</v>
      </c>
      <c r="CZ8" s="927">
        <f t="shared" si="29"/>
        <v>86</v>
      </c>
      <c r="DA8" s="927">
        <f t="shared" si="29"/>
        <v>87</v>
      </c>
      <c r="DB8" s="927">
        <f t="shared" si="29"/>
        <v>88</v>
      </c>
      <c r="DC8" s="927">
        <f t="shared" si="29"/>
        <v>89</v>
      </c>
      <c r="DD8" s="927">
        <f t="shared" si="29"/>
        <v>90</v>
      </c>
      <c r="DE8" s="927">
        <f t="shared" si="29"/>
        <v>91</v>
      </c>
      <c r="DF8" s="927">
        <f t="shared" si="29"/>
        <v>92</v>
      </c>
      <c r="DG8" s="927">
        <f t="shared" si="29"/>
        <v>93</v>
      </c>
      <c r="DH8" s="927">
        <f t="shared" si="29"/>
        <v>94</v>
      </c>
      <c r="DI8" s="927">
        <f t="shared" si="29"/>
        <v>95</v>
      </c>
      <c r="DJ8" s="927">
        <f t="shared" si="29"/>
        <v>96</v>
      </c>
    </row>
    <row r="9" spans="1:114" hidden="1" outlineLevel="1">
      <c r="B9" s="925" t="s">
        <v>10</v>
      </c>
      <c r="H9" s="926" t="s">
        <v>11</v>
      </c>
      <c r="J9" s="927">
        <f t="shared" ref="J9:Q9" si="30">IF(J3="Actual",1,0)</f>
        <v>1</v>
      </c>
      <c r="K9" s="927">
        <f t="shared" si="30"/>
        <v>1</v>
      </c>
      <c r="L9" s="927">
        <f t="shared" si="30"/>
        <v>0</v>
      </c>
      <c r="M9" s="927">
        <f t="shared" si="30"/>
        <v>0</v>
      </c>
      <c r="N9" s="927">
        <f t="shared" si="30"/>
        <v>0</v>
      </c>
      <c r="O9" s="927">
        <f t="shared" si="30"/>
        <v>0</v>
      </c>
      <c r="P9" s="927">
        <f t="shared" si="30"/>
        <v>0</v>
      </c>
      <c r="Q9" s="927">
        <f t="shared" si="30"/>
        <v>0</v>
      </c>
      <c r="S9" s="927">
        <f t="shared" ref="S9:AX9" si="31">IF(S3="Actual",1,0)</f>
        <v>1</v>
      </c>
      <c r="T9" s="927">
        <f t="shared" si="31"/>
        <v>1</v>
      </c>
      <c r="U9" s="927">
        <f t="shared" si="31"/>
        <v>1</v>
      </c>
      <c r="V9" s="927">
        <f t="shared" si="31"/>
        <v>1</v>
      </c>
      <c r="W9" s="927">
        <f t="shared" si="31"/>
        <v>1</v>
      </c>
      <c r="X9" s="927">
        <f t="shared" si="31"/>
        <v>1</v>
      </c>
      <c r="Y9" s="927">
        <f t="shared" si="31"/>
        <v>1</v>
      </c>
      <c r="Z9" s="927">
        <f t="shared" si="31"/>
        <v>1</v>
      </c>
      <c r="AA9" s="927">
        <f t="shared" si="31"/>
        <v>1</v>
      </c>
      <c r="AB9" s="927">
        <f t="shared" si="31"/>
        <v>1</v>
      </c>
      <c r="AC9" s="927">
        <f t="shared" si="31"/>
        <v>1</v>
      </c>
      <c r="AD9" s="927">
        <f t="shared" si="31"/>
        <v>1</v>
      </c>
      <c r="AE9" s="927">
        <f t="shared" si="31"/>
        <v>1</v>
      </c>
      <c r="AF9" s="927">
        <f t="shared" si="31"/>
        <v>1</v>
      </c>
      <c r="AG9" s="927">
        <f t="shared" si="31"/>
        <v>1</v>
      </c>
      <c r="AH9" s="927">
        <f t="shared" si="31"/>
        <v>1</v>
      </c>
      <c r="AI9" s="927">
        <f t="shared" si="31"/>
        <v>1</v>
      </c>
      <c r="AJ9" s="927">
        <f t="shared" si="31"/>
        <v>1</v>
      </c>
      <c r="AK9" s="927">
        <f t="shared" si="31"/>
        <v>1</v>
      </c>
      <c r="AL9" s="927">
        <f t="shared" si="31"/>
        <v>1</v>
      </c>
      <c r="AM9" s="927">
        <f t="shared" si="31"/>
        <v>1</v>
      </c>
      <c r="AN9" s="927">
        <f t="shared" si="31"/>
        <v>1</v>
      </c>
      <c r="AO9" s="927">
        <f t="shared" si="31"/>
        <v>1</v>
      </c>
      <c r="AP9" s="927">
        <f t="shared" si="31"/>
        <v>1</v>
      </c>
      <c r="AQ9" s="927">
        <f t="shared" si="31"/>
        <v>0</v>
      </c>
      <c r="AR9" s="927">
        <f t="shared" si="31"/>
        <v>0</v>
      </c>
      <c r="AS9" s="927">
        <f t="shared" si="31"/>
        <v>0</v>
      </c>
      <c r="AT9" s="927">
        <f t="shared" si="31"/>
        <v>0</v>
      </c>
      <c r="AU9" s="927">
        <f t="shared" si="31"/>
        <v>0</v>
      </c>
      <c r="AV9" s="927">
        <f t="shared" si="31"/>
        <v>0</v>
      </c>
      <c r="AW9" s="927">
        <f t="shared" si="31"/>
        <v>0</v>
      </c>
      <c r="AX9" s="927">
        <f t="shared" si="31"/>
        <v>0</v>
      </c>
      <c r="AY9" s="927">
        <f t="shared" ref="AY9:CD9" si="32">IF(AY3="Actual",1,0)</f>
        <v>0</v>
      </c>
      <c r="AZ9" s="927">
        <f t="shared" si="32"/>
        <v>0</v>
      </c>
      <c r="BA9" s="927">
        <f t="shared" si="32"/>
        <v>0</v>
      </c>
      <c r="BB9" s="927">
        <f t="shared" si="32"/>
        <v>0</v>
      </c>
      <c r="BC9" s="927">
        <f t="shared" si="32"/>
        <v>0</v>
      </c>
      <c r="BD9" s="927">
        <f t="shared" si="32"/>
        <v>0</v>
      </c>
      <c r="BE9" s="927">
        <f t="shared" si="32"/>
        <v>0</v>
      </c>
      <c r="BF9" s="927">
        <f t="shared" si="32"/>
        <v>0</v>
      </c>
      <c r="BG9" s="927">
        <f t="shared" si="32"/>
        <v>0</v>
      </c>
      <c r="BH9" s="927">
        <f t="shared" si="32"/>
        <v>0</v>
      </c>
      <c r="BI9" s="927">
        <f t="shared" si="32"/>
        <v>0</v>
      </c>
      <c r="BJ9" s="927">
        <f t="shared" si="32"/>
        <v>0</v>
      </c>
      <c r="BK9" s="927">
        <f t="shared" si="32"/>
        <v>0</v>
      </c>
      <c r="BL9" s="927">
        <f t="shared" si="32"/>
        <v>0</v>
      </c>
      <c r="BM9" s="927">
        <f t="shared" si="32"/>
        <v>0</v>
      </c>
      <c r="BN9" s="927">
        <f t="shared" si="32"/>
        <v>0</v>
      </c>
      <c r="BO9" s="927">
        <f t="shared" si="32"/>
        <v>0</v>
      </c>
      <c r="BP9" s="927">
        <f t="shared" si="32"/>
        <v>0</v>
      </c>
      <c r="BQ9" s="927">
        <f t="shared" si="32"/>
        <v>0</v>
      </c>
      <c r="BR9" s="927">
        <f t="shared" si="32"/>
        <v>0</v>
      </c>
      <c r="BS9" s="927">
        <f t="shared" si="32"/>
        <v>0</v>
      </c>
      <c r="BT9" s="927">
        <f t="shared" si="32"/>
        <v>0</v>
      </c>
      <c r="BU9" s="927">
        <f t="shared" si="32"/>
        <v>0</v>
      </c>
      <c r="BV9" s="927">
        <f t="shared" si="32"/>
        <v>0</v>
      </c>
      <c r="BW9" s="927">
        <f t="shared" si="32"/>
        <v>0</v>
      </c>
      <c r="BX9" s="927">
        <f t="shared" si="32"/>
        <v>0</v>
      </c>
      <c r="BY9" s="927">
        <f t="shared" si="32"/>
        <v>0</v>
      </c>
      <c r="BZ9" s="927">
        <f t="shared" si="32"/>
        <v>0</v>
      </c>
      <c r="CA9" s="927">
        <f t="shared" si="32"/>
        <v>0</v>
      </c>
      <c r="CB9" s="927">
        <f t="shared" si="32"/>
        <v>0</v>
      </c>
      <c r="CC9" s="927">
        <f t="shared" si="32"/>
        <v>0</v>
      </c>
      <c r="CD9" s="927">
        <f t="shared" si="32"/>
        <v>0</v>
      </c>
      <c r="CE9" s="927">
        <f t="shared" ref="CE9:DJ9" si="33">IF(CE3="Actual",1,0)</f>
        <v>0</v>
      </c>
      <c r="CF9" s="927">
        <f t="shared" si="33"/>
        <v>0</v>
      </c>
      <c r="CG9" s="927">
        <f t="shared" si="33"/>
        <v>0</v>
      </c>
      <c r="CH9" s="927">
        <f t="shared" si="33"/>
        <v>0</v>
      </c>
      <c r="CI9" s="927">
        <f t="shared" si="33"/>
        <v>0</v>
      </c>
      <c r="CJ9" s="927">
        <f t="shared" si="33"/>
        <v>0</v>
      </c>
      <c r="CK9" s="927">
        <f t="shared" si="33"/>
        <v>0</v>
      </c>
      <c r="CL9" s="927">
        <f t="shared" si="33"/>
        <v>0</v>
      </c>
      <c r="CM9" s="927">
        <f t="shared" si="33"/>
        <v>0</v>
      </c>
      <c r="CN9" s="927">
        <f t="shared" si="33"/>
        <v>0</v>
      </c>
      <c r="CO9" s="927">
        <f t="shared" si="33"/>
        <v>0</v>
      </c>
      <c r="CP9" s="927">
        <f t="shared" si="33"/>
        <v>0</v>
      </c>
      <c r="CQ9" s="927">
        <f t="shared" si="33"/>
        <v>0</v>
      </c>
      <c r="CR9" s="927">
        <f t="shared" si="33"/>
        <v>0</v>
      </c>
      <c r="CS9" s="927">
        <f t="shared" si="33"/>
        <v>0</v>
      </c>
      <c r="CT9" s="927">
        <f t="shared" si="33"/>
        <v>0</v>
      </c>
      <c r="CU9" s="927">
        <f t="shared" si="33"/>
        <v>0</v>
      </c>
      <c r="CV9" s="927">
        <f t="shared" si="33"/>
        <v>0</v>
      </c>
      <c r="CW9" s="927">
        <f t="shared" si="33"/>
        <v>0</v>
      </c>
      <c r="CX9" s="927">
        <f t="shared" si="33"/>
        <v>0</v>
      </c>
      <c r="CY9" s="927">
        <f t="shared" si="33"/>
        <v>0</v>
      </c>
      <c r="CZ9" s="927">
        <f t="shared" si="33"/>
        <v>0</v>
      </c>
      <c r="DA9" s="927">
        <f t="shared" si="33"/>
        <v>0</v>
      </c>
      <c r="DB9" s="927">
        <f t="shared" si="33"/>
        <v>0</v>
      </c>
      <c r="DC9" s="927">
        <f t="shared" si="33"/>
        <v>0</v>
      </c>
      <c r="DD9" s="927">
        <f t="shared" si="33"/>
        <v>0</v>
      </c>
      <c r="DE9" s="927">
        <f t="shared" si="33"/>
        <v>0</v>
      </c>
      <c r="DF9" s="927">
        <f t="shared" si="33"/>
        <v>0</v>
      </c>
      <c r="DG9" s="927">
        <f t="shared" si="33"/>
        <v>0</v>
      </c>
      <c r="DH9" s="927">
        <f t="shared" si="33"/>
        <v>0</v>
      </c>
      <c r="DI9" s="927">
        <f t="shared" si="33"/>
        <v>0</v>
      </c>
      <c r="DJ9" s="927">
        <f t="shared" si="33"/>
        <v>0</v>
      </c>
    </row>
    <row r="10" spans="1:114" hidden="1" outlineLevel="1">
      <c r="B10" s="925" t="s">
        <v>12</v>
      </c>
      <c r="H10" s="926" t="s">
        <v>11</v>
      </c>
      <c r="J10" s="927">
        <f t="shared" ref="J10:Q10" si="34">IF(J3="Budget",1,0)</f>
        <v>0</v>
      </c>
      <c r="K10" s="927">
        <f t="shared" si="34"/>
        <v>0</v>
      </c>
      <c r="L10" s="927">
        <f t="shared" si="34"/>
        <v>1</v>
      </c>
      <c r="M10" s="927">
        <f t="shared" si="34"/>
        <v>0</v>
      </c>
      <c r="N10" s="927">
        <f t="shared" si="34"/>
        <v>0</v>
      </c>
      <c r="O10" s="927">
        <f t="shared" si="34"/>
        <v>0</v>
      </c>
      <c r="P10" s="927">
        <f t="shared" si="34"/>
        <v>0</v>
      </c>
      <c r="Q10" s="927">
        <f t="shared" si="34"/>
        <v>0</v>
      </c>
      <c r="S10" s="927">
        <f t="shared" ref="S10:AX10" si="35">IF(S3="Budget",1,0)</f>
        <v>0</v>
      </c>
      <c r="T10" s="927">
        <f t="shared" si="35"/>
        <v>0</v>
      </c>
      <c r="U10" s="927">
        <f t="shared" si="35"/>
        <v>0</v>
      </c>
      <c r="V10" s="927">
        <f t="shared" si="35"/>
        <v>0</v>
      </c>
      <c r="W10" s="927">
        <f t="shared" si="35"/>
        <v>0</v>
      </c>
      <c r="X10" s="927">
        <f t="shared" si="35"/>
        <v>0</v>
      </c>
      <c r="Y10" s="927">
        <f t="shared" si="35"/>
        <v>0</v>
      </c>
      <c r="Z10" s="927">
        <f t="shared" si="35"/>
        <v>0</v>
      </c>
      <c r="AA10" s="927">
        <f t="shared" si="35"/>
        <v>0</v>
      </c>
      <c r="AB10" s="927">
        <f t="shared" si="35"/>
        <v>0</v>
      </c>
      <c r="AC10" s="927">
        <f t="shared" si="35"/>
        <v>0</v>
      </c>
      <c r="AD10" s="927">
        <f t="shared" si="35"/>
        <v>0</v>
      </c>
      <c r="AE10" s="927">
        <f t="shared" si="35"/>
        <v>0</v>
      </c>
      <c r="AF10" s="927">
        <f t="shared" si="35"/>
        <v>0</v>
      </c>
      <c r="AG10" s="927">
        <f t="shared" si="35"/>
        <v>0</v>
      </c>
      <c r="AH10" s="927">
        <f t="shared" si="35"/>
        <v>0</v>
      </c>
      <c r="AI10" s="927">
        <f t="shared" si="35"/>
        <v>0</v>
      </c>
      <c r="AJ10" s="927">
        <f t="shared" si="35"/>
        <v>0</v>
      </c>
      <c r="AK10" s="927">
        <f t="shared" si="35"/>
        <v>0</v>
      </c>
      <c r="AL10" s="927">
        <f t="shared" si="35"/>
        <v>0</v>
      </c>
      <c r="AM10" s="927">
        <f t="shared" si="35"/>
        <v>0</v>
      </c>
      <c r="AN10" s="927">
        <f t="shared" si="35"/>
        <v>0</v>
      </c>
      <c r="AO10" s="927">
        <f t="shared" si="35"/>
        <v>0</v>
      </c>
      <c r="AP10" s="927">
        <f t="shared" si="35"/>
        <v>0</v>
      </c>
      <c r="AQ10" s="927">
        <f t="shared" si="35"/>
        <v>1</v>
      </c>
      <c r="AR10" s="927">
        <f t="shared" si="35"/>
        <v>1</v>
      </c>
      <c r="AS10" s="927">
        <f t="shared" si="35"/>
        <v>1</v>
      </c>
      <c r="AT10" s="927">
        <f t="shared" si="35"/>
        <v>1</v>
      </c>
      <c r="AU10" s="927">
        <f t="shared" si="35"/>
        <v>1</v>
      </c>
      <c r="AV10" s="927">
        <f t="shared" si="35"/>
        <v>1</v>
      </c>
      <c r="AW10" s="927">
        <f t="shared" si="35"/>
        <v>1</v>
      </c>
      <c r="AX10" s="927">
        <f t="shared" si="35"/>
        <v>1</v>
      </c>
      <c r="AY10" s="927">
        <f t="shared" ref="AY10:CD10" si="36">IF(AY3="Budget",1,0)</f>
        <v>1</v>
      </c>
      <c r="AZ10" s="927">
        <f t="shared" si="36"/>
        <v>1</v>
      </c>
      <c r="BA10" s="927">
        <f t="shared" si="36"/>
        <v>1</v>
      </c>
      <c r="BB10" s="927">
        <f t="shared" si="36"/>
        <v>1</v>
      </c>
      <c r="BC10" s="927">
        <f t="shared" si="36"/>
        <v>0</v>
      </c>
      <c r="BD10" s="927">
        <f t="shared" si="36"/>
        <v>0</v>
      </c>
      <c r="BE10" s="927">
        <f t="shared" si="36"/>
        <v>0</v>
      </c>
      <c r="BF10" s="927">
        <f t="shared" si="36"/>
        <v>0</v>
      </c>
      <c r="BG10" s="927">
        <f t="shared" si="36"/>
        <v>0</v>
      </c>
      <c r="BH10" s="927">
        <f t="shared" si="36"/>
        <v>0</v>
      </c>
      <c r="BI10" s="927">
        <f t="shared" si="36"/>
        <v>0</v>
      </c>
      <c r="BJ10" s="927">
        <f t="shared" si="36"/>
        <v>0</v>
      </c>
      <c r="BK10" s="927">
        <f t="shared" si="36"/>
        <v>0</v>
      </c>
      <c r="BL10" s="927">
        <f t="shared" si="36"/>
        <v>0</v>
      </c>
      <c r="BM10" s="927">
        <f t="shared" si="36"/>
        <v>0</v>
      </c>
      <c r="BN10" s="927">
        <f t="shared" si="36"/>
        <v>0</v>
      </c>
      <c r="BO10" s="927">
        <f t="shared" si="36"/>
        <v>0</v>
      </c>
      <c r="BP10" s="927">
        <f t="shared" si="36"/>
        <v>0</v>
      </c>
      <c r="BQ10" s="927">
        <f t="shared" si="36"/>
        <v>0</v>
      </c>
      <c r="BR10" s="927">
        <f t="shared" si="36"/>
        <v>0</v>
      </c>
      <c r="BS10" s="927">
        <f t="shared" si="36"/>
        <v>0</v>
      </c>
      <c r="BT10" s="927">
        <f t="shared" si="36"/>
        <v>0</v>
      </c>
      <c r="BU10" s="927">
        <f t="shared" si="36"/>
        <v>0</v>
      </c>
      <c r="BV10" s="927">
        <f t="shared" si="36"/>
        <v>0</v>
      </c>
      <c r="BW10" s="927">
        <f t="shared" si="36"/>
        <v>0</v>
      </c>
      <c r="BX10" s="927">
        <f t="shared" si="36"/>
        <v>0</v>
      </c>
      <c r="BY10" s="927">
        <f t="shared" si="36"/>
        <v>0</v>
      </c>
      <c r="BZ10" s="927">
        <f t="shared" si="36"/>
        <v>0</v>
      </c>
      <c r="CA10" s="927">
        <f t="shared" si="36"/>
        <v>0</v>
      </c>
      <c r="CB10" s="927">
        <f t="shared" si="36"/>
        <v>0</v>
      </c>
      <c r="CC10" s="927">
        <f t="shared" si="36"/>
        <v>0</v>
      </c>
      <c r="CD10" s="927">
        <f t="shared" si="36"/>
        <v>0</v>
      </c>
      <c r="CE10" s="927">
        <f t="shared" ref="CE10:DJ10" si="37">IF(CE3="Budget",1,0)</f>
        <v>0</v>
      </c>
      <c r="CF10" s="927">
        <f t="shared" si="37"/>
        <v>0</v>
      </c>
      <c r="CG10" s="927">
        <f t="shared" si="37"/>
        <v>0</v>
      </c>
      <c r="CH10" s="927">
        <f t="shared" si="37"/>
        <v>0</v>
      </c>
      <c r="CI10" s="927">
        <f t="shared" si="37"/>
        <v>0</v>
      </c>
      <c r="CJ10" s="927">
        <f t="shared" si="37"/>
        <v>0</v>
      </c>
      <c r="CK10" s="927">
        <f t="shared" si="37"/>
        <v>0</v>
      </c>
      <c r="CL10" s="927">
        <f t="shared" si="37"/>
        <v>0</v>
      </c>
      <c r="CM10" s="927">
        <f t="shared" si="37"/>
        <v>0</v>
      </c>
      <c r="CN10" s="927">
        <f t="shared" si="37"/>
        <v>0</v>
      </c>
      <c r="CO10" s="927">
        <f t="shared" si="37"/>
        <v>0</v>
      </c>
      <c r="CP10" s="927">
        <f t="shared" si="37"/>
        <v>0</v>
      </c>
      <c r="CQ10" s="927">
        <f t="shared" si="37"/>
        <v>0</v>
      </c>
      <c r="CR10" s="927">
        <f t="shared" si="37"/>
        <v>0</v>
      </c>
      <c r="CS10" s="927">
        <f t="shared" si="37"/>
        <v>0</v>
      </c>
      <c r="CT10" s="927">
        <f t="shared" si="37"/>
        <v>0</v>
      </c>
      <c r="CU10" s="927">
        <f t="shared" si="37"/>
        <v>0</v>
      </c>
      <c r="CV10" s="927">
        <f t="shared" si="37"/>
        <v>0</v>
      </c>
      <c r="CW10" s="927">
        <f t="shared" si="37"/>
        <v>0</v>
      </c>
      <c r="CX10" s="927">
        <f t="shared" si="37"/>
        <v>0</v>
      </c>
      <c r="CY10" s="927">
        <f t="shared" si="37"/>
        <v>0</v>
      </c>
      <c r="CZ10" s="927">
        <f t="shared" si="37"/>
        <v>0</v>
      </c>
      <c r="DA10" s="927">
        <f t="shared" si="37"/>
        <v>0</v>
      </c>
      <c r="DB10" s="927">
        <f t="shared" si="37"/>
        <v>0</v>
      </c>
      <c r="DC10" s="927">
        <f t="shared" si="37"/>
        <v>0</v>
      </c>
      <c r="DD10" s="927">
        <f t="shared" si="37"/>
        <v>0</v>
      </c>
      <c r="DE10" s="927">
        <f t="shared" si="37"/>
        <v>0</v>
      </c>
      <c r="DF10" s="927">
        <f t="shared" si="37"/>
        <v>0</v>
      </c>
      <c r="DG10" s="927">
        <f t="shared" si="37"/>
        <v>0</v>
      </c>
      <c r="DH10" s="927">
        <f t="shared" si="37"/>
        <v>0</v>
      </c>
      <c r="DI10" s="927">
        <f t="shared" si="37"/>
        <v>0</v>
      </c>
      <c r="DJ10" s="927">
        <f t="shared" si="37"/>
        <v>0</v>
      </c>
    </row>
    <row r="11" spans="1:114" hidden="1" outlineLevel="1">
      <c r="B11" s="925" t="s">
        <v>13</v>
      </c>
      <c r="H11" s="926" t="s">
        <v>11</v>
      </c>
      <c r="J11" s="927">
        <f t="shared" ref="J11:Q11" si="38">IF(J3="Forecast",1,0)</f>
        <v>0</v>
      </c>
      <c r="K11" s="927">
        <f t="shared" si="38"/>
        <v>0</v>
      </c>
      <c r="L11" s="927">
        <f t="shared" si="38"/>
        <v>0</v>
      </c>
      <c r="M11" s="927">
        <f t="shared" si="38"/>
        <v>1</v>
      </c>
      <c r="N11" s="927">
        <f t="shared" si="38"/>
        <v>1</v>
      </c>
      <c r="O11" s="927">
        <f t="shared" si="38"/>
        <v>1</v>
      </c>
      <c r="P11" s="927">
        <f t="shared" si="38"/>
        <v>1</v>
      </c>
      <c r="Q11" s="927">
        <f t="shared" si="38"/>
        <v>1</v>
      </c>
      <c r="S11" s="927">
        <f t="shared" ref="S11:AX11" si="39">IF(S3="Forecast",1,0)</f>
        <v>0</v>
      </c>
      <c r="T11" s="927">
        <f t="shared" si="39"/>
        <v>0</v>
      </c>
      <c r="U11" s="927">
        <f t="shared" si="39"/>
        <v>0</v>
      </c>
      <c r="V11" s="927">
        <f t="shared" si="39"/>
        <v>0</v>
      </c>
      <c r="W11" s="927">
        <f t="shared" si="39"/>
        <v>0</v>
      </c>
      <c r="X11" s="927">
        <f t="shared" si="39"/>
        <v>0</v>
      </c>
      <c r="Y11" s="927">
        <f t="shared" si="39"/>
        <v>0</v>
      </c>
      <c r="Z11" s="927">
        <f t="shared" si="39"/>
        <v>0</v>
      </c>
      <c r="AA11" s="927">
        <f t="shared" si="39"/>
        <v>0</v>
      </c>
      <c r="AB11" s="927">
        <f t="shared" si="39"/>
        <v>0</v>
      </c>
      <c r="AC11" s="927">
        <f t="shared" si="39"/>
        <v>0</v>
      </c>
      <c r="AD11" s="927">
        <f t="shared" si="39"/>
        <v>0</v>
      </c>
      <c r="AE11" s="927">
        <f t="shared" si="39"/>
        <v>0</v>
      </c>
      <c r="AF11" s="927">
        <f t="shared" si="39"/>
        <v>0</v>
      </c>
      <c r="AG11" s="927">
        <f t="shared" si="39"/>
        <v>0</v>
      </c>
      <c r="AH11" s="927">
        <f t="shared" si="39"/>
        <v>0</v>
      </c>
      <c r="AI11" s="927">
        <f t="shared" si="39"/>
        <v>0</v>
      </c>
      <c r="AJ11" s="927">
        <f t="shared" si="39"/>
        <v>0</v>
      </c>
      <c r="AK11" s="927">
        <f t="shared" si="39"/>
        <v>0</v>
      </c>
      <c r="AL11" s="927">
        <f t="shared" si="39"/>
        <v>0</v>
      </c>
      <c r="AM11" s="927">
        <f t="shared" si="39"/>
        <v>0</v>
      </c>
      <c r="AN11" s="927">
        <f t="shared" si="39"/>
        <v>0</v>
      </c>
      <c r="AO11" s="927">
        <f t="shared" si="39"/>
        <v>0</v>
      </c>
      <c r="AP11" s="927">
        <f t="shared" si="39"/>
        <v>0</v>
      </c>
      <c r="AQ11" s="927">
        <f t="shared" si="39"/>
        <v>0</v>
      </c>
      <c r="AR11" s="927">
        <f t="shared" si="39"/>
        <v>0</v>
      </c>
      <c r="AS11" s="927">
        <f t="shared" si="39"/>
        <v>0</v>
      </c>
      <c r="AT11" s="927">
        <f t="shared" si="39"/>
        <v>0</v>
      </c>
      <c r="AU11" s="927">
        <f t="shared" si="39"/>
        <v>0</v>
      </c>
      <c r="AV11" s="927">
        <f t="shared" si="39"/>
        <v>0</v>
      </c>
      <c r="AW11" s="927">
        <f t="shared" si="39"/>
        <v>0</v>
      </c>
      <c r="AX11" s="927">
        <f t="shared" si="39"/>
        <v>0</v>
      </c>
      <c r="AY11" s="927">
        <f t="shared" ref="AY11:CD11" si="40">IF(AY3="Forecast",1,0)</f>
        <v>0</v>
      </c>
      <c r="AZ11" s="927">
        <f t="shared" si="40"/>
        <v>0</v>
      </c>
      <c r="BA11" s="927">
        <f t="shared" si="40"/>
        <v>0</v>
      </c>
      <c r="BB11" s="927">
        <f t="shared" si="40"/>
        <v>0</v>
      </c>
      <c r="BC11" s="927">
        <f t="shared" si="40"/>
        <v>1</v>
      </c>
      <c r="BD11" s="927">
        <f t="shared" si="40"/>
        <v>1</v>
      </c>
      <c r="BE11" s="927">
        <f t="shared" si="40"/>
        <v>1</v>
      </c>
      <c r="BF11" s="927">
        <f t="shared" si="40"/>
        <v>1</v>
      </c>
      <c r="BG11" s="927">
        <f t="shared" si="40"/>
        <v>1</v>
      </c>
      <c r="BH11" s="927">
        <f t="shared" si="40"/>
        <v>1</v>
      </c>
      <c r="BI11" s="927">
        <f t="shared" si="40"/>
        <v>1</v>
      </c>
      <c r="BJ11" s="927">
        <f t="shared" si="40"/>
        <v>1</v>
      </c>
      <c r="BK11" s="927">
        <f t="shared" si="40"/>
        <v>1</v>
      </c>
      <c r="BL11" s="927">
        <f t="shared" si="40"/>
        <v>1</v>
      </c>
      <c r="BM11" s="927">
        <f t="shared" si="40"/>
        <v>1</v>
      </c>
      <c r="BN11" s="927">
        <f t="shared" si="40"/>
        <v>1</v>
      </c>
      <c r="BO11" s="927">
        <f t="shared" si="40"/>
        <v>1</v>
      </c>
      <c r="BP11" s="927">
        <f t="shared" si="40"/>
        <v>1</v>
      </c>
      <c r="BQ11" s="927">
        <f t="shared" si="40"/>
        <v>1</v>
      </c>
      <c r="BR11" s="927">
        <f t="shared" si="40"/>
        <v>1</v>
      </c>
      <c r="BS11" s="927">
        <f t="shared" si="40"/>
        <v>1</v>
      </c>
      <c r="BT11" s="927">
        <f t="shared" si="40"/>
        <v>1</v>
      </c>
      <c r="BU11" s="927">
        <f t="shared" si="40"/>
        <v>1</v>
      </c>
      <c r="BV11" s="927">
        <f t="shared" si="40"/>
        <v>1</v>
      </c>
      <c r="BW11" s="927">
        <f t="shared" si="40"/>
        <v>1</v>
      </c>
      <c r="BX11" s="927">
        <f t="shared" si="40"/>
        <v>1</v>
      </c>
      <c r="BY11" s="927">
        <f t="shared" si="40"/>
        <v>1</v>
      </c>
      <c r="BZ11" s="927">
        <f t="shared" si="40"/>
        <v>1</v>
      </c>
      <c r="CA11" s="927">
        <f t="shared" si="40"/>
        <v>1</v>
      </c>
      <c r="CB11" s="927">
        <f t="shared" si="40"/>
        <v>1</v>
      </c>
      <c r="CC11" s="927">
        <f t="shared" si="40"/>
        <v>1</v>
      </c>
      <c r="CD11" s="927">
        <f t="shared" si="40"/>
        <v>1</v>
      </c>
      <c r="CE11" s="927">
        <f t="shared" ref="CE11:DJ11" si="41">IF(CE3="Forecast",1,0)</f>
        <v>1</v>
      </c>
      <c r="CF11" s="927">
        <f t="shared" si="41"/>
        <v>1</v>
      </c>
      <c r="CG11" s="927">
        <f t="shared" si="41"/>
        <v>1</v>
      </c>
      <c r="CH11" s="927">
        <f t="shared" si="41"/>
        <v>1</v>
      </c>
      <c r="CI11" s="927">
        <f t="shared" si="41"/>
        <v>1</v>
      </c>
      <c r="CJ11" s="927">
        <f t="shared" si="41"/>
        <v>1</v>
      </c>
      <c r="CK11" s="927">
        <f t="shared" si="41"/>
        <v>1</v>
      </c>
      <c r="CL11" s="927">
        <f t="shared" si="41"/>
        <v>1</v>
      </c>
      <c r="CM11" s="927">
        <f t="shared" si="41"/>
        <v>1</v>
      </c>
      <c r="CN11" s="927">
        <f t="shared" si="41"/>
        <v>1</v>
      </c>
      <c r="CO11" s="927">
        <f t="shared" si="41"/>
        <v>1</v>
      </c>
      <c r="CP11" s="927">
        <f t="shared" si="41"/>
        <v>1</v>
      </c>
      <c r="CQ11" s="927">
        <f t="shared" si="41"/>
        <v>1</v>
      </c>
      <c r="CR11" s="927">
        <f t="shared" si="41"/>
        <v>1</v>
      </c>
      <c r="CS11" s="927">
        <f t="shared" si="41"/>
        <v>1</v>
      </c>
      <c r="CT11" s="927">
        <f t="shared" si="41"/>
        <v>1</v>
      </c>
      <c r="CU11" s="927">
        <f t="shared" si="41"/>
        <v>1</v>
      </c>
      <c r="CV11" s="927">
        <f t="shared" si="41"/>
        <v>1</v>
      </c>
      <c r="CW11" s="927">
        <f t="shared" si="41"/>
        <v>1</v>
      </c>
      <c r="CX11" s="927">
        <f t="shared" si="41"/>
        <v>1</v>
      </c>
      <c r="CY11" s="927">
        <f t="shared" si="41"/>
        <v>1</v>
      </c>
      <c r="CZ11" s="927">
        <f t="shared" si="41"/>
        <v>1</v>
      </c>
      <c r="DA11" s="927">
        <f t="shared" si="41"/>
        <v>1</v>
      </c>
      <c r="DB11" s="927">
        <f t="shared" si="41"/>
        <v>1</v>
      </c>
      <c r="DC11" s="927">
        <f t="shared" si="41"/>
        <v>1</v>
      </c>
      <c r="DD11" s="927">
        <f t="shared" si="41"/>
        <v>1</v>
      </c>
      <c r="DE11" s="927">
        <f t="shared" si="41"/>
        <v>1</v>
      </c>
      <c r="DF11" s="927">
        <f t="shared" si="41"/>
        <v>1</v>
      </c>
      <c r="DG11" s="927">
        <f t="shared" si="41"/>
        <v>1</v>
      </c>
      <c r="DH11" s="927">
        <f t="shared" si="41"/>
        <v>1</v>
      </c>
      <c r="DI11" s="927">
        <f t="shared" si="41"/>
        <v>1</v>
      </c>
      <c r="DJ11" s="927">
        <f t="shared" si="41"/>
        <v>1</v>
      </c>
    </row>
    <row r="12" spans="1:114" hidden="1" outlineLevel="1">
      <c r="B12" s="925" t="s">
        <v>14</v>
      </c>
      <c r="H12" s="926" t="s">
        <v>11</v>
      </c>
      <c r="J12" s="927">
        <f>IF(SUM(J9:J10)&gt;0,1,0)</f>
        <v>1</v>
      </c>
      <c r="K12" s="927">
        <f t="shared" ref="K12:BU12" si="42">IF(SUM(K9:K10)&gt;0,1,0)</f>
        <v>1</v>
      </c>
      <c r="L12" s="927">
        <f t="shared" si="42"/>
        <v>1</v>
      </c>
      <c r="M12" s="927">
        <f t="shared" si="42"/>
        <v>0</v>
      </c>
      <c r="N12" s="927">
        <f t="shared" si="42"/>
        <v>0</v>
      </c>
      <c r="O12" s="927">
        <f t="shared" si="42"/>
        <v>0</v>
      </c>
      <c r="P12" s="927">
        <f t="shared" si="42"/>
        <v>0</v>
      </c>
      <c r="Q12" s="927">
        <f t="shared" si="42"/>
        <v>0</v>
      </c>
      <c r="S12" s="927">
        <f t="shared" si="42"/>
        <v>1</v>
      </c>
      <c r="T12" s="927">
        <f t="shared" si="42"/>
        <v>1</v>
      </c>
      <c r="U12" s="927">
        <f t="shared" si="42"/>
        <v>1</v>
      </c>
      <c r="V12" s="927">
        <f t="shared" si="42"/>
        <v>1</v>
      </c>
      <c r="W12" s="927">
        <f t="shared" si="42"/>
        <v>1</v>
      </c>
      <c r="X12" s="927">
        <f t="shared" si="42"/>
        <v>1</v>
      </c>
      <c r="Y12" s="927">
        <f t="shared" si="42"/>
        <v>1</v>
      </c>
      <c r="Z12" s="927">
        <f t="shared" si="42"/>
        <v>1</v>
      </c>
      <c r="AA12" s="927">
        <f t="shared" si="42"/>
        <v>1</v>
      </c>
      <c r="AB12" s="927">
        <f t="shared" si="42"/>
        <v>1</v>
      </c>
      <c r="AC12" s="927">
        <f t="shared" si="42"/>
        <v>1</v>
      </c>
      <c r="AD12" s="927">
        <f t="shared" si="42"/>
        <v>1</v>
      </c>
      <c r="AE12" s="927">
        <f t="shared" si="42"/>
        <v>1</v>
      </c>
      <c r="AF12" s="927">
        <f t="shared" si="42"/>
        <v>1</v>
      </c>
      <c r="AG12" s="927">
        <f t="shared" si="42"/>
        <v>1</v>
      </c>
      <c r="AH12" s="927">
        <f t="shared" si="42"/>
        <v>1</v>
      </c>
      <c r="AI12" s="927">
        <f t="shared" si="42"/>
        <v>1</v>
      </c>
      <c r="AJ12" s="927">
        <f t="shared" si="42"/>
        <v>1</v>
      </c>
      <c r="AK12" s="927">
        <f t="shared" si="42"/>
        <v>1</v>
      </c>
      <c r="AL12" s="927">
        <f t="shared" si="42"/>
        <v>1</v>
      </c>
      <c r="AM12" s="927">
        <f t="shared" si="42"/>
        <v>1</v>
      </c>
      <c r="AN12" s="927">
        <f t="shared" si="42"/>
        <v>1</v>
      </c>
      <c r="AO12" s="927">
        <f t="shared" si="42"/>
        <v>1</v>
      </c>
      <c r="AP12" s="927">
        <f t="shared" si="42"/>
        <v>1</v>
      </c>
      <c r="AQ12" s="927">
        <f t="shared" si="42"/>
        <v>1</v>
      </c>
      <c r="AR12" s="927">
        <f t="shared" si="42"/>
        <v>1</v>
      </c>
      <c r="AS12" s="927">
        <f t="shared" si="42"/>
        <v>1</v>
      </c>
      <c r="AT12" s="927">
        <f t="shared" si="42"/>
        <v>1</v>
      </c>
      <c r="AU12" s="927">
        <f t="shared" si="42"/>
        <v>1</v>
      </c>
      <c r="AV12" s="927">
        <f t="shared" si="42"/>
        <v>1</v>
      </c>
      <c r="AW12" s="927">
        <f t="shared" si="42"/>
        <v>1</v>
      </c>
      <c r="AX12" s="927">
        <f t="shared" si="42"/>
        <v>1</v>
      </c>
      <c r="AY12" s="927">
        <f t="shared" si="42"/>
        <v>1</v>
      </c>
      <c r="AZ12" s="927">
        <f t="shared" si="42"/>
        <v>1</v>
      </c>
      <c r="BA12" s="927">
        <f t="shared" si="42"/>
        <v>1</v>
      </c>
      <c r="BB12" s="927">
        <f t="shared" si="42"/>
        <v>1</v>
      </c>
      <c r="BC12" s="927">
        <f t="shared" si="42"/>
        <v>0</v>
      </c>
      <c r="BD12" s="927">
        <f t="shared" si="42"/>
        <v>0</v>
      </c>
      <c r="BE12" s="927">
        <f t="shared" si="42"/>
        <v>0</v>
      </c>
      <c r="BF12" s="927">
        <f t="shared" si="42"/>
        <v>0</v>
      </c>
      <c r="BG12" s="927">
        <f t="shared" si="42"/>
        <v>0</v>
      </c>
      <c r="BH12" s="927">
        <f t="shared" si="42"/>
        <v>0</v>
      </c>
      <c r="BI12" s="927">
        <f t="shared" si="42"/>
        <v>0</v>
      </c>
      <c r="BJ12" s="927">
        <f t="shared" si="42"/>
        <v>0</v>
      </c>
      <c r="BK12" s="927">
        <f t="shared" si="42"/>
        <v>0</v>
      </c>
      <c r="BL12" s="927">
        <f t="shared" si="42"/>
        <v>0</v>
      </c>
      <c r="BM12" s="927">
        <f t="shared" si="42"/>
        <v>0</v>
      </c>
      <c r="BN12" s="927">
        <f t="shared" si="42"/>
        <v>0</v>
      </c>
      <c r="BO12" s="927">
        <f t="shared" si="42"/>
        <v>0</v>
      </c>
      <c r="BP12" s="927">
        <f t="shared" si="42"/>
        <v>0</v>
      </c>
      <c r="BQ12" s="927">
        <f t="shared" si="42"/>
        <v>0</v>
      </c>
      <c r="BR12" s="927">
        <f t="shared" si="42"/>
        <v>0</v>
      </c>
      <c r="BS12" s="927">
        <f t="shared" si="42"/>
        <v>0</v>
      </c>
      <c r="BT12" s="927">
        <f t="shared" si="42"/>
        <v>0</v>
      </c>
      <c r="BU12" s="927">
        <f t="shared" si="42"/>
        <v>0</v>
      </c>
      <c r="BV12" s="927">
        <f t="shared" ref="BV12:DJ12" si="43">IF(SUM(BV9:BV10)&gt;0,1,0)</f>
        <v>0</v>
      </c>
      <c r="BW12" s="927">
        <f t="shared" si="43"/>
        <v>0</v>
      </c>
      <c r="BX12" s="927">
        <f t="shared" si="43"/>
        <v>0</v>
      </c>
      <c r="BY12" s="927">
        <f t="shared" si="43"/>
        <v>0</v>
      </c>
      <c r="BZ12" s="927">
        <f t="shared" si="43"/>
        <v>0</v>
      </c>
      <c r="CA12" s="927">
        <f t="shared" si="43"/>
        <v>0</v>
      </c>
      <c r="CB12" s="927">
        <f t="shared" si="43"/>
        <v>0</v>
      </c>
      <c r="CC12" s="927">
        <f t="shared" si="43"/>
        <v>0</v>
      </c>
      <c r="CD12" s="927">
        <f t="shared" si="43"/>
        <v>0</v>
      </c>
      <c r="CE12" s="927">
        <f t="shared" si="43"/>
        <v>0</v>
      </c>
      <c r="CF12" s="927">
        <f t="shared" si="43"/>
        <v>0</v>
      </c>
      <c r="CG12" s="927">
        <f t="shared" si="43"/>
        <v>0</v>
      </c>
      <c r="CH12" s="927">
        <f t="shared" si="43"/>
        <v>0</v>
      </c>
      <c r="CI12" s="927">
        <f t="shared" si="43"/>
        <v>0</v>
      </c>
      <c r="CJ12" s="927">
        <f t="shared" si="43"/>
        <v>0</v>
      </c>
      <c r="CK12" s="927">
        <f t="shared" si="43"/>
        <v>0</v>
      </c>
      <c r="CL12" s="927">
        <f t="shared" si="43"/>
        <v>0</v>
      </c>
      <c r="CM12" s="927">
        <f t="shared" si="43"/>
        <v>0</v>
      </c>
      <c r="CN12" s="927">
        <f t="shared" si="43"/>
        <v>0</v>
      </c>
      <c r="CO12" s="927">
        <f t="shared" si="43"/>
        <v>0</v>
      </c>
      <c r="CP12" s="927">
        <f t="shared" si="43"/>
        <v>0</v>
      </c>
      <c r="CQ12" s="927">
        <f t="shared" si="43"/>
        <v>0</v>
      </c>
      <c r="CR12" s="927">
        <f t="shared" si="43"/>
        <v>0</v>
      </c>
      <c r="CS12" s="927">
        <f t="shared" si="43"/>
        <v>0</v>
      </c>
      <c r="CT12" s="927">
        <f t="shared" si="43"/>
        <v>0</v>
      </c>
      <c r="CU12" s="927">
        <f t="shared" si="43"/>
        <v>0</v>
      </c>
      <c r="CV12" s="927">
        <f t="shared" si="43"/>
        <v>0</v>
      </c>
      <c r="CW12" s="927">
        <f t="shared" si="43"/>
        <v>0</v>
      </c>
      <c r="CX12" s="927">
        <f t="shared" si="43"/>
        <v>0</v>
      </c>
      <c r="CY12" s="927">
        <f t="shared" si="43"/>
        <v>0</v>
      </c>
      <c r="CZ12" s="927">
        <f t="shared" si="43"/>
        <v>0</v>
      </c>
      <c r="DA12" s="927">
        <f t="shared" si="43"/>
        <v>0</v>
      </c>
      <c r="DB12" s="927">
        <f t="shared" si="43"/>
        <v>0</v>
      </c>
      <c r="DC12" s="927">
        <f t="shared" si="43"/>
        <v>0</v>
      </c>
      <c r="DD12" s="927">
        <f t="shared" si="43"/>
        <v>0</v>
      </c>
      <c r="DE12" s="927">
        <f t="shared" si="43"/>
        <v>0</v>
      </c>
      <c r="DF12" s="927">
        <f t="shared" si="43"/>
        <v>0</v>
      </c>
      <c r="DG12" s="927">
        <f t="shared" si="43"/>
        <v>0</v>
      </c>
      <c r="DH12" s="927">
        <f t="shared" si="43"/>
        <v>0</v>
      </c>
      <c r="DI12" s="927">
        <f t="shared" si="43"/>
        <v>0</v>
      </c>
      <c r="DJ12" s="927">
        <f t="shared" si="43"/>
        <v>0</v>
      </c>
    </row>
    <row r="13" spans="1:114" ht="15" collapsed="1">
      <c r="A13" t="s">
        <v>15</v>
      </c>
      <c r="B13" s="916" t="s">
        <v>16</v>
      </c>
      <c r="C13" s="916"/>
      <c r="D13" s="916"/>
      <c r="E13" s="916"/>
      <c r="F13" s="916"/>
      <c r="G13" s="916"/>
      <c r="H13" s="916"/>
      <c r="I13" s="916"/>
      <c r="J13" s="923"/>
      <c r="K13" s="923"/>
      <c r="L13" s="923"/>
      <c r="M13" s="923"/>
      <c r="N13" s="923"/>
      <c r="O13" s="923"/>
      <c r="P13" s="923"/>
      <c r="Q13" s="923"/>
      <c r="R13" s="916"/>
      <c r="S13" s="916"/>
      <c r="T13" s="916"/>
      <c r="U13" s="916"/>
      <c r="V13" s="916"/>
      <c r="W13" s="916"/>
      <c r="X13" s="916"/>
      <c r="Y13" s="916"/>
      <c r="Z13" s="916"/>
      <c r="AA13" s="916"/>
      <c r="AB13" s="916"/>
      <c r="AC13" s="916"/>
      <c r="AD13" s="916"/>
      <c r="AE13" s="916"/>
      <c r="AF13" s="916"/>
      <c r="AG13" s="916"/>
      <c r="AH13" s="916"/>
      <c r="AI13" s="916"/>
      <c r="AJ13" s="916"/>
      <c r="AK13" s="916"/>
      <c r="AL13" s="916"/>
      <c r="AM13" s="916"/>
      <c r="AN13" s="916"/>
      <c r="AO13" s="916"/>
      <c r="AP13" s="916"/>
      <c r="AQ13" s="916"/>
      <c r="AR13" s="916"/>
      <c r="AS13" s="916"/>
      <c r="AT13" s="916"/>
      <c r="AU13" s="916"/>
      <c r="AV13" s="916"/>
      <c r="AW13" s="916"/>
      <c r="AX13" s="916"/>
      <c r="AY13" s="916"/>
      <c r="AZ13" s="916"/>
      <c r="BA13" s="916"/>
      <c r="BB13" s="916"/>
      <c r="BC13" s="916"/>
      <c r="BD13" s="916"/>
      <c r="BE13" s="916"/>
      <c r="BF13" s="916"/>
      <c r="BG13" s="916"/>
      <c r="BH13" s="916"/>
      <c r="BI13" s="916"/>
      <c r="BJ13" s="916"/>
      <c r="BK13" s="916"/>
      <c r="BL13" s="916"/>
      <c r="BM13" s="916"/>
      <c r="BN13" s="916"/>
      <c r="BO13" s="916"/>
      <c r="BP13" s="916"/>
      <c r="BQ13" s="916"/>
      <c r="BR13" s="916"/>
      <c r="BS13" s="916"/>
      <c r="BT13" s="916"/>
      <c r="BU13" s="916"/>
      <c r="BV13" s="916"/>
      <c r="BW13" s="916"/>
      <c r="BX13" s="916"/>
      <c r="BY13" s="916"/>
      <c r="BZ13" s="916"/>
      <c r="CA13" s="916"/>
      <c r="CB13" s="916"/>
      <c r="CC13" s="916"/>
      <c r="CD13" s="916"/>
      <c r="CE13" s="916"/>
      <c r="CF13" s="916"/>
      <c r="CG13" s="916"/>
      <c r="CH13" s="916"/>
      <c r="CI13" s="916"/>
      <c r="CJ13" s="916"/>
      <c r="CK13" s="916"/>
      <c r="CL13" s="916"/>
      <c r="CM13" s="916"/>
      <c r="CN13" s="916"/>
      <c r="CO13" s="916"/>
      <c r="CP13" s="916"/>
      <c r="CQ13" s="916"/>
      <c r="CR13" s="916"/>
      <c r="CS13" s="916"/>
      <c r="CT13" s="916"/>
      <c r="CU13" s="916"/>
      <c r="CV13" s="916"/>
      <c r="CW13" s="916"/>
      <c r="CX13" s="916"/>
      <c r="CY13" s="916"/>
      <c r="CZ13" s="916"/>
      <c r="DA13" s="916"/>
      <c r="DB13" s="916"/>
      <c r="DC13" s="916"/>
      <c r="DD13" s="916"/>
      <c r="DE13" s="916"/>
      <c r="DF13" s="916"/>
      <c r="DG13" s="916"/>
      <c r="DH13" s="916"/>
      <c r="DI13" s="916"/>
      <c r="DJ13" s="916"/>
    </row>
    <row r="14" spans="1:114" outlineLevel="1">
      <c r="B14" s="928" t="s">
        <v>17</v>
      </c>
    </row>
    <row r="15" spans="1:114" outlineLevel="1">
      <c r="H15" s="998" t="s">
        <v>18</v>
      </c>
      <c r="K15" s="999"/>
      <c r="L15" s="1000" t="s">
        <v>1254</v>
      </c>
      <c r="M15" s="929"/>
    </row>
    <row r="16" spans="1:114" outlineLevel="1">
      <c r="H16" s="998" t="s">
        <v>19</v>
      </c>
      <c r="K16" s="925"/>
      <c r="L16" s="1001">
        <v>45051.560624999998</v>
      </c>
    </row>
    <row r="17" spans="1:114" outlineLevel="1">
      <c r="H17" s="921" t="s">
        <v>20</v>
      </c>
      <c r="K17" s="999">
        <f ca="1">FIND("[",CELL("filename",K22))+1</f>
        <v>93</v>
      </c>
      <c r="L17" s="1000" t="str">
        <f ca="1">MID(CELL("filename",K17),K17,FIND("]",CELL("filename",K17))-K17)</f>
        <v>Staff 132 Attachment 695 - OPC POD No. 47 (BS 24965) PGS SR 2024 Rate Case Budget_without rates.xlsm</v>
      </c>
    </row>
    <row r="18" spans="1:114">
      <c r="B18" s="928"/>
    </row>
    <row r="19" spans="1:114" ht="14.25">
      <c r="A19" t="s">
        <v>15</v>
      </c>
      <c r="B19" s="930" t="s">
        <v>21</v>
      </c>
      <c r="C19" s="930"/>
      <c r="D19" s="930"/>
      <c r="E19" s="930"/>
      <c r="F19" s="930"/>
      <c r="G19" s="930"/>
      <c r="H19" s="930"/>
      <c r="I19" s="930"/>
      <c r="J19" s="930"/>
      <c r="K19" s="930"/>
      <c r="L19" s="930"/>
      <c r="M19" s="930"/>
      <c r="N19" s="930"/>
      <c r="O19" s="930"/>
      <c r="P19" s="930"/>
      <c r="Q19" s="930"/>
      <c r="R19" s="930"/>
      <c r="S19" s="930"/>
      <c r="T19" s="930"/>
      <c r="U19" s="930"/>
      <c r="V19" s="930"/>
      <c r="W19" s="930"/>
      <c r="X19" s="930"/>
      <c r="Y19" s="930"/>
      <c r="Z19" s="930"/>
      <c r="AA19" s="930"/>
      <c r="AB19" s="930"/>
      <c r="AC19" s="930"/>
      <c r="AD19" s="930"/>
      <c r="AE19" s="930"/>
      <c r="AF19" s="930"/>
      <c r="AG19" s="930"/>
      <c r="AH19" s="930"/>
      <c r="AI19" s="930"/>
      <c r="AJ19" s="930"/>
      <c r="AK19" s="930"/>
      <c r="AL19" s="930"/>
      <c r="AM19" s="930"/>
      <c r="AN19" s="930"/>
      <c r="AO19" s="930"/>
      <c r="AP19" s="930"/>
      <c r="AQ19" s="930"/>
      <c r="AR19" s="930"/>
      <c r="AS19" s="930"/>
      <c r="AT19" s="930"/>
      <c r="AU19" s="930"/>
      <c r="AV19" s="930"/>
      <c r="AW19" s="930"/>
      <c r="AX19" s="930"/>
      <c r="AY19" s="930"/>
      <c r="AZ19" s="930"/>
      <c r="BA19" s="930"/>
      <c r="BB19" s="930"/>
      <c r="BC19" s="930"/>
      <c r="BD19" s="930"/>
      <c r="BE19" s="930"/>
      <c r="BF19" s="930"/>
      <c r="BG19" s="930"/>
      <c r="BH19" s="930"/>
      <c r="BI19" s="930"/>
      <c r="BJ19" s="930"/>
      <c r="BK19" s="930"/>
      <c r="BL19" s="930"/>
      <c r="BM19" s="930"/>
      <c r="BN19" s="930"/>
      <c r="BO19" s="930"/>
      <c r="BP19" s="930"/>
      <c r="BQ19" s="930"/>
      <c r="BR19" s="930"/>
      <c r="BS19" s="930"/>
      <c r="BT19" s="930"/>
      <c r="BU19" s="930"/>
      <c r="BV19" s="930"/>
      <c r="BW19" s="930"/>
      <c r="BX19" s="930"/>
      <c r="BY19" s="930"/>
      <c r="BZ19" s="930"/>
      <c r="CA19" s="930"/>
      <c r="CB19" s="930"/>
      <c r="CC19" s="930"/>
      <c r="CD19" s="930"/>
      <c r="CE19" s="930"/>
      <c r="CF19" s="930"/>
      <c r="CG19" s="930"/>
      <c r="CH19" s="930"/>
      <c r="CI19" s="930"/>
      <c r="CJ19" s="930"/>
      <c r="CK19" s="930"/>
      <c r="CL19" s="930"/>
      <c r="CM19" s="930"/>
      <c r="CN19" s="930"/>
      <c r="CO19" s="930"/>
      <c r="CP19" s="930"/>
      <c r="CQ19" s="930"/>
      <c r="CR19" s="930"/>
      <c r="CS19" s="930"/>
      <c r="CT19" s="930"/>
      <c r="CU19" s="930"/>
      <c r="CV19" s="930"/>
      <c r="CW19" s="930"/>
      <c r="CX19" s="930"/>
      <c r="CY19" s="930"/>
      <c r="CZ19" s="930"/>
      <c r="DA19" s="930"/>
      <c r="DB19" s="930"/>
      <c r="DC19" s="930"/>
      <c r="DD19" s="930"/>
      <c r="DE19" s="930"/>
      <c r="DF19" s="930"/>
      <c r="DG19" s="930"/>
      <c r="DH19" s="930"/>
      <c r="DI19" s="930"/>
      <c r="DJ19" s="930"/>
    </row>
    <row r="20" spans="1:114">
      <c r="B20" s="928"/>
    </row>
    <row r="21" spans="1:114" ht="14.25">
      <c r="A21" t="s">
        <v>15</v>
      </c>
      <c r="B21" s="931" t="s">
        <v>22</v>
      </c>
      <c r="C21" s="931"/>
      <c r="D21" s="931"/>
      <c r="E21" s="931"/>
      <c r="F21" s="931"/>
      <c r="G21" s="931"/>
      <c r="H21" s="931"/>
      <c r="I21" s="931"/>
      <c r="J21" s="931"/>
      <c r="K21" s="931"/>
      <c r="L21" s="931"/>
      <c r="M21" s="931"/>
      <c r="N21" s="931"/>
      <c r="O21" s="931"/>
      <c r="P21" s="931"/>
      <c r="Q21" s="931"/>
      <c r="R21" s="931"/>
      <c r="S21" s="931"/>
      <c r="T21" s="931"/>
      <c r="U21" s="931"/>
      <c r="V21" s="931"/>
      <c r="W21" s="931"/>
      <c r="X21" s="931"/>
      <c r="Y21" s="931"/>
      <c r="Z21" s="931"/>
      <c r="AA21" s="931"/>
      <c r="AB21" s="931"/>
      <c r="AC21" s="931"/>
      <c r="AD21" s="931"/>
      <c r="AE21" s="931"/>
      <c r="AF21" s="931"/>
      <c r="AG21" s="931"/>
      <c r="AH21" s="931"/>
      <c r="AI21" s="931"/>
      <c r="AJ21" s="931"/>
      <c r="AK21" s="931"/>
      <c r="AL21" s="931"/>
      <c r="AM21" s="931"/>
      <c r="AN21" s="931"/>
      <c r="AO21" s="931"/>
      <c r="AP21" s="931"/>
      <c r="AQ21" s="931"/>
      <c r="AR21" s="931"/>
      <c r="AS21" s="931"/>
      <c r="AT21" s="931"/>
      <c r="AU21" s="931"/>
      <c r="AV21" s="931"/>
      <c r="AW21" s="931"/>
      <c r="AX21" s="931"/>
      <c r="AY21" s="931"/>
      <c r="AZ21" s="931"/>
      <c r="BA21" s="931"/>
      <c r="BB21" s="931"/>
      <c r="BC21" s="931"/>
      <c r="BD21" s="931"/>
      <c r="BE21" s="931"/>
      <c r="BF21" s="931"/>
      <c r="BG21" s="931"/>
      <c r="BH21" s="931"/>
      <c r="BI21" s="931"/>
      <c r="BJ21" s="931"/>
      <c r="BK21" s="931"/>
      <c r="BL21" s="931"/>
      <c r="BM21" s="931"/>
      <c r="BN21" s="931"/>
      <c r="BO21" s="931"/>
      <c r="BP21" s="931"/>
      <c r="BQ21" s="931"/>
      <c r="BR21" s="931"/>
      <c r="BS21" s="931"/>
      <c r="BT21" s="931"/>
      <c r="BU21" s="931"/>
      <c r="BV21" s="931"/>
      <c r="BW21" s="931"/>
      <c r="BX21" s="931"/>
      <c r="BY21" s="931"/>
      <c r="BZ21" s="931"/>
      <c r="CA21" s="931"/>
      <c r="CB21" s="931"/>
      <c r="CC21" s="931"/>
      <c r="CD21" s="931"/>
      <c r="CE21" s="931"/>
      <c r="CF21" s="931"/>
      <c r="CG21" s="931"/>
      <c r="CH21" s="931"/>
      <c r="CI21" s="931"/>
      <c r="CJ21" s="931"/>
      <c r="CK21" s="931"/>
      <c r="CL21" s="931"/>
      <c r="CM21" s="931"/>
      <c r="CN21" s="931"/>
      <c r="CO21" s="931"/>
      <c r="CP21" s="931"/>
      <c r="CQ21" s="931"/>
      <c r="CR21" s="931"/>
      <c r="CS21" s="931"/>
      <c r="CT21" s="931"/>
      <c r="CU21" s="931"/>
      <c r="CV21" s="931"/>
      <c r="CW21" s="931"/>
      <c r="CX21" s="931"/>
      <c r="CY21" s="931"/>
      <c r="CZ21" s="931"/>
      <c r="DA21" s="931"/>
      <c r="DB21" s="931"/>
      <c r="DC21" s="931"/>
      <c r="DD21" s="931"/>
      <c r="DE21" s="931"/>
      <c r="DF21" s="931"/>
      <c r="DG21" s="931"/>
      <c r="DH21" s="931"/>
      <c r="DI21" s="931"/>
      <c r="DJ21" s="931"/>
    </row>
    <row r="22" spans="1:114" outlineLevel="1">
      <c r="B22" s="928" t="s">
        <v>23</v>
      </c>
    </row>
    <row r="23" spans="1:114" outlineLevel="1">
      <c r="B23" s="928"/>
      <c r="O23" s="950"/>
    </row>
    <row r="24" spans="1:114" ht="15" outlineLevel="1">
      <c r="B24" s="924" t="s">
        <v>24</v>
      </c>
      <c r="H24" s="935" t="e" cm="1">
        <f t="array" aca="1" ref="H24" ca="1">IF(ABS(INDEX($J$28:$Q$28,_xlfn.XMATCH(YEAR(Input!$A$4),$J$2:$Q$2))-(Report!$B$79))&gt;Tolerance,1,0)</f>
        <v>#NAME?</v>
      </c>
      <c r="J24" s="932"/>
      <c r="K24" s="932"/>
    </row>
    <row r="25" spans="1:114" outlineLevel="1">
      <c r="B25" s="925" t="s">
        <v>25</v>
      </c>
      <c r="H25" s="933" t="s">
        <v>26</v>
      </c>
      <c r="J25" s="1019">
        <f>IF(J$2=YEAR(Input!$A$4),Report!$B55,0)</f>
        <v>0</v>
      </c>
      <c r="K25" s="1019">
        <f>IF(K$2=YEAR(Input!$A$4),Report!$B55,0)</f>
        <v>0</v>
      </c>
      <c r="L25" s="1019">
        <f>IF(L$2=YEAR(Input!$A$4),Report!$B55,0)</f>
        <v>0</v>
      </c>
      <c r="M25" s="1019">
        <f>IF(M$2=YEAR(Input!$A$4),Report!$B55,0)</f>
        <v>0</v>
      </c>
      <c r="N25" s="1019">
        <f ca="1">IF(N$2=YEAR(Input!$A$4),Report!$B55,0)</f>
        <v>3319121.5923076924</v>
      </c>
      <c r="O25" s="1019">
        <f>IF(O$2=YEAR(Input!$A$4),Report!$B55,0)</f>
        <v>0</v>
      </c>
      <c r="P25" s="1019">
        <f>IF(P$2=YEAR(Input!$A$4),Report!$B55,0)</f>
        <v>0</v>
      </c>
      <c r="Q25" s="1019">
        <f>IF(Q$2=YEAR(Input!$A$4),Report!$B55,0)</f>
        <v>0</v>
      </c>
    </row>
    <row r="26" spans="1:114" outlineLevel="1">
      <c r="B26" s="1002" t="s">
        <v>27</v>
      </c>
      <c r="H26" s="933" t="s">
        <v>26</v>
      </c>
      <c r="J26" s="1019">
        <f>IF(J$2=YEAR(Input!$A$4),Report!$B63,0)</f>
        <v>0</v>
      </c>
      <c r="K26" s="1019">
        <f>IF(K$2=YEAR(Input!$A$4),Report!$B63,0)</f>
        <v>0</v>
      </c>
      <c r="L26" s="1019">
        <f>IF(L$2=YEAR(Input!$A$4),Report!$B63,0)</f>
        <v>0</v>
      </c>
      <c r="M26" s="1019">
        <f>IF(M$2=YEAR(Input!$A$4),Report!$B63,0)</f>
        <v>0</v>
      </c>
      <c r="N26" s="1019">
        <f ca="1">IF(N$2=YEAR(Input!$A$4),Report!$B63,0)</f>
        <v>-1528.7188608514389</v>
      </c>
      <c r="O26" s="1019">
        <f>IF(O$2=YEAR(Input!$A$4),Report!$B63,0)</f>
        <v>0</v>
      </c>
      <c r="P26" s="1019">
        <f>IF(P$2=YEAR(Input!$A$4),Report!$B63,0)</f>
        <v>0</v>
      </c>
      <c r="Q26" s="1019">
        <f>IF(Q$2=YEAR(Input!$A$4),Report!$B63,0)</f>
        <v>0</v>
      </c>
    </row>
    <row r="27" spans="1:114" outlineLevel="1">
      <c r="B27" s="1002" t="s">
        <v>28</v>
      </c>
      <c r="C27" s="921"/>
      <c r="H27" s="933" t="s">
        <v>26</v>
      </c>
      <c r="J27" s="1020">
        <f>IF(J$2=YEAR(Input!$A$4),Report!$B74,0)</f>
        <v>0</v>
      </c>
      <c r="K27" s="1020">
        <f>IF(K$2=YEAR(Input!$A$4),Report!$B74,0)</f>
        <v>0</v>
      </c>
      <c r="L27" s="1020">
        <f>IF(L$2=YEAR(Input!$A$4),Report!$B74,0)</f>
        <v>0</v>
      </c>
      <c r="M27" s="1020">
        <f>IF(M$2=YEAR(Input!$A$4),Report!$B74,0)</f>
        <v>0</v>
      </c>
      <c r="N27" s="1020">
        <f ca="1">IF(N$2=YEAR(Input!$A$4),Report!$B74,0)</f>
        <v>-9272.4909161538471</v>
      </c>
      <c r="O27" s="1020">
        <f>IF(O$2=YEAR(Input!$A$4),Report!$B74,0)</f>
        <v>0</v>
      </c>
      <c r="P27" s="1020">
        <f>IF(P$2=YEAR(Input!$A$4),Report!$B74,0)</f>
        <v>0</v>
      </c>
      <c r="Q27" s="1020">
        <f>IF(Q$2=YEAR(Input!$A$4),Report!$B74,0)</f>
        <v>0</v>
      </c>
    </row>
    <row r="28" spans="1:114" outlineLevel="1">
      <c r="B28" s="1006" t="s">
        <v>29</v>
      </c>
      <c r="C28" s="934"/>
      <c r="H28" s="933" t="s">
        <v>26</v>
      </c>
      <c r="J28" s="1021">
        <f>SUM(J25:J27)</f>
        <v>0</v>
      </c>
      <c r="K28" s="1021">
        <f t="shared" ref="K28:Q28" si="44">SUM(K25:K27)</f>
        <v>0</v>
      </c>
      <c r="L28" s="1021">
        <f t="shared" si="44"/>
        <v>0</v>
      </c>
      <c r="M28" s="1021">
        <f t="shared" si="44"/>
        <v>0</v>
      </c>
      <c r="N28" s="1021">
        <f t="shared" ca="1" si="44"/>
        <v>3308320.3825306869</v>
      </c>
      <c r="O28" s="1021">
        <f t="shared" si="44"/>
        <v>0</v>
      </c>
      <c r="P28" s="1021">
        <f t="shared" si="44"/>
        <v>0</v>
      </c>
      <c r="Q28" s="1021">
        <f t="shared" si="44"/>
        <v>0</v>
      </c>
    </row>
    <row r="29" spans="1:114" ht="15" outlineLevel="1">
      <c r="J29" s="936"/>
      <c r="K29" s="936"/>
    </row>
    <row r="30" spans="1:114" ht="15" outlineLevel="1">
      <c r="B30" s="924" t="s">
        <v>30</v>
      </c>
      <c r="H30" s="935" t="e" cm="1">
        <f t="array" aca="1" ref="H30" ca="1">IF(ABS(INDEX($J33:$Q33,_xlfn.XMATCH(YEAR(Input!$A$4),$J$2:$Q$2))-(Report!$D$79))&gt;Tolerance,1,0)</f>
        <v>#NAME?</v>
      </c>
      <c r="J30" s="936"/>
      <c r="K30" s="936"/>
    </row>
    <row r="31" spans="1:114" outlineLevel="1">
      <c r="B31" s="925" t="s">
        <v>25</v>
      </c>
      <c r="H31" s="933" t="s">
        <v>26</v>
      </c>
      <c r="J31" s="1019">
        <f>IF(J$2=YEAR(Input!$A$4),Report!$D55,0)</f>
        <v>0</v>
      </c>
      <c r="K31" s="1019">
        <f>IF(K$2=YEAR(Input!$A$4),Report!$D55,0)</f>
        <v>0</v>
      </c>
      <c r="L31" s="1019">
        <f>IF(L$2=YEAR(Input!$A$4),Report!$D55,0)</f>
        <v>0</v>
      </c>
      <c r="M31" s="1019">
        <f>IF(M$2=YEAR(Input!$A$4),Report!$D55,0)</f>
        <v>0</v>
      </c>
      <c r="N31" s="1019">
        <f ca="1">IF(N$2=YEAR(Input!$A$4),Report!$D55,0)</f>
        <v>5031.9000000000005</v>
      </c>
      <c r="O31" s="1019">
        <f>IF(O$2=YEAR(Input!$A$4),Report!$D55,0)</f>
        <v>0</v>
      </c>
      <c r="P31" s="1019">
        <f>IF(P$2=YEAR(Input!$A$4),Report!$D55,0)</f>
        <v>0</v>
      </c>
      <c r="Q31" s="1019">
        <f>IF(Q$2=YEAR(Input!$A$4),Report!$D55,0)</f>
        <v>0</v>
      </c>
    </row>
    <row r="32" spans="1:114" outlineLevel="1">
      <c r="B32" s="1002" t="s">
        <v>31</v>
      </c>
      <c r="H32" s="933" t="s">
        <v>26</v>
      </c>
      <c r="J32" s="1019">
        <f>IF(J$2=YEAR(Input!$A$4),Report!$D72,0)</f>
        <v>0</v>
      </c>
      <c r="K32" s="1019">
        <f>IF(K$2=YEAR(Input!$A$4),Report!$D72,0)</f>
        <v>0</v>
      </c>
      <c r="L32" s="1019">
        <f>IF(L$2=YEAR(Input!$A$4),Report!$D72,0)</f>
        <v>0</v>
      </c>
      <c r="M32" s="1019">
        <f>IF(M$2=YEAR(Input!$A$4),Report!$D72,0)</f>
        <v>0</v>
      </c>
      <c r="N32" s="1019">
        <f>IF(N$2=YEAR(Input!$A$4),Report!$D72,0)</f>
        <v>0</v>
      </c>
      <c r="O32" s="1019">
        <f>IF(O$2=YEAR(Input!$A$4),Report!$D72,0)</f>
        <v>0</v>
      </c>
      <c r="P32" s="1019">
        <f>IF(P$2=YEAR(Input!$A$4),Report!$D72,0)</f>
        <v>0</v>
      </c>
      <c r="Q32" s="1019">
        <f>IF(Q$2=YEAR(Input!$A$4),Report!$D72,0)</f>
        <v>0</v>
      </c>
    </row>
    <row r="33" spans="2:17" outlineLevel="1">
      <c r="B33" s="1006" t="s">
        <v>32</v>
      </c>
      <c r="C33" s="934"/>
      <c r="H33" s="933" t="s">
        <v>26</v>
      </c>
      <c r="J33" s="1021">
        <f>SUM(J31:J32)</f>
        <v>0</v>
      </c>
      <c r="K33" s="1021">
        <f t="shared" ref="K33:Q33" si="45">SUM(K31:K32)</f>
        <v>0</v>
      </c>
      <c r="L33" s="1021">
        <f t="shared" si="45"/>
        <v>0</v>
      </c>
      <c r="M33" s="1021">
        <f t="shared" si="45"/>
        <v>0</v>
      </c>
      <c r="N33" s="1021">
        <f t="shared" ca="1" si="45"/>
        <v>5031.9000000000005</v>
      </c>
      <c r="O33" s="1021">
        <f t="shared" si="45"/>
        <v>0</v>
      </c>
      <c r="P33" s="1021">
        <f t="shared" si="45"/>
        <v>0</v>
      </c>
      <c r="Q33" s="1021">
        <f t="shared" si="45"/>
        <v>0</v>
      </c>
    </row>
    <row r="34" spans="2:17" outlineLevel="1"/>
    <row r="35" spans="2:17" ht="15" outlineLevel="1">
      <c r="B35" s="924" t="s">
        <v>33</v>
      </c>
      <c r="H35" s="935" t="e" cm="1">
        <f t="array" aca="1" ref="H35" ca="1">IF(ABS(INDEX($J40:$Q40,_xlfn.XMATCH(YEAR(Input!$A$4),$J$2:$Q$2))-(-Report!$F$79))&gt;Tolerance,1,0)</f>
        <v>#NAME?</v>
      </c>
      <c r="J35" s="936"/>
      <c r="K35" s="936"/>
    </row>
    <row r="36" spans="2:17" outlineLevel="1">
      <c r="B36" s="925" t="s">
        <v>25</v>
      </c>
      <c r="H36" s="933" t="s">
        <v>26</v>
      </c>
      <c r="J36" s="1019">
        <f>-IF(J$2=YEAR(Input!$A$4),Report!$F55,0)</f>
        <v>0</v>
      </c>
      <c r="K36" s="1019">
        <f>-IF(K$2=YEAR(Input!$A$4),Report!$F55,0)</f>
        <v>0</v>
      </c>
      <c r="L36" s="1019">
        <f>-IF(L$2=YEAR(Input!$A$4),Report!$F55,0)</f>
        <v>0</v>
      </c>
      <c r="M36" s="1019">
        <f>-IF(M$2=YEAR(Input!$A$4),Report!$F55,0)</f>
        <v>0</v>
      </c>
      <c r="N36" s="1019">
        <f ca="1">-IF(N$2=YEAR(Input!$A$4),Report!$F55,0)</f>
        <v>-923335.28461538453</v>
      </c>
      <c r="O36" s="1019">
        <f>-IF(O$2=YEAR(Input!$A$4),Report!$F55,0)</f>
        <v>0</v>
      </c>
      <c r="P36" s="1019">
        <f>-IF(P$2=YEAR(Input!$A$4),Report!$F55,0)</f>
        <v>0</v>
      </c>
      <c r="Q36" s="1019">
        <f>-IF(Q$2=YEAR(Input!$A$4),Report!$F55,0)</f>
        <v>0</v>
      </c>
    </row>
    <row r="37" spans="2:17" outlineLevel="1">
      <c r="B37" s="1002" t="s">
        <v>27</v>
      </c>
      <c r="H37" s="933" t="s">
        <v>26</v>
      </c>
      <c r="J37" s="1019">
        <f>-IF(J$2=YEAR(Input!$A$4),Report!$F63,0)</f>
        <v>0</v>
      </c>
      <c r="K37" s="1019">
        <f>-IF(K$2=YEAR(Input!$A$4),Report!$F63,0)</f>
        <v>0</v>
      </c>
      <c r="L37" s="1019">
        <f>-IF(L$2=YEAR(Input!$A$4),Report!$F63,0)</f>
        <v>0</v>
      </c>
      <c r="M37" s="1019">
        <f>-IF(M$2=YEAR(Input!$A$4),Report!$F63,0)</f>
        <v>0</v>
      </c>
      <c r="N37" s="1019">
        <f ca="1">-IF(N$2=YEAR(Input!$A$4),Report!$F63,0)</f>
        <v>468.55401951135872</v>
      </c>
      <c r="O37" s="1019">
        <f>-IF(O$2=YEAR(Input!$A$4),Report!$F63,0)</f>
        <v>0</v>
      </c>
      <c r="P37" s="1019">
        <f>-IF(P$2=YEAR(Input!$A$4),Report!$F63,0)</f>
        <v>0</v>
      </c>
      <c r="Q37" s="1019">
        <f>-IF(Q$2=YEAR(Input!$A$4),Report!$F63,0)</f>
        <v>0</v>
      </c>
    </row>
    <row r="38" spans="2:17" outlineLevel="1">
      <c r="B38" s="1002" t="s">
        <v>31</v>
      </c>
      <c r="H38" s="933" t="s">
        <v>26</v>
      </c>
      <c r="J38" s="1019">
        <f>-IF(J$2=YEAR(Input!$A$4),Report!$F72,0)</f>
        <v>0</v>
      </c>
      <c r="K38" s="1019">
        <f>-IF(K$2=YEAR(Input!$A$4),Report!$F72,0)</f>
        <v>0</v>
      </c>
      <c r="L38" s="1019">
        <f>-IF(L$2=YEAR(Input!$A$4),Report!$F72,0)</f>
        <v>0</v>
      </c>
      <c r="M38" s="1019">
        <f>-IF(M$2=YEAR(Input!$A$4),Report!$F72,0)</f>
        <v>0</v>
      </c>
      <c r="N38" s="1019">
        <f>-IF(N$2=YEAR(Input!$A$4),Report!$F72,0)</f>
        <v>0</v>
      </c>
      <c r="O38" s="1019">
        <f>-IF(O$2=YEAR(Input!$A$4),Report!$F72,0)</f>
        <v>0</v>
      </c>
      <c r="P38" s="1019">
        <f>-IF(P$2=YEAR(Input!$A$4),Report!$F72,0)</f>
        <v>0</v>
      </c>
      <c r="Q38" s="1019">
        <f>-IF(Q$2=YEAR(Input!$A$4),Report!$F72,0)</f>
        <v>0</v>
      </c>
    </row>
    <row r="39" spans="2:17" outlineLevel="1">
      <c r="B39" s="1002" t="s">
        <v>28</v>
      </c>
      <c r="H39" s="933" t="s">
        <v>26</v>
      </c>
      <c r="J39" s="1020">
        <f>-IF(J$2=YEAR(Input!$A$4),Report!$F74,0)</f>
        <v>0</v>
      </c>
      <c r="K39" s="1020">
        <f>-IF(K$2=YEAR(Input!$A$4),Report!$F74,0)</f>
        <v>0</v>
      </c>
      <c r="L39" s="1020">
        <f>-IF(L$2=YEAR(Input!$A$4),Report!$F74,0)</f>
        <v>0</v>
      </c>
      <c r="M39" s="1020">
        <f>-IF(M$2=YEAR(Input!$A$4),Report!$F74,0)</f>
        <v>0</v>
      </c>
      <c r="N39" s="1020">
        <f ca="1">-IF(N$2=YEAR(Input!$A$4),Report!$F74,0)</f>
        <v>40.390593846153855</v>
      </c>
      <c r="O39" s="1020">
        <f>-IF(O$2=YEAR(Input!$A$4),Report!$F74,0)</f>
        <v>0</v>
      </c>
      <c r="P39" s="1020">
        <f>-IF(P$2=YEAR(Input!$A$4),Report!$F74,0)</f>
        <v>0</v>
      </c>
      <c r="Q39" s="1020">
        <f>-IF(Q$2=YEAR(Input!$A$4),Report!$F74,0)</f>
        <v>0</v>
      </c>
    </row>
    <row r="40" spans="2:17" outlineLevel="1">
      <c r="B40" s="1006" t="s">
        <v>34</v>
      </c>
      <c r="C40" s="934"/>
      <c r="H40" s="933" t="s">
        <v>26</v>
      </c>
      <c r="J40" s="1021">
        <f>SUM(J36:J39)</f>
        <v>0</v>
      </c>
      <c r="K40" s="1021">
        <f t="shared" ref="K40:Q40" si="46">SUM(K36:K39)</f>
        <v>0</v>
      </c>
      <c r="L40" s="1021">
        <f t="shared" si="46"/>
        <v>0</v>
      </c>
      <c r="M40" s="1021">
        <f t="shared" si="46"/>
        <v>0</v>
      </c>
      <c r="N40" s="1021">
        <f t="shared" ca="1" si="46"/>
        <v>-922826.34000202711</v>
      </c>
      <c r="O40" s="1021">
        <f t="shared" si="46"/>
        <v>0</v>
      </c>
      <c r="P40" s="1021">
        <f t="shared" si="46"/>
        <v>0</v>
      </c>
      <c r="Q40" s="1021">
        <f t="shared" si="46"/>
        <v>0</v>
      </c>
    </row>
    <row r="41" spans="2:17" ht="15" outlineLevel="1">
      <c r="B41" s="937"/>
      <c r="J41" s="936"/>
      <c r="K41" s="936"/>
    </row>
    <row r="42" spans="2:17" ht="15" outlineLevel="1">
      <c r="B42" s="924" t="s">
        <v>35</v>
      </c>
      <c r="H42" s="935" t="e" cm="1">
        <f t="array" aca="1" ref="H42" ca="1">IF(ABS(INDEX($J44:$Q44,_xlfn.XMATCH(YEAR(Input!$A$4),$J$2:$Q$2))-(Report!$H$79))&gt;Tolerance,1,0)</f>
        <v>#NAME?</v>
      </c>
      <c r="J42" s="936"/>
      <c r="K42" s="936"/>
    </row>
    <row r="43" spans="2:17" outlineLevel="1">
      <c r="B43" s="925" t="s">
        <v>25</v>
      </c>
      <c r="H43" s="933" t="s">
        <v>26</v>
      </c>
      <c r="J43" s="1019">
        <f>IF(J$2=YEAR(Input!$A$4),Report!$H55,0)</f>
        <v>0</v>
      </c>
      <c r="K43" s="1019">
        <f>IF(K$2=YEAR(Input!$A$4),Report!$H55,0)</f>
        <v>0</v>
      </c>
      <c r="L43" s="1019">
        <f>IF(L$2=YEAR(Input!$A$4),Report!$H55,0)</f>
        <v>0</v>
      </c>
      <c r="M43" s="1019">
        <f>IF(M$2=YEAR(Input!$A$4),Report!$H55,0)</f>
        <v>0</v>
      </c>
      <c r="N43" s="1019">
        <f ca="1">IF(N$2=YEAR(Input!$A$4),Report!$H55,0)</f>
        <v>20000</v>
      </c>
      <c r="O43" s="1019">
        <f>IF(O$2=YEAR(Input!$A$4),Report!$H55,0)</f>
        <v>0</v>
      </c>
      <c r="P43" s="1019">
        <f>IF(P$2=YEAR(Input!$A$4),Report!$H55,0)</f>
        <v>0</v>
      </c>
      <c r="Q43" s="1019">
        <f>IF(Q$2=YEAR(Input!$A$4),Report!$H55,0)</f>
        <v>0</v>
      </c>
    </row>
    <row r="44" spans="2:17" outlineLevel="1">
      <c r="B44" s="1006" t="s">
        <v>36</v>
      </c>
      <c r="C44" s="934"/>
      <c r="H44" s="933" t="s">
        <v>26</v>
      </c>
      <c r="J44" s="1021">
        <f>SUM(J43)</f>
        <v>0</v>
      </c>
      <c r="K44" s="1021">
        <f t="shared" ref="K44:Q44" si="47">SUM(K43)</f>
        <v>0</v>
      </c>
      <c r="L44" s="1021">
        <f t="shared" si="47"/>
        <v>0</v>
      </c>
      <c r="M44" s="1021">
        <f t="shared" si="47"/>
        <v>0</v>
      </c>
      <c r="N44" s="1021">
        <f t="shared" ca="1" si="47"/>
        <v>20000</v>
      </c>
      <c r="O44" s="1021">
        <f t="shared" si="47"/>
        <v>0</v>
      </c>
      <c r="P44" s="1021">
        <f t="shared" si="47"/>
        <v>0</v>
      </c>
      <c r="Q44" s="1021">
        <f t="shared" si="47"/>
        <v>0</v>
      </c>
    </row>
    <row r="45" spans="2:17" ht="15" outlineLevel="1">
      <c r="B45" s="937"/>
      <c r="J45" s="936"/>
      <c r="K45" s="936"/>
    </row>
    <row r="46" spans="2:17" ht="15" outlineLevel="1">
      <c r="B46" s="924" t="s">
        <v>37</v>
      </c>
      <c r="H46" s="935" t="e" cm="1">
        <f t="array" aca="1" ref="H46" ca="1">IF(ABS(INDEX($J49:$Q49,_xlfn.XMATCH(YEAR(Input!$A$4),$J$2:$Q$2))-(Report!$L$79))&gt;Tolerance,1,0)</f>
        <v>#NAME?</v>
      </c>
      <c r="J46" s="938"/>
      <c r="K46" s="938"/>
    </row>
    <row r="47" spans="2:17" outlineLevel="1">
      <c r="B47" s="925" t="s">
        <v>25</v>
      </c>
      <c r="H47" s="933" t="s">
        <v>26</v>
      </c>
      <c r="J47" s="1019">
        <f>IF(J$2=YEAR(Input!$A$4),Report!$L55,0)</f>
        <v>0</v>
      </c>
      <c r="K47" s="1019">
        <f>IF(K$2=YEAR(Input!$A$4),Report!$L55,0)</f>
        <v>0</v>
      </c>
      <c r="L47" s="1019">
        <f>IF(L$2=YEAR(Input!$A$4),Report!$L55,0)</f>
        <v>0</v>
      </c>
      <c r="M47" s="1019">
        <f>IF(M$2=YEAR(Input!$A$4),Report!$L55,0)</f>
        <v>0</v>
      </c>
      <c r="N47" s="1019">
        <f ca="1">IF(N$2=YEAR(Input!$A$4),Report!$L55,0)</f>
        <v>1939.5999999999997</v>
      </c>
      <c r="O47" s="1019">
        <f>IF(O$2=YEAR(Input!$A$4),Report!$L55,0)</f>
        <v>0</v>
      </c>
      <c r="P47" s="1019">
        <f>IF(P$2=YEAR(Input!$A$4),Report!$L55,0)</f>
        <v>0</v>
      </c>
      <c r="Q47" s="1019">
        <f>IF(Q$2=YEAR(Input!$A$4),Report!$L55,0)</f>
        <v>0</v>
      </c>
    </row>
    <row r="48" spans="2:17" outlineLevel="1">
      <c r="B48" s="1002" t="s">
        <v>38</v>
      </c>
      <c r="H48" s="933" t="s">
        <v>26</v>
      </c>
      <c r="J48" s="1019">
        <f>IF(J$2=YEAR(Input!$A$4),Report!$L58,0)</f>
        <v>0</v>
      </c>
      <c r="K48" s="1019">
        <f>IF(K$2=YEAR(Input!$A$4),Report!$L58,0)</f>
        <v>0</v>
      </c>
      <c r="L48" s="1019">
        <f>IF(L$2=YEAR(Input!$A$4),Report!$L58,0)</f>
        <v>0</v>
      </c>
      <c r="M48" s="1019">
        <f>IF(M$2=YEAR(Input!$A$4),Report!$L58,0)</f>
        <v>0</v>
      </c>
      <c r="N48" s="1019">
        <f ca="1">IF(N$2=YEAR(Input!$A$4),Report!$L58,0)</f>
        <v>-1939.5999999999997</v>
      </c>
      <c r="O48" s="1019">
        <f>IF(O$2=YEAR(Input!$A$4),Report!$L58,0)</f>
        <v>0</v>
      </c>
      <c r="P48" s="1019">
        <f>IF(P$2=YEAR(Input!$A$4),Report!$L58,0)</f>
        <v>0</v>
      </c>
      <c r="Q48" s="1019">
        <f>IF(Q$2=YEAR(Input!$A$4),Report!$L58,0)</f>
        <v>0</v>
      </c>
    </row>
    <row r="49" spans="2:17" outlineLevel="1">
      <c r="B49" s="1006" t="s">
        <v>39</v>
      </c>
      <c r="C49" s="934"/>
      <c r="H49" s="933" t="s">
        <v>26</v>
      </c>
      <c r="J49" s="1021">
        <f>SUM(J47:J48)</f>
        <v>0</v>
      </c>
      <c r="K49" s="1021">
        <f t="shared" ref="K49:Q49" si="48">SUM(K47:K48)</f>
        <v>0</v>
      </c>
      <c r="L49" s="1021">
        <f t="shared" si="48"/>
        <v>0</v>
      </c>
      <c r="M49" s="1021">
        <f t="shared" si="48"/>
        <v>0</v>
      </c>
      <c r="N49" s="1021">
        <f t="shared" ca="1" si="48"/>
        <v>0</v>
      </c>
      <c r="O49" s="1021">
        <f t="shared" si="48"/>
        <v>0</v>
      </c>
      <c r="P49" s="1021">
        <f t="shared" si="48"/>
        <v>0</v>
      </c>
      <c r="Q49" s="1021">
        <f t="shared" si="48"/>
        <v>0</v>
      </c>
    </row>
    <row r="50" spans="2:17" ht="15" outlineLevel="1">
      <c r="B50" s="937"/>
      <c r="J50" s="936"/>
      <c r="K50" s="936"/>
    </row>
    <row r="51" spans="2:17" ht="15" outlineLevel="1">
      <c r="B51" s="924" t="s">
        <v>40</v>
      </c>
      <c r="H51" s="935" t="e" cm="1">
        <f t="array" aca="1" ref="H51" ca="1">IF(ABS(INDEX($J56:$Q56,_xlfn.XMATCH(YEAR(Input!$A$4),$J$2:$Q$2))-(Report!$N$79))&gt;Tolerance,1,0)</f>
        <v>#NAME?</v>
      </c>
      <c r="J51" s="932"/>
      <c r="K51" s="932"/>
    </row>
    <row r="52" spans="2:17" outlineLevel="1">
      <c r="B52" s="925" t="s">
        <v>25</v>
      </c>
      <c r="H52" s="933" t="s">
        <v>26</v>
      </c>
      <c r="J52" s="1019">
        <f>IF(J$2=YEAR(Input!$A$4),Report!$N55,0)</f>
        <v>0</v>
      </c>
      <c r="K52" s="1019">
        <f>IF(K$2=YEAR(Input!$A$4),Report!$N55,0)</f>
        <v>0</v>
      </c>
      <c r="L52" s="1019">
        <f>IF(L$2=YEAR(Input!$A$4),Report!$N55,0)</f>
        <v>0</v>
      </c>
      <c r="M52" s="1019">
        <f>IF(M$2=YEAR(Input!$A$4),Report!$N55,0)</f>
        <v>0</v>
      </c>
      <c r="N52" s="1019">
        <f ca="1">IF(N$2=YEAR(Input!$A$4),Report!$N55,0)</f>
        <v>135611.36153846153</v>
      </c>
      <c r="O52" s="1019">
        <f>IF(O$2=YEAR(Input!$A$4),Report!$N55,0)</f>
        <v>0</v>
      </c>
      <c r="P52" s="1019">
        <f>IF(P$2=YEAR(Input!$A$4),Report!$N55,0)</f>
        <v>0</v>
      </c>
      <c r="Q52" s="1019">
        <f>IF(Q$2=YEAR(Input!$A$4),Report!$N55,0)</f>
        <v>0</v>
      </c>
    </row>
    <row r="53" spans="2:17" outlineLevel="1">
      <c r="B53" s="1002" t="s">
        <v>41</v>
      </c>
      <c r="H53" s="933" t="s">
        <v>26</v>
      </c>
      <c r="J53" s="1019">
        <f>IF(J$2=YEAR(Input!$A$4),Report!$N75,0)</f>
        <v>0</v>
      </c>
      <c r="K53" s="1019">
        <f>IF(K$2=YEAR(Input!$A$4),Report!$N75,0)</f>
        <v>0</v>
      </c>
      <c r="L53" s="1019">
        <f>IF(L$2=YEAR(Input!$A$4),Report!$N75,0)</f>
        <v>0</v>
      </c>
      <c r="M53" s="1019">
        <f>IF(M$2=YEAR(Input!$A$4),Report!$N75,0)</f>
        <v>0</v>
      </c>
      <c r="N53" s="1019">
        <f ca="1">IF(N$2=YEAR(Input!$A$4),Report!$N75,0)</f>
        <v>-110123.60540692307</v>
      </c>
      <c r="O53" s="1019">
        <f>IF(O$2=YEAR(Input!$A$4),Report!$N75,0)</f>
        <v>0</v>
      </c>
      <c r="P53" s="1019">
        <f>IF(P$2=YEAR(Input!$A$4),Report!$N75,0)</f>
        <v>0</v>
      </c>
      <c r="Q53" s="1019">
        <f>IF(Q$2=YEAR(Input!$A$4),Report!$N75,0)</f>
        <v>0</v>
      </c>
    </row>
    <row r="54" spans="2:17" outlineLevel="1">
      <c r="B54" s="1002" t="s">
        <v>42</v>
      </c>
      <c r="D54" s="928"/>
      <c r="E54" s="928"/>
      <c r="F54" s="926" t="s">
        <v>43</v>
      </c>
      <c r="G54" s="928" t="s">
        <v>44</v>
      </c>
      <c r="H54" s="933" t="s">
        <v>26</v>
      </c>
      <c r="J54" s="939"/>
      <c r="K54" s="939"/>
      <c r="L54" s="939"/>
      <c r="M54" s="939"/>
      <c r="N54" s="939"/>
      <c r="O54" s="939"/>
      <c r="P54" s="939"/>
      <c r="Q54" s="939"/>
    </row>
    <row r="55" spans="2:17" outlineLevel="1">
      <c r="B55" s="1002" t="s">
        <v>28</v>
      </c>
      <c r="H55" s="933" t="s">
        <v>26</v>
      </c>
      <c r="J55" s="1019">
        <f>IF(J$2=YEAR(Input!$A$4),Report!$N74,0)</f>
        <v>0</v>
      </c>
      <c r="K55" s="1019">
        <f>IF(K$2=YEAR(Input!$A$4),Report!$N74,0)</f>
        <v>0</v>
      </c>
      <c r="L55" s="1019">
        <f>IF(L$2=YEAR(Input!$A$4),Report!$N74,0)</f>
        <v>0</v>
      </c>
      <c r="M55" s="1019">
        <f>IF(M$2=YEAR(Input!$A$4),Report!$N74,0)</f>
        <v>0</v>
      </c>
      <c r="N55" s="1019">
        <f ca="1">IF(N$2=YEAR(Input!$A$4),Report!$N74,0)</f>
        <v>-1178.3056992307695</v>
      </c>
      <c r="O55" s="1019">
        <f>IF(O$2=YEAR(Input!$A$4),Report!$N74,0)</f>
        <v>0</v>
      </c>
      <c r="P55" s="1019">
        <f>IF(P$2=YEAR(Input!$A$4),Report!$N74,0)</f>
        <v>0</v>
      </c>
      <c r="Q55" s="1019">
        <f>IF(Q$2=YEAR(Input!$A$4),Report!$N74,0)</f>
        <v>0</v>
      </c>
    </row>
    <row r="56" spans="2:17" outlineLevel="1">
      <c r="B56" s="1006" t="s">
        <v>45</v>
      </c>
      <c r="C56" s="934"/>
      <c r="H56" s="933" t="s">
        <v>26</v>
      </c>
      <c r="J56" s="1021">
        <f>SUM(J52:J55)</f>
        <v>0</v>
      </c>
      <c r="K56" s="1021">
        <f t="shared" ref="K56:Q56" si="49">SUM(K52:K55)</f>
        <v>0</v>
      </c>
      <c r="L56" s="1021">
        <f t="shared" si="49"/>
        <v>0</v>
      </c>
      <c r="M56" s="1021">
        <f t="shared" si="49"/>
        <v>0</v>
      </c>
      <c r="N56" s="1021">
        <f t="shared" ca="1" si="49"/>
        <v>24309.450432307684</v>
      </c>
      <c r="O56" s="1021">
        <f t="shared" si="49"/>
        <v>0</v>
      </c>
      <c r="P56" s="1021">
        <f t="shared" si="49"/>
        <v>0</v>
      </c>
      <c r="Q56" s="1021">
        <f t="shared" si="49"/>
        <v>0</v>
      </c>
    </row>
    <row r="57" spans="2:17" ht="15" outlineLevel="1">
      <c r="B57" s="937"/>
      <c r="J57" s="936"/>
      <c r="K57" s="936"/>
    </row>
    <row r="58" spans="2:17" ht="15" outlineLevel="1">
      <c r="B58" s="924" t="s">
        <v>46</v>
      </c>
      <c r="H58" s="935" t="e" cm="1">
        <f t="array" aca="1" ref="H58" ca="1">IF(ABS(INDEX($J71:$Q71,_xlfn.XMATCH(YEAR(Input!$A$4),$J$2:$Q$2))-(Report!$R$79))&gt;Tolerance,1,0)</f>
        <v>#NAME?</v>
      </c>
      <c r="J58" s="938"/>
      <c r="K58" s="938"/>
    </row>
    <row r="59" spans="2:17" outlineLevel="1">
      <c r="B59" s="925" t="s">
        <v>25</v>
      </c>
      <c r="H59" s="933" t="s">
        <v>26</v>
      </c>
      <c r="J59" s="1019">
        <f>IF(J$2=YEAR(Input!$A$4),Report!$R55,0)</f>
        <v>0</v>
      </c>
      <c r="K59" s="1019">
        <f>IF(K$2=YEAR(Input!$A$4),Report!$R55,0)</f>
        <v>0</v>
      </c>
      <c r="L59" s="1019">
        <f>IF(L$2=YEAR(Input!$A$4),Report!$R55,0)</f>
        <v>0</v>
      </c>
      <c r="M59" s="1019">
        <f>IF(M$2=YEAR(Input!$A$4),Report!$R55,0)</f>
        <v>0</v>
      </c>
      <c r="N59" s="1019">
        <f ca="1">IF(N$2=YEAR(Input!$A$4),Report!$R55,0)</f>
        <v>-9101.2660916105669</v>
      </c>
      <c r="O59" s="1019">
        <f>IF(O$2=YEAR(Input!$A$4),Report!$R55,0)</f>
        <v>0</v>
      </c>
      <c r="P59" s="1019">
        <f>IF(P$2=YEAR(Input!$A$4),Report!$R55,0)</f>
        <v>0</v>
      </c>
      <c r="Q59" s="1019">
        <f>IF(Q$2=YEAR(Input!$A$4),Report!$R55,0)</f>
        <v>0</v>
      </c>
    </row>
    <row r="60" spans="2:17" outlineLevel="1">
      <c r="B60" s="1002" t="s">
        <v>47</v>
      </c>
      <c r="H60" s="933" t="s">
        <v>26</v>
      </c>
      <c r="J60" s="1019" cm="1">
        <f t="array" ref="J60">IF(J$2=YEAR(Input!$A$4),INDEX(Report!$R$55:$R$77,_xlfn.XMATCH($B60,Report!$A$55:$A$77)),0)</f>
        <v>0</v>
      </c>
      <c r="K60" s="1019" cm="1">
        <f t="array" ref="K60">IF(K$2=YEAR(Input!$A$4),INDEX(Report!$R$55:$R$77,_xlfn.XMATCH($B60,Report!$A$55:$A$77)),0)</f>
        <v>0</v>
      </c>
      <c r="L60" s="1019" cm="1">
        <f t="array" ref="L60">IF(L$2=YEAR(Input!$A$4),INDEX(Report!$R$55:$R$77,_xlfn.XMATCH($B60,Report!$A$55:$A$77)),0)</f>
        <v>0</v>
      </c>
      <c r="M60" s="1019" cm="1">
        <f t="array" ref="M60">IF(M$2=YEAR(Input!$A$4),INDEX(Report!$R$55:$R$77,_xlfn.XMATCH($B60,Report!$A$55:$A$77)),0)</f>
        <v>0</v>
      </c>
      <c r="N60" s="1019" t="e" cm="1">
        <f t="array" aca="1" ref="N60" ca="1">IF(N$2=YEAR(Input!$A$4),INDEX(Report!$R$55:$R$77,_xlfn.XMATCH($B60,Report!$A$55:$A$77)),0)</f>
        <v>#NAME?</v>
      </c>
      <c r="O60" s="1019" cm="1">
        <f t="array" ref="O60">IF(O$2=YEAR(Input!$A$4),INDEX(Report!$R$55:$R$77,_xlfn.XMATCH($B60,Report!$A$55:$A$77)),0)</f>
        <v>0</v>
      </c>
      <c r="P60" s="1019" cm="1">
        <f t="array" ref="P60">IF(P$2=YEAR(Input!$A$4),INDEX(Report!$R$55:$R$77,_xlfn.XMATCH($B60,Report!$A$55:$A$77)),0)</f>
        <v>0</v>
      </c>
      <c r="Q60" s="1019" cm="1">
        <f t="array" ref="Q60">IF(Q$2=YEAR(Input!$A$4),INDEX(Report!$R$55:$R$77,_xlfn.XMATCH($B60,Report!$A$55:$A$77)),0)</f>
        <v>0</v>
      </c>
    </row>
    <row r="61" spans="2:17" outlineLevel="1">
      <c r="B61" s="1002" t="s">
        <v>48</v>
      </c>
      <c r="H61" s="933" t="s">
        <v>26</v>
      </c>
      <c r="J61" s="1019" cm="1">
        <f t="array" ref="J61">IF(J$2=YEAR(Input!$A$4),INDEX(Report!$R$55:$R$77,_xlfn.XMATCH($B61,Report!$A$55:$A$77)),0)</f>
        <v>0</v>
      </c>
      <c r="K61" s="1019" cm="1">
        <f t="array" ref="K61">IF(K$2=YEAR(Input!$A$4),INDEX(Report!$R$55:$R$77,_xlfn.XMATCH($B61,Report!$A$55:$A$77)),0)</f>
        <v>0</v>
      </c>
      <c r="L61" s="1019" cm="1">
        <f t="array" ref="L61">IF(L$2=YEAR(Input!$A$4),INDEX(Report!$R$55:$R$77,_xlfn.XMATCH($B61,Report!$A$55:$A$77)),0)</f>
        <v>0</v>
      </c>
      <c r="M61" s="1019" cm="1">
        <f t="array" ref="M61">IF(M$2=YEAR(Input!$A$4),INDEX(Report!$R$55:$R$77,_xlfn.XMATCH($B61,Report!$A$55:$A$77)),0)</f>
        <v>0</v>
      </c>
      <c r="N61" s="1019" t="e" cm="1">
        <f t="array" aca="1" ref="N61" ca="1">IF(N$2=YEAR(Input!$A$4),INDEX(Report!$R$55:$R$77,_xlfn.XMATCH($B61,Report!$A$55:$A$77)),0)</f>
        <v>#NAME?</v>
      </c>
      <c r="O61" s="1019" cm="1">
        <f t="array" ref="O61">IF(O$2=YEAR(Input!$A$4),INDEX(Report!$R$55:$R$77,_xlfn.XMATCH($B61,Report!$A$55:$A$77)),0)</f>
        <v>0</v>
      </c>
      <c r="P61" s="1019" cm="1">
        <f t="array" ref="P61">IF(P$2=YEAR(Input!$A$4),INDEX(Report!$R$55:$R$77,_xlfn.XMATCH($B61,Report!$A$55:$A$77)),0)</f>
        <v>0</v>
      </c>
      <c r="Q61" s="1019" cm="1">
        <f t="array" ref="Q61">IF(Q$2=YEAR(Input!$A$4),INDEX(Report!$R$55:$R$77,_xlfn.XMATCH($B61,Report!$A$55:$A$77)),0)</f>
        <v>0</v>
      </c>
    </row>
    <row r="62" spans="2:17" outlineLevel="1">
      <c r="B62" s="1002" t="s">
        <v>49</v>
      </c>
      <c r="H62" s="933" t="s">
        <v>26</v>
      </c>
      <c r="J62" s="1019" cm="1">
        <f t="array" ref="J62">IF(J$2=YEAR(Input!$A$4),INDEX(Report!$R$55:$R$77,_xlfn.XMATCH($B62,Report!$A$55:$A$77)),0)</f>
        <v>0</v>
      </c>
      <c r="K62" s="1019" cm="1">
        <f t="array" ref="K62">IF(K$2=YEAR(Input!$A$4),INDEX(Report!$R$55:$R$77,_xlfn.XMATCH($B62,Report!$A$55:$A$77)),0)</f>
        <v>0</v>
      </c>
      <c r="L62" s="1019" cm="1">
        <f t="array" ref="L62">IF(L$2=YEAR(Input!$A$4),INDEX(Report!$R$55:$R$77,_xlfn.XMATCH($B62,Report!$A$55:$A$77)),0)</f>
        <v>0</v>
      </c>
      <c r="M62" s="1019" cm="1">
        <f t="array" ref="M62">IF(M$2=YEAR(Input!$A$4),INDEX(Report!$R$55:$R$77,_xlfn.XMATCH($B62,Report!$A$55:$A$77)),0)</f>
        <v>0</v>
      </c>
      <c r="N62" s="1019" t="e" cm="1">
        <f t="array" aca="1" ref="N62" ca="1">IF(N$2=YEAR(Input!$A$4),INDEX(Report!$R$55:$R$77,_xlfn.XMATCH($B62,Report!$A$55:$A$77)),0)</f>
        <v>#NAME?</v>
      </c>
      <c r="O62" s="1019" cm="1">
        <f t="array" ref="O62">IF(O$2=YEAR(Input!$A$4),INDEX(Report!$R$55:$R$77,_xlfn.XMATCH($B62,Report!$A$55:$A$77)),0)</f>
        <v>0</v>
      </c>
      <c r="P62" s="1019" cm="1">
        <f t="array" ref="P62">IF(P$2=YEAR(Input!$A$4),INDEX(Report!$R$55:$R$77,_xlfn.XMATCH($B62,Report!$A$55:$A$77)),0)</f>
        <v>0</v>
      </c>
      <c r="Q62" s="1019" cm="1">
        <f t="array" ref="Q62">IF(Q$2=YEAR(Input!$A$4),INDEX(Report!$R$55:$R$77,_xlfn.XMATCH($B62,Report!$A$55:$A$77)),0)</f>
        <v>0</v>
      </c>
    </row>
    <row r="63" spans="2:17" outlineLevel="1">
      <c r="B63" s="1002" t="s">
        <v>50</v>
      </c>
      <c r="H63" s="933" t="s">
        <v>26</v>
      </c>
      <c r="J63" s="1019" cm="1">
        <f t="array" ref="J63">IF(J$2=YEAR(Input!$A$4),INDEX(Report!$R$55:$R$77,_xlfn.XMATCH($B63,Report!$A$55:$A$77)),0)</f>
        <v>0</v>
      </c>
      <c r="K63" s="1019" cm="1">
        <f t="array" ref="K63">IF(K$2=YEAR(Input!$A$4),INDEX(Report!$R$55:$R$77,_xlfn.XMATCH($B63,Report!$A$55:$A$77)),0)</f>
        <v>0</v>
      </c>
      <c r="L63" s="1019" cm="1">
        <f t="array" ref="L63">IF(L$2=YEAR(Input!$A$4),INDEX(Report!$R$55:$R$77,_xlfn.XMATCH($B63,Report!$A$55:$A$77)),0)</f>
        <v>0</v>
      </c>
      <c r="M63" s="1019" cm="1">
        <f t="array" ref="M63">IF(M$2=YEAR(Input!$A$4),INDEX(Report!$R$55:$R$77,_xlfn.XMATCH($B63,Report!$A$55:$A$77)),0)</f>
        <v>0</v>
      </c>
      <c r="N63" s="1019" t="e" cm="1">
        <f t="array" aca="1" ref="N63" ca="1">IF(N$2=YEAR(Input!$A$4),INDEX(Report!$R$55:$R$77,_xlfn.XMATCH($B63,Report!$A$55:$A$77)),0)</f>
        <v>#NAME?</v>
      </c>
      <c r="O63" s="1019" cm="1">
        <f t="array" ref="O63">IF(O$2=YEAR(Input!$A$4),INDEX(Report!$R$55:$R$77,_xlfn.XMATCH($B63,Report!$A$55:$A$77)),0)</f>
        <v>0</v>
      </c>
      <c r="P63" s="1019" cm="1">
        <f t="array" ref="P63">IF(P$2=YEAR(Input!$A$4),INDEX(Report!$R$55:$R$77,_xlfn.XMATCH($B63,Report!$A$55:$A$77)),0)</f>
        <v>0</v>
      </c>
      <c r="Q63" s="1019" cm="1">
        <f t="array" ref="Q63">IF(Q$2=YEAR(Input!$A$4),INDEX(Report!$R$55:$R$77,_xlfn.XMATCH($B63,Report!$A$55:$A$77)),0)</f>
        <v>0</v>
      </c>
    </row>
    <row r="64" spans="2:17" outlineLevel="1">
      <c r="B64" s="1002" t="s">
        <v>51</v>
      </c>
      <c r="H64" s="933" t="s">
        <v>26</v>
      </c>
      <c r="J64" s="1019" cm="1">
        <f t="array" ref="J64">IF(J$2=YEAR(Input!$A$4),INDEX(Report!$R$55:$R$77,_xlfn.XMATCH($B64,Report!$A$55:$A$77)),0)</f>
        <v>0</v>
      </c>
      <c r="K64" s="1019" cm="1">
        <f t="array" ref="K64">IF(K$2=YEAR(Input!$A$4),INDEX(Report!$R$55:$R$77,_xlfn.XMATCH($B64,Report!$A$55:$A$77)),0)</f>
        <v>0</v>
      </c>
      <c r="L64" s="1019" cm="1">
        <f t="array" ref="L64">IF(L$2=YEAR(Input!$A$4),INDEX(Report!$R$55:$R$77,_xlfn.XMATCH($B64,Report!$A$55:$A$77)),0)</f>
        <v>0</v>
      </c>
      <c r="M64" s="1019" cm="1">
        <f t="array" ref="M64">IF(M$2=YEAR(Input!$A$4),INDEX(Report!$R$55:$R$77,_xlfn.XMATCH($B64,Report!$A$55:$A$77)),0)</f>
        <v>0</v>
      </c>
      <c r="N64" s="1019" t="e" cm="1">
        <f t="array" aca="1" ref="N64" ca="1">IF(N$2=YEAR(Input!$A$4),INDEX(Report!$R$55:$R$77,_xlfn.XMATCH($B64,Report!$A$55:$A$77)),0)</f>
        <v>#NAME?</v>
      </c>
      <c r="O64" s="1019" cm="1">
        <f t="array" ref="O64">IF(O$2=YEAR(Input!$A$4),INDEX(Report!$R$55:$R$77,_xlfn.XMATCH($B64,Report!$A$55:$A$77)),0)</f>
        <v>0</v>
      </c>
      <c r="P64" s="1019" cm="1">
        <f t="array" ref="P64">IF(P$2=YEAR(Input!$A$4),INDEX(Report!$R$55:$R$77,_xlfn.XMATCH($B64,Report!$A$55:$A$77)),0)</f>
        <v>0</v>
      </c>
      <c r="Q64" s="1019" cm="1">
        <f t="array" ref="Q64">IF(Q$2=YEAR(Input!$A$4),INDEX(Report!$R$55:$R$77,_xlfn.XMATCH($B64,Report!$A$55:$A$77)),0)</f>
        <v>0</v>
      </c>
    </row>
    <row r="65" spans="1:114" outlineLevel="1">
      <c r="B65" s="1002" t="s">
        <v>52</v>
      </c>
      <c r="H65" s="933" t="s">
        <v>26</v>
      </c>
      <c r="J65" s="1019" cm="1">
        <f t="array" ref="J65">IF(J$2=YEAR(Input!$A$4),INDEX(Report!$R$55:$R$77,_xlfn.XMATCH($B65,Report!$A$55:$A$77)),0)</f>
        <v>0</v>
      </c>
      <c r="K65" s="1019" cm="1">
        <f t="array" ref="K65">IF(K$2=YEAR(Input!$A$4),INDEX(Report!$R$55:$R$77,_xlfn.XMATCH($B65,Report!$A$55:$A$77)),0)</f>
        <v>0</v>
      </c>
      <c r="L65" s="1019" cm="1">
        <f t="array" ref="L65">IF(L$2=YEAR(Input!$A$4),INDEX(Report!$R$55:$R$77,_xlfn.XMATCH($B65,Report!$A$55:$A$77)),0)</f>
        <v>0</v>
      </c>
      <c r="M65" s="1019" cm="1">
        <f t="array" ref="M65">IF(M$2=YEAR(Input!$A$4),INDEX(Report!$R$55:$R$77,_xlfn.XMATCH($B65,Report!$A$55:$A$77)),0)</f>
        <v>0</v>
      </c>
      <c r="N65" s="1019" t="e" cm="1">
        <f t="array" aca="1" ref="N65" ca="1">IF(N$2=YEAR(Input!$A$4),INDEX(Report!$R$55:$R$77,_xlfn.XMATCH($B65,Report!$A$55:$A$77)),0)</f>
        <v>#NAME?</v>
      </c>
      <c r="O65" s="1019" cm="1">
        <f t="array" ref="O65">IF(O$2=YEAR(Input!$A$4),INDEX(Report!$R$55:$R$77,_xlfn.XMATCH($B65,Report!$A$55:$A$77)),0)</f>
        <v>0</v>
      </c>
      <c r="P65" s="1019" cm="1">
        <f t="array" ref="P65">IF(P$2=YEAR(Input!$A$4),INDEX(Report!$R$55:$R$77,_xlfn.XMATCH($B65,Report!$A$55:$A$77)),0)</f>
        <v>0</v>
      </c>
      <c r="Q65" s="1019" cm="1">
        <f t="array" ref="Q65">IF(Q$2=YEAR(Input!$A$4),INDEX(Report!$R$55:$R$77,_xlfn.XMATCH($B65,Report!$A$55:$A$77)),0)</f>
        <v>0</v>
      </c>
    </row>
    <row r="66" spans="1:114" outlineLevel="1">
      <c r="B66" s="1002" t="s">
        <v>53</v>
      </c>
      <c r="H66" s="933" t="s">
        <v>26</v>
      </c>
      <c r="J66" s="1019" cm="1">
        <f t="array" ref="J66">IF(J$2=YEAR(Input!$A$4),INDEX(Report!$R$55:$R$77,_xlfn.XMATCH($B66,Report!$A$55:$A$77)),0)</f>
        <v>0</v>
      </c>
      <c r="K66" s="1019" cm="1">
        <f t="array" ref="K66">IF(K$2=YEAR(Input!$A$4),INDEX(Report!$R$55:$R$77,_xlfn.XMATCH($B66,Report!$A$55:$A$77)),0)</f>
        <v>0</v>
      </c>
      <c r="L66" s="1019" cm="1">
        <f t="array" ref="L66">IF(L$2=YEAR(Input!$A$4),INDEX(Report!$R$55:$R$77,_xlfn.XMATCH($B66,Report!$A$55:$A$77)),0)</f>
        <v>0</v>
      </c>
      <c r="M66" s="1019" cm="1">
        <f t="array" ref="M66">IF(M$2=YEAR(Input!$A$4),INDEX(Report!$R$55:$R$77,_xlfn.XMATCH($B66,Report!$A$55:$A$77)),0)</f>
        <v>0</v>
      </c>
      <c r="N66" s="1019" t="e" cm="1">
        <f t="array" aca="1" ref="N66" ca="1">IF(N$2=YEAR(Input!$A$4),INDEX(Report!$R$55:$R$77,_xlfn.XMATCH($B66,Report!$A$55:$A$77)),0)</f>
        <v>#NAME?</v>
      </c>
      <c r="O66" s="1019" cm="1">
        <f t="array" ref="O66">IF(O$2=YEAR(Input!$A$4),INDEX(Report!$R$55:$R$77,_xlfn.XMATCH($B66,Report!$A$55:$A$77)),0)</f>
        <v>0</v>
      </c>
      <c r="P66" s="1019" cm="1">
        <f t="array" ref="P66">IF(P$2=YEAR(Input!$A$4),INDEX(Report!$R$55:$R$77,_xlfn.XMATCH($B66,Report!$A$55:$A$77)),0)</f>
        <v>0</v>
      </c>
      <c r="Q66" s="1019" cm="1">
        <f t="array" ref="Q66">IF(Q$2=YEAR(Input!$A$4),INDEX(Report!$R$55:$R$77,_xlfn.XMATCH($B66,Report!$A$55:$A$77)),0)</f>
        <v>0</v>
      </c>
    </row>
    <row r="67" spans="1:114" outlineLevel="1">
      <c r="B67" s="1002" t="s">
        <v>54</v>
      </c>
      <c r="H67" s="933" t="s">
        <v>26</v>
      </c>
      <c r="J67" s="1019" cm="1">
        <f t="array" ref="J67">IF(J$2=YEAR(Input!$A$4),INDEX(Report!$R$55:$R$77,_xlfn.XMATCH($B67,Report!$A$55:$A$77)),0)</f>
        <v>0</v>
      </c>
      <c r="K67" s="1019" cm="1">
        <f t="array" ref="K67">IF(K$2=YEAR(Input!$A$4),INDEX(Report!$R$55:$R$77,_xlfn.XMATCH($B67,Report!$A$55:$A$77)),0)</f>
        <v>0</v>
      </c>
      <c r="L67" s="1019" cm="1">
        <f t="array" ref="L67">IF(L$2=YEAR(Input!$A$4),INDEX(Report!$R$55:$R$77,_xlfn.XMATCH($B67,Report!$A$55:$A$77)),0)</f>
        <v>0</v>
      </c>
      <c r="M67" s="1019" cm="1">
        <f t="array" ref="M67">IF(M$2=YEAR(Input!$A$4),INDEX(Report!$R$55:$R$77,_xlfn.XMATCH($B67,Report!$A$55:$A$77)),0)</f>
        <v>0</v>
      </c>
      <c r="N67" s="1019" t="e" cm="1">
        <f t="array" aca="1" ref="N67" ca="1">IF(N$2=YEAR(Input!$A$4),INDEX(Report!$R$55:$R$77,_xlfn.XMATCH($B67,Report!$A$55:$A$77)),0)</f>
        <v>#NAME?</v>
      </c>
      <c r="O67" s="1019" cm="1">
        <f t="array" ref="O67">IF(O$2=YEAR(Input!$A$4),INDEX(Report!$R$55:$R$77,_xlfn.XMATCH($B67,Report!$A$55:$A$77)),0)</f>
        <v>0</v>
      </c>
      <c r="P67" s="1019" cm="1">
        <f t="array" ref="P67">IF(P$2=YEAR(Input!$A$4),INDEX(Report!$R$55:$R$77,_xlfn.XMATCH($B67,Report!$A$55:$A$77)),0)</f>
        <v>0</v>
      </c>
      <c r="Q67" s="1019" cm="1">
        <f t="array" ref="Q67">IF(Q$2=YEAR(Input!$A$4),INDEX(Report!$R$55:$R$77,_xlfn.XMATCH($B67,Report!$A$55:$A$77)),0)</f>
        <v>0</v>
      </c>
    </row>
    <row r="68" spans="1:114" outlineLevel="1">
      <c r="B68" s="1002" t="s">
        <v>55</v>
      </c>
      <c r="H68" s="933" t="s">
        <v>26</v>
      </c>
      <c r="J68" s="1019" cm="1">
        <f t="array" ref="J68">IF(J$2=YEAR(Input!$A$4),INDEX(Report!$R$55:$R$77,_xlfn.XMATCH($B68,Report!$A$55:$A$77)),0)</f>
        <v>0</v>
      </c>
      <c r="K68" s="1019" cm="1">
        <f t="array" ref="K68">IF(K$2=YEAR(Input!$A$4),INDEX(Report!$R$55:$R$77,_xlfn.XMATCH($B68,Report!$A$55:$A$77)),0)</f>
        <v>0</v>
      </c>
      <c r="L68" s="1019" cm="1">
        <f t="array" ref="L68">IF(L$2=YEAR(Input!$A$4),INDEX(Report!$R$55:$R$77,_xlfn.XMATCH($B68,Report!$A$55:$A$77)),0)</f>
        <v>0</v>
      </c>
      <c r="M68" s="1019" cm="1">
        <f t="array" ref="M68">IF(M$2=YEAR(Input!$A$4),INDEX(Report!$R$55:$R$77,_xlfn.XMATCH($B68,Report!$A$55:$A$77)),0)</f>
        <v>0</v>
      </c>
      <c r="N68" s="1019" t="e" cm="1">
        <f t="array" aca="1" ref="N68" ca="1">IF(N$2=YEAR(Input!$A$4),INDEX(Report!$R$55:$R$77,_xlfn.XMATCH($B68,Report!$A$55:$A$77)),0)</f>
        <v>#NAME?</v>
      </c>
      <c r="O68" s="1019" cm="1">
        <f t="array" ref="O68">IF(O$2=YEAR(Input!$A$4),INDEX(Report!$R$55:$R$77,_xlfn.XMATCH($B68,Report!$A$55:$A$77)),0)</f>
        <v>0</v>
      </c>
      <c r="P68" s="1019" cm="1">
        <f t="array" ref="P68">IF(P$2=YEAR(Input!$A$4),INDEX(Report!$R$55:$R$77,_xlfn.XMATCH($B68,Report!$A$55:$A$77)),0)</f>
        <v>0</v>
      </c>
      <c r="Q68" s="1019" cm="1">
        <f t="array" ref="Q68">IF(Q$2=YEAR(Input!$A$4),INDEX(Report!$R$55:$R$77,_xlfn.XMATCH($B68,Report!$A$55:$A$77)),0)</f>
        <v>0</v>
      </c>
    </row>
    <row r="69" spans="1:114" outlineLevel="1">
      <c r="B69" s="1002" t="s">
        <v>56</v>
      </c>
      <c r="H69" s="933" t="s">
        <v>26</v>
      </c>
      <c r="J69" s="1019" cm="1">
        <f t="array" ref="J69">IF(J$2=YEAR(Input!$A$4),INDEX(Report!$R$55:$R$77,_xlfn.XMATCH($B69,Report!$A$55:$A$77)),0)</f>
        <v>0</v>
      </c>
      <c r="K69" s="1019" cm="1">
        <f t="array" ref="K69">IF(K$2=YEAR(Input!$A$4),INDEX(Report!$R$55:$R$77,_xlfn.XMATCH($B69,Report!$A$55:$A$77)),0)</f>
        <v>0</v>
      </c>
      <c r="L69" s="1019" cm="1">
        <f t="array" ref="L69">IF(L$2=YEAR(Input!$A$4),INDEX(Report!$R$55:$R$77,_xlfn.XMATCH($B69,Report!$A$55:$A$77)),0)</f>
        <v>0</v>
      </c>
      <c r="M69" s="1019" cm="1">
        <f t="array" ref="M69">IF(M$2=YEAR(Input!$A$4),INDEX(Report!$R$55:$R$77,_xlfn.XMATCH($B69,Report!$A$55:$A$77)),0)</f>
        <v>0</v>
      </c>
      <c r="N69" s="1019" t="e" cm="1">
        <f t="array" aca="1" ref="N69" ca="1">IF(N$2=YEAR(Input!$A$4),INDEX(Report!$R$55:$R$77,_xlfn.XMATCH($B69,Report!$A$55:$A$77)),0)</f>
        <v>#NAME?</v>
      </c>
      <c r="O69" s="1019" cm="1">
        <f t="array" ref="O69">IF(O$2=YEAR(Input!$A$4),INDEX(Report!$R$55:$R$77,_xlfn.XMATCH($B69,Report!$A$55:$A$77)),0)</f>
        <v>0</v>
      </c>
      <c r="P69" s="1019" cm="1">
        <f t="array" ref="P69">IF(P$2=YEAR(Input!$A$4),INDEX(Report!$R$55:$R$77,_xlfn.XMATCH($B69,Report!$A$55:$A$77)),0)</f>
        <v>0</v>
      </c>
      <c r="Q69" s="1019" cm="1">
        <f t="array" ref="Q69">IF(Q$2=YEAR(Input!$A$4),INDEX(Report!$R$55:$R$77,_xlfn.XMATCH($B69,Report!$A$55:$A$77)),0)</f>
        <v>0</v>
      </c>
    </row>
    <row r="70" spans="1:114" outlineLevel="1">
      <c r="B70" s="1002" t="s">
        <v>57</v>
      </c>
      <c r="H70" s="933" t="s">
        <v>26</v>
      </c>
      <c r="J70" s="1019" cm="1">
        <f t="array" ref="J70">IF(J$2=YEAR(Input!$A$4),INDEX(Report!$R$55:$R$77,_xlfn.XMATCH($B70,Report!$A$55:$A$77)),0)</f>
        <v>0</v>
      </c>
      <c r="K70" s="1019" cm="1">
        <f t="array" ref="K70">IF(K$2=YEAR(Input!$A$4),INDEX(Report!$R$55:$R$77,_xlfn.XMATCH($B70,Report!$A$55:$A$77)),0)</f>
        <v>0</v>
      </c>
      <c r="L70" s="1019" cm="1">
        <f t="array" ref="L70">IF(L$2=YEAR(Input!$A$4),INDEX(Report!$R$55:$R$77,_xlfn.XMATCH($B70,Report!$A$55:$A$77)),0)</f>
        <v>0</v>
      </c>
      <c r="M70" s="1019" cm="1">
        <f t="array" ref="M70">IF(M$2=YEAR(Input!$A$4),INDEX(Report!$R$55:$R$77,_xlfn.XMATCH($B70,Report!$A$55:$A$77)),0)</f>
        <v>0</v>
      </c>
      <c r="N70" s="1019" t="e" cm="1">
        <f t="array" aca="1" ref="N70" ca="1">IF(N$2=YEAR(Input!$A$4),INDEX(Report!$R$55:$R$77,_xlfn.XMATCH($B70,Report!$A$55:$A$77)),0)</f>
        <v>#NAME?</v>
      </c>
      <c r="O70" s="1019" cm="1">
        <f t="array" ref="O70">IF(O$2=YEAR(Input!$A$4),INDEX(Report!$R$55:$R$77,_xlfn.XMATCH($B70,Report!$A$55:$A$77)),0)</f>
        <v>0</v>
      </c>
      <c r="P70" s="1019" cm="1">
        <f t="array" ref="P70">IF(P$2=YEAR(Input!$A$4),INDEX(Report!$R$55:$R$77,_xlfn.XMATCH($B70,Report!$A$55:$A$77)),0)</f>
        <v>0</v>
      </c>
      <c r="Q70" s="1019" cm="1">
        <f t="array" ref="Q70">IF(Q$2=YEAR(Input!$A$4),INDEX(Report!$R$55:$R$77,_xlfn.XMATCH($B70,Report!$A$55:$A$77)),0)</f>
        <v>0</v>
      </c>
    </row>
    <row r="71" spans="1:114" outlineLevel="1">
      <c r="B71" s="1006" t="s">
        <v>58</v>
      </c>
      <c r="C71" s="934"/>
      <c r="H71" s="933" t="s">
        <v>26</v>
      </c>
      <c r="J71" s="1021">
        <f>SUM(J59:J70)</f>
        <v>0</v>
      </c>
      <c r="K71" s="1021">
        <f t="shared" ref="K71:Q71" si="50">SUM(K59:K70)</f>
        <v>0</v>
      </c>
      <c r="L71" s="1021">
        <f t="shared" si="50"/>
        <v>0</v>
      </c>
      <c r="M71" s="1021">
        <f t="shared" si="50"/>
        <v>0</v>
      </c>
      <c r="N71" s="1021" t="e">
        <f t="shared" ca="1" si="50"/>
        <v>#NAME?</v>
      </c>
      <c r="O71" s="1021">
        <f t="shared" si="50"/>
        <v>0</v>
      </c>
      <c r="P71" s="1021">
        <f t="shared" si="50"/>
        <v>0</v>
      </c>
      <c r="Q71" s="1021">
        <f t="shared" si="50"/>
        <v>0</v>
      </c>
    </row>
    <row r="73" spans="1:114" ht="14.25">
      <c r="A73" t="s">
        <v>15</v>
      </c>
      <c r="B73" s="931" t="s">
        <v>59</v>
      </c>
      <c r="C73" s="931"/>
      <c r="D73" s="931"/>
      <c r="E73" s="931"/>
      <c r="F73" s="931"/>
      <c r="G73" s="931"/>
      <c r="H73" s="931"/>
      <c r="I73" s="931"/>
      <c r="J73" s="931"/>
      <c r="K73" s="931"/>
      <c r="L73" s="931"/>
      <c r="M73" s="931"/>
      <c r="N73" s="931"/>
      <c r="O73" s="931"/>
      <c r="P73" s="931"/>
      <c r="Q73" s="931"/>
      <c r="R73" s="931"/>
      <c r="S73" s="931"/>
      <c r="T73" s="931"/>
      <c r="U73" s="931"/>
      <c r="V73" s="931"/>
      <c r="W73" s="931"/>
      <c r="X73" s="931"/>
      <c r="Y73" s="931"/>
      <c r="Z73" s="931"/>
      <c r="AA73" s="931"/>
      <c r="AB73" s="931"/>
      <c r="AC73" s="931"/>
      <c r="AD73" s="931"/>
      <c r="AE73" s="931"/>
      <c r="AF73" s="931"/>
      <c r="AG73" s="931"/>
      <c r="AH73" s="931"/>
      <c r="AI73" s="931"/>
      <c r="AJ73" s="931"/>
      <c r="AK73" s="931"/>
      <c r="AL73" s="931"/>
      <c r="AM73" s="931"/>
      <c r="AN73" s="931"/>
      <c r="AO73" s="931"/>
      <c r="AP73" s="931"/>
      <c r="AQ73" s="931"/>
      <c r="AR73" s="931"/>
      <c r="AS73" s="931"/>
      <c r="AT73" s="931"/>
      <c r="AU73" s="931"/>
      <c r="AV73" s="931"/>
      <c r="AW73" s="931"/>
      <c r="AX73" s="931"/>
      <c r="AY73" s="931"/>
      <c r="AZ73" s="931"/>
      <c r="BA73" s="931"/>
      <c r="BB73" s="931"/>
      <c r="BC73" s="931"/>
      <c r="BD73" s="931"/>
      <c r="BE73" s="931"/>
      <c r="BF73" s="931"/>
      <c r="BG73" s="931"/>
      <c r="BH73" s="931"/>
      <c r="BI73" s="931"/>
      <c r="BJ73" s="931"/>
      <c r="BK73" s="931"/>
      <c r="BL73" s="931"/>
      <c r="BM73" s="931"/>
      <c r="BN73" s="931"/>
      <c r="BO73" s="931"/>
      <c r="BP73" s="931"/>
      <c r="BQ73" s="931"/>
      <c r="BR73" s="931"/>
      <c r="BS73" s="931"/>
      <c r="BT73" s="931"/>
      <c r="BU73" s="931"/>
      <c r="BV73" s="931"/>
      <c r="BW73" s="931"/>
      <c r="BX73" s="931"/>
      <c r="BY73" s="931"/>
      <c r="BZ73" s="931"/>
      <c r="CA73" s="931"/>
      <c r="CB73" s="931"/>
      <c r="CC73" s="931"/>
      <c r="CD73" s="931"/>
      <c r="CE73" s="931"/>
      <c r="CF73" s="931"/>
      <c r="CG73" s="931"/>
      <c r="CH73" s="931"/>
      <c r="CI73" s="931"/>
      <c r="CJ73" s="931"/>
      <c r="CK73" s="931"/>
      <c r="CL73" s="931"/>
      <c r="CM73" s="931"/>
      <c r="CN73" s="931"/>
      <c r="CO73" s="931"/>
      <c r="CP73" s="931"/>
      <c r="CQ73" s="931"/>
      <c r="CR73" s="931"/>
      <c r="CS73" s="931"/>
      <c r="CT73" s="931"/>
      <c r="CU73" s="931"/>
      <c r="CV73" s="931"/>
      <c r="CW73" s="931"/>
      <c r="CX73" s="931"/>
      <c r="CY73" s="931"/>
      <c r="CZ73" s="931"/>
      <c r="DA73" s="931"/>
      <c r="DB73" s="931"/>
      <c r="DC73" s="931"/>
      <c r="DD73" s="931"/>
      <c r="DE73" s="931"/>
      <c r="DF73" s="931"/>
      <c r="DG73" s="931"/>
      <c r="DH73" s="931"/>
      <c r="DI73" s="931"/>
      <c r="DJ73" s="931"/>
    </row>
    <row r="74" spans="1:114" outlineLevel="1">
      <c r="B74" t="s">
        <v>60</v>
      </c>
    </row>
    <row r="75" spans="1:114" outlineLevel="1"/>
    <row r="76" spans="1:114" ht="15" outlineLevel="1">
      <c r="B76" s="924" t="s">
        <v>61</v>
      </c>
      <c r="H76" s="935" t="e" cm="1">
        <f t="array" aca="1" ref="H76" ca="1">IF(ABS(INDEX($J84:$Q84,_xlfn.XMATCH(YEAR(Input!$A$4),$J$2:$Q$2))-(Report!$B$128))&gt;Tolerance,1,0)</f>
        <v>#NAME?</v>
      </c>
      <c r="J76" s="940"/>
      <c r="K76" s="940"/>
    </row>
    <row r="77" spans="1:114" outlineLevel="1">
      <c r="B77" s="925" t="s">
        <v>25</v>
      </c>
      <c r="H77" s="933" t="s">
        <v>26</v>
      </c>
      <c r="J77" s="1019">
        <f>IF(J$2=YEAR(Input!$A$4),Report!$B106,0)</f>
        <v>0</v>
      </c>
      <c r="K77" s="1019">
        <f>IF(K$2=YEAR(Input!$A$4),Report!$B106,0)</f>
        <v>0</v>
      </c>
      <c r="L77" s="1019">
        <f>IF(L$2=YEAR(Input!$A$4),Report!$B106,0)</f>
        <v>0</v>
      </c>
      <c r="M77" s="1019">
        <f>IF(M$2=YEAR(Input!$A$4),Report!$B106,0)</f>
        <v>0</v>
      </c>
      <c r="N77" s="1019">
        <f ca="1">IF(N$2=YEAR(Input!$A$4),Report!$B106,0)</f>
        <v>635196.80000000005</v>
      </c>
      <c r="O77" s="1019">
        <f>IF(O$2=YEAR(Input!$A$4),Report!$B106,0)</f>
        <v>0</v>
      </c>
      <c r="P77" s="1019">
        <f>IF(P$2=YEAR(Input!$A$4),Report!$B106,0)</f>
        <v>0</v>
      </c>
      <c r="Q77" s="1019">
        <f>IF(Q$2=YEAR(Input!$A$4),Report!$B106,0)</f>
        <v>0</v>
      </c>
    </row>
    <row r="78" spans="1:114" outlineLevel="1">
      <c r="B78" s="1002" t="s">
        <v>62</v>
      </c>
      <c r="H78" s="933" t="s">
        <v>26</v>
      </c>
      <c r="J78" s="1019" cm="1">
        <f t="array" ref="J78">IF(J$2=YEAR(Input!$A$4),INDEX(Report!$B$108:$B$126,_xlfn.XMATCH($B78,Report!$A$108:$A$126)),0)</f>
        <v>0</v>
      </c>
      <c r="K78" s="1019" cm="1">
        <f t="array" ref="K78">IF(K$2=YEAR(Input!$A$4),INDEX(Report!$B$108:$B$126,_xlfn.XMATCH($B78,Report!$A$108:$A$126)),0)</f>
        <v>0</v>
      </c>
      <c r="L78" s="1019" cm="1">
        <f t="array" ref="L78">IF(L$2=YEAR(Input!$A$4),INDEX(Report!$B$108:$B$126,_xlfn.XMATCH($B78,Report!$A$108:$A$126)),0)</f>
        <v>0</v>
      </c>
      <c r="M78" s="1019" cm="1">
        <f t="array" ref="M78">IF(M$2=YEAR(Input!$A$4),INDEX(Report!$B$108:$B$126,_xlfn.XMATCH($B78,Report!$A$108:$A$126)),0)</f>
        <v>0</v>
      </c>
      <c r="N78" s="1019" t="e" cm="1">
        <f t="array" aca="1" ref="N78" ca="1">IF(N$2=YEAR(Input!$A$4),INDEX(Report!$B$108:$B$126,_xlfn.XMATCH($B78,Report!$A$108:$A$126)),0)</f>
        <v>#NAME?</v>
      </c>
      <c r="O78" s="1019" cm="1">
        <f t="array" ref="O78">IF(O$2=YEAR(Input!$A$4),INDEX(Report!$B$108:$B$126,_xlfn.XMATCH($B78,Report!$A$108:$A$126)),0)</f>
        <v>0</v>
      </c>
      <c r="P78" s="1019" cm="1">
        <f t="array" ref="P78">IF(P$2=YEAR(Input!$A$4),INDEX(Report!$B$108:$B$126,_xlfn.XMATCH($B78,Report!$A$108:$A$126)),0)</f>
        <v>0</v>
      </c>
      <c r="Q78" s="1019" cm="1">
        <f t="array" ref="Q78">IF(Q$2=YEAR(Input!$A$4),INDEX(Report!$B$108:$B$126,_xlfn.XMATCH($B78,Report!$A$108:$A$126)),0)</f>
        <v>0</v>
      </c>
    </row>
    <row r="79" spans="1:114" outlineLevel="1">
      <c r="B79" s="1002" t="s">
        <v>63</v>
      </c>
      <c r="H79" s="933" t="s">
        <v>26</v>
      </c>
      <c r="J79" s="1019" cm="1">
        <f t="array" ref="J79">IF(J$2=YEAR(Input!$A$4),INDEX(Report!$B$108:$B$126,_xlfn.XMATCH($B79,Report!$A$108:$A$126)),0)</f>
        <v>0</v>
      </c>
      <c r="K79" s="1019" cm="1">
        <f t="array" ref="K79">IF(K$2=YEAR(Input!$A$4),INDEX(Report!$B$108:$B$126,_xlfn.XMATCH($B79,Report!$A$108:$A$126)),0)</f>
        <v>0</v>
      </c>
      <c r="L79" s="1019" cm="1">
        <f t="array" ref="L79">IF(L$2=YEAR(Input!$A$4),INDEX(Report!$B$108:$B$126,_xlfn.XMATCH($B79,Report!$A$108:$A$126)),0)</f>
        <v>0</v>
      </c>
      <c r="M79" s="1019" cm="1">
        <f t="array" ref="M79">IF(M$2=YEAR(Input!$A$4),INDEX(Report!$B$108:$B$126,_xlfn.XMATCH($B79,Report!$A$108:$A$126)),0)</f>
        <v>0</v>
      </c>
      <c r="N79" s="1019" t="e" cm="1">
        <f t="array" aca="1" ref="N79" ca="1">IF(N$2=YEAR(Input!$A$4),INDEX(Report!$B$108:$B$126,_xlfn.XMATCH($B79,Report!$A$108:$A$126)),0)</f>
        <v>#NAME?</v>
      </c>
      <c r="O79" s="1019" cm="1">
        <f t="array" ref="O79">IF(O$2=YEAR(Input!$A$4),INDEX(Report!$B$108:$B$126,_xlfn.XMATCH($B79,Report!$A$108:$A$126)),0)</f>
        <v>0</v>
      </c>
      <c r="P79" s="1019" cm="1">
        <f t="array" ref="P79">IF(P$2=YEAR(Input!$A$4),INDEX(Report!$B$108:$B$126,_xlfn.XMATCH($B79,Report!$A$108:$A$126)),0)</f>
        <v>0</v>
      </c>
      <c r="Q79" s="1019" cm="1">
        <f t="array" ref="Q79">IF(Q$2=YEAR(Input!$A$4),INDEX(Report!$B$108:$B$126,_xlfn.XMATCH($B79,Report!$A$108:$A$126)),0)</f>
        <v>0</v>
      </c>
    </row>
    <row r="80" spans="1:114" outlineLevel="1">
      <c r="B80" s="1002" t="s">
        <v>64</v>
      </c>
      <c r="H80" s="933" t="s">
        <v>26</v>
      </c>
      <c r="J80" s="1019" cm="1">
        <f t="array" ref="J80">IF(J$2=YEAR(Input!$A$4),INDEX(Report!$B$108:$B$126,_xlfn.XMATCH($B80,Report!$A$108:$A$126)),0)</f>
        <v>0</v>
      </c>
      <c r="K80" s="1019" cm="1">
        <f t="array" ref="K80">IF(K$2=YEAR(Input!$A$4),INDEX(Report!$B$108:$B$126,_xlfn.XMATCH($B80,Report!$A$108:$A$126)),0)</f>
        <v>0</v>
      </c>
      <c r="L80" s="1019" cm="1">
        <f t="array" ref="L80">IF(L$2=YEAR(Input!$A$4),INDEX(Report!$B$108:$B$126,_xlfn.XMATCH($B80,Report!$A$108:$A$126)),0)</f>
        <v>0</v>
      </c>
      <c r="M80" s="1019" cm="1">
        <f t="array" ref="M80">IF(M$2=YEAR(Input!$A$4),INDEX(Report!$B$108:$B$126,_xlfn.XMATCH($B80,Report!$A$108:$A$126)),0)</f>
        <v>0</v>
      </c>
      <c r="N80" s="1019" t="e" cm="1">
        <f t="array" aca="1" ref="N80" ca="1">IF(N$2=YEAR(Input!$A$4),INDEX(Report!$B$108:$B$126,_xlfn.XMATCH($B80,Report!$A$108:$A$126)),0)</f>
        <v>#NAME?</v>
      </c>
      <c r="O80" s="1019" cm="1">
        <f t="array" ref="O80">IF(O$2=YEAR(Input!$A$4),INDEX(Report!$B$108:$B$126,_xlfn.XMATCH($B80,Report!$A$108:$A$126)),0)</f>
        <v>0</v>
      </c>
      <c r="P80" s="1019" cm="1">
        <f t="array" ref="P80">IF(P$2=YEAR(Input!$A$4),INDEX(Report!$B$108:$B$126,_xlfn.XMATCH($B80,Report!$A$108:$A$126)),0)</f>
        <v>0</v>
      </c>
      <c r="Q80" s="1019" cm="1">
        <f t="array" ref="Q80">IF(Q$2=YEAR(Input!$A$4),INDEX(Report!$B$108:$B$126,_xlfn.XMATCH($B80,Report!$A$108:$A$126)),0)</f>
        <v>0</v>
      </c>
    </row>
    <row r="81" spans="2:17" outlineLevel="1">
      <c r="B81" s="1002" t="s">
        <v>65</v>
      </c>
      <c r="H81" s="933" t="s">
        <v>26</v>
      </c>
      <c r="J81" s="1019" cm="1">
        <f t="array" ref="J81">IF(J$2=YEAR(Input!$A$4),INDEX(Report!$B$108:$B$126,_xlfn.XMATCH($B81,Report!$A$108:$A$126)),0)</f>
        <v>0</v>
      </c>
      <c r="K81" s="1019" cm="1">
        <f t="array" ref="K81">IF(K$2=YEAR(Input!$A$4),INDEX(Report!$B$108:$B$126,_xlfn.XMATCH($B81,Report!$A$108:$A$126)),0)</f>
        <v>0</v>
      </c>
      <c r="L81" s="1019" cm="1">
        <f t="array" ref="L81">IF(L$2=YEAR(Input!$A$4),INDEX(Report!$B$108:$B$126,_xlfn.XMATCH($B81,Report!$A$108:$A$126)),0)</f>
        <v>0</v>
      </c>
      <c r="M81" s="1019" cm="1">
        <f t="array" ref="M81">IF(M$2=YEAR(Input!$A$4),INDEX(Report!$B$108:$B$126,_xlfn.XMATCH($B81,Report!$A$108:$A$126)),0)</f>
        <v>0</v>
      </c>
      <c r="N81" s="1019" t="e" cm="1">
        <f t="array" aca="1" ref="N81" ca="1">IF(N$2=YEAR(Input!$A$4),INDEX(Report!$B$108:$B$126,_xlfn.XMATCH($B81,Report!$A$108:$A$126)),0)</f>
        <v>#NAME?</v>
      </c>
      <c r="O81" s="1019" cm="1">
        <f t="array" ref="O81">IF(O$2=YEAR(Input!$A$4),INDEX(Report!$B$108:$B$126,_xlfn.XMATCH($B81,Report!$A$108:$A$126)),0)</f>
        <v>0</v>
      </c>
      <c r="P81" s="1019" cm="1">
        <f t="array" ref="P81">IF(P$2=YEAR(Input!$A$4),INDEX(Report!$B$108:$B$126,_xlfn.XMATCH($B81,Report!$A$108:$A$126)),0)</f>
        <v>0</v>
      </c>
      <c r="Q81" s="1019" cm="1">
        <f t="array" ref="Q81">IF(Q$2=YEAR(Input!$A$4),INDEX(Report!$B$108:$B$126,_xlfn.XMATCH($B81,Report!$A$108:$A$126)),0)</f>
        <v>0</v>
      </c>
    </row>
    <row r="82" spans="2:17" outlineLevel="1">
      <c r="B82" s="1002" t="s">
        <v>66</v>
      </c>
      <c r="H82" s="933" t="s">
        <v>26</v>
      </c>
      <c r="J82" s="1019" cm="1">
        <f t="array" ref="J82">IF(J$2=YEAR(Input!$A$4),INDEX(Report!$B$108:$B$126,_xlfn.XMATCH($B82,Report!$A$108:$A$126)),0)</f>
        <v>0</v>
      </c>
      <c r="K82" s="1019" cm="1">
        <f t="array" ref="K82">IF(K$2=YEAR(Input!$A$4),INDEX(Report!$B$108:$B$126,_xlfn.XMATCH($B82,Report!$A$108:$A$126)),0)</f>
        <v>0</v>
      </c>
      <c r="L82" s="1019" cm="1">
        <f t="array" ref="L82">IF(L$2=YEAR(Input!$A$4),INDEX(Report!$B$108:$B$126,_xlfn.XMATCH($B82,Report!$A$108:$A$126)),0)</f>
        <v>0</v>
      </c>
      <c r="M82" s="1019" cm="1">
        <f t="array" ref="M82">IF(M$2=YEAR(Input!$A$4),INDEX(Report!$B$108:$B$126,_xlfn.XMATCH($B82,Report!$A$108:$A$126)),0)</f>
        <v>0</v>
      </c>
      <c r="N82" s="1019" t="e" cm="1">
        <f t="array" aca="1" ref="N82" ca="1">IF(N$2=YEAR(Input!$A$4),INDEX(Report!$B$108:$B$126,_xlfn.XMATCH($B82,Report!$A$108:$A$126)),0)</f>
        <v>#NAME?</v>
      </c>
      <c r="O82" s="1019" cm="1">
        <f t="array" ref="O82">IF(O$2=YEAR(Input!$A$4),INDEX(Report!$B$108:$B$126,_xlfn.XMATCH($B82,Report!$A$108:$A$126)),0)</f>
        <v>0</v>
      </c>
      <c r="P82" s="1019" cm="1">
        <f t="array" ref="P82">IF(P$2=YEAR(Input!$A$4),INDEX(Report!$B$108:$B$126,_xlfn.XMATCH($B82,Report!$A$108:$A$126)),0)</f>
        <v>0</v>
      </c>
      <c r="Q82" s="1019" cm="1">
        <f t="array" ref="Q82">IF(Q$2=YEAR(Input!$A$4),INDEX(Report!$B$108:$B$126,_xlfn.XMATCH($B82,Report!$A$108:$A$126)),0)</f>
        <v>0</v>
      </c>
    </row>
    <row r="83" spans="2:17" outlineLevel="1">
      <c r="B83" s="1002" t="s">
        <v>67</v>
      </c>
      <c r="H83" s="933" t="s">
        <v>26</v>
      </c>
      <c r="J83" s="1019" cm="1">
        <f t="array" ref="J83">IF(J$2=YEAR(Input!$A$4),INDEX(Report!$B$108:$B$126,_xlfn.XMATCH($B83,Report!$A$108:$A$126)),0)</f>
        <v>0</v>
      </c>
      <c r="K83" s="1019" cm="1">
        <f t="array" ref="K83">IF(K$2=YEAR(Input!$A$4),INDEX(Report!$B$108:$B$126,_xlfn.XMATCH($B83,Report!$A$108:$A$126)),0)</f>
        <v>0</v>
      </c>
      <c r="L83" s="1019" cm="1">
        <f t="array" ref="L83">IF(L$2=YEAR(Input!$A$4),INDEX(Report!$B$108:$B$126,_xlfn.XMATCH($B83,Report!$A$108:$A$126)),0)</f>
        <v>0</v>
      </c>
      <c r="M83" s="1019" cm="1">
        <f t="array" ref="M83">IF(M$2=YEAR(Input!$A$4),INDEX(Report!$B$108:$B$126,_xlfn.XMATCH($B83,Report!$A$108:$A$126)),0)</f>
        <v>0</v>
      </c>
      <c r="N83" s="1019" t="e" cm="1">
        <f t="array" aca="1" ref="N83" ca="1">IF(N$2=YEAR(Input!$A$4),INDEX(Report!$B$108:$B$126,_xlfn.XMATCH($B83,Report!$A$108:$A$126)),0)</f>
        <v>#NAME?</v>
      </c>
      <c r="O83" s="1019" cm="1">
        <f t="array" ref="O83">IF(O$2=YEAR(Input!$A$4),INDEX(Report!$B$108:$B$126,_xlfn.XMATCH($B83,Report!$A$108:$A$126)),0)</f>
        <v>0</v>
      </c>
      <c r="P83" s="1019" cm="1">
        <f t="array" ref="P83">IF(P$2=YEAR(Input!$A$4),INDEX(Report!$B$108:$B$126,_xlfn.XMATCH($B83,Report!$A$108:$A$126)),0)</f>
        <v>0</v>
      </c>
      <c r="Q83" s="1019" cm="1">
        <f t="array" ref="Q83">IF(Q$2=YEAR(Input!$A$4),INDEX(Report!$B$108:$B$126,_xlfn.XMATCH($B83,Report!$A$108:$A$126)),0)</f>
        <v>0</v>
      </c>
    </row>
    <row r="84" spans="2:17" outlineLevel="1">
      <c r="B84" s="1006" t="s">
        <v>68</v>
      </c>
      <c r="C84" s="934"/>
      <c r="H84" s="933" t="s">
        <v>26</v>
      </c>
      <c r="J84" s="1021">
        <f>SUM(J77:J83)</f>
        <v>0</v>
      </c>
      <c r="K84" s="1021">
        <f t="shared" ref="K84:Q84" si="51">SUM(K77:K83)</f>
        <v>0</v>
      </c>
      <c r="L84" s="1021">
        <f t="shared" si="51"/>
        <v>0</v>
      </c>
      <c r="M84" s="1021">
        <f t="shared" si="51"/>
        <v>0</v>
      </c>
      <c r="N84" s="1021" t="e">
        <f t="shared" ca="1" si="51"/>
        <v>#NAME?</v>
      </c>
      <c r="O84" s="1021">
        <f t="shared" si="51"/>
        <v>0</v>
      </c>
      <c r="P84" s="1021">
        <f t="shared" si="51"/>
        <v>0</v>
      </c>
      <c r="Q84" s="1021">
        <f t="shared" si="51"/>
        <v>0</v>
      </c>
    </row>
    <row r="85" spans="2:17" ht="15" outlineLevel="1">
      <c r="J85" s="936"/>
      <c r="K85" s="936"/>
    </row>
    <row r="86" spans="2:17" ht="15" outlineLevel="1">
      <c r="B86" s="924" t="s">
        <v>69</v>
      </c>
      <c r="H86" s="935" t="e" cm="1">
        <f t="array" aca="1" ref="H86" ca="1">IF(ABS(INDEX($J89:$Q89,_xlfn.XMATCH(YEAR(Input!$A$4),$J$2:$Q$2))+(Report!$D$128))&gt;Tolerance,1,0)</f>
        <v>#NAME?</v>
      </c>
      <c r="J86" s="940"/>
      <c r="K86" s="940"/>
    </row>
    <row r="87" spans="2:17" outlineLevel="1">
      <c r="B87" s="925" t="s">
        <v>25</v>
      </c>
      <c r="H87" s="933" t="s">
        <v>26</v>
      </c>
      <c r="J87" s="1019">
        <f>-IF(J$2=YEAR(Input!$A$4),Report!$D106,0)</f>
        <v>0</v>
      </c>
      <c r="K87" s="1019">
        <f>-IF(K$2=YEAR(Input!$A$4),Report!$D106,0)</f>
        <v>0</v>
      </c>
      <c r="L87" s="1019">
        <f>-IF(L$2=YEAR(Input!$A$4),Report!$D106,0)</f>
        <v>0</v>
      </c>
      <c r="M87" s="1019">
        <f>-IF(M$2=YEAR(Input!$A$4),Report!$D106,0)</f>
        <v>0</v>
      </c>
      <c r="N87" s="1019">
        <f ca="1">-IF(N$2=YEAR(Input!$A$4),Report!$D106,0)</f>
        <v>-228428.9</v>
      </c>
      <c r="O87" s="1019">
        <f>-IF(O$2=YEAR(Input!$A$4),Report!$D106,0)</f>
        <v>0</v>
      </c>
      <c r="P87" s="1019">
        <f>-IF(P$2=YEAR(Input!$A$4),Report!$D106,0)</f>
        <v>0</v>
      </c>
      <c r="Q87" s="1019">
        <f>-IF(Q$2=YEAR(Input!$A$4),Report!$D106,0)</f>
        <v>0</v>
      </c>
    </row>
    <row r="88" spans="2:17" outlineLevel="1">
      <c r="B88" s="1002" t="s">
        <v>63</v>
      </c>
      <c r="H88" s="933" t="s">
        <v>26</v>
      </c>
      <c r="J88" s="1019" cm="1">
        <f t="array" ref="J88">-IF(J$2=YEAR(Input!$A$4),INDEX(Report!$D$108:$D$126,_xlfn.XMATCH($B88,Report!$A$108:$A$126)),0)</f>
        <v>0</v>
      </c>
      <c r="K88" s="1019" cm="1">
        <f t="array" ref="K88">-IF(K$2=YEAR(Input!$A$4),INDEX(Report!$D$108:$D$126,_xlfn.XMATCH($B88,Report!$A$108:$A$126)),0)</f>
        <v>0</v>
      </c>
      <c r="L88" s="1019" cm="1">
        <f t="array" ref="L88">-IF(L$2=YEAR(Input!$A$4),INDEX(Report!$D$108:$D$126,_xlfn.XMATCH($B88,Report!$A$108:$A$126)),0)</f>
        <v>0</v>
      </c>
      <c r="M88" s="1019" cm="1">
        <f t="array" ref="M88">-IF(M$2=YEAR(Input!$A$4),INDEX(Report!$D$108:$D$126,_xlfn.XMATCH($B88,Report!$A$108:$A$126)),0)</f>
        <v>0</v>
      </c>
      <c r="N88" s="1019" t="e" cm="1">
        <f t="array" aca="1" ref="N88" ca="1">-IF(N$2=YEAR(Input!$A$4),INDEX(Report!$D$108:$D$126,_xlfn.XMATCH($B88,Report!$A$108:$A$126)),0)</f>
        <v>#NAME?</v>
      </c>
      <c r="O88" s="1019" cm="1">
        <f t="array" ref="O88">-IF(O$2=YEAR(Input!$A$4),INDEX(Report!$D$108:$D$126,_xlfn.XMATCH($B88,Report!$A$108:$A$126)),0)</f>
        <v>0</v>
      </c>
      <c r="P88" s="1019" cm="1">
        <f t="array" ref="P88">-IF(P$2=YEAR(Input!$A$4),INDEX(Report!$D$108:$D$126,_xlfn.XMATCH($B88,Report!$A$108:$A$126)),0)</f>
        <v>0</v>
      </c>
      <c r="Q88" s="1019" cm="1">
        <f t="array" ref="Q88">-IF(Q$2=YEAR(Input!$A$4),INDEX(Report!$D$108:$D$126,_xlfn.XMATCH($B88,Report!$A$108:$A$126)),0)</f>
        <v>0</v>
      </c>
    </row>
    <row r="89" spans="2:17" outlineLevel="1">
      <c r="B89" s="1007" t="s">
        <v>70</v>
      </c>
      <c r="C89" s="934"/>
      <c r="H89" s="933" t="s">
        <v>26</v>
      </c>
      <c r="J89" s="1021">
        <f>SUM(J87:J88)</f>
        <v>0</v>
      </c>
      <c r="K89" s="1021">
        <f t="shared" ref="K89:Q89" si="52">SUM(K87:K88)</f>
        <v>0</v>
      </c>
      <c r="L89" s="1021">
        <f t="shared" si="52"/>
        <v>0</v>
      </c>
      <c r="M89" s="1021">
        <f t="shared" si="52"/>
        <v>0</v>
      </c>
      <c r="N89" s="1021" t="e">
        <f t="shared" ca="1" si="52"/>
        <v>#NAME?</v>
      </c>
      <c r="O89" s="1021">
        <f t="shared" si="52"/>
        <v>0</v>
      </c>
      <c r="P89" s="1021">
        <f t="shared" si="52"/>
        <v>0</v>
      </c>
      <c r="Q89" s="1021">
        <f t="shared" si="52"/>
        <v>0</v>
      </c>
    </row>
    <row r="90" spans="2:17" outlineLevel="1"/>
    <row r="91" spans="2:17" ht="15" outlineLevel="1">
      <c r="B91" s="924" t="s">
        <v>71</v>
      </c>
      <c r="H91" s="935" t="e" cm="1">
        <f t="array" aca="1" ref="H91" ca="1">IF(ABS(INDEX($J102:$Q102,_xlfn.XMATCH(YEAR(Input!$A$4),$J$2:$Q$2))+(Report!$F$128))&gt;Tolerance,1,0)</f>
        <v>#NAME?</v>
      </c>
      <c r="J91" s="942"/>
      <c r="K91" s="942"/>
    </row>
    <row r="92" spans="2:17" outlineLevel="1">
      <c r="B92" s="925" t="s">
        <v>25</v>
      </c>
      <c r="H92" s="933" t="s">
        <v>26</v>
      </c>
      <c r="J92" s="1019">
        <f>-IF(J$2=YEAR(Input!$A$4),Report!$F106,0)</f>
        <v>0</v>
      </c>
      <c r="K92" s="1019">
        <f>-IF(K$2=YEAR(Input!$A$4),Report!$F106,0)</f>
        <v>0</v>
      </c>
      <c r="L92" s="1019">
        <f>-IF(L$2=YEAR(Input!$A$4),Report!$F106,0)</f>
        <v>0</v>
      </c>
      <c r="M92" s="1019">
        <f>-IF(M$2=YEAR(Input!$A$4),Report!$F106,0)</f>
        <v>0</v>
      </c>
      <c r="N92" s="1019">
        <f ca="1">-IF(N$2=YEAR(Input!$A$4),Report!$F106,0)</f>
        <v>-176207.9</v>
      </c>
      <c r="O92" s="1019">
        <f>-IF(O$2=YEAR(Input!$A$4),Report!$F106,0)</f>
        <v>0</v>
      </c>
      <c r="P92" s="1019">
        <f>-IF(P$2=YEAR(Input!$A$4),Report!$F106,0)</f>
        <v>0</v>
      </c>
      <c r="Q92" s="1019">
        <f>-IF(Q$2=YEAR(Input!$A$4),Report!$F106,0)</f>
        <v>0</v>
      </c>
    </row>
    <row r="93" spans="2:17" outlineLevel="1">
      <c r="B93" s="1002" t="s">
        <v>62</v>
      </c>
      <c r="H93" s="933" t="s">
        <v>26</v>
      </c>
      <c r="J93" s="1019" cm="1">
        <f t="array" ref="J93">-IFERROR(IF(J$2=YEAR(Input!$A$4),INDEX(Report!$F$108:$F$126,_xlfn.XMATCH($B93,Report!$A$108:$A$126)),0),0)</f>
        <v>0</v>
      </c>
      <c r="K93" s="1019" cm="1">
        <f t="array" ref="K93">-IFERROR(IF(K$2=YEAR(Input!$A$4),INDEX(Report!$F$108:$F$126,_xlfn.XMATCH($B93,Report!$A$108:$A$126)),0),0)</f>
        <v>0</v>
      </c>
      <c r="L93" s="1019" cm="1">
        <f t="array" ref="L93">-IFERROR(IF(L$2=YEAR(Input!$A$4),INDEX(Report!$F$108:$F$126,_xlfn.XMATCH($B93,Report!$A$108:$A$126)),0),0)</f>
        <v>0</v>
      </c>
      <c r="M93" s="1019" cm="1">
        <f t="array" ref="M93">-IFERROR(IF(M$2=YEAR(Input!$A$4),INDEX(Report!$F$108:$F$126,_xlfn.XMATCH($B93,Report!$A$108:$A$126)),0),0)</f>
        <v>0</v>
      </c>
      <c r="N93" s="1019" cm="1">
        <f t="array" aca="1" ref="N93" ca="1">-IFERROR(IF(N$2=YEAR(Input!$A$4),INDEX(Report!$F$108:$F$126,_xlfn.XMATCH($B93,Report!$A$108:$A$126)),0),0)</f>
        <v>0</v>
      </c>
      <c r="O93" s="1019" cm="1">
        <f t="array" ref="O93">-IFERROR(IF(O$2=YEAR(Input!$A$4),INDEX(Report!$F$108:$F$126,_xlfn.XMATCH($B93,Report!$A$108:$A$126)),0),0)</f>
        <v>0</v>
      </c>
      <c r="P93" s="1019" cm="1">
        <f t="array" ref="P93">-IFERROR(IF(P$2=YEAR(Input!$A$4),INDEX(Report!$F$108:$F$126,_xlfn.XMATCH($B93,Report!$A$108:$A$126)),0),0)</f>
        <v>0</v>
      </c>
      <c r="Q93" s="1019" cm="1">
        <f t="array" ref="Q93">-IFERROR(IF(Q$2=YEAR(Input!$A$4),INDEX(Report!$F$108:$F$126,_xlfn.XMATCH($B93,Report!$A$108:$A$126)),0),0)</f>
        <v>0</v>
      </c>
    </row>
    <row r="94" spans="2:17" outlineLevel="1">
      <c r="B94" s="1002" t="s">
        <v>72</v>
      </c>
      <c r="H94" s="933" t="s">
        <v>26</v>
      </c>
      <c r="J94" s="1019" cm="1">
        <f t="array" ref="J94">-IFERROR(IF(J$2=YEAR(Input!$A$4),INDEX(Report!$F$108:$F$126,_xlfn.XMATCH($B94,Report!$A$108:$A$126)),0),0)</f>
        <v>0</v>
      </c>
      <c r="K94" s="1019" cm="1">
        <f t="array" ref="K94">-IFERROR(IF(K$2=YEAR(Input!$A$4),INDEX(Report!$F$108:$F$126,_xlfn.XMATCH($B94,Report!$A$108:$A$126)),0),0)</f>
        <v>0</v>
      </c>
      <c r="L94" s="1019" cm="1">
        <f t="array" ref="L94">-IFERROR(IF(L$2=YEAR(Input!$A$4),INDEX(Report!$F$108:$F$126,_xlfn.XMATCH($B94,Report!$A$108:$A$126)),0),0)</f>
        <v>0</v>
      </c>
      <c r="M94" s="1019" cm="1">
        <f t="array" ref="M94">-IFERROR(IF(M$2=YEAR(Input!$A$4),INDEX(Report!$F$108:$F$126,_xlfn.XMATCH($B94,Report!$A$108:$A$126)),0),0)</f>
        <v>0</v>
      </c>
      <c r="N94" s="1019" cm="1">
        <f t="array" aca="1" ref="N94" ca="1">-IFERROR(IF(N$2=YEAR(Input!$A$4),INDEX(Report!$F$108:$F$126,_xlfn.XMATCH($B94,Report!$A$108:$A$126)),0),0)</f>
        <v>0</v>
      </c>
      <c r="O94" s="1019" cm="1">
        <f t="array" ref="O94">-IFERROR(IF(O$2=YEAR(Input!$A$4),INDEX(Report!$F$108:$F$126,_xlfn.XMATCH($B94,Report!$A$108:$A$126)),0),0)</f>
        <v>0</v>
      </c>
      <c r="P94" s="1019" cm="1">
        <f t="array" ref="P94">-IFERROR(IF(P$2=YEAR(Input!$A$4),INDEX(Report!$F$108:$F$126,_xlfn.XMATCH($B94,Report!$A$108:$A$126)),0),0)</f>
        <v>0</v>
      </c>
      <c r="Q94" s="1019" cm="1">
        <f t="array" ref="Q94">-IFERROR(IF(Q$2=YEAR(Input!$A$4),INDEX(Report!$F$108:$F$126,_xlfn.XMATCH($B94,Report!$A$108:$A$126)),0),0)</f>
        <v>0</v>
      </c>
    </row>
    <row r="95" spans="2:17" outlineLevel="1">
      <c r="B95" s="1002" t="s">
        <v>73</v>
      </c>
      <c r="H95" s="933" t="s">
        <v>26</v>
      </c>
      <c r="J95" s="1019" cm="1">
        <f t="array" ref="J95">-IFERROR(IF(J$2=YEAR(Input!$A$4),INDEX(Report!$F$108:$F$126,_xlfn.XMATCH($B95,Report!$A$108:$A$126)),0),0)</f>
        <v>0</v>
      </c>
      <c r="K95" s="1019" cm="1">
        <f t="array" ref="K95">-IFERROR(IF(K$2=YEAR(Input!$A$4),INDEX(Report!$F$108:$F$126,_xlfn.XMATCH($B95,Report!$A$108:$A$126)),0),0)</f>
        <v>0</v>
      </c>
      <c r="L95" s="1019" cm="1">
        <f t="array" ref="L95">-IFERROR(IF(L$2=YEAR(Input!$A$4),INDEX(Report!$F$108:$F$126,_xlfn.XMATCH($B95,Report!$A$108:$A$126)),0),0)</f>
        <v>0</v>
      </c>
      <c r="M95" s="1019" cm="1">
        <f t="array" ref="M95">-IFERROR(IF(M$2=YEAR(Input!$A$4),INDEX(Report!$F$108:$F$126,_xlfn.XMATCH($B95,Report!$A$108:$A$126)),0),0)</f>
        <v>0</v>
      </c>
      <c r="N95" s="1019" cm="1">
        <f t="array" aca="1" ref="N95" ca="1">-IFERROR(IF(N$2=YEAR(Input!$A$4),INDEX(Report!$F$108:$F$126,_xlfn.XMATCH($B95,Report!$A$108:$A$126)),0),0)</f>
        <v>0</v>
      </c>
      <c r="O95" s="1019" cm="1">
        <f t="array" ref="O95">-IFERROR(IF(O$2=YEAR(Input!$A$4),INDEX(Report!$F$108:$F$126,_xlfn.XMATCH($B95,Report!$A$108:$A$126)),0),0)</f>
        <v>0</v>
      </c>
      <c r="P95" s="1019" cm="1">
        <f t="array" ref="P95">-IFERROR(IF(P$2=YEAR(Input!$A$4),INDEX(Report!$F$108:$F$126,_xlfn.XMATCH($B95,Report!$A$108:$A$126)),0),0)</f>
        <v>0</v>
      </c>
      <c r="Q95" s="1019" cm="1">
        <f t="array" ref="Q95">-IFERROR(IF(Q$2=YEAR(Input!$A$4),INDEX(Report!$F$108:$F$126,_xlfn.XMATCH($B95,Report!$A$108:$A$126)),0),0)</f>
        <v>0</v>
      </c>
    </row>
    <row r="96" spans="2:17" outlineLevel="1">
      <c r="B96" s="1002" t="s">
        <v>74</v>
      </c>
      <c r="H96" s="933" t="s">
        <v>26</v>
      </c>
      <c r="J96" s="1019" cm="1">
        <f t="array" ref="J96">-IFERROR(IF(J$2=YEAR(Input!$A$4),INDEX(Report!$F$108:$F$126,_xlfn.XMATCH($B96,Report!$A$108:$A$126)),0),0)</f>
        <v>0</v>
      </c>
      <c r="K96" s="1019" cm="1">
        <f t="array" ref="K96">-IFERROR(IF(K$2=YEAR(Input!$A$4),INDEX(Report!$F$108:$F$126,_xlfn.XMATCH($B96,Report!$A$108:$A$126)),0),0)</f>
        <v>0</v>
      </c>
      <c r="L96" s="1019" cm="1">
        <f t="array" ref="L96">-IFERROR(IF(L$2=YEAR(Input!$A$4),INDEX(Report!$F$108:$F$126,_xlfn.XMATCH($B96,Report!$A$108:$A$126)),0),0)</f>
        <v>0</v>
      </c>
      <c r="M96" s="1019" cm="1">
        <f t="array" ref="M96">-IFERROR(IF(M$2=YEAR(Input!$A$4),INDEX(Report!$F$108:$F$126,_xlfn.XMATCH($B96,Report!$A$108:$A$126)),0),0)</f>
        <v>0</v>
      </c>
      <c r="N96" s="1019" cm="1">
        <f t="array" ref="N96">-IFERROR(IF(N$2=YEAR(Input!$A$4),INDEX(Report!$F$108:$F$126,_xlfn.XMATCH($B96,Report!$A$108:$A$126)),0),0)</f>
        <v>0</v>
      </c>
      <c r="O96" s="1019" cm="1">
        <f t="array" ref="O96">-IFERROR(IF(O$2=YEAR(Input!$A$4),INDEX(Report!$F$108:$F$126,_xlfn.XMATCH($B96,Report!$A$108:$A$126)),0),0)</f>
        <v>0</v>
      </c>
      <c r="P96" s="1019" cm="1">
        <f t="array" ref="P96">-IFERROR(IF(P$2=YEAR(Input!$A$4),INDEX(Report!$F$108:$F$126,_xlfn.XMATCH($B96,Report!$A$108:$A$126)),0),0)</f>
        <v>0</v>
      </c>
      <c r="Q96" s="1019" cm="1">
        <f t="array" ref="Q96">-IFERROR(IF(Q$2=YEAR(Input!$A$4),INDEX(Report!$F$108:$F$126,_xlfn.XMATCH($B96,Report!$A$108:$A$126)),0),0)</f>
        <v>0</v>
      </c>
    </row>
    <row r="97" spans="2:17" outlineLevel="1">
      <c r="B97" s="1002" t="s">
        <v>75</v>
      </c>
      <c r="H97" s="933" t="s">
        <v>26</v>
      </c>
      <c r="J97" s="1019" cm="1">
        <f t="array" ref="J97">-IFERROR(IF(J$2=YEAR(Input!$A$4),INDEX(Report!$F$108:$F$126,_xlfn.XMATCH($B97,Report!$A$108:$A$126)),0),0)</f>
        <v>0</v>
      </c>
      <c r="K97" s="1019" cm="1">
        <f t="array" ref="K97">-IFERROR(IF(K$2=YEAR(Input!$A$4),INDEX(Report!$F$108:$F$126,_xlfn.XMATCH($B97,Report!$A$108:$A$126)),0),0)</f>
        <v>0</v>
      </c>
      <c r="L97" s="1019" cm="1">
        <f t="array" ref="L97">-IFERROR(IF(L$2=YEAR(Input!$A$4),INDEX(Report!$F$108:$F$126,_xlfn.XMATCH($B97,Report!$A$108:$A$126)),0),0)</f>
        <v>0</v>
      </c>
      <c r="M97" s="1019" cm="1">
        <f t="array" ref="M97">-IFERROR(IF(M$2=YEAR(Input!$A$4),INDEX(Report!$F$108:$F$126,_xlfn.XMATCH($B97,Report!$A$108:$A$126)),0),0)</f>
        <v>0</v>
      </c>
      <c r="N97" s="1019" cm="1">
        <f t="array" aca="1" ref="N97" ca="1">-IFERROR(IF(N$2=YEAR(Input!$A$4),INDEX(Report!$F$108:$F$126,_xlfn.XMATCH($B97,Report!$A$108:$A$126)),0),0)</f>
        <v>0</v>
      </c>
      <c r="O97" s="1019" cm="1">
        <f t="array" ref="O97">-IFERROR(IF(O$2=YEAR(Input!$A$4),INDEX(Report!$F$108:$F$126,_xlfn.XMATCH($B97,Report!$A$108:$A$126)),0),0)</f>
        <v>0</v>
      </c>
      <c r="P97" s="1019" cm="1">
        <f t="array" ref="P97">-IFERROR(IF(P$2=YEAR(Input!$A$4),INDEX(Report!$F$108:$F$126,_xlfn.XMATCH($B97,Report!$A$108:$A$126)),0),0)</f>
        <v>0</v>
      </c>
      <c r="Q97" s="1019" cm="1">
        <f t="array" ref="Q97">-IFERROR(IF(Q$2=YEAR(Input!$A$4),INDEX(Report!$F$108:$F$126,_xlfn.XMATCH($B97,Report!$A$108:$A$126)),0),0)</f>
        <v>0</v>
      </c>
    </row>
    <row r="98" spans="2:17" outlineLevel="1">
      <c r="B98" s="1002" t="s">
        <v>76</v>
      </c>
      <c r="H98" s="933" t="s">
        <v>26</v>
      </c>
      <c r="J98" s="1019" cm="1">
        <f t="array" ref="J98">-IFERROR(IF(J$2=YEAR(Input!$A$4),INDEX(Report!$F$108:$F$126,_xlfn.XMATCH($B98,Report!$A$108:$A$126)),0),0)</f>
        <v>0</v>
      </c>
      <c r="K98" s="1019" cm="1">
        <f t="array" ref="K98">-IFERROR(IF(K$2=YEAR(Input!$A$4),INDEX(Report!$F$108:$F$126,_xlfn.XMATCH($B98,Report!$A$108:$A$126)),0),0)</f>
        <v>0</v>
      </c>
      <c r="L98" s="1019" cm="1">
        <f t="array" ref="L98">-IFERROR(IF(L$2=YEAR(Input!$A$4),INDEX(Report!$F$108:$F$126,_xlfn.XMATCH($B98,Report!$A$108:$A$126)),0),0)</f>
        <v>0</v>
      </c>
      <c r="M98" s="1019" cm="1">
        <f t="array" ref="M98">-IFERROR(IF(M$2=YEAR(Input!$A$4),INDEX(Report!$F$108:$F$126,_xlfn.XMATCH($B98,Report!$A$108:$A$126)),0),0)</f>
        <v>0</v>
      </c>
      <c r="N98" s="1019" cm="1">
        <f t="array" aca="1" ref="N98" ca="1">-IFERROR(IF(N$2=YEAR(Input!$A$4),INDEX(Report!$F$108:$F$126,_xlfn.XMATCH($B98,Report!$A$108:$A$126)),0),0)</f>
        <v>0</v>
      </c>
      <c r="O98" s="1019" cm="1">
        <f t="array" ref="O98">-IFERROR(IF(O$2=YEAR(Input!$A$4),INDEX(Report!$F$108:$F$126,_xlfn.XMATCH($B98,Report!$A$108:$A$126)),0),0)</f>
        <v>0</v>
      </c>
      <c r="P98" s="1019" cm="1">
        <f t="array" ref="P98">-IFERROR(IF(P$2=YEAR(Input!$A$4),INDEX(Report!$F$108:$F$126,_xlfn.XMATCH($B98,Report!$A$108:$A$126)),0),0)</f>
        <v>0</v>
      </c>
      <c r="Q98" s="1019" cm="1">
        <f t="array" ref="Q98">-IFERROR(IF(Q$2=YEAR(Input!$A$4),INDEX(Report!$F$108:$F$126,_xlfn.XMATCH($B98,Report!$A$108:$A$126)),0),0)</f>
        <v>0</v>
      </c>
    </row>
    <row r="99" spans="2:17" outlineLevel="1">
      <c r="B99" s="1002" t="s">
        <v>77</v>
      </c>
      <c r="H99" s="933" t="s">
        <v>26</v>
      </c>
      <c r="J99" s="1019" cm="1">
        <f t="array" ref="J99">-IFERROR(IF(J$2=YEAR(Input!$A$4),INDEX(Report!$F$108:$F$126,_xlfn.XMATCH($B99,Report!$A$108:$A$126)),0),0)</f>
        <v>0</v>
      </c>
      <c r="K99" s="1019" cm="1">
        <f t="array" ref="K99">-IFERROR(IF(K$2=YEAR(Input!$A$4),INDEX(Report!$F$108:$F$126,_xlfn.XMATCH($B99,Report!$A$108:$A$126)),0),0)</f>
        <v>0</v>
      </c>
      <c r="L99" s="1019" cm="1">
        <f t="array" ref="L99">-IFERROR(IF(L$2=YEAR(Input!$A$4),INDEX(Report!$F$108:$F$126,_xlfn.XMATCH($B99,Report!$A$108:$A$126)),0),0)</f>
        <v>0</v>
      </c>
      <c r="M99" s="1019" cm="1">
        <f t="array" ref="M99">-IFERROR(IF(M$2=YEAR(Input!$A$4),INDEX(Report!$F$108:$F$126,_xlfn.XMATCH($B99,Report!$A$108:$A$126)),0),0)</f>
        <v>0</v>
      </c>
      <c r="N99" s="1019" cm="1">
        <f t="array" ref="N99">-IFERROR(IF(N$2=YEAR(Input!$A$4),INDEX(Report!$F$108:$F$126,_xlfn.XMATCH($B99,Report!$A$108:$A$126)),0),0)</f>
        <v>0</v>
      </c>
      <c r="O99" s="1019" cm="1">
        <f t="array" ref="O99">-IFERROR(IF(O$2=YEAR(Input!$A$4),INDEX(Report!$F$108:$F$126,_xlfn.XMATCH($B99,Report!$A$108:$A$126)),0),0)</f>
        <v>0</v>
      </c>
      <c r="P99" s="1019" cm="1">
        <f t="array" ref="P99">-IFERROR(IF(P$2=YEAR(Input!$A$4),INDEX(Report!$F$108:$F$126,_xlfn.XMATCH($B99,Report!$A$108:$A$126)),0),0)</f>
        <v>0</v>
      </c>
      <c r="Q99" s="1019" cm="1">
        <f t="array" ref="Q99">-IFERROR(IF(Q$2=YEAR(Input!$A$4),INDEX(Report!$F$108:$F$126,_xlfn.XMATCH($B99,Report!$A$108:$A$126)),0),0)</f>
        <v>0</v>
      </c>
    </row>
    <row r="100" spans="2:17" outlineLevel="1">
      <c r="B100" s="1002" t="s">
        <v>78</v>
      </c>
      <c r="H100" s="933" t="s">
        <v>26</v>
      </c>
      <c r="J100" s="1019" cm="1">
        <f t="array" ref="J100">-IFERROR(IF(J$2=YEAR(Input!$A$4),INDEX(Report!$F$108:$F$126,_xlfn.XMATCH($B100,Report!$A$108:$A$126)),0),0)</f>
        <v>0</v>
      </c>
      <c r="K100" s="1019" cm="1">
        <f t="array" ref="K100">-IFERROR(IF(K$2=YEAR(Input!$A$4),INDEX(Report!$F$108:$F$126,_xlfn.XMATCH($B100,Report!$A$108:$A$126)),0),0)</f>
        <v>0</v>
      </c>
      <c r="L100" s="1019" cm="1">
        <f t="array" ref="L100">-IFERROR(IF(L$2=YEAR(Input!$A$4),INDEX(Report!$F$108:$F$126,_xlfn.XMATCH($B100,Report!$A$108:$A$126)),0),0)</f>
        <v>0</v>
      </c>
      <c r="M100" s="1019" cm="1">
        <f t="array" ref="M100">-IFERROR(IF(M$2=YEAR(Input!$A$4),INDEX(Report!$F$108:$F$126,_xlfn.XMATCH($B100,Report!$A$108:$A$126)),0),0)</f>
        <v>0</v>
      </c>
      <c r="N100" s="1019" cm="1">
        <f t="array" ref="N100">-IFERROR(IF(N$2=YEAR(Input!$A$4),INDEX(Report!$F$108:$F$126,_xlfn.XMATCH($B100,Report!$A$108:$A$126)),0),0)</f>
        <v>0</v>
      </c>
      <c r="O100" s="1019" cm="1">
        <f t="array" ref="O100">-IFERROR(IF(O$2=YEAR(Input!$A$4),INDEX(Report!$F$108:$F$126,_xlfn.XMATCH($B100,Report!$A$108:$A$126)),0),0)</f>
        <v>0</v>
      </c>
      <c r="P100" s="1019" cm="1">
        <f t="array" ref="P100">-IFERROR(IF(P$2=YEAR(Input!$A$4),INDEX(Report!$F$108:$F$126,_xlfn.XMATCH($B100,Report!$A$108:$A$126)),0),0)</f>
        <v>0</v>
      </c>
      <c r="Q100" s="1019" cm="1">
        <f t="array" ref="Q100">-IFERROR(IF(Q$2=YEAR(Input!$A$4),INDEX(Report!$F$108:$F$126,_xlfn.XMATCH($B100,Report!$A$108:$A$126)),0),0)</f>
        <v>0</v>
      </c>
    </row>
    <row r="101" spans="2:17" outlineLevel="1">
      <c r="B101" s="1002" t="s">
        <v>66</v>
      </c>
      <c r="H101" s="933" t="s">
        <v>26</v>
      </c>
      <c r="J101" s="1019" cm="1">
        <f t="array" ref="J101">-IFERROR(IF(J$2=YEAR(Input!$A$4),INDEX(Report!$F$108:$F$126,_xlfn.XMATCH($B101,Report!$A$108:$A$126)),0),0)</f>
        <v>0</v>
      </c>
      <c r="K101" s="1019" cm="1">
        <f t="array" ref="K101">-IFERROR(IF(K$2=YEAR(Input!$A$4),INDEX(Report!$F$108:$F$126,_xlfn.XMATCH($B101,Report!$A$108:$A$126)),0),0)</f>
        <v>0</v>
      </c>
      <c r="L101" s="1019" cm="1">
        <f t="array" ref="L101">-IFERROR(IF(L$2=YEAR(Input!$A$4),INDEX(Report!$F$108:$F$126,_xlfn.XMATCH($B101,Report!$A$108:$A$126)),0),0)</f>
        <v>0</v>
      </c>
      <c r="M101" s="1019" cm="1">
        <f t="array" ref="M101">-IFERROR(IF(M$2=YEAR(Input!$A$4),INDEX(Report!$F$108:$F$126,_xlfn.XMATCH($B101,Report!$A$108:$A$126)),0),0)</f>
        <v>0</v>
      </c>
      <c r="N101" s="1019" cm="1">
        <f t="array" aca="1" ref="N101" ca="1">-IFERROR(IF(N$2=YEAR(Input!$A$4),INDEX(Report!$F$108:$F$126,_xlfn.XMATCH($B101,Report!$A$108:$A$126)),0),0)</f>
        <v>0</v>
      </c>
      <c r="O101" s="1019" cm="1">
        <f t="array" ref="O101">-IFERROR(IF(O$2=YEAR(Input!$A$4),INDEX(Report!$F$108:$F$126,_xlfn.XMATCH($B101,Report!$A$108:$A$126)),0),0)</f>
        <v>0</v>
      </c>
      <c r="P101" s="1019" cm="1">
        <f t="array" ref="P101">-IFERROR(IF(P$2=YEAR(Input!$A$4),INDEX(Report!$F$108:$F$126,_xlfn.XMATCH($B101,Report!$A$108:$A$126)),0),0)</f>
        <v>0</v>
      </c>
      <c r="Q101" s="1019" cm="1">
        <f t="array" ref="Q101">-IFERROR(IF(Q$2=YEAR(Input!$A$4),INDEX(Report!$F$108:$F$126,_xlfn.XMATCH($B101,Report!$A$108:$A$126)),0),0)</f>
        <v>0</v>
      </c>
    </row>
    <row r="102" spans="2:17" outlineLevel="1">
      <c r="B102" s="1006" t="s">
        <v>79</v>
      </c>
      <c r="C102" s="934"/>
      <c r="H102" s="933" t="s">
        <v>26</v>
      </c>
      <c r="J102" s="1021">
        <f>SUM(J92:J101)</f>
        <v>0</v>
      </c>
      <c r="K102" s="1021">
        <f t="shared" ref="K102:Q102" si="53">SUM(K92:K101)</f>
        <v>0</v>
      </c>
      <c r="L102" s="1021">
        <f t="shared" si="53"/>
        <v>0</v>
      </c>
      <c r="M102" s="1021">
        <f t="shared" si="53"/>
        <v>0</v>
      </c>
      <c r="N102" s="1021">
        <f t="shared" ca="1" si="53"/>
        <v>-176207.9</v>
      </c>
      <c r="O102" s="1021">
        <f t="shared" si="53"/>
        <v>0</v>
      </c>
      <c r="P102" s="1021">
        <f t="shared" si="53"/>
        <v>0</v>
      </c>
      <c r="Q102" s="1021">
        <f t="shared" si="53"/>
        <v>0</v>
      </c>
    </row>
    <row r="103" spans="2:17" outlineLevel="1"/>
    <row r="104" spans="2:17" ht="15" outlineLevel="1">
      <c r="B104" s="924" t="s">
        <v>33</v>
      </c>
      <c r="H104" s="935" t="e" cm="1">
        <f t="array" aca="1" ref="H104" ca="1">IF(ABS(INDEX($J109:$Q109,_xlfn.XMATCH(YEAR(Input!$A$4),$J$2:$Q$2))+(Report!$H$128))&gt;Tolerance,1,0)</f>
        <v>#NAME?</v>
      </c>
      <c r="J104" s="940"/>
      <c r="K104" s="940"/>
    </row>
    <row r="105" spans="2:17" outlineLevel="1">
      <c r="B105" s="925" t="s">
        <v>25</v>
      </c>
      <c r="H105" s="933" t="s">
        <v>26</v>
      </c>
      <c r="J105" s="1019">
        <f>-IF(J$2=YEAR(Input!$A$4),Report!$H106,0)</f>
        <v>0</v>
      </c>
      <c r="K105" s="1019">
        <f>-IF(K$2=YEAR(Input!$A$4),Report!$H106,0)</f>
        <v>0</v>
      </c>
      <c r="L105" s="1019">
        <f>-IF(L$2=YEAR(Input!$A$4),Report!$H106,0)</f>
        <v>0</v>
      </c>
      <c r="M105" s="1019">
        <f>-IF(M$2=YEAR(Input!$A$4),Report!$H106,0)</f>
        <v>0</v>
      </c>
      <c r="N105" s="1019">
        <f ca="1">-IF(N$2=YEAR(Input!$A$4),Report!$H106,0)</f>
        <v>-88775.700000000012</v>
      </c>
      <c r="O105" s="1019">
        <f>-IF(O$2=YEAR(Input!$A$4),Report!$H106,0)</f>
        <v>0</v>
      </c>
      <c r="P105" s="1019">
        <f>-IF(P$2=YEAR(Input!$A$4),Report!$H106,0)</f>
        <v>0</v>
      </c>
      <c r="Q105" s="1019">
        <f>-IF(Q$2=YEAR(Input!$A$4),Report!$H106,0)</f>
        <v>0</v>
      </c>
    </row>
    <row r="106" spans="2:17" outlineLevel="1">
      <c r="B106" s="1002" t="s">
        <v>80</v>
      </c>
      <c r="H106" s="933" t="s">
        <v>26</v>
      </c>
      <c r="J106" s="1019" cm="1">
        <f t="array" ref="J106">-IFERROR(IF(J$2=YEAR(Input!$A$4),INDEX(Report!$H$108:$H$126,_xlfn.XMATCH($B106,Report!$A$108:$A$126)),0),0)</f>
        <v>0</v>
      </c>
      <c r="K106" s="1019" cm="1">
        <f t="array" ref="K106">-IFERROR(IF(K$2=YEAR(Input!$A$4),INDEX(Report!$H$108:$H$126,_xlfn.XMATCH($B106,Report!$A$108:$A$126)),0),0)</f>
        <v>0</v>
      </c>
      <c r="L106" s="1019" cm="1">
        <f t="array" ref="L106">-IFERROR(IF(L$2=YEAR(Input!$A$4),INDEX(Report!$H$108:$H$126,_xlfn.XMATCH($B106,Report!$A$108:$A$126)),0),0)</f>
        <v>0</v>
      </c>
      <c r="M106" s="1019" cm="1">
        <f t="array" ref="M106">-IFERROR(IF(M$2=YEAR(Input!$A$4),INDEX(Report!$H$108:$H$126,_xlfn.XMATCH($B106,Report!$A$108:$A$126)),0),0)</f>
        <v>0</v>
      </c>
      <c r="N106" s="1019" cm="1">
        <f t="array" aca="1" ref="N106" ca="1">-IFERROR(IF(N$2=YEAR(Input!$A$4),INDEX(Report!$H$108:$H$126,_xlfn.XMATCH($B106,Report!$A$108:$A$126)),0),0)</f>
        <v>0</v>
      </c>
      <c r="O106" s="1019" cm="1">
        <f t="array" ref="O106">-IFERROR(IF(O$2=YEAR(Input!$A$4),INDEX(Report!$H$108:$H$126,_xlfn.XMATCH($B106,Report!$A$108:$A$126)),0),0)</f>
        <v>0</v>
      </c>
      <c r="P106" s="1019" cm="1">
        <f t="array" ref="P106">-IFERROR(IF(P$2=YEAR(Input!$A$4),INDEX(Report!$H$108:$H$126,_xlfn.XMATCH($B106,Report!$A$108:$A$126)),0),0)</f>
        <v>0</v>
      </c>
      <c r="Q106" s="1019" cm="1">
        <f t="array" ref="Q106">-IFERROR(IF(Q$2=YEAR(Input!$A$4),INDEX(Report!$H$108:$H$126,_xlfn.XMATCH($B106,Report!$A$108:$A$126)),0),0)</f>
        <v>0</v>
      </c>
    </row>
    <row r="107" spans="2:17" outlineLevel="1">
      <c r="B107" s="1002" t="s">
        <v>81</v>
      </c>
      <c r="H107" s="933" t="s">
        <v>26</v>
      </c>
      <c r="J107" s="1019" cm="1">
        <f t="array" ref="J107">-IFERROR(IF(J$2=YEAR(Input!$A$4),INDEX(Report!$H$108:$H$126,_xlfn.XMATCH($B107,Report!$A$108:$A$126)),0),0)</f>
        <v>0</v>
      </c>
      <c r="K107" s="1019" cm="1">
        <f t="array" ref="K107">-IFERROR(IF(K$2=YEAR(Input!$A$4),INDEX(Report!$H$108:$H$126,_xlfn.XMATCH($B107,Report!$A$108:$A$126)),0),0)</f>
        <v>0</v>
      </c>
      <c r="L107" s="1019" cm="1">
        <f t="array" ref="L107">-IFERROR(IF(L$2=YEAR(Input!$A$4),INDEX(Report!$H$108:$H$126,_xlfn.XMATCH($B107,Report!$A$108:$A$126)),0),0)</f>
        <v>0</v>
      </c>
      <c r="M107" s="1019" cm="1">
        <f t="array" ref="M107">-IFERROR(IF(M$2=YEAR(Input!$A$4),INDEX(Report!$H$108:$H$126,_xlfn.XMATCH($B107,Report!$A$108:$A$126)),0),0)</f>
        <v>0</v>
      </c>
      <c r="N107" s="1019" cm="1">
        <f t="array" ref="N107">-IFERROR(IF(N$2=YEAR(Input!$A$4),INDEX(Report!$H$108:$H$126,_xlfn.XMATCH($B107,Report!$A$108:$A$126)),0),0)</f>
        <v>0</v>
      </c>
      <c r="O107" s="1019" cm="1">
        <f t="array" ref="O107">-IFERROR(IF(O$2=YEAR(Input!$A$4),INDEX(Report!$H$108:$H$126,_xlfn.XMATCH($B107,Report!$A$108:$A$126)),0),0)</f>
        <v>0</v>
      </c>
      <c r="P107" s="1019" cm="1">
        <f t="array" ref="P107">-IFERROR(IF(P$2=YEAR(Input!$A$4),INDEX(Report!$H$108:$H$126,_xlfn.XMATCH($B107,Report!$A$108:$A$126)),0),0)</f>
        <v>0</v>
      </c>
      <c r="Q107" s="1019" cm="1">
        <f t="array" ref="Q107">-IFERROR(IF(Q$2=YEAR(Input!$A$4),INDEX(Report!$H$108:$H$126,_xlfn.XMATCH($B107,Report!$A$108:$A$126)),0),0)</f>
        <v>0</v>
      </c>
    </row>
    <row r="108" spans="2:17" outlineLevel="1">
      <c r="B108" s="1002" t="s">
        <v>66</v>
      </c>
      <c r="H108" s="933" t="s">
        <v>26</v>
      </c>
      <c r="J108" s="1019" cm="1">
        <f t="array" ref="J108">-IFERROR(IF(J$2=YEAR(Input!$A$4),INDEX(Report!$H$108:$H$126,_xlfn.XMATCH($B108,Report!$A$108:$A$126)),0),0)</f>
        <v>0</v>
      </c>
      <c r="K108" s="1019" cm="1">
        <f t="array" ref="K108">-IFERROR(IF(K$2=YEAR(Input!$A$4),INDEX(Report!$H$108:$H$126,_xlfn.XMATCH($B108,Report!$A$108:$A$126)),0),0)</f>
        <v>0</v>
      </c>
      <c r="L108" s="1019" cm="1">
        <f t="array" ref="L108">-IFERROR(IF(L$2=YEAR(Input!$A$4),INDEX(Report!$H$108:$H$126,_xlfn.XMATCH($B108,Report!$A$108:$A$126)),0),0)</f>
        <v>0</v>
      </c>
      <c r="M108" s="1019" cm="1">
        <f t="array" ref="M108">-IFERROR(IF(M$2=YEAR(Input!$A$4),INDEX(Report!$H$108:$H$126,_xlfn.XMATCH($B108,Report!$A$108:$A$126)),0),0)</f>
        <v>0</v>
      </c>
      <c r="N108" s="1019" cm="1">
        <f t="array" aca="1" ref="N108" ca="1">-IFERROR(IF(N$2=YEAR(Input!$A$4),INDEX(Report!$H$108:$H$126,_xlfn.XMATCH($B108,Report!$A$108:$A$126)),0),0)</f>
        <v>0</v>
      </c>
      <c r="O108" s="1019" cm="1">
        <f t="array" ref="O108">-IFERROR(IF(O$2=YEAR(Input!$A$4),INDEX(Report!$H$108:$H$126,_xlfn.XMATCH($B108,Report!$A$108:$A$126)),0),0)</f>
        <v>0</v>
      </c>
      <c r="P108" s="1019" cm="1">
        <f t="array" ref="P108">-IFERROR(IF(P$2=YEAR(Input!$A$4),INDEX(Report!$H$108:$H$126,_xlfn.XMATCH($B108,Report!$A$108:$A$126)),0),0)</f>
        <v>0</v>
      </c>
      <c r="Q108" s="1019" cm="1">
        <f t="array" ref="Q108">-IFERROR(IF(Q$2=YEAR(Input!$A$4),INDEX(Report!$H$108:$H$126,_xlfn.XMATCH($B108,Report!$A$108:$A$126)),0),0)</f>
        <v>0</v>
      </c>
    </row>
    <row r="109" spans="2:17" outlineLevel="1">
      <c r="B109" s="1006" t="s">
        <v>82</v>
      </c>
      <c r="C109" s="934"/>
      <c r="H109" s="933" t="s">
        <v>26</v>
      </c>
      <c r="J109" s="1021">
        <f t="shared" ref="J109:Q109" si="54">SUM(J105:J108,)</f>
        <v>0</v>
      </c>
      <c r="K109" s="1021">
        <f t="shared" si="54"/>
        <v>0</v>
      </c>
      <c r="L109" s="1021">
        <f t="shared" si="54"/>
        <v>0</v>
      </c>
      <c r="M109" s="1021">
        <f t="shared" si="54"/>
        <v>0</v>
      </c>
      <c r="N109" s="1021">
        <f t="shared" ca="1" si="54"/>
        <v>-88775.700000000012</v>
      </c>
      <c r="O109" s="1021">
        <f t="shared" si="54"/>
        <v>0</v>
      </c>
      <c r="P109" s="1021">
        <f t="shared" si="54"/>
        <v>0</v>
      </c>
      <c r="Q109" s="1021">
        <f t="shared" si="54"/>
        <v>0</v>
      </c>
    </row>
    <row r="110" spans="2:17" outlineLevel="1"/>
    <row r="111" spans="2:17" ht="15" outlineLevel="1">
      <c r="B111" s="924" t="s">
        <v>83</v>
      </c>
      <c r="H111" s="935" t="e" cm="1">
        <f t="array" aca="1" ref="H111" ca="1">IF(ABS(INDEX($J116:$Q116,_xlfn.XMATCH(YEAR(Input!$A$4),$J$2:$Q$2))+(Report!$J$128))&gt;Tolerance,1,0)</f>
        <v>#NAME?</v>
      </c>
      <c r="J111" s="940"/>
      <c r="K111" s="940"/>
    </row>
    <row r="112" spans="2:17" outlineLevel="1">
      <c r="B112" s="925" t="s">
        <v>25</v>
      </c>
      <c r="H112" s="933" t="s">
        <v>26</v>
      </c>
      <c r="J112" s="1019">
        <f>-IF(J$2=YEAR(Input!$A$4),Report!$J106,0)</f>
        <v>0</v>
      </c>
      <c r="K112" s="1019">
        <f>-IF(K$2=YEAR(Input!$A$4),Report!$J106,0)</f>
        <v>0</v>
      </c>
      <c r="L112" s="1019">
        <f>-IF(L$2=YEAR(Input!$A$4),Report!$J106,0)</f>
        <v>0</v>
      </c>
      <c r="M112" s="1019">
        <f>-IF(M$2=YEAR(Input!$A$4),Report!$J106,0)</f>
        <v>0</v>
      </c>
      <c r="N112" s="1019">
        <f ca="1">-IF(N$2=YEAR(Input!$A$4),Report!$J106,0)</f>
        <v>-66038.8</v>
      </c>
      <c r="O112" s="1019">
        <f>-IF(O$2=YEAR(Input!$A$4),Report!$J106,0)</f>
        <v>0</v>
      </c>
      <c r="P112" s="1019">
        <f>-IF(P$2=YEAR(Input!$A$4),Report!$J106,0)</f>
        <v>0</v>
      </c>
      <c r="Q112" s="1019">
        <f>-IF(Q$2=YEAR(Input!$A$4),Report!$J106,0)</f>
        <v>0</v>
      </c>
    </row>
    <row r="113" spans="2:17" outlineLevel="1">
      <c r="B113" s="1002" t="s">
        <v>63</v>
      </c>
      <c r="H113" s="933" t="s">
        <v>26</v>
      </c>
      <c r="J113" s="1019" cm="1">
        <f t="array" ref="J113">-IFERROR(IF(J$2=YEAR(Input!$A$4),INDEX(Report!$J$108:$J$126,_xlfn.XMATCH($B113,Report!$A$108:$A$126)),0),0)</f>
        <v>0</v>
      </c>
      <c r="K113" s="1019" cm="1">
        <f t="array" ref="K113">-IFERROR(IF(K$2=YEAR(Input!$A$4),INDEX(Report!$J$108:$J$126,_xlfn.XMATCH($B113,Report!$A$108:$A$126)),0),0)</f>
        <v>0</v>
      </c>
      <c r="L113" s="1019" cm="1">
        <f t="array" ref="L113">-IFERROR(IF(L$2=YEAR(Input!$A$4),INDEX(Report!$J$108:$J$126,_xlfn.XMATCH($B113,Report!$A$108:$A$126)),0),0)</f>
        <v>0</v>
      </c>
      <c r="M113" s="1019" cm="1">
        <f t="array" ref="M113">-IFERROR(IF(M$2=YEAR(Input!$A$4),INDEX(Report!$J$108:$J$126,_xlfn.XMATCH($B113,Report!$A$108:$A$126)),0),0)</f>
        <v>0</v>
      </c>
      <c r="N113" s="1019" cm="1">
        <f t="array" aca="1" ref="N113" ca="1">-IFERROR(IF(N$2=YEAR(Input!$A$4),INDEX(Report!$J$108:$J$126,_xlfn.XMATCH($B113,Report!$A$108:$A$126)),0),0)</f>
        <v>0</v>
      </c>
      <c r="O113" s="1019" cm="1">
        <f t="array" ref="O113">-IFERROR(IF(O$2=YEAR(Input!$A$4),INDEX(Report!$J$108:$J$126,_xlfn.XMATCH($B113,Report!$A$108:$A$126)),0),0)</f>
        <v>0</v>
      </c>
      <c r="P113" s="1019" cm="1">
        <f t="array" ref="P113">-IFERROR(IF(P$2=YEAR(Input!$A$4),INDEX(Report!$J$108:$J$126,_xlfn.XMATCH($B113,Report!$A$108:$A$126)),0),0)</f>
        <v>0</v>
      </c>
      <c r="Q113" s="1019" cm="1">
        <f t="array" ref="Q113">-IFERROR(IF(Q$2=YEAR(Input!$A$4),INDEX(Report!$J$108:$J$126,_xlfn.XMATCH($B113,Report!$A$108:$A$126)),0),0)</f>
        <v>0</v>
      </c>
    </row>
    <row r="114" spans="2:17" outlineLevel="1">
      <c r="B114" s="1002" t="s">
        <v>64</v>
      </c>
      <c r="H114" s="933" t="s">
        <v>26</v>
      </c>
      <c r="J114" s="1019" cm="1">
        <f t="array" ref="J114">-IFERROR(IF(J$2=YEAR(Input!$A$4),INDEX(Report!$J$108:$J$126,_xlfn.XMATCH($B114,Report!$A$108:$A$126)),0),0)</f>
        <v>0</v>
      </c>
      <c r="K114" s="1019" cm="1">
        <f t="array" ref="K114">-IFERROR(IF(K$2=YEAR(Input!$A$4),INDEX(Report!$J$108:$J$126,_xlfn.XMATCH($B114,Report!$A$108:$A$126)),0),0)</f>
        <v>0</v>
      </c>
      <c r="L114" s="1019" cm="1">
        <f t="array" ref="L114">-IFERROR(IF(L$2=YEAR(Input!$A$4),INDEX(Report!$J$108:$J$126,_xlfn.XMATCH($B114,Report!$A$108:$A$126)),0),0)</f>
        <v>0</v>
      </c>
      <c r="M114" s="1019" cm="1">
        <f t="array" ref="M114">-IFERROR(IF(M$2=YEAR(Input!$A$4),INDEX(Report!$J$108:$J$126,_xlfn.XMATCH($B114,Report!$A$108:$A$126)),0),0)</f>
        <v>0</v>
      </c>
      <c r="N114" s="1019" cm="1">
        <f t="array" aca="1" ref="N114" ca="1">-IFERROR(IF(N$2=YEAR(Input!$A$4),INDEX(Report!$J$108:$J$126,_xlfn.XMATCH($B114,Report!$A$108:$A$126)),0),0)</f>
        <v>0</v>
      </c>
      <c r="O114" s="1019" cm="1">
        <f t="array" ref="O114">-IFERROR(IF(O$2=YEAR(Input!$A$4),INDEX(Report!$J$108:$J$126,_xlfn.XMATCH($B114,Report!$A$108:$A$126)),0),0)</f>
        <v>0</v>
      </c>
      <c r="P114" s="1019" cm="1">
        <f t="array" ref="P114">-IFERROR(IF(P$2=YEAR(Input!$A$4),INDEX(Report!$J$108:$J$126,_xlfn.XMATCH($B114,Report!$A$108:$A$126)),0),0)</f>
        <v>0</v>
      </c>
      <c r="Q114" s="1019" cm="1">
        <f t="array" ref="Q114">-IFERROR(IF(Q$2=YEAR(Input!$A$4),INDEX(Report!$J$108:$J$126,_xlfn.XMATCH($B114,Report!$A$108:$A$126)),0),0)</f>
        <v>0</v>
      </c>
    </row>
    <row r="115" spans="2:17" outlineLevel="1">
      <c r="B115" s="1002" t="s">
        <v>66</v>
      </c>
      <c r="H115" s="933" t="s">
        <v>26</v>
      </c>
      <c r="J115" s="1019" cm="1">
        <f t="array" ref="J115">-IFERROR(IF(J$2=YEAR(Input!$A$4),INDEX(Report!$J$108:$J$126,_xlfn.XMATCH($B115,Report!$A$108:$A$126)),0),0)</f>
        <v>0</v>
      </c>
      <c r="K115" s="1019" cm="1">
        <f t="array" ref="K115">-IFERROR(IF(K$2=YEAR(Input!$A$4),INDEX(Report!$J$108:$J$126,_xlfn.XMATCH($B115,Report!$A$108:$A$126)),0),0)</f>
        <v>0</v>
      </c>
      <c r="L115" s="1019" cm="1">
        <f t="array" ref="L115">-IFERROR(IF(L$2=YEAR(Input!$A$4),INDEX(Report!$J$108:$J$126,_xlfn.XMATCH($B115,Report!$A$108:$A$126)),0),0)</f>
        <v>0</v>
      </c>
      <c r="M115" s="1019" cm="1">
        <f t="array" ref="M115">-IFERROR(IF(M$2=YEAR(Input!$A$4),INDEX(Report!$J$108:$J$126,_xlfn.XMATCH($B115,Report!$A$108:$A$126)),0),0)</f>
        <v>0</v>
      </c>
      <c r="N115" s="1019" cm="1">
        <f t="array" aca="1" ref="N115" ca="1">-IFERROR(IF(N$2=YEAR(Input!$A$4),INDEX(Report!$J$108:$J$126,_xlfn.XMATCH($B115,Report!$A$108:$A$126)),0),0)</f>
        <v>0</v>
      </c>
      <c r="O115" s="1019" cm="1">
        <f t="array" ref="O115">-IFERROR(IF(O$2=YEAR(Input!$A$4),INDEX(Report!$J$108:$J$126,_xlfn.XMATCH($B115,Report!$A$108:$A$126)),0),0)</f>
        <v>0</v>
      </c>
      <c r="P115" s="1019" cm="1">
        <f t="array" ref="P115">-IFERROR(IF(P$2=YEAR(Input!$A$4),INDEX(Report!$J$108:$J$126,_xlfn.XMATCH($B115,Report!$A$108:$A$126)),0),0)</f>
        <v>0</v>
      </c>
      <c r="Q115" s="1019" cm="1">
        <f t="array" ref="Q115">-IFERROR(IF(Q$2=YEAR(Input!$A$4),INDEX(Report!$J$108:$J$126,_xlfn.XMATCH($B115,Report!$A$108:$A$126)),0),0)</f>
        <v>0</v>
      </c>
    </row>
    <row r="116" spans="2:17" outlineLevel="1">
      <c r="B116" s="1006" t="s">
        <v>84</v>
      </c>
      <c r="C116" s="934"/>
      <c r="H116" s="933" t="s">
        <v>26</v>
      </c>
      <c r="J116" s="1021">
        <f>SUM(J112:J115)</f>
        <v>0</v>
      </c>
      <c r="K116" s="1021">
        <f t="shared" ref="K116:Q116" si="55">SUM(K112:K115)</f>
        <v>0</v>
      </c>
      <c r="L116" s="1021">
        <f t="shared" si="55"/>
        <v>0</v>
      </c>
      <c r="M116" s="1021">
        <f t="shared" si="55"/>
        <v>0</v>
      </c>
      <c r="N116" s="1021">
        <f t="shared" ca="1" si="55"/>
        <v>-66038.8</v>
      </c>
      <c r="O116" s="1021">
        <f t="shared" si="55"/>
        <v>0</v>
      </c>
      <c r="P116" s="1021">
        <f t="shared" si="55"/>
        <v>0</v>
      </c>
      <c r="Q116" s="1021">
        <f t="shared" si="55"/>
        <v>0</v>
      </c>
    </row>
    <row r="117" spans="2:17" outlineLevel="1"/>
    <row r="118" spans="2:17" ht="15" outlineLevel="1">
      <c r="B118" s="924" t="s">
        <v>85</v>
      </c>
      <c r="H118" s="935" t="e" cm="1">
        <f t="array" aca="1" ref="H118" ca="1">IF(ABS(INDEX($J139:$Q139,_xlfn.XMATCH(YEAR(Input!$A$4),$J$2:$Q$2))+(Report!$L$128+Report!$N$128))&gt;Tolerance,1,0)</f>
        <v>#NAME?</v>
      </c>
      <c r="J118" s="940"/>
      <c r="K118" s="940"/>
    </row>
    <row r="119" spans="2:17" outlineLevel="1">
      <c r="B119" s="925" t="s">
        <v>25</v>
      </c>
      <c r="H119" s="933" t="s">
        <v>26</v>
      </c>
      <c r="J119" s="1019">
        <f>-IF(J$2=YEAR(Input!$A$4),(Report!$L106+Report!$N106),0)</f>
        <v>0</v>
      </c>
      <c r="K119" s="1019">
        <f>-IF(K$2=YEAR(Input!$A$4),(Report!$L106+Report!$N106),0)</f>
        <v>0</v>
      </c>
      <c r="L119" s="1019">
        <f>-IF(L$2=YEAR(Input!$A$4),(Report!$L106+Report!$N106),0)</f>
        <v>0</v>
      </c>
      <c r="M119" s="1019">
        <f>-IF(M$2=YEAR(Input!$A$4),(Report!$L106+Report!$N106),0)</f>
        <v>0</v>
      </c>
      <c r="N119" s="1019">
        <f ca="1">-IF(N$2=YEAR(Input!$A$4),(Report!$L106+Report!$N106),0)</f>
        <v>-6057.0999999999985</v>
      </c>
      <c r="O119" s="1019">
        <f>-IF(O$2=YEAR(Input!$A$4),(Report!$L106+Report!$N106),0)</f>
        <v>0</v>
      </c>
      <c r="P119" s="1019">
        <f>-IF(P$2=YEAR(Input!$A$4),(Report!$L106+Report!$N106),0)</f>
        <v>0</v>
      </c>
      <c r="Q119" s="1019">
        <f>-IF(Q$2=YEAR(Input!$A$4),(Report!$L106+Report!$N106),0)</f>
        <v>0</v>
      </c>
    </row>
    <row r="120" spans="2:17" outlineLevel="1">
      <c r="B120" s="1002" t="s">
        <v>62</v>
      </c>
      <c r="H120" s="933" t="s">
        <v>26</v>
      </c>
      <c r="J120" s="1019" cm="1">
        <f t="array" ref="J120">-IFERROR(IF(J$2=YEAR(Input!$A$4),INDEX(Report!$L$108:$L$126,_xlfn.XMATCH($B120,Report!$A$108:$A$126)),0),0)</f>
        <v>0</v>
      </c>
      <c r="K120" s="1019" cm="1">
        <f t="array" ref="K120">-IFERROR(IF(K$2=YEAR(Input!$A$4),INDEX(Report!$L$108:$L$126,_xlfn.XMATCH($B120,Report!$A$108:$A$126)),0),0)</f>
        <v>0</v>
      </c>
      <c r="L120" s="1019" cm="1">
        <f t="array" ref="L120">-IFERROR(IF(L$2=YEAR(Input!$A$4),INDEX(Report!$L$108:$L$126,_xlfn.XMATCH($B120,Report!$A$108:$A$126)),0),0)</f>
        <v>0</v>
      </c>
      <c r="M120" s="1019" cm="1">
        <f t="array" ref="M120">-IFERROR(IF(M$2=YEAR(Input!$A$4),INDEX(Report!$L$108:$L$126,_xlfn.XMATCH($B120,Report!$A$108:$A$126)),0),0)</f>
        <v>0</v>
      </c>
      <c r="N120" s="1019" cm="1">
        <f t="array" aca="1" ref="N120" ca="1">-IFERROR(IF(N$2=YEAR(Input!$A$4),INDEX(Report!$L$108:$L$126,_xlfn.XMATCH($B120,Report!$A$108:$A$126)),0),0)</f>
        <v>0</v>
      </c>
      <c r="O120" s="1019" cm="1">
        <f t="array" ref="O120">-IFERROR(IF(O$2=YEAR(Input!$A$4),INDEX(Report!$L$108:$L$126,_xlfn.XMATCH($B120,Report!$A$108:$A$126)),0),0)</f>
        <v>0</v>
      </c>
      <c r="P120" s="1019" cm="1">
        <f t="array" ref="P120">-IFERROR(IF(P$2=YEAR(Input!$A$4),INDEX(Report!$L$108:$L$126,_xlfn.XMATCH($B120,Report!$A$108:$A$126)),0),0)</f>
        <v>0</v>
      </c>
      <c r="Q120" s="1019" cm="1">
        <f t="array" ref="Q120">-IFERROR(IF(Q$2=YEAR(Input!$A$4),INDEX(Report!$L$108:$L$126,_xlfn.XMATCH($B120,Report!$A$108:$A$126)),0),0)</f>
        <v>0</v>
      </c>
    </row>
    <row r="121" spans="2:17" outlineLevel="1">
      <c r="B121" s="1002" t="s">
        <v>80</v>
      </c>
      <c r="H121" s="933" t="s">
        <v>26</v>
      </c>
      <c r="J121" s="1019" cm="1">
        <f t="array" ref="J121">-IFERROR(IF(J$2=YEAR(Input!$A$4),INDEX(Report!$L$108:$L$126,_xlfn.XMATCH($B121,Report!$A$108:$A$126)),0),0)</f>
        <v>0</v>
      </c>
      <c r="K121" s="1019" cm="1">
        <f t="array" ref="K121">-IFERROR(IF(K$2=YEAR(Input!$A$4),INDEX(Report!$L$108:$L$126,_xlfn.XMATCH($B121,Report!$A$108:$A$126)),0),0)</f>
        <v>0</v>
      </c>
      <c r="L121" s="1019" cm="1">
        <f t="array" ref="L121">-IFERROR(IF(L$2=YEAR(Input!$A$4),INDEX(Report!$L$108:$L$126,_xlfn.XMATCH($B121,Report!$A$108:$A$126)),0),0)</f>
        <v>0</v>
      </c>
      <c r="M121" s="1019" cm="1">
        <f t="array" ref="M121">-IFERROR(IF(M$2=YEAR(Input!$A$4),INDEX(Report!$L$108:$L$126,_xlfn.XMATCH($B121,Report!$A$108:$A$126)),0),0)</f>
        <v>0</v>
      </c>
      <c r="N121" s="1019" cm="1">
        <f t="array" aca="1" ref="N121" ca="1">-IFERROR(IF(N$2=YEAR(Input!$A$4),INDEX(Report!$L$108:$L$126,_xlfn.XMATCH($B121,Report!$A$108:$A$126)),0),0)</f>
        <v>0</v>
      </c>
      <c r="O121" s="1019" cm="1">
        <f t="array" ref="O121">-IFERROR(IF(O$2=YEAR(Input!$A$4),INDEX(Report!$L$108:$L$126,_xlfn.XMATCH($B121,Report!$A$108:$A$126)),0),0)</f>
        <v>0</v>
      </c>
      <c r="P121" s="1019" cm="1">
        <f t="array" ref="P121">-IFERROR(IF(P$2=YEAR(Input!$A$4),INDEX(Report!$L$108:$L$126,_xlfn.XMATCH($B121,Report!$A$108:$A$126)),0),0)</f>
        <v>0</v>
      </c>
      <c r="Q121" s="1019" cm="1">
        <f t="array" ref="Q121">-IFERROR(IF(Q$2=YEAR(Input!$A$4),INDEX(Report!$L$108:$L$126,_xlfn.XMATCH($B121,Report!$A$108:$A$126)),0),0)</f>
        <v>0</v>
      </c>
    </row>
    <row r="122" spans="2:17" outlineLevel="1">
      <c r="B122" s="1002" t="s">
        <v>86</v>
      </c>
      <c r="H122" s="933" t="s">
        <v>26</v>
      </c>
      <c r="J122" s="1019" cm="1">
        <f t="array" ref="J122">-IFERROR(IF(J$2=YEAR(Input!$A$4),INDEX(Report!$L$108:$L$126,_xlfn.XMATCH($B122,Report!$A$108:$A$126)),0),0)</f>
        <v>0</v>
      </c>
      <c r="K122" s="1019" cm="1">
        <f t="array" ref="K122">-IFERROR(IF(K$2=YEAR(Input!$A$4),INDEX(Report!$L$108:$L$126,_xlfn.XMATCH($B122,Report!$A$108:$A$126)),0),0)</f>
        <v>0</v>
      </c>
      <c r="L122" s="1019" cm="1">
        <f t="array" ref="L122">-IFERROR(IF(L$2=YEAR(Input!$A$4),INDEX(Report!$L$108:$L$126,_xlfn.XMATCH($B122,Report!$A$108:$A$126)),0),0)</f>
        <v>0</v>
      </c>
      <c r="M122" s="1019" cm="1">
        <f t="array" ref="M122">-IFERROR(IF(M$2=YEAR(Input!$A$4),INDEX(Report!$L$108:$L$126,_xlfn.XMATCH($B122,Report!$A$108:$A$126)),0),0)</f>
        <v>0</v>
      </c>
      <c r="N122" s="1019" cm="1">
        <f t="array" aca="1" ref="N122" ca="1">-IFERROR(IF(N$2=YEAR(Input!$A$4),INDEX(Report!$L$108:$L$126,_xlfn.XMATCH($B122,Report!$A$108:$A$126)),0),0)</f>
        <v>0</v>
      </c>
      <c r="O122" s="1019" cm="1">
        <f t="array" ref="O122">-IFERROR(IF(O$2=YEAR(Input!$A$4),INDEX(Report!$L$108:$L$126,_xlfn.XMATCH($B122,Report!$A$108:$A$126)),0),0)</f>
        <v>0</v>
      </c>
      <c r="P122" s="1019" cm="1">
        <f t="array" ref="P122">-IFERROR(IF(P$2=YEAR(Input!$A$4),INDEX(Report!$L$108:$L$126,_xlfn.XMATCH($B122,Report!$A$108:$A$126)),0),0)</f>
        <v>0</v>
      </c>
      <c r="Q122" s="1019" cm="1">
        <f t="array" ref="Q122">-IFERROR(IF(Q$2=YEAR(Input!$A$4),INDEX(Report!$L$108:$L$126,_xlfn.XMATCH($B122,Report!$A$108:$A$126)),0),0)</f>
        <v>0</v>
      </c>
    </row>
    <row r="123" spans="2:17" outlineLevel="1">
      <c r="B123" s="1002" t="s">
        <v>87</v>
      </c>
      <c r="H123" s="933" t="s">
        <v>26</v>
      </c>
      <c r="J123" s="1019" cm="1">
        <f t="array" ref="J123">-IFERROR(IF(J$2=YEAR(Input!$A$4),INDEX(Report!$L$108:$L$126,_xlfn.XMATCH($B123,Report!$A$108:$A$126)),0),0)</f>
        <v>0</v>
      </c>
      <c r="K123" s="1019" cm="1">
        <f t="array" ref="K123">-IFERROR(IF(K$2=YEAR(Input!$A$4),INDEX(Report!$L$108:$L$126,_xlfn.XMATCH($B123,Report!$A$108:$A$126)),0),0)</f>
        <v>0</v>
      </c>
      <c r="L123" s="1019" cm="1">
        <f t="array" ref="L123">-IFERROR(IF(L$2=YEAR(Input!$A$4),INDEX(Report!$L$108:$L$126,_xlfn.XMATCH($B123,Report!$A$108:$A$126)),0),0)</f>
        <v>0</v>
      </c>
      <c r="M123" s="1019" cm="1">
        <f t="array" ref="M123">-IFERROR(IF(M$2=YEAR(Input!$A$4),INDEX(Report!$L$108:$L$126,_xlfn.XMATCH($B123,Report!$A$108:$A$126)),0),0)</f>
        <v>0</v>
      </c>
      <c r="N123" s="1019" cm="1">
        <f t="array" ref="N123">-IFERROR(IF(N$2=YEAR(Input!$A$4),INDEX(Report!$L$108:$L$126,_xlfn.XMATCH($B123,Report!$A$108:$A$126)),0),0)</f>
        <v>3084</v>
      </c>
      <c r="O123" s="1019" cm="1">
        <f t="array" ref="O123">-IFERROR(IF(O$2=YEAR(Input!$A$4),INDEX(Report!$L$108:$L$126,_xlfn.XMATCH($B123,Report!$A$108:$A$126)),0),0)</f>
        <v>0</v>
      </c>
      <c r="P123" s="1019" cm="1">
        <f t="array" ref="P123">-IFERROR(IF(P$2=YEAR(Input!$A$4),INDEX(Report!$L$108:$L$126,_xlfn.XMATCH($B123,Report!$A$108:$A$126)),0),0)</f>
        <v>0</v>
      </c>
      <c r="Q123" s="1019" cm="1">
        <f t="array" ref="Q123">-IFERROR(IF(Q$2=YEAR(Input!$A$4),INDEX(Report!$L$108:$L$126,_xlfn.XMATCH($B123,Report!$A$108:$A$126)),0),0)</f>
        <v>0</v>
      </c>
    </row>
    <row r="124" spans="2:17" outlineLevel="1">
      <c r="B124" s="1002" t="s">
        <v>63</v>
      </c>
      <c r="H124" s="933" t="s">
        <v>26</v>
      </c>
      <c r="J124" s="1019" cm="1">
        <f t="array" ref="J124">-IFERROR(IF(J$2=YEAR(Input!$A$4),INDEX(Report!$L$108:$L$126,_xlfn.XMATCH($B124,Report!$A$108:$A$126)),0),0)</f>
        <v>0</v>
      </c>
      <c r="K124" s="1019" cm="1">
        <f t="array" ref="K124">-IFERROR(IF(K$2=YEAR(Input!$A$4),INDEX(Report!$L$108:$L$126,_xlfn.XMATCH($B124,Report!$A$108:$A$126)),0),0)</f>
        <v>0</v>
      </c>
      <c r="L124" s="1019" cm="1">
        <f t="array" ref="L124">-IFERROR(IF(L$2=YEAR(Input!$A$4),INDEX(Report!$L$108:$L$126,_xlfn.XMATCH($B124,Report!$A$108:$A$126)),0),0)</f>
        <v>0</v>
      </c>
      <c r="M124" s="1019" cm="1">
        <f t="array" ref="M124">-IFERROR(IF(M$2=YEAR(Input!$A$4),INDEX(Report!$L$108:$L$126,_xlfn.XMATCH($B124,Report!$A$108:$A$126)),0),0)</f>
        <v>0</v>
      </c>
      <c r="N124" s="1019" cm="1">
        <f t="array" aca="1" ref="N124" ca="1">-IFERROR(IF(N$2=YEAR(Input!$A$4),INDEX(Report!$L$108:$L$126,_xlfn.XMATCH($B124,Report!$A$108:$A$126)),0),0)</f>
        <v>0</v>
      </c>
      <c r="O124" s="1019" cm="1">
        <f t="array" ref="O124">-IFERROR(IF(O$2=YEAR(Input!$A$4),INDEX(Report!$L$108:$L$126,_xlfn.XMATCH($B124,Report!$A$108:$A$126)),0),0)</f>
        <v>0</v>
      </c>
      <c r="P124" s="1019" cm="1">
        <f t="array" ref="P124">-IFERROR(IF(P$2=YEAR(Input!$A$4),INDEX(Report!$L$108:$L$126,_xlfn.XMATCH($B124,Report!$A$108:$A$126)),0),0)</f>
        <v>0</v>
      </c>
      <c r="Q124" s="1019" cm="1">
        <f t="array" ref="Q124">-IFERROR(IF(Q$2=YEAR(Input!$A$4),INDEX(Report!$L$108:$L$126,_xlfn.XMATCH($B124,Report!$A$108:$A$126)),0),0)</f>
        <v>0</v>
      </c>
    </row>
    <row r="125" spans="2:17" outlineLevel="1">
      <c r="B125" s="1002" t="s">
        <v>72</v>
      </c>
      <c r="H125" s="933" t="s">
        <v>26</v>
      </c>
      <c r="J125" s="1019" cm="1">
        <f t="array" ref="J125">-IFERROR(IF(J$2=YEAR(Input!$A$4),INDEX(Report!$L$108:$L$126,_xlfn.XMATCH($B125,Report!$A$108:$A$126)),0),0)</f>
        <v>0</v>
      </c>
      <c r="K125" s="1019" cm="1">
        <f t="array" ref="K125">-IFERROR(IF(K$2=YEAR(Input!$A$4),INDEX(Report!$L$108:$L$126,_xlfn.XMATCH($B125,Report!$A$108:$A$126)),0),0)</f>
        <v>0</v>
      </c>
      <c r="L125" s="1019" cm="1">
        <f t="array" ref="L125">-IFERROR(IF(L$2=YEAR(Input!$A$4),INDEX(Report!$L$108:$L$126,_xlfn.XMATCH($B125,Report!$A$108:$A$126)),0),0)</f>
        <v>0</v>
      </c>
      <c r="M125" s="1019" cm="1">
        <f t="array" ref="M125">-IFERROR(IF(M$2=YEAR(Input!$A$4),INDEX(Report!$L$108:$L$126,_xlfn.XMATCH($B125,Report!$A$108:$A$126)),0),0)</f>
        <v>0</v>
      </c>
      <c r="N125" s="1019" cm="1">
        <f t="array" aca="1" ref="N125" ca="1">-IFERROR(IF(N$2=YEAR(Input!$A$4),INDEX(Report!$L$108:$L$126,_xlfn.XMATCH($B125,Report!$A$108:$A$126)),0),0)</f>
        <v>0</v>
      </c>
      <c r="O125" s="1019" cm="1">
        <f t="array" ref="O125">-IFERROR(IF(O$2=YEAR(Input!$A$4),INDEX(Report!$L$108:$L$126,_xlfn.XMATCH($B125,Report!$A$108:$A$126)),0),0)</f>
        <v>0</v>
      </c>
      <c r="P125" s="1019" cm="1">
        <f t="array" ref="P125">-IFERROR(IF(P$2=YEAR(Input!$A$4),INDEX(Report!$L$108:$L$126,_xlfn.XMATCH($B125,Report!$A$108:$A$126)),0),0)</f>
        <v>0</v>
      </c>
      <c r="Q125" s="1019" cm="1">
        <f t="array" ref="Q125">-IFERROR(IF(Q$2=YEAR(Input!$A$4),INDEX(Report!$L$108:$L$126,_xlfn.XMATCH($B125,Report!$A$108:$A$126)),0),0)</f>
        <v>0</v>
      </c>
    </row>
    <row r="126" spans="2:17" outlineLevel="1">
      <c r="B126" s="1002" t="s">
        <v>73</v>
      </c>
      <c r="H126" s="933" t="s">
        <v>26</v>
      </c>
      <c r="J126" s="1019" cm="1">
        <f t="array" ref="J126">-IFERROR(IF(J$2=YEAR(Input!$A$4),INDEX(Report!$L$108:$L$126,_xlfn.XMATCH($B126,Report!$A$108:$A$126)),0),0)</f>
        <v>0</v>
      </c>
      <c r="K126" s="1019" cm="1">
        <f t="array" ref="K126">-IFERROR(IF(K$2=YEAR(Input!$A$4),INDEX(Report!$L$108:$L$126,_xlfn.XMATCH($B126,Report!$A$108:$A$126)),0),0)</f>
        <v>0</v>
      </c>
      <c r="L126" s="1019" cm="1">
        <f t="array" ref="L126">-IFERROR(IF(L$2=YEAR(Input!$A$4),INDEX(Report!$L$108:$L$126,_xlfn.XMATCH($B126,Report!$A$108:$A$126)),0),0)</f>
        <v>0</v>
      </c>
      <c r="M126" s="1019" cm="1">
        <f t="array" ref="M126">-IFERROR(IF(M$2=YEAR(Input!$A$4),INDEX(Report!$L$108:$L$126,_xlfn.XMATCH($B126,Report!$A$108:$A$126)),0),0)</f>
        <v>0</v>
      </c>
      <c r="N126" s="1019" cm="1">
        <f t="array" aca="1" ref="N126" ca="1">-IFERROR(IF(N$2=YEAR(Input!$A$4),INDEX(Report!$L$108:$L$126,_xlfn.XMATCH($B126,Report!$A$108:$A$126)),0),0)</f>
        <v>0</v>
      </c>
      <c r="O126" s="1019" cm="1">
        <f t="array" ref="O126">-IFERROR(IF(O$2=YEAR(Input!$A$4),INDEX(Report!$L$108:$L$126,_xlfn.XMATCH($B126,Report!$A$108:$A$126)),0),0)</f>
        <v>0</v>
      </c>
      <c r="P126" s="1019" cm="1">
        <f t="array" ref="P126">-IFERROR(IF(P$2=YEAR(Input!$A$4),INDEX(Report!$L$108:$L$126,_xlfn.XMATCH($B126,Report!$A$108:$A$126)),0),0)</f>
        <v>0</v>
      </c>
      <c r="Q126" s="1019" cm="1">
        <f t="array" ref="Q126">-IFERROR(IF(Q$2=YEAR(Input!$A$4),INDEX(Report!$L$108:$L$126,_xlfn.XMATCH($B126,Report!$A$108:$A$126)),0),0)</f>
        <v>0</v>
      </c>
    </row>
    <row r="127" spans="2:17" outlineLevel="1">
      <c r="B127" s="1002" t="s">
        <v>64</v>
      </c>
      <c r="H127" s="933" t="s">
        <v>26</v>
      </c>
      <c r="J127" s="1019" cm="1">
        <f t="array" ref="J127">-IFERROR(IF(J$2=YEAR(Input!$A$4),INDEX(Report!$L$108:$L$126,_xlfn.XMATCH($B127,Report!$A$108:$A$126)),0),0)</f>
        <v>0</v>
      </c>
      <c r="K127" s="1019" cm="1">
        <f t="array" ref="K127">-IFERROR(IF(K$2=YEAR(Input!$A$4),INDEX(Report!$L$108:$L$126,_xlfn.XMATCH($B127,Report!$A$108:$A$126)),0),0)</f>
        <v>0</v>
      </c>
      <c r="L127" s="1019" cm="1">
        <f t="array" ref="L127">-IFERROR(IF(L$2=YEAR(Input!$A$4),INDEX(Report!$L$108:$L$126,_xlfn.XMATCH($B127,Report!$A$108:$A$126)),0),0)</f>
        <v>0</v>
      </c>
      <c r="M127" s="1019" cm="1">
        <f t="array" ref="M127">-IFERROR(IF(M$2=YEAR(Input!$A$4),INDEX(Report!$L$108:$L$126,_xlfn.XMATCH($B127,Report!$A$108:$A$126)),0),0)</f>
        <v>0</v>
      </c>
      <c r="N127" s="1019" cm="1">
        <f t="array" aca="1" ref="N127" ca="1">-IFERROR(IF(N$2=YEAR(Input!$A$4),INDEX(Report!$L$108:$L$126,_xlfn.XMATCH($B127,Report!$A$108:$A$126)),0),0)</f>
        <v>0</v>
      </c>
      <c r="O127" s="1019" cm="1">
        <f t="array" ref="O127">-IFERROR(IF(O$2=YEAR(Input!$A$4),INDEX(Report!$L$108:$L$126,_xlfn.XMATCH($B127,Report!$A$108:$A$126)),0),0)</f>
        <v>0</v>
      </c>
      <c r="P127" s="1019" cm="1">
        <f t="array" ref="P127">-IFERROR(IF(P$2=YEAR(Input!$A$4),INDEX(Report!$L$108:$L$126,_xlfn.XMATCH($B127,Report!$A$108:$A$126)),0),0)</f>
        <v>0</v>
      </c>
      <c r="Q127" s="1019" cm="1">
        <f t="array" ref="Q127">-IFERROR(IF(Q$2=YEAR(Input!$A$4),INDEX(Report!$L$108:$L$126,_xlfn.XMATCH($B127,Report!$A$108:$A$126)),0),0)</f>
        <v>0</v>
      </c>
    </row>
    <row r="128" spans="2:17" outlineLevel="1">
      <c r="B128" s="1002" t="s">
        <v>74</v>
      </c>
      <c r="H128" s="933" t="s">
        <v>26</v>
      </c>
      <c r="J128" s="1019" cm="1">
        <f t="array" ref="J128">-IFERROR(IF(J$2=YEAR(Input!$A$4),INDEX(Report!$L$108:$L$126,_xlfn.XMATCH($B128,Report!$A$108:$A$126)),0),0)</f>
        <v>0</v>
      </c>
      <c r="K128" s="1019" cm="1">
        <f t="array" ref="K128">-IFERROR(IF(K$2=YEAR(Input!$A$4),INDEX(Report!$L$108:$L$126,_xlfn.XMATCH($B128,Report!$A$108:$A$126)),0),0)</f>
        <v>0</v>
      </c>
      <c r="L128" s="1019" cm="1">
        <f t="array" ref="L128">-IFERROR(IF(L$2=YEAR(Input!$A$4),INDEX(Report!$L$108:$L$126,_xlfn.XMATCH($B128,Report!$A$108:$A$126)),0),0)</f>
        <v>0</v>
      </c>
      <c r="M128" s="1019" cm="1">
        <f t="array" ref="M128">-IFERROR(IF(M$2=YEAR(Input!$A$4),INDEX(Report!$L$108:$L$126,_xlfn.XMATCH($B128,Report!$A$108:$A$126)),0),0)</f>
        <v>0</v>
      </c>
      <c r="N128" s="1019" cm="1">
        <f t="array" ref="N128">-IFERROR(IF(N$2=YEAR(Input!$A$4),INDEX(Report!$L$108:$L$126,_xlfn.XMATCH($B128,Report!$A$108:$A$126)),0),0)</f>
        <v>0</v>
      </c>
      <c r="O128" s="1019" cm="1">
        <f t="array" ref="O128">-IFERROR(IF(O$2=YEAR(Input!$A$4),INDEX(Report!$L$108:$L$126,_xlfn.XMATCH($B128,Report!$A$108:$A$126)),0),0)</f>
        <v>0</v>
      </c>
      <c r="P128" s="1019" cm="1">
        <f t="array" ref="P128">-IFERROR(IF(P$2=YEAR(Input!$A$4),INDEX(Report!$L$108:$L$126,_xlfn.XMATCH($B128,Report!$A$108:$A$126)),0),0)</f>
        <v>0</v>
      </c>
      <c r="Q128" s="1019" cm="1">
        <f t="array" ref="Q128">-IFERROR(IF(Q$2=YEAR(Input!$A$4),INDEX(Report!$L$108:$L$126,_xlfn.XMATCH($B128,Report!$A$108:$A$126)),0),0)</f>
        <v>0</v>
      </c>
    </row>
    <row r="129" spans="2:17" outlineLevel="1">
      <c r="B129" s="1002" t="s">
        <v>75</v>
      </c>
      <c r="H129" s="933" t="s">
        <v>26</v>
      </c>
      <c r="J129" s="1019" cm="1">
        <f t="array" ref="J129">-IFERROR(IF(J$2=YEAR(Input!$A$4),INDEX(Report!$L$108:$L$126,_xlfn.XMATCH($B129,Report!$A$108:$A$126)),0),0)</f>
        <v>0</v>
      </c>
      <c r="K129" s="1019" cm="1">
        <f t="array" ref="K129">-IFERROR(IF(K$2=YEAR(Input!$A$4),INDEX(Report!$L$108:$L$126,_xlfn.XMATCH($B129,Report!$A$108:$A$126)),0),0)</f>
        <v>0</v>
      </c>
      <c r="L129" s="1019" cm="1">
        <f t="array" ref="L129">-IFERROR(IF(L$2=YEAR(Input!$A$4),INDEX(Report!$L$108:$L$126,_xlfn.XMATCH($B129,Report!$A$108:$A$126)),0),0)</f>
        <v>0</v>
      </c>
      <c r="M129" s="1019" cm="1">
        <f t="array" ref="M129">-IFERROR(IF(M$2=YEAR(Input!$A$4),INDEX(Report!$L$108:$L$126,_xlfn.XMATCH($B129,Report!$A$108:$A$126)),0),0)</f>
        <v>0</v>
      </c>
      <c r="N129" s="1019" cm="1">
        <f t="array" aca="1" ref="N129" ca="1">-IFERROR(IF(N$2=YEAR(Input!$A$4),INDEX(Report!$L$108:$L$126,_xlfn.XMATCH($B129,Report!$A$108:$A$126)),0),0)</f>
        <v>0</v>
      </c>
      <c r="O129" s="1019" cm="1">
        <f t="array" ref="O129">-IFERROR(IF(O$2=YEAR(Input!$A$4),INDEX(Report!$L$108:$L$126,_xlfn.XMATCH($B129,Report!$A$108:$A$126)),0),0)</f>
        <v>0</v>
      </c>
      <c r="P129" s="1019" cm="1">
        <f t="array" ref="P129">-IFERROR(IF(P$2=YEAR(Input!$A$4),INDEX(Report!$L$108:$L$126,_xlfn.XMATCH($B129,Report!$A$108:$A$126)),0),0)</f>
        <v>0</v>
      </c>
      <c r="Q129" s="1019" cm="1">
        <f t="array" ref="Q129">-IFERROR(IF(Q$2=YEAR(Input!$A$4),INDEX(Report!$L$108:$L$126,_xlfn.XMATCH($B129,Report!$A$108:$A$126)),0),0)</f>
        <v>0</v>
      </c>
    </row>
    <row r="130" spans="2:17" outlineLevel="1">
      <c r="B130" s="1002" t="s">
        <v>76</v>
      </c>
      <c r="H130" s="933" t="s">
        <v>26</v>
      </c>
      <c r="J130" s="1019" cm="1">
        <f t="array" ref="J130">-IFERROR(IF(J$2=YEAR(Input!$A$4),INDEX(Report!$L$108:$L$126,_xlfn.XMATCH($B130,Report!$A$108:$A$126)),0),0)</f>
        <v>0</v>
      </c>
      <c r="K130" s="1019" cm="1">
        <f t="array" ref="K130">-IFERROR(IF(K$2=YEAR(Input!$A$4),INDEX(Report!$L$108:$L$126,_xlfn.XMATCH($B130,Report!$A$108:$A$126)),0),0)</f>
        <v>0</v>
      </c>
      <c r="L130" s="1019" cm="1">
        <f t="array" ref="L130">-IFERROR(IF(L$2=YEAR(Input!$A$4),INDEX(Report!$L$108:$L$126,_xlfn.XMATCH($B130,Report!$A$108:$A$126)),0),0)</f>
        <v>0</v>
      </c>
      <c r="M130" s="1019" cm="1">
        <f t="array" ref="M130">-IFERROR(IF(M$2=YEAR(Input!$A$4),INDEX(Report!$L$108:$L$126,_xlfn.XMATCH($B130,Report!$A$108:$A$126)),0),0)</f>
        <v>0</v>
      </c>
      <c r="N130" s="1019" cm="1">
        <f t="array" aca="1" ref="N130" ca="1">-IFERROR(IF(N$2=YEAR(Input!$A$4),INDEX(Report!$L$108:$L$126,_xlfn.XMATCH($B130,Report!$A$108:$A$126)),0),0)</f>
        <v>0</v>
      </c>
      <c r="O130" s="1019" cm="1">
        <f t="array" ref="O130">-IFERROR(IF(O$2=YEAR(Input!$A$4),INDEX(Report!$L$108:$L$126,_xlfn.XMATCH($B130,Report!$A$108:$A$126)),0),0)</f>
        <v>0</v>
      </c>
      <c r="P130" s="1019" cm="1">
        <f t="array" ref="P130">-IFERROR(IF(P$2=YEAR(Input!$A$4),INDEX(Report!$L$108:$L$126,_xlfn.XMATCH($B130,Report!$A$108:$A$126)),0),0)</f>
        <v>0</v>
      </c>
      <c r="Q130" s="1019" cm="1">
        <f t="array" ref="Q130">-IFERROR(IF(Q$2=YEAR(Input!$A$4),INDEX(Report!$L$108:$L$126,_xlfn.XMATCH($B130,Report!$A$108:$A$126)),0),0)</f>
        <v>0</v>
      </c>
    </row>
    <row r="131" spans="2:17" outlineLevel="1">
      <c r="B131" s="1002" t="s">
        <v>77</v>
      </c>
      <c r="H131" s="933" t="s">
        <v>26</v>
      </c>
      <c r="J131" s="1019" cm="1">
        <f t="array" ref="J131">-IFERROR(IF(J$2=YEAR(Input!$A$4),INDEX(Report!$L$108:$L$126,_xlfn.XMATCH($B131,Report!$A$108:$A$126)),0),0)</f>
        <v>0</v>
      </c>
      <c r="K131" s="1019" cm="1">
        <f t="array" ref="K131">-IFERROR(IF(K$2=YEAR(Input!$A$4),INDEX(Report!$L$108:$L$126,_xlfn.XMATCH($B131,Report!$A$108:$A$126)),0),0)</f>
        <v>0</v>
      </c>
      <c r="L131" s="1019" cm="1">
        <f t="array" ref="L131">-IFERROR(IF(L$2=YEAR(Input!$A$4),INDEX(Report!$L$108:$L$126,_xlfn.XMATCH($B131,Report!$A$108:$A$126)),0),0)</f>
        <v>0</v>
      </c>
      <c r="M131" s="1019" cm="1">
        <f t="array" ref="M131">-IFERROR(IF(M$2=YEAR(Input!$A$4),INDEX(Report!$L$108:$L$126,_xlfn.XMATCH($B131,Report!$A$108:$A$126)),0),0)</f>
        <v>0</v>
      </c>
      <c r="N131" s="1019" cm="1">
        <f t="array" ref="N131">-IFERROR(IF(N$2=YEAR(Input!$A$4),INDEX(Report!$L$108:$L$126,_xlfn.XMATCH($B131,Report!$A$108:$A$126)),0),0)</f>
        <v>0</v>
      </c>
      <c r="O131" s="1019" cm="1">
        <f t="array" ref="O131">-IFERROR(IF(O$2=YEAR(Input!$A$4),INDEX(Report!$L$108:$L$126,_xlfn.XMATCH($B131,Report!$A$108:$A$126)),0),0)</f>
        <v>0</v>
      </c>
      <c r="P131" s="1019" cm="1">
        <f t="array" ref="P131">-IFERROR(IF(P$2=YEAR(Input!$A$4),INDEX(Report!$L$108:$L$126,_xlfn.XMATCH($B131,Report!$A$108:$A$126)),0),0)</f>
        <v>0</v>
      </c>
      <c r="Q131" s="1019" cm="1">
        <f t="array" ref="Q131">-IFERROR(IF(Q$2=YEAR(Input!$A$4),INDEX(Report!$L$108:$L$126,_xlfn.XMATCH($B131,Report!$A$108:$A$126)),0),0)</f>
        <v>0</v>
      </c>
    </row>
    <row r="132" spans="2:17" outlineLevel="1">
      <c r="B132" s="1002" t="s">
        <v>78</v>
      </c>
      <c r="H132" s="933" t="s">
        <v>26</v>
      </c>
      <c r="J132" s="1019" cm="1">
        <f t="array" ref="J132">-IFERROR(IF(J$2=YEAR(Input!$A$4),INDEX(Report!$L$108:$L$126,_xlfn.XMATCH($B132,Report!$A$108:$A$126)),0),0)</f>
        <v>0</v>
      </c>
      <c r="K132" s="1019" cm="1">
        <f t="array" ref="K132">-IFERROR(IF(K$2=YEAR(Input!$A$4),INDEX(Report!$L$108:$L$126,_xlfn.XMATCH($B132,Report!$A$108:$A$126)),0),0)</f>
        <v>0</v>
      </c>
      <c r="L132" s="1019" cm="1">
        <f t="array" ref="L132">-IFERROR(IF(L$2=YEAR(Input!$A$4),INDEX(Report!$L$108:$L$126,_xlfn.XMATCH($B132,Report!$A$108:$A$126)),0),0)</f>
        <v>0</v>
      </c>
      <c r="M132" s="1019" cm="1">
        <f t="array" ref="M132">-IFERROR(IF(M$2=YEAR(Input!$A$4),INDEX(Report!$L$108:$L$126,_xlfn.XMATCH($B132,Report!$A$108:$A$126)),0),0)</f>
        <v>0</v>
      </c>
      <c r="N132" s="1019" cm="1">
        <f t="array" ref="N132">-IFERROR(IF(N$2=YEAR(Input!$A$4),INDEX(Report!$L$108:$L$126,_xlfn.XMATCH($B132,Report!$A$108:$A$126)),0),0)</f>
        <v>0</v>
      </c>
      <c r="O132" s="1019" cm="1">
        <f t="array" ref="O132">-IFERROR(IF(O$2=YEAR(Input!$A$4),INDEX(Report!$L$108:$L$126,_xlfn.XMATCH($B132,Report!$A$108:$A$126)),0),0)</f>
        <v>0</v>
      </c>
      <c r="P132" s="1019" cm="1">
        <f t="array" ref="P132">-IFERROR(IF(P$2=YEAR(Input!$A$4),INDEX(Report!$L$108:$L$126,_xlfn.XMATCH($B132,Report!$A$108:$A$126)),0),0)</f>
        <v>0</v>
      </c>
      <c r="Q132" s="1019" cm="1">
        <f t="array" ref="Q132">-IFERROR(IF(Q$2=YEAR(Input!$A$4),INDEX(Report!$L$108:$L$126,_xlfn.XMATCH($B132,Report!$A$108:$A$126)),0),0)</f>
        <v>0</v>
      </c>
    </row>
    <row r="133" spans="2:17" outlineLevel="1">
      <c r="B133" s="1002" t="s">
        <v>81</v>
      </c>
      <c r="H133" s="933" t="s">
        <v>26</v>
      </c>
      <c r="J133" s="1019" cm="1">
        <f t="array" ref="J133">-IFERROR(IF(J$2=YEAR(Input!$A$4),INDEX(Report!$L$108:$L$126,_xlfn.XMATCH($B133,Report!$A$108:$A$126)),0),0)</f>
        <v>0</v>
      </c>
      <c r="K133" s="1019" cm="1">
        <f t="array" ref="K133">-IFERROR(IF(K$2=YEAR(Input!$A$4),INDEX(Report!$L$108:$L$126,_xlfn.XMATCH($B133,Report!$A$108:$A$126)),0),0)</f>
        <v>0</v>
      </c>
      <c r="L133" s="1019" cm="1">
        <f t="array" ref="L133">-IFERROR(IF(L$2=YEAR(Input!$A$4),INDEX(Report!$L$108:$L$126,_xlfn.XMATCH($B133,Report!$A$108:$A$126)),0),0)</f>
        <v>0</v>
      </c>
      <c r="M133" s="1019" cm="1">
        <f t="array" ref="M133">-IFERROR(IF(M$2=YEAR(Input!$A$4),INDEX(Report!$L$108:$L$126,_xlfn.XMATCH($B133,Report!$A$108:$A$126)),0),0)</f>
        <v>0</v>
      </c>
      <c r="N133" s="1019" cm="1">
        <f t="array" ref="N133">-IFERROR(IF(N$2=YEAR(Input!$A$4),INDEX(Report!$L$108:$L$126,_xlfn.XMATCH($B133,Report!$A$108:$A$126)),0),0)</f>
        <v>0</v>
      </c>
      <c r="O133" s="1019" cm="1">
        <f t="array" ref="O133">-IFERROR(IF(O$2=YEAR(Input!$A$4),INDEX(Report!$L$108:$L$126,_xlfn.XMATCH($B133,Report!$A$108:$A$126)),0),0)</f>
        <v>0</v>
      </c>
      <c r="P133" s="1019" cm="1">
        <f t="array" ref="P133">-IFERROR(IF(P$2=YEAR(Input!$A$4),INDEX(Report!$L$108:$L$126,_xlfn.XMATCH($B133,Report!$A$108:$A$126)),0),0)</f>
        <v>0</v>
      </c>
      <c r="Q133" s="1019" cm="1">
        <f t="array" ref="Q133">-IFERROR(IF(Q$2=YEAR(Input!$A$4),INDEX(Report!$L$108:$L$126,_xlfn.XMATCH($B133,Report!$A$108:$A$126)),0),0)</f>
        <v>0</v>
      </c>
    </row>
    <row r="134" spans="2:17" outlineLevel="1">
      <c r="B134" s="1002" t="s">
        <v>88</v>
      </c>
      <c r="H134" s="933" t="s">
        <v>26</v>
      </c>
      <c r="J134" s="1019" cm="1">
        <f t="array" ref="J134">-IFERROR(IF(J$2=YEAR(Input!$A$4),INDEX(Report!$L$108:$L$126,_xlfn.XMATCH($B134,Report!$A$108:$A$126)),0),0)</f>
        <v>0</v>
      </c>
      <c r="K134" s="1019" cm="1">
        <f t="array" ref="K134">-IFERROR(IF(K$2=YEAR(Input!$A$4),INDEX(Report!$L$108:$L$126,_xlfn.XMATCH($B134,Report!$A$108:$A$126)),0),0)</f>
        <v>0</v>
      </c>
      <c r="L134" s="1019" cm="1">
        <f t="array" ref="L134">-IFERROR(IF(L$2=YEAR(Input!$A$4),INDEX(Report!$L$108:$L$126,_xlfn.XMATCH($B134,Report!$A$108:$A$126)),0),0)</f>
        <v>0</v>
      </c>
      <c r="M134" s="1019" cm="1">
        <f t="array" ref="M134">-IFERROR(IF(M$2=YEAR(Input!$A$4),INDEX(Report!$L$108:$L$126,_xlfn.XMATCH($B134,Report!$A$108:$A$126)),0),0)</f>
        <v>0</v>
      </c>
      <c r="N134" s="1019" cm="1">
        <f t="array" ref="N134">-IFERROR(IF(N$2=YEAR(Input!$A$4),INDEX(Report!$L$108:$L$126,_xlfn.XMATCH($B134,Report!$A$108:$A$126)),0),0)</f>
        <v>0</v>
      </c>
      <c r="O134" s="1019" cm="1">
        <f t="array" ref="O134">-IFERROR(IF(O$2=YEAR(Input!$A$4),INDEX(Report!$L$108:$L$126,_xlfn.XMATCH($B134,Report!$A$108:$A$126)),0),0)</f>
        <v>0</v>
      </c>
      <c r="P134" s="1019" cm="1">
        <f t="array" ref="P134">-IFERROR(IF(P$2=YEAR(Input!$A$4),INDEX(Report!$L$108:$L$126,_xlfn.XMATCH($B134,Report!$A$108:$A$126)),0),0)</f>
        <v>0</v>
      </c>
      <c r="Q134" s="1019" cm="1">
        <f t="array" ref="Q134">-IFERROR(IF(Q$2=YEAR(Input!$A$4),INDEX(Report!$L$108:$L$126,_xlfn.XMATCH($B134,Report!$A$108:$A$126)),0),0)</f>
        <v>0</v>
      </c>
    </row>
    <row r="135" spans="2:17" outlineLevel="1">
      <c r="B135" s="1002" t="s">
        <v>65</v>
      </c>
      <c r="H135" s="933" t="s">
        <v>26</v>
      </c>
      <c r="J135" s="1019" cm="1">
        <f t="array" ref="J135">-IFERROR(IF(J$2=YEAR(Input!$A$4),INDEX(Report!$L$108:$L$126,_xlfn.XMATCH($B135,Report!$A$108:$A$126)),0),0)</f>
        <v>0</v>
      </c>
      <c r="K135" s="1019" cm="1">
        <f t="array" ref="K135">-IFERROR(IF(K$2=YEAR(Input!$A$4),INDEX(Report!$L$108:$L$126,_xlfn.XMATCH($B135,Report!$A$108:$A$126)),0),0)</f>
        <v>0</v>
      </c>
      <c r="L135" s="1019" cm="1">
        <f t="array" ref="L135">-IFERROR(IF(L$2=YEAR(Input!$A$4),INDEX(Report!$L$108:$L$126,_xlfn.XMATCH($B135,Report!$A$108:$A$126)),0),0)</f>
        <v>0</v>
      </c>
      <c r="M135" s="1019" cm="1">
        <f t="array" ref="M135">-IFERROR(IF(M$2=YEAR(Input!$A$4),INDEX(Report!$L$108:$L$126,_xlfn.XMATCH($B135,Report!$A$108:$A$126)),0),0)</f>
        <v>0</v>
      </c>
      <c r="N135" s="1019" cm="1">
        <f t="array" aca="1" ref="N135" ca="1">-IFERROR(IF(N$2=YEAR(Input!$A$4),INDEX(Report!$L$108:$L$126,_xlfn.XMATCH($B135,Report!$A$108:$A$126)),0),0)</f>
        <v>0</v>
      </c>
      <c r="O135" s="1019" cm="1">
        <f t="array" ref="O135">-IFERROR(IF(O$2=YEAR(Input!$A$4),INDEX(Report!$L$108:$L$126,_xlfn.XMATCH($B135,Report!$A$108:$A$126)),0),0)</f>
        <v>0</v>
      </c>
      <c r="P135" s="1019" cm="1">
        <f t="array" ref="P135">-IFERROR(IF(P$2=YEAR(Input!$A$4),INDEX(Report!$L$108:$L$126,_xlfn.XMATCH($B135,Report!$A$108:$A$126)),0),0)</f>
        <v>0</v>
      </c>
      <c r="Q135" s="1019" cm="1">
        <f t="array" ref="Q135">-IFERROR(IF(Q$2=YEAR(Input!$A$4),INDEX(Report!$L$108:$L$126,_xlfn.XMATCH($B135,Report!$A$108:$A$126)),0),0)</f>
        <v>0</v>
      </c>
    </row>
    <row r="136" spans="2:17" outlineLevel="1">
      <c r="B136" s="1002" t="s">
        <v>89</v>
      </c>
      <c r="H136" s="933" t="s">
        <v>26</v>
      </c>
      <c r="J136" s="1019" cm="1">
        <f t="array" ref="J136">-IFERROR(IF(J$2=YEAR(Input!$A$4),INDEX(Report!$L$108:$L$126,_xlfn.XMATCH($B136,Report!$A$108:$A$126)),0),0)</f>
        <v>0</v>
      </c>
      <c r="K136" s="1019" cm="1">
        <f t="array" ref="K136">-IFERROR(IF(K$2=YEAR(Input!$A$4),INDEX(Report!$L$108:$L$126,_xlfn.XMATCH($B136,Report!$A$108:$A$126)),0),0)</f>
        <v>0</v>
      </c>
      <c r="L136" s="1019" cm="1">
        <f t="array" ref="L136">-IFERROR(IF(L$2=YEAR(Input!$A$4),INDEX(Report!$L$108:$L$126,_xlfn.XMATCH($B136,Report!$A$108:$A$126)),0),0)</f>
        <v>0</v>
      </c>
      <c r="M136" s="1019" cm="1">
        <f t="array" ref="M136">-IFERROR(IF(M$2=YEAR(Input!$A$4),INDEX(Report!$L$108:$L$126,_xlfn.XMATCH($B136,Report!$A$108:$A$126)),0),0)</f>
        <v>0</v>
      </c>
      <c r="N136" s="1019" cm="1">
        <f t="array" ref="N136">-IFERROR(IF(N$2=YEAR(Input!$A$4),INDEX(Report!$L$108:$L$126,_xlfn.XMATCH($B136,Report!$A$108:$A$126)),0),0)</f>
        <v>0</v>
      </c>
      <c r="O136" s="1019" cm="1">
        <f t="array" ref="O136">-IFERROR(IF(O$2=YEAR(Input!$A$4),INDEX(Report!$L$108:$L$126,_xlfn.XMATCH($B136,Report!$A$108:$A$126)),0),0)</f>
        <v>0</v>
      </c>
      <c r="P136" s="1019" cm="1">
        <f t="array" ref="P136">-IFERROR(IF(P$2=YEAR(Input!$A$4),INDEX(Report!$L$108:$L$126,_xlfn.XMATCH($B136,Report!$A$108:$A$126)),0),0)</f>
        <v>0</v>
      </c>
      <c r="Q136" s="1019" cm="1">
        <f t="array" ref="Q136">-IFERROR(IF(Q$2=YEAR(Input!$A$4),INDEX(Report!$L$108:$L$126,_xlfn.XMATCH($B136,Report!$A$108:$A$126)),0),0)</f>
        <v>0</v>
      </c>
    </row>
    <row r="137" spans="2:17" outlineLevel="1">
      <c r="B137" s="1002" t="s">
        <v>66</v>
      </c>
      <c r="H137" s="933" t="s">
        <v>26</v>
      </c>
      <c r="J137" s="1019" cm="1">
        <f t="array" ref="J137">-IFERROR(IF(J$2=YEAR(Input!$A$4),INDEX(Report!$L$108:$L$126,_xlfn.XMATCH($B137,Report!$A$108:$A$126)),0),0)</f>
        <v>0</v>
      </c>
      <c r="K137" s="1019" cm="1">
        <f t="array" ref="K137">-IFERROR(IF(K$2=YEAR(Input!$A$4),INDEX(Report!$L$108:$L$126,_xlfn.XMATCH($B137,Report!$A$108:$A$126)),0),0)</f>
        <v>0</v>
      </c>
      <c r="L137" s="1019" cm="1">
        <f t="array" ref="L137">-IFERROR(IF(L$2=YEAR(Input!$A$4),INDEX(Report!$L$108:$L$126,_xlfn.XMATCH($B137,Report!$A$108:$A$126)),0),0)</f>
        <v>0</v>
      </c>
      <c r="M137" s="1019" cm="1">
        <f t="array" ref="M137">-IFERROR(IF(M$2=YEAR(Input!$A$4),INDEX(Report!$L$108:$L$126,_xlfn.XMATCH($B137,Report!$A$108:$A$126)),0),0)</f>
        <v>0</v>
      </c>
      <c r="N137" s="1019" cm="1">
        <f t="array" aca="1" ref="N137" ca="1">-IFERROR(IF(N$2=YEAR(Input!$A$4),INDEX(Report!$L$108:$L$126,_xlfn.XMATCH($B137,Report!$A$108:$A$126)),0),0)</f>
        <v>0</v>
      </c>
      <c r="O137" s="1019" cm="1">
        <f t="array" ref="O137">-IFERROR(IF(O$2=YEAR(Input!$A$4),INDEX(Report!$L$108:$L$126,_xlfn.XMATCH($B137,Report!$A$108:$A$126)),0),0)</f>
        <v>0</v>
      </c>
      <c r="P137" s="1019" cm="1">
        <f t="array" ref="P137">-IFERROR(IF(P$2=YEAR(Input!$A$4),INDEX(Report!$L$108:$L$126,_xlfn.XMATCH($B137,Report!$A$108:$A$126)),0),0)</f>
        <v>0</v>
      </c>
      <c r="Q137" s="1019" cm="1">
        <f t="array" ref="Q137">-IFERROR(IF(Q$2=YEAR(Input!$A$4),INDEX(Report!$L$108:$L$126,_xlfn.XMATCH($B137,Report!$A$108:$A$126)),0),0)</f>
        <v>0</v>
      </c>
    </row>
    <row r="138" spans="2:17" outlineLevel="1">
      <c r="B138" s="1002" t="s">
        <v>67</v>
      </c>
      <c r="H138" s="933" t="s">
        <v>26</v>
      </c>
      <c r="J138" s="1019" cm="1">
        <f t="array" ref="J138">-IFERROR(IF(J$2=YEAR(Input!$A$4),INDEX(Report!$L$108:$L$126,_xlfn.XMATCH($B138,Report!$A$108:$A$126)),0),0)</f>
        <v>0</v>
      </c>
      <c r="K138" s="1019" cm="1">
        <f t="array" ref="K138">-IFERROR(IF(K$2=YEAR(Input!$A$4),INDEX(Report!$L$108:$L$126,_xlfn.XMATCH($B138,Report!$A$108:$A$126)),0),0)</f>
        <v>0</v>
      </c>
      <c r="L138" s="1019" cm="1">
        <f t="array" ref="L138">-IFERROR(IF(L$2=YEAR(Input!$A$4),INDEX(Report!$L$108:$L$126,_xlfn.XMATCH($B138,Report!$A$108:$A$126)),0),0)</f>
        <v>0</v>
      </c>
      <c r="M138" s="1019" cm="1">
        <f t="array" ref="M138">-IFERROR(IF(M$2=YEAR(Input!$A$4),INDEX(Report!$L$108:$L$126,_xlfn.XMATCH($B138,Report!$A$108:$A$126)),0),0)</f>
        <v>0</v>
      </c>
      <c r="N138" s="1019" cm="1">
        <f t="array" aca="1" ref="N138" ca="1">-IFERROR(IF(N$2=YEAR(Input!$A$4),INDEX(Report!$L$108:$L$126,_xlfn.XMATCH($B138,Report!$A$108:$A$126)),0),0)</f>
        <v>0</v>
      </c>
      <c r="O138" s="1019" cm="1">
        <f t="array" ref="O138">-IFERROR(IF(O$2=YEAR(Input!$A$4),INDEX(Report!$L$108:$L$126,_xlfn.XMATCH($B138,Report!$A$108:$A$126)),0),0)</f>
        <v>0</v>
      </c>
      <c r="P138" s="1019" cm="1">
        <f t="array" ref="P138">-IFERROR(IF(P$2=YEAR(Input!$A$4),INDEX(Report!$L$108:$L$126,_xlfn.XMATCH($B138,Report!$A$108:$A$126)),0),0)</f>
        <v>0</v>
      </c>
      <c r="Q138" s="1019" cm="1">
        <f t="array" ref="Q138">-IFERROR(IF(Q$2=YEAR(Input!$A$4),INDEX(Report!$L$108:$L$126,_xlfn.XMATCH($B138,Report!$A$108:$A$126)),0),0)</f>
        <v>0</v>
      </c>
    </row>
    <row r="139" spans="2:17" outlineLevel="1">
      <c r="B139" s="1006" t="s">
        <v>90</v>
      </c>
      <c r="C139" s="934"/>
      <c r="H139" s="933" t="s">
        <v>26</v>
      </c>
      <c r="J139" s="1021">
        <f>SUM(J119:J138)</f>
        <v>0</v>
      </c>
      <c r="K139" s="1021">
        <f t="shared" ref="K139:Q139" si="56">SUM(K119:K138)</f>
        <v>0</v>
      </c>
      <c r="L139" s="1021">
        <f t="shared" si="56"/>
        <v>0</v>
      </c>
      <c r="M139" s="1021">
        <f t="shared" si="56"/>
        <v>0</v>
      </c>
      <c r="N139" s="1021">
        <f t="shared" ca="1" si="56"/>
        <v>-2973.0999999999985</v>
      </c>
      <c r="O139" s="1021">
        <f t="shared" si="56"/>
        <v>0</v>
      </c>
      <c r="P139" s="1021">
        <f t="shared" si="56"/>
        <v>0</v>
      </c>
      <c r="Q139" s="1021">
        <f t="shared" si="56"/>
        <v>0</v>
      </c>
    </row>
    <row r="140" spans="2:17" outlineLevel="1"/>
    <row r="141" spans="2:17" ht="15" outlineLevel="1">
      <c r="B141" s="924" t="s">
        <v>91</v>
      </c>
      <c r="H141" s="935" cm="1">
        <f t="array" ref="H141">IF(ABS(INDEX($J143:$Q143,_xlfn.XMATCH(YEAR(Input!$A$4),$J$2:$Q$2))-(Report!$R$128))&gt;Tolerance,1,0)</f>
        <v>0</v>
      </c>
      <c r="J141" s="942"/>
      <c r="K141" s="942"/>
    </row>
    <row r="142" spans="2:17" outlineLevel="1">
      <c r="B142" s="1008" t="s">
        <v>25</v>
      </c>
      <c r="H142" s="933" t="s">
        <v>26</v>
      </c>
      <c r="J142" s="1019">
        <f>IF(J$2=YEAR(Input!$A$4),Report!$R106,0)</f>
        <v>0</v>
      </c>
      <c r="K142" s="1019">
        <f>IF(K$2=YEAR(Input!$A$4),Report!$R106,0)</f>
        <v>0</v>
      </c>
      <c r="L142" s="1019">
        <f>IF(L$2=YEAR(Input!$A$4),Report!$R106,0)</f>
        <v>0</v>
      </c>
      <c r="M142" s="1019">
        <f>IF(M$2=YEAR(Input!$A$4),Report!$R106,0)</f>
        <v>0</v>
      </c>
      <c r="N142" s="1019">
        <f>IF(N$2=YEAR(Input!$A$4),Report!$R106,0)</f>
        <v>-495.59999999999997</v>
      </c>
      <c r="O142" s="1019">
        <f>IF(O$2=YEAR(Input!$A$4),Report!$R106,0)</f>
        <v>0</v>
      </c>
      <c r="P142" s="1019">
        <f>IF(P$2=YEAR(Input!$A$4),Report!$R106,0)</f>
        <v>0</v>
      </c>
      <c r="Q142" s="1019">
        <f>IF(Q$2=YEAR(Input!$A$4),Report!$R106,0)</f>
        <v>0</v>
      </c>
    </row>
    <row r="143" spans="2:17" outlineLevel="1">
      <c r="B143" s="1006" t="s">
        <v>92</v>
      </c>
      <c r="C143" s="934"/>
      <c r="H143" s="933" t="s">
        <v>26</v>
      </c>
      <c r="J143" s="1021">
        <f>SUM(J142)</f>
        <v>0</v>
      </c>
      <c r="K143" s="1021">
        <f t="shared" ref="K143:Q143" si="57">SUM(K142)</f>
        <v>0</v>
      </c>
      <c r="L143" s="1021">
        <f t="shared" si="57"/>
        <v>0</v>
      </c>
      <c r="M143" s="1021">
        <f t="shared" si="57"/>
        <v>0</v>
      </c>
      <c r="N143" s="1021">
        <f t="shared" si="57"/>
        <v>-495.59999999999997</v>
      </c>
      <c r="O143" s="1021">
        <f t="shared" si="57"/>
        <v>0</v>
      </c>
      <c r="P143" s="1021">
        <f t="shared" si="57"/>
        <v>0</v>
      </c>
      <c r="Q143" s="1021">
        <f t="shared" si="57"/>
        <v>0</v>
      </c>
    </row>
    <row r="145" spans="1:114" ht="14.25">
      <c r="A145" t="s">
        <v>15</v>
      </c>
      <c r="B145" s="930" t="s">
        <v>93</v>
      </c>
      <c r="C145" s="930"/>
      <c r="D145" s="930"/>
      <c r="E145" s="930"/>
      <c r="F145" s="930"/>
      <c r="G145" s="930"/>
      <c r="H145" s="930"/>
      <c r="I145" s="930"/>
      <c r="J145" s="930"/>
      <c r="K145" s="930"/>
      <c r="L145" s="930"/>
      <c r="M145" s="930"/>
      <c r="N145" s="930"/>
      <c r="O145" s="930"/>
      <c r="P145" s="930"/>
      <c r="Q145" s="930"/>
      <c r="R145" s="930"/>
      <c r="S145" s="930"/>
      <c r="T145" s="930"/>
      <c r="U145" s="930"/>
      <c r="V145" s="930"/>
      <c r="W145" s="930"/>
      <c r="X145" s="930"/>
      <c r="Y145" s="930"/>
      <c r="Z145" s="930"/>
      <c r="AA145" s="930"/>
      <c r="AB145" s="930"/>
      <c r="AC145" s="930"/>
      <c r="AD145" s="930"/>
      <c r="AE145" s="930"/>
      <c r="AF145" s="930"/>
      <c r="AG145" s="930"/>
      <c r="AH145" s="930"/>
      <c r="AI145" s="930"/>
      <c r="AJ145" s="930"/>
      <c r="AK145" s="930"/>
      <c r="AL145" s="930"/>
      <c r="AM145" s="930"/>
      <c r="AN145" s="930"/>
      <c r="AO145" s="930"/>
      <c r="AP145" s="930"/>
      <c r="AQ145" s="930"/>
      <c r="AR145" s="930"/>
      <c r="AS145" s="930"/>
      <c r="AT145" s="930"/>
      <c r="AU145" s="930"/>
      <c r="AV145" s="930"/>
      <c r="AW145" s="930"/>
      <c r="AX145" s="930"/>
      <c r="AY145" s="930"/>
      <c r="AZ145" s="930"/>
      <c r="BA145" s="930"/>
      <c r="BB145" s="930"/>
      <c r="BC145" s="930"/>
      <c r="BD145" s="930"/>
      <c r="BE145" s="930"/>
      <c r="BF145" s="930"/>
      <c r="BG145" s="930"/>
      <c r="BH145" s="930"/>
      <c r="BI145" s="930"/>
      <c r="BJ145" s="930"/>
      <c r="BK145" s="930"/>
      <c r="BL145" s="930"/>
      <c r="BM145" s="930"/>
      <c r="BN145" s="930"/>
      <c r="BO145" s="930"/>
      <c r="BP145" s="930"/>
      <c r="BQ145" s="930"/>
      <c r="BR145" s="930"/>
      <c r="BS145" s="930"/>
      <c r="BT145" s="930"/>
      <c r="BU145" s="930"/>
      <c r="BV145" s="930"/>
      <c r="BW145" s="930"/>
      <c r="BX145" s="930"/>
      <c r="BY145" s="930"/>
      <c r="BZ145" s="930"/>
      <c r="CA145" s="930"/>
      <c r="CB145" s="930"/>
      <c r="CC145" s="930"/>
      <c r="CD145" s="930"/>
      <c r="CE145" s="930"/>
      <c r="CF145" s="930"/>
      <c r="CG145" s="930"/>
      <c r="CH145" s="930"/>
      <c r="CI145" s="930"/>
      <c r="CJ145" s="930"/>
      <c r="CK145" s="930"/>
      <c r="CL145" s="930"/>
      <c r="CM145" s="930"/>
      <c r="CN145" s="930"/>
      <c r="CO145" s="930"/>
      <c r="CP145" s="930"/>
      <c r="CQ145" s="930"/>
      <c r="CR145" s="930"/>
      <c r="CS145" s="930"/>
      <c r="CT145" s="930"/>
      <c r="CU145" s="930"/>
      <c r="CV145" s="930"/>
      <c r="CW145" s="930"/>
      <c r="CX145" s="930"/>
      <c r="CY145" s="930"/>
      <c r="CZ145" s="930"/>
      <c r="DA145" s="930"/>
      <c r="DB145" s="930"/>
      <c r="DC145" s="930"/>
      <c r="DD145" s="930"/>
      <c r="DE145" s="930"/>
      <c r="DF145" s="930"/>
      <c r="DG145" s="930"/>
      <c r="DH145" s="930"/>
      <c r="DI145" s="930"/>
      <c r="DJ145" s="930"/>
    </row>
    <row r="146" spans="1:114" outlineLevel="1">
      <c r="B146" s="928" t="s">
        <v>94</v>
      </c>
    </row>
    <row r="147" spans="1:114" outlineLevel="1"/>
    <row r="148" spans="1:114" ht="15" outlineLevel="1">
      <c r="B148" s="943" t="s">
        <v>95</v>
      </c>
      <c r="H148" s="935" t="e" cm="1">
        <f t="array" aca="1" ref="H148" ca="1">IF(ABS(INDEX($J155:$Q155,_xlfn.XMATCH(YEAR(Input!$A$4),$J$2:$Q$2))-(Report!$H$171))&gt;Tolerance,1,0)</f>
        <v>#NAME?</v>
      </c>
    </row>
    <row r="149" spans="1:114" outlineLevel="1">
      <c r="B149" s="925" t="s">
        <v>96</v>
      </c>
      <c r="H149" s="933" t="s">
        <v>26</v>
      </c>
      <c r="J149" s="1019" cm="1">
        <f t="array" ref="J149">IF(J$2=YEAR(Input!$A$4),INDEX(Report!$H$160:$H$171,_xlfn.XMATCH($B149,Report!$A$160:$A$171)),0)</f>
        <v>0</v>
      </c>
      <c r="K149" s="1019" cm="1">
        <f t="array" ref="K149">IF(K$2=YEAR(Input!$A$4),INDEX(Report!$H$168:$H$178,_xlfn.XMATCH($B149,Report!$A$168:$A$178)),0)</f>
        <v>0</v>
      </c>
      <c r="L149" s="1019" cm="1">
        <f t="array" ref="L149">IF(L$2=YEAR(Input!$A$4),INDEX(Report!$H$160:$H$171,_xlfn.XMATCH($B149,Report!$A$160:$A$171)),0)</f>
        <v>0</v>
      </c>
      <c r="M149" s="1019" cm="1">
        <f t="array" ref="M149">IF(M$2=YEAR(Input!$A$4),INDEX(Report!$H$160:$H$171,_xlfn.XMATCH($B149,Report!$A$160:$A$171)),0)</f>
        <v>0</v>
      </c>
      <c r="N149" s="1019" t="e" cm="1">
        <f t="array" ref="N149">IF(N$2=YEAR(Input!$A$4),INDEX(Report!$H$168:$H$178,_xlfn.XMATCH($B149,Report!$A$168:$A$178)),0)</f>
        <v>#N/A</v>
      </c>
      <c r="O149" s="1019" cm="1">
        <f t="array" ref="O149">IF(O$2=YEAR(Input!$A$4),INDEX(Report!$H$168:$H$178,_xlfn.XMATCH($B149,Report!$A$168:$A$178)),0)</f>
        <v>0</v>
      </c>
      <c r="P149" s="1019" cm="1">
        <f t="array" ref="P149">IF(P$2=YEAR(Input!$A$4),INDEX(Report!$H$168:$H$178,_xlfn.XMATCH($B149,Report!$A$168:$A$178)),0)</f>
        <v>0</v>
      </c>
      <c r="Q149" s="1019" cm="1">
        <f t="array" ref="Q149">IF(Q$2=YEAR(Input!$A$4),INDEX(Report!$H$168:$H$178,_xlfn.XMATCH($B149,Report!$A$168:$A$178)),0)</f>
        <v>0</v>
      </c>
    </row>
    <row r="150" spans="1:114" outlineLevel="1">
      <c r="B150" s="925" t="s">
        <v>97</v>
      </c>
      <c r="H150" s="933" t="s">
        <v>26</v>
      </c>
      <c r="J150" s="1019" cm="1">
        <f t="array" ref="J150">IF(J$2=YEAR(Input!$A$4),INDEX(Report!$H$160:$H$171,_xlfn.XMATCH($B150,Report!$A$160:$A$171)),0)</f>
        <v>0</v>
      </c>
      <c r="K150" s="1019" cm="1">
        <f t="array" ref="K150">IF(K$2=YEAR(Input!$A$4),INDEX(Report!$H$168:$H$178,_xlfn.XMATCH($B150,Report!$A$168:$A$178)),0)</f>
        <v>0</v>
      </c>
      <c r="L150" s="1019" cm="1">
        <f t="array" ref="L150">IF(L$2=YEAR(Input!$A$4),INDEX(Report!$H$160:$H$171,_xlfn.XMATCH($B150,Report!$A$160:$A$171)),0)</f>
        <v>0</v>
      </c>
      <c r="M150" s="1019" cm="1">
        <f t="array" ref="M150">IF(M$2=YEAR(Input!$A$4),INDEX(Report!$H$160:$H$171,_xlfn.XMATCH($B150,Report!$A$160:$A$171)),0)</f>
        <v>0</v>
      </c>
      <c r="N150" s="1019" t="e" cm="1">
        <f t="array" ref="N150">IF(N$2=YEAR(Input!$A$4),INDEX(Report!$H$168:$H$178,_xlfn.XMATCH($B150,Report!$A$168:$A$178)),0)</f>
        <v>#N/A</v>
      </c>
      <c r="O150" s="1019" cm="1">
        <f t="array" ref="O150">IF(O$2=YEAR(Input!$A$4),INDEX(Report!$H$168:$H$178,_xlfn.XMATCH($B150,Report!$A$168:$A$178)),0)</f>
        <v>0</v>
      </c>
      <c r="P150" s="1019" cm="1">
        <f t="array" ref="P150">IF(P$2=YEAR(Input!$A$4),INDEX(Report!$H$168:$H$178,_xlfn.XMATCH($B150,Report!$A$168:$A$178)),0)</f>
        <v>0</v>
      </c>
      <c r="Q150" s="1019" cm="1">
        <f t="array" ref="Q150">IF(Q$2=YEAR(Input!$A$4),INDEX(Report!$H$168:$H$178,_xlfn.XMATCH($B150,Report!$A$168:$A$178)),0)</f>
        <v>0</v>
      </c>
    </row>
    <row r="151" spans="1:114" outlineLevel="1">
      <c r="B151" s="925" t="s">
        <v>98</v>
      </c>
      <c r="H151" s="933" t="s">
        <v>26</v>
      </c>
      <c r="J151" s="1019" cm="1">
        <f t="array" ref="J151">IF(J$2=YEAR(Input!$A$4),INDEX(Report!$H$160:$H$171,_xlfn.XMATCH($B151,Report!$A$160:$A$171)),0)</f>
        <v>0</v>
      </c>
      <c r="K151" s="1019" cm="1">
        <f t="array" ref="K151">IF(K$2=YEAR(Input!$A$4),INDEX(Report!$H$168:$H$178,_xlfn.XMATCH($B151,Report!$A$168:$A$178)),0)</f>
        <v>0</v>
      </c>
      <c r="L151" s="1019" cm="1">
        <f t="array" ref="L151">IF(L$2=YEAR(Input!$A$4),INDEX(Report!$H$160:$H$171,_xlfn.XMATCH($B151,Report!$A$160:$A$171)),0)</f>
        <v>0</v>
      </c>
      <c r="M151" s="1019" cm="1">
        <f t="array" ref="M151">IF(M$2=YEAR(Input!$A$4),INDEX(Report!$H$160:$H$171,_xlfn.XMATCH($B151,Report!$A$160:$A$171)),0)</f>
        <v>0</v>
      </c>
      <c r="N151" s="1019" t="e" cm="1">
        <f t="array" ref="N151">IF(N$2=YEAR(Input!$A$4),INDEX(Report!$H$168:$H$178,_xlfn.XMATCH($B151,Report!$A$168:$A$178)),0)</f>
        <v>#N/A</v>
      </c>
      <c r="O151" s="1019" cm="1">
        <f t="array" ref="O151">IF(O$2=YEAR(Input!$A$4),INDEX(Report!$H$168:$H$178,_xlfn.XMATCH($B151,Report!$A$168:$A$178)),0)</f>
        <v>0</v>
      </c>
      <c r="P151" s="1019" cm="1">
        <f t="array" ref="P151">IF(P$2=YEAR(Input!$A$4),INDEX(Report!$H$168:$H$178,_xlfn.XMATCH($B151,Report!$A$168:$A$178)),0)</f>
        <v>0</v>
      </c>
      <c r="Q151" s="1019" cm="1">
        <f t="array" ref="Q151">IF(Q$2=YEAR(Input!$A$4),INDEX(Report!$H$168:$H$178,_xlfn.XMATCH($B151,Report!$A$168:$A$178)),0)</f>
        <v>0</v>
      </c>
    </row>
    <row r="152" spans="1:114" outlineLevel="1">
      <c r="B152" s="925" t="s">
        <v>99</v>
      </c>
      <c r="H152" s="933" t="s">
        <v>26</v>
      </c>
      <c r="J152" s="1019" cm="1">
        <f t="array" ref="J152">IF(J$2=YEAR(Input!$A$4),INDEX(Report!$H$160:$H$171,_xlfn.XMATCH($B152,Report!$A$160:$A$171)),0)</f>
        <v>0</v>
      </c>
      <c r="K152" s="1019" cm="1">
        <f t="array" ref="K152">IF(K$2=YEAR(Input!$A$4),INDEX(Report!$H$168:$H$178,_xlfn.XMATCH($B152,Report!$A$168:$A$178)),0)</f>
        <v>0</v>
      </c>
      <c r="L152" s="1019" cm="1">
        <f t="array" ref="L152">IF(L$2=YEAR(Input!$A$4),INDEX(Report!$H$160:$H$171,_xlfn.XMATCH($B152,Report!$A$160:$A$171)),0)</f>
        <v>0</v>
      </c>
      <c r="M152" s="1019" cm="1">
        <f t="array" ref="M152">IF(M$2=YEAR(Input!$A$4),INDEX(Report!$H$160:$H$171,_xlfn.XMATCH($B152,Report!$A$160:$A$171)),0)</f>
        <v>0</v>
      </c>
      <c r="N152" s="1019" t="e" cm="1">
        <f t="array" ref="N152">IF(N$2=YEAR(Input!$A$4),INDEX(Report!$H$168:$H$178,_xlfn.XMATCH($B152,Report!$A$168:$A$178)),0)</f>
        <v>#N/A</v>
      </c>
      <c r="O152" s="1019" cm="1">
        <f t="array" ref="O152">IF(O$2=YEAR(Input!$A$4),INDEX(Report!$H$168:$H$178,_xlfn.XMATCH($B152,Report!$A$168:$A$178)),0)</f>
        <v>0</v>
      </c>
      <c r="P152" s="1019" cm="1">
        <f t="array" ref="P152">IF(P$2=YEAR(Input!$A$4),INDEX(Report!$H$168:$H$178,_xlfn.XMATCH($B152,Report!$A$168:$A$178)),0)</f>
        <v>0</v>
      </c>
      <c r="Q152" s="1019" cm="1">
        <f t="array" ref="Q152">IF(Q$2=YEAR(Input!$A$4),INDEX(Report!$H$168:$H$178,_xlfn.XMATCH($B152,Report!$A$168:$A$178)),0)</f>
        <v>0</v>
      </c>
    </row>
    <row r="153" spans="1:114" outlineLevel="1">
      <c r="B153" s="925" t="s">
        <v>100</v>
      </c>
      <c r="H153" s="933" t="s">
        <v>26</v>
      </c>
      <c r="J153" s="1019" cm="1">
        <f t="array" ref="J153">IFERROR(IF(J$2=YEAR(Input!$A$4),INDEX(Report!$H$160:$H$171,_xlfn.XMATCH($B153,Report!$A$160:$A$171)),0),0)</f>
        <v>0</v>
      </c>
      <c r="K153" s="1019" cm="1">
        <f t="array" ref="K153">IF(K$2=YEAR(Input!$A$4),INDEX(Report!$H$168:$H$178,_xlfn.XMATCH($B153,Report!$A$168:$A$178)),0)</f>
        <v>0</v>
      </c>
      <c r="L153" s="1019" cm="1">
        <f t="array" ref="L153">IFERROR(IF(L$2=YEAR(Input!$A$4),INDEX(Report!$H$160:$H$171,_xlfn.XMATCH($B153,Report!$A$160:$A$171)),0),0)</f>
        <v>0</v>
      </c>
      <c r="M153" s="1019" cm="1">
        <f t="array" ref="M153">IF(M$2=YEAR(Input!$A$4),INDEX(Report!$H$160:$H$171,_xlfn.XMATCH($B153,Report!$A$160:$A$171)),0)</f>
        <v>0</v>
      </c>
      <c r="N153" s="1019" cm="1">
        <f t="array" aca="1" ref="N153" ca="1">IFERROR(IF(N$2=YEAR(Input!$A$4),INDEX(Report!$H$160:$H$171,_xlfn.XMATCH($B153,Report!$A$160:$A$171)),0),0)</f>
        <v>0</v>
      </c>
      <c r="O153" s="1019" cm="1">
        <f t="array" ref="O153">IFERROR(IF(O$2=YEAR(Input!$A$4),INDEX(Report!$H$160:$H$171,_xlfn.XMATCH($B153,Report!$A$160:$A$171)),0),0)</f>
        <v>0</v>
      </c>
      <c r="P153" s="1019" cm="1">
        <f t="array" ref="P153">IFERROR(IF(P$2=YEAR(Input!$A$4),INDEX(Report!$H$160:$H$171,_xlfn.XMATCH($B153,Report!$A$160:$A$171)),0),0)</f>
        <v>0</v>
      </c>
      <c r="Q153" s="1019" cm="1">
        <f t="array" ref="Q153">IFERROR(IF(Q$2=YEAR(Input!$A$4),INDEX(Report!$H$160:$H$171,_xlfn.XMATCH($B153,Report!$A$160:$A$171)),0),0)</f>
        <v>0</v>
      </c>
    </row>
    <row r="154" spans="1:114" outlineLevel="1">
      <c r="B154" s="925" t="s">
        <v>101</v>
      </c>
      <c r="H154" s="933" t="s">
        <v>26</v>
      </c>
      <c r="J154" s="944"/>
      <c r="K154" s="944"/>
      <c r="L154" s="944"/>
      <c r="M154" s="944"/>
      <c r="N154" s="944"/>
      <c r="O154" s="944"/>
      <c r="P154" s="944"/>
      <c r="Q154" s="944"/>
    </row>
    <row r="155" spans="1:114" outlineLevel="1">
      <c r="B155" s="945" t="s">
        <v>102</v>
      </c>
      <c r="C155" s="934"/>
      <c r="H155" s="933" t="s">
        <v>26</v>
      </c>
      <c r="J155" s="1021">
        <f>SUM(J149:J154)</f>
        <v>0</v>
      </c>
      <c r="K155" s="1021">
        <f t="shared" ref="K155:Q155" si="58">SUM(K149:K154)</f>
        <v>0</v>
      </c>
      <c r="L155" s="1021">
        <f t="shared" si="58"/>
        <v>0</v>
      </c>
      <c r="M155" s="1021">
        <f t="shared" si="58"/>
        <v>0</v>
      </c>
      <c r="N155" s="1021" t="e">
        <f t="shared" si="58"/>
        <v>#N/A</v>
      </c>
      <c r="O155" s="1021">
        <f t="shared" si="58"/>
        <v>0</v>
      </c>
      <c r="P155" s="1021">
        <f t="shared" si="58"/>
        <v>0</v>
      </c>
      <c r="Q155" s="1021">
        <f t="shared" si="58"/>
        <v>0</v>
      </c>
    </row>
    <row r="156" spans="1:114" ht="15" outlineLevel="1">
      <c r="B156" s="946"/>
    </row>
    <row r="157" spans="1:114" outlineLevel="1">
      <c r="B157" s="924" t="s">
        <v>103</v>
      </c>
      <c r="H157" s="935" t="e" cm="1">
        <f t="array" aca="1" ref="H157" ca="1">IF(ABS(INDEX($J165:$Q165,_xlfn.XMATCH(YEAR(Input!$A$4),$J$2:$Q$2))-(SUM(Report!N168:N172)/dcHundred))&gt;Tolerance,1,0)</f>
        <v>#NAME?</v>
      </c>
    </row>
    <row r="158" spans="1:114" outlineLevel="1">
      <c r="B158" s="925" t="s">
        <v>104</v>
      </c>
      <c r="H158" s="933" t="s">
        <v>105</v>
      </c>
      <c r="J158" s="944"/>
      <c r="K158" s="944"/>
      <c r="L158" s="944"/>
      <c r="M158" s="944"/>
      <c r="N158" s="944"/>
      <c r="O158" s="944"/>
      <c r="P158" s="944"/>
      <c r="Q158" s="944"/>
    </row>
    <row r="159" spans="1:114" outlineLevel="1">
      <c r="B159" s="925" t="s">
        <v>106</v>
      </c>
      <c r="H159" s="933" t="s">
        <v>105</v>
      </c>
      <c r="J159" s="944"/>
      <c r="K159" s="944"/>
      <c r="L159" s="947"/>
      <c r="M159" s="944"/>
      <c r="N159" s="944"/>
      <c r="O159" s="944"/>
      <c r="P159" s="944"/>
      <c r="Q159" s="944"/>
    </row>
    <row r="160" spans="1:114" outlineLevel="1">
      <c r="B160" s="925" t="s">
        <v>107</v>
      </c>
      <c r="H160" s="933" t="s">
        <v>105</v>
      </c>
      <c r="J160" s="944"/>
      <c r="K160" s="944"/>
      <c r="L160" s="944"/>
      <c r="M160" s="944"/>
      <c r="N160" s="944"/>
      <c r="O160" s="944"/>
      <c r="P160" s="944"/>
      <c r="Q160" s="944"/>
    </row>
    <row r="161" spans="1:114" outlineLevel="1">
      <c r="B161" s="925" t="s">
        <v>108</v>
      </c>
      <c r="H161" s="933" t="s">
        <v>105</v>
      </c>
      <c r="J161" s="948">
        <f>IF(J$2=YEAR(Input!$A$4),Report!$R160,0)/dcHundred</f>
        <v>0</v>
      </c>
      <c r="K161" s="948">
        <f>IF(K$2=YEAR(Input!$A$4),Report!$R160,0)/dcHundred</f>
        <v>0</v>
      </c>
      <c r="L161" s="948">
        <f>IF(L$2=YEAR(Input!$A$4),Report!$R160,0)/dcHundred</f>
        <v>0</v>
      </c>
      <c r="M161" s="948">
        <f>IF(M$2=YEAR(Input!$A$4),Report!$R160,0)/dcHundred</f>
        <v>0</v>
      </c>
      <c r="N161" s="948">
        <f ca="1">IF(N$2=YEAR(Input!$A$4),Report!$R160,0)/dcHundred</f>
        <v>1.95E-2</v>
      </c>
      <c r="O161" s="948">
        <f>IF(O$2=YEAR(Input!$A$4),Report!$R160,0)/dcHundred</f>
        <v>0</v>
      </c>
      <c r="P161" s="948">
        <f>IF(P$2=YEAR(Input!$A$4),Report!$R160,0)/dcHundred</f>
        <v>0</v>
      </c>
      <c r="Q161" s="948">
        <f>IF(Q$2=YEAR(Input!$A$4),Report!$R160,0)/dcHundred</f>
        <v>0</v>
      </c>
    </row>
    <row r="162" spans="1:114" outlineLevel="1">
      <c r="B162" s="925" t="s">
        <v>109</v>
      </c>
      <c r="H162" s="933" t="s">
        <v>105</v>
      </c>
      <c r="J162" s="948">
        <f>IF(J$2=YEAR(Input!$A$4),Report!$R162,0)/dcHundred</f>
        <v>0</v>
      </c>
      <c r="K162" s="948">
        <f>IF(K$2=YEAR(Input!$A$4),Report!$R162,0)/dcHundred</f>
        <v>0</v>
      </c>
      <c r="L162" s="948">
        <f>IF(L$2=YEAR(Input!$A$4),Report!$R162,0)/dcHundred</f>
        <v>0</v>
      </c>
      <c r="M162" s="948">
        <f>IF(M$2=YEAR(Input!$A$4),Report!$R162,0)/dcHundred</f>
        <v>0</v>
      </c>
      <c r="N162" s="948">
        <f ca="1">IF(N$2=YEAR(Input!$A$4),Report!$R162,0)/dcHundred</f>
        <v>2E-3</v>
      </c>
      <c r="O162" s="948">
        <f>IF(O$2=YEAR(Input!$A$4),Report!$R162,0)/dcHundred</f>
        <v>0</v>
      </c>
      <c r="P162" s="948">
        <f>IF(P$2=YEAR(Input!$A$4),Report!$R162,0)/dcHundred</f>
        <v>0</v>
      </c>
      <c r="Q162" s="948">
        <f>IF(Q$2=YEAR(Input!$A$4),Report!$R162,0)/dcHundred</f>
        <v>0</v>
      </c>
    </row>
    <row r="163" spans="1:114" outlineLevel="1">
      <c r="B163" s="925" t="s">
        <v>110</v>
      </c>
      <c r="H163" s="933" t="s">
        <v>105</v>
      </c>
      <c r="J163" s="948">
        <f>IF(J$2=YEAR(Input!$A$4),Report!$R164,0)/dcHundred</f>
        <v>0</v>
      </c>
      <c r="K163" s="948">
        <f>IF(K$2=YEAR(Input!$A$4),Report!$R164,0)/dcHundred</f>
        <v>0</v>
      </c>
      <c r="L163" s="948">
        <f>IF(L$2=YEAR(Input!$A$4),Report!$R164,0)/dcHundred</f>
        <v>0</v>
      </c>
      <c r="M163" s="948">
        <f>IF(M$2=YEAR(Input!$A$4),Report!$R164,0)/dcHundred</f>
        <v>0</v>
      </c>
      <c r="N163" s="948">
        <f ca="1">IF(N$2=YEAR(Input!$A$4),Report!$R164,0)/dcHundred</f>
        <v>2.9999999999999997E-4</v>
      </c>
      <c r="O163" s="948">
        <f>IF(O$2=YEAR(Input!$A$4),Report!$R164,0)/dcHundred</f>
        <v>0</v>
      </c>
      <c r="P163" s="948">
        <f>IF(P$2=YEAR(Input!$A$4),Report!$R164,0)/dcHundred</f>
        <v>0</v>
      </c>
      <c r="Q163" s="948">
        <f>IF(Q$2=YEAR(Input!$A$4),Report!$R164,0)/dcHundred</f>
        <v>0</v>
      </c>
    </row>
    <row r="164" spans="1:114" outlineLevel="1">
      <c r="B164" s="925" t="s">
        <v>111</v>
      </c>
      <c r="H164" s="933" t="s">
        <v>105</v>
      </c>
      <c r="J164" s="949">
        <f>IF(J$2=YEAR(Input!$A$4),Report!$P170,0)/dcHundred</f>
        <v>0</v>
      </c>
      <c r="K164" s="949">
        <f>IF(K$2=YEAR(Input!$A$4),Report!$P170,0)/dcHundred</f>
        <v>0</v>
      </c>
      <c r="L164" s="949">
        <f>IF(L$2=YEAR(Input!$A$4),Report!$P170,0)/dcHundred</f>
        <v>0</v>
      </c>
      <c r="M164" s="949">
        <f>IF(M$2=YEAR(Input!$A$4),Report!$P170,0)/dcHundred</f>
        <v>0</v>
      </c>
      <c r="N164" s="949">
        <f ca="1">IF(N$2=YEAR(Input!$A$4),Report!$P170,0)/dcHundred</f>
        <v>8.4917044589858465E-2</v>
      </c>
      <c r="O164" s="949">
        <f>IF(O$2=YEAR(Input!$A$4),Report!$P170,0)/dcHundred</f>
        <v>0</v>
      </c>
      <c r="P164" s="949">
        <f>IF(P$2=YEAR(Input!$A$4),Report!$P170,0)/dcHundred</f>
        <v>0</v>
      </c>
      <c r="Q164" s="949">
        <f>IF(Q$2=YEAR(Input!$A$4),Report!$P170,0)/dcHundred</f>
        <v>0</v>
      </c>
    </row>
    <row r="165" spans="1:114" outlineLevel="1">
      <c r="B165" s="945" t="s">
        <v>102</v>
      </c>
      <c r="C165" s="934"/>
      <c r="H165" s="933" t="s">
        <v>105</v>
      </c>
      <c r="J165" s="1022">
        <f>SUM(J161:J164)</f>
        <v>0</v>
      </c>
      <c r="K165" s="1022">
        <f>SUM(K161:K164)</f>
        <v>0</v>
      </c>
      <c r="L165" s="1022">
        <f t="shared" ref="L165:Q165" si="59">SUM(L161:L164)</f>
        <v>0</v>
      </c>
      <c r="M165" s="1022">
        <f t="shared" si="59"/>
        <v>0</v>
      </c>
      <c r="N165" s="1022">
        <f t="shared" ca="1" si="59"/>
        <v>0.10671704458985846</v>
      </c>
      <c r="O165" s="1022">
        <f t="shared" si="59"/>
        <v>0</v>
      </c>
      <c r="P165" s="1022">
        <f t="shared" si="59"/>
        <v>0</v>
      </c>
      <c r="Q165" s="1022">
        <f t="shared" si="59"/>
        <v>0</v>
      </c>
    </row>
    <row r="167" spans="1:114" ht="14.25">
      <c r="A167" t="s">
        <v>15</v>
      </c>
      <c r="B167" s="930" t="s">
        <v>112</v>
      </c>
      <c r="C167" s="930"/>
      <c r="D167" s="930"/>
      <c r="E167" s="930"/>
      <c r="F167" s="930"/>
      <c r="G167" s="930"/>
      <c r="H167" s="930"/>
      <c r="I167" s="930"/>
      <c r="J167" s="930"/>
      <c r="K167" s="930"/>
      <c r="L167" s="930"/>
      <c r="M167" s="930"/>
      <c r="N167" s="930"/>
      <c r="O167" s="930"/>
      <c r="P167" s="930"/>
      <c r="Q167" s="930"/>
      <c r="R167" s="930"/>
      <c r="S167" s="930"/>
      <c r="T167" s="930"/>
      <c r="U167" s="930"/>
      <c r="V167" s="930"/>
      <c r="W167" s="930"/>
      <c r="X167" s="930"/>
      <c r="Y167" s="930"/>
      <c r="Z167" s="930"/>
      <c r="AA167" s="930"/>
      <c r="AB167" s="930"/>
      <c r="AC167" s="930"/>
      <c r="AD167" s="930"/>
      <c r="AE167" s="930"/>
      <c r="AF167" s="930"/>
      <c r="AG167" s="930"/>
      <c r="AH167" s="930"/>
      <c r="AI167" s="930"/>
      <c r="AJ167" s="930"/>
      <c r="AK167" s="930"/>
      <c r="AL167" s="930"/>
      <c r="AM167" s="930"/>
      <c r="AN167" s="930"/>
      <c r="AO167" s="930"/>
      <c r="AP167" s="930"/>
      <c r="AQ167" s="930"/>
      <c r="AR167" s="930"/>
      <c r="AS167" s="930"/>
      <c r="AT167" s="930"/>
      <c r="AU167" s="930"/>
      <c r="AV167" s="930"/>
      <c r="AW167" s="930"/>
      <c r="AX167" s="930"/>
      <c r="AY167" s="930"/>
      <c r="AZ167" s="930"/>
      <c r="BA167" s="930"/>
      <c r="BB167" s="930"/>
      <c r="BC167" s="930"/>
      <c r="BD167" s="930"/>
      <c r="BE167" s="930"/>
      <c r="BF167" s="930"/>
      <c r="BG167" s="930"/>
      <c r="BH167" s="930"/>
      <c r="BI167" s="930"/>
      <c r="BJ167" s="930"/>
      <c r="BK167" s="930"/>
      <c r="BL167" s="930"/>
      <c r="BM167" s="930"/>
      <c r="BN167" s="930"/>
      <c r="BO167" s="930"/>
      <c r="BP167" s="930"/>
      <c r="BQ167" s="930"/>
      <c r="BR167" s="930"/>
      <c r="BS167" s="930"/>
      <c r="BT167" s="930"/>
      <c r="BU167" s="930"/>
      <c r="BV167" s="930"/>
      <c r="BW167" s="930"/>
      <c r="BX167" s="930"/>
      <c r="BY167" s="930"/>
      <c r="BZ167" s="930"/>
      <c r="CA167" s="930"/>
      <c r="CB167" s="930"/>
      <c r="CC167" s="930"/>
      <c r="CD167" s="930"/>
      <c r="CE167" s="930"/>
      <c r="CF167" s="930"/>
      <c r="CG167" s="930"/>
      <c r="CH167" s="930"/>
      <c r="CI167" s="930"/>
      <c r="CJ167" s="930"/>
      <c r="CK167" s="930"/>
      <c r="CL167" s="930"/>
      <c r="CM167" s="930"/>
      <c r="CN167" s="930"/>
      <c r="CO167" s="930"/>
      <c r="CP167" s="930"/>
      <c r="CQ167" s="930"/>
      <c r="CR167" s="930"/>
      <c r="CS167" s="930"/>
      <c r="CT167" s="930"/>
      <c r="CU167" s="930"/>
      <c r="CV167" s="930"/>
      <c r="CW167" s="930"/>
      <c r="CX167" s="930"/>
      <c r="CY167" s="930"/>
      <c r="CZ167" s="930"/>
      <c r="DA167" s="930"/>
      <c r="DB167" s="930"/>
      <c r="DC167" s="930"/>
      <c r="DD167" s="930"/>
      <c r="DE167" s="930"/>
      <c r="DF167" s="930"/>
      <c r="DG167" s="930"/>
      <c r="DH167" s="930"/>
      <c r="DI167" s="930"/>
      <c r="DJ167" s="930"/>
    </row>
    <row r="168" spans="1:114" outlineLevel="1"/>
    <row r="169" spans="1:114" ht="15" outlineLevel="1">
      <c r="B169" s="943" t="s">
        <v>113</v>
      </c>
      <c r="H169" s="935" t="e" cm="1">
        <f t="array" aca="1" ref="H169" ca="1">IF(ABS(INDEX($J177:$Q177,_xlfn.XMATCH(YEAR(Input!$A$4),$J$2:$Q$2))-(Report!$H$171))&gt;Tolerance,1,0)</f>
        <v>#NAME?</v>
      </c>
    </row>
    <row r="170" spans="1:114" outlineLevel="1">
      <c r="B170" s="925" t="s">
        <v>114</v>
      </c>
      <c r="H170" s="933" t="s">
        <v>26</v>
      </c>
      <c r="J170" s="1019">
        <f>IF(J$2=_xlfn.NUMBERVALUE(LEFT(Report!$A$3,4)),Report!$T$79,0)</f>
        <v>0</v>
      </c>
      <c r="K170" s="1019">
        <f>IF(K$2=_xlfn.NUMBERVALUE(LEFT(Report!$A$3,4)),Report!$T$79,0)</f>
        <v>0</v>
      </c>
      <c r="L170" s="1019">
        <f>IF(L$2=_xlfn.NUMBERVALUE(LEFT(Report!$A$3,4)),Report!$T$79,0)</f>
        <v>0</v>
      </c>
      <c r="M170" s="1019">
        <f>IF(M$2=_xlfn.NUMBERVALUE(LEFT(Report!$A$3,4)),Report!$T$79,0)</f>
        <v>0</v>
      </c>
      <c r="N170" s="1019">
        <f ca="1">IF(N$2=_xlfn.NUMBERVALUE(LEFT(Report!$A$3,4)),Report!$T$79,0)</f>
        <v>2366788.0191770494</v>
      </c>
      <c r="O170" s="1019">
        <f>IF(O$2=_xlfn.NUMBERVALUE(LEFT(Report!$A$3,4)),Report!$T$79,0)</f>
        <v>0</v>
      </c>
      <c r="P170" s="1019">
        <f>IF(P$2=_xlfn.NUMBERVALUE(LEFT(Report!$A$3,4)),Report!$T$79,0)</f>
        <v>0</v>
      </c>
      <c r="Q170" s="1019">
        <f>IF(Q$2=_xlfn.NUMBERVALUE(LEFT(Report!$A$3,4)),Report!$T$79,0)</f>
        <v>0</v>
      </c>
    </row>
    <row r="171" spans="1:114" outlineLevel="1">
      <c r="B171" s="925" t="s">
        <v>96</v>
      </c>
      <c r="H171" s="933" t="s">
        <v>26</v>
      </c>
      <c r="J171" s="1019" cm="1">
        <f t="array" ref="J171">IF(J$2=_xlfn.NUMBERVALUE(LEFT(Report!$A$3,4)),INDEX(Report!$H$160:$H$175,_xlfn.XMATCH($B171,Report!$A$160:$A$175)),0)</f>
        <v>0</v>
      </c>
      <c r="K171" s="1019" cm="1">
        <f t="array" ref="K171">IF(K$2=_xlfn.NUMBERVALUE(LEFT(Report!$A$3,4)),INDEX(Report!$H$160:$H$175,_xlfn.XMATCH($B171,Report!$A$160:$A$175)),0)</f>
        <v>0</v>
      </c>
      <c r="L171" s="1019" cm="1">
        <f t="array" ref="L171">IF(L$2=_xlfn.NUMBERVALUE(LEFT(Report!$A$3,4)),INDEX(Report!$H$160:$H$175,_xlfn.XMATCH($B171,Report!$A$160:$A$175)),0)</f>
        <v>0</v>
      </c>
      <c r="M171" s="1019" cm="1">
        <f t="array" ref="M171">IF(M$2=_xlfn.NUMBERVALUE(LEFT(Report!$A$3,4)),INDEX(Report!$H$160:$H$175,_xlfn.XMATCH($B171,Report!$A$160:$A$175)),0)</f>
        <v>0</v>
      </c>
      <c r="N171" s="1019" t="e" cm="1">
        <f t="array" aca="1" ref="N171" ca="1">IF(N$2=_xlfn.NUMBERVALUE(LEFT(Report!$A$3,4)),INDEX(Report!$H$160:$H$175,_xlfn.XMATCH($B171,Report!$A$160:$A$175)),0)</f>
        <v>#NAME?</v>
      </c>
      <c r="O171" s="1019" cm="1">
        <f t="array" ref="O171">IF(O$2=_xlfn.NUMBERVALUE(LEFT(Report!$A$3,4)),INDEX(Report!$H$160:$H$175,_xlfn.XMATCH($B171,Report!$A$160:$A$175)),0)</f>
        <v>0</v>
      </c>
      <c r="P171" s="1019" cm="1">
        <f t="array" ref="P171">IF(P$2=_xlfn.NUMBERVALUE(LEFT(Report!$A$3,4)),INDEX(Report!$H$160:$H$175,_xlfn.XMATCH($B171,Report!$A$160:$A$175)),0)</f>
        <v>0</v>
      </c>
      <c r="Q171" s="1019" cm="1">
        <f t="array" ref="Q171">IF(Q$2=_xlfn.NUMBERVALUE(LEFT(Report!$A$3,4)),INDEX(Report!$H$160:$H$175,_xlfn.XMATCH($B171,Report!$A$160:$A$175)),0)</f>
        <v>0</v>
      </c>
    </row>
    <row r="172" spans="1:114" outlineLevel="1">
      <c r="B172" s="925" t="s">
        <v>97</v>
      </c>
      <c r="H172" s="933" t="s">
        <v>26</v>
      </c>
      <c r="J172" s="1019" cm="1">
        <f t="array" ref="J172">IF(J$2=_xlfn.NUMBERVALUE(LEFT(Report!$A$3,4)),INDEX(Report!$H$160:$H$175,_xlfn.XMATCH($B172,Report!$A$160:$A$175)),0)</f>
        <v>0</v>
      </c>
      <c r="K172" s="1019" cm="1">
        <f t="array" ref="K172">IF(K$2=_xlfn.NUMBERVALUE(LEFT(Report!$A$3,4)),INDEX(Report!$H$160:$H$175,_xlfn.XMATCH($B172,Report!$A$160:$A$175)),0)</f>
        <v>0</v>
      </c>
      <c r="L172" s="1019" cm="1">
        <f t="array" ref="L172">IF(L$2=_xlfn.NUMBERVALUE(LEFT(Report!$A$3,4)),INDEX(Report!$H$160:$H$175,_xlfn.XMATCH($B172,Report!$A$160:$A$175)),0)</f>
        <v>0</v>
      </c>
      <c r="M172" s="1019" cm="1">
        <f t="array" ref="M172">IF(M$2=_xlfn.NUMBERVALUE(LEFT(Report!$A$3,4)),INDEX(Report!$H$160:$H$175,_xlfn.XMATCH($B172,Report!$A$160:$A$175)),0)</f>
        <v>0</v>
      </c>
      <c r="N172" s="1019" t="e" cm="1">
        <f t="array" aca="1" ref="N172" ca="1">IF(N$2=_xlfn.NUMBERVALUE(LEFT(Report!$A$3,4)),INDEX(Report!$H$160:$H$175,_xlfn.XMATCH($B172,Report!$A$160:$A$175)),0)</f>
        <v>#NAME?</v>
      </c>
      <c r="O172" s="1019" cm="1">
        <f t="array" ref="O172">IF(O$2=_xlfn.NUMBERVALUE(LEFT(Report!$A$3,4)),INDEX(Report!$H$160:$H$175,_xlfn.XMATCH($B172,Report!$A$160:$A$175)),0)</f>
        <v>0</v>
      </c>
      <c r="P172" s="1019" cm="1">
        <f t="array" ref="P172">IF(P$2=_xlfn.NUMBERVALUE(LEFT(Report!$A$3,4)),INDEX(Report!$H$160:$H$175,_xlfn.XMATCH($B172,Report!$A$160:$A$175)),0)</f>
        <v>0</v>
      </c>
      <c r="Q172" s="1019" cm="1">
        <f t="array" ref="Q172">IF(Q$2=_xlfn.NUMBERVALUE(LEFT(Report!$A$3,4)),INDEX(Report!$H$160:$H$175,_xlfn.XMATCH($B172,Report!$A$160:$A$175)),0)</f>
        <v>0</v>
      </c>
    </row>
    <row r="173" spans="1:114" outlineLevel="1">
      <c r="B173" s="925" t="s">
        <v>98</v>
      </c>
      <c r="H173" s="933" t="s">
        <v>26</v>
      </c>
      <c r="J173" s="1019" cm="1">
        <f t="array" ref="J173">IF(J$2=_xlfn.NUMBERVALUE(LEFT(Report!$A$3,4)),INDEX(Report!$H$160:$H$175,_xlfn.XMATCH($B173,Report!$A$160:$A$175)),0)</f>
        <v>0</v>
      </c>
      <c r="K173" s="1019" cm="1">
        <f t="array" ref="K173">IF(K$2=_xlfn.NUMBERVALUE(LEFT(Report!$A$3,4)),INDEX(Report!$H$160:$H$175,_xlfn.XMATCH($B173,Report!$A$160:$A$175)),0)</f>
        <v>0</v>
      </c>
      <c r="L173" s="1019" cm="1">
        <f t="array" ref="L173">IF(L$2=_xlfn.NUMBERVALUE(LEFT(Report!$A$3,4)),INDEX(Report!$H$160:$H$175,_xlfn.XMATCH($B173,Report!$A$160:$A$175)),0)</f>
        <v>0</v>
      </c>
      <c r="M173" s="1019" cm="1">
        <f t="array" ref="M173">IF(M$2=_xlfn.NUMBERVALUE(LEFT(Report!$A$3,4)),INDEX(Report!$H$160:$H$175,_xlfn.XMATCH($B173,Report!$A$160:$A$175)),0)</f>
        <v>0</v>
      </c>
      <c r="N173" s="1019" t="e" cm="1">
        <f t="array" aca="1" ref="N173" ca="1">IF(N$2=_xlfn.NUMBERVALUE(LEFT(Report!$A$3,4)),INDEX(Report!$H$160:$H$175,_xlfn.XMATCH($B173,Report!$A$160:$A$175)),0)</f>
        <v>#NAME?</v>
      </c>
      <c r="O173" s="1019" cm="1">
        <f t="array" ref="O173">IF(O$2=_xlfn.NUMBERVALUE(LEFT(Report!$A$3,4)),INDEX(Report!$H$160:$H$175,_xlfn.XMATCH($B173,Report!$A$160:$A$175)),0)</f>
        <v>0</v>
      </c>
      <c r="P173" s="1019" cm="1">
        <f t="array" ref="P173">IF(P$2=_xlfn.NUMBERVALUE(LEFT(Report!$A$3,4)),INDEX(Report!$H$160:$H$175,_xlfn.XMATCH($B173,Report!$A$160:$A$175)),0)</f>
        <v>0</v>
      </c>
      <c r="Q173" s="1019" cm="1">
        <f t="array" ref="Q173">IF(Q$2=_xlfn.NUMBERVALUE(LEFT(Report!$A$3,4)),INDEX(Report!$H$160:$H$175,_xlfn.XMATCH($B173,Report!$A$160:$A$175)),0)</f>
        <v>0</v>
      </c>
    </row>
    <row r="174" spans="1:114" outlineLevel="1">
      <c r="B174" s="925" t="s">
        <v>99</v>
      </c>
      <c r="H174" s="933" t="s">
        <v>26</v>
      </c>
      <c r="J174" s="1019" cm="1">
        <f t="array" ref="J174">IF(J$2=_xlfn.NUMBERVALUE(LEFT(Report!$A$3,4)),INDEX(Report!$H$160:$H$175,_xlfn.XMATCH($B174,Report!$A$160:$A$175)),0)</f>
        <v>0</v>
      </c>
      <c r="K174" s="1019" cm="1">
        <f t="array" ref="K174">IF(K$2=_xlfn.NUMBERVALUE(LEFT(Report!$A$3,4)),INDEX(Report!$H$160:$H$175,_xlfn.XMATCH($B174,Report!$A$160:$A$175)),0)</f>
        <v>0</v>
      </c>
      <c r="L174" s="1019" cm="1">
        <f t="array" ref="L174">IF(L$2=_xlfn.NUMBERVALUE(LEFT(Report!$A$3,4)),INDEX(Report!$H$160:$H$175,_xlfn.XMATCH($B174,Report!$A$160:$A$175)),0)</f>
        <v>0</v>
      </c>
      <c r="M174" s="1019" cm="1">
        <f t="array" ref="M174">IF(M$2=_xlfn.NUMBERVALUE(LEFT(Report!$A$3,4)),INDEX(Report!$H$160:$H$175,_xlfn.XMATCH($B174,Report!$A$160:$A$175)),0)</f>
        <v>0</v>
      </c>
      <c r="N174" s="1019" t="e" cm="1">
        <f t="array" aca="1" ref="N174" ca="1">IF(N$2=_xlfn.NUMBERVALUE(LEFT(Report!$A$3,4)),INDEX(Report!$H$160:$H$175,_xlfn.XMATCH($B174,Report!$A$160:$A$175)),0)</f>
        <v>#NAME?</v>
      </c>
      <c r="O174" s="1019" cm="1">
        <f t="array" ref="O174">IF(O$2=_xlfn.NUMBERVALUE(LEFT(Report!$A$3,4)),INDEX(Report!$H$160:$H$175,_xlfn.XMATCH($B174,Report!$A$160:$A$175)),0)</f>
        <v>0</v>
      </c>
      <c r="P174" s="1019" cm="1">
        <f t="array" ref="P174">IF(P$2=_xlfn.NUMBERVALUE(LEFT(Report!$A$3,4)),INDEX(Report!$H$160:$H$175,_xlfn.XMATCH($B174,Report!$A$160:$A$175)),0)</f>
        <v>0</v>
      </c>
      <c r="Q174" s="1019" cm="1">
        <f t="array" ref="Q174">IF(Q$2=_xlfn.NUMBERVALUE(LEFT(Report!$A$3,4)),INDEX(Report!$H$160:$H$175,_xlfn.XMATCH($B174,Report!$A$160:$A$175)),0)</f>
        <v>0</v>
      </c>
    </row>
    <row r="175" spans="1:114" outlineLevel="1">
      <c r="B175" s="925" t="s">
        <v>100</v>
      </c>
      <c r="H175" s="933" t="s">
        <v>26</v>
      </c>
      <c r="J175" s="1019" cm="1">
        <f t="array" ref="J175">IF(J$2=_xlfn.NUMBERVALUE(LEFT(Report!$A$3,4)),INDEX(Report!$H$160:$H$175,_xlfn.XMATCH($B175,Report!$A$160:$A$175)),0)</f>
        <v>0</v>
      </c>
      <c r="K175" s="1019" cm="1">
        <f t="array" ref="K175">IF(K$2=_xlfn.NUMBERVALUE(LEFT(Report!$A$3,4)),INDEX(Report!$H$160:$H$175,_xlfn.XMATCH($B175,Report!$A$160:$A$175)),0)</f>
        <v>0</v>
      </c>
      <c r="L175" s="1019" cm="1">
        <f t="array" ref="L175">IF(L$2=_xlfn.NUMBERVALUE(LEFT(Report!$A$3,4)),INDEX(Report!$H$160:$H$175,_xlfn.XMATCH($B175,Report!$A$160:$A$175)),0)</f>
        <v>0</v>
      </c>
      <c r="M175" s="1019" cm="1">
        <f t="array" ref="M175">IF(M$2=_xlfn.NUMBERVALUE(LEFT(Report!$A$3,4)),INDEX(Report!$H$160:$H$175,_xlfn.XMATCH($B175,Report!$A$160:$A$175)),0)</f>
        <v>0</v>
      </c>
      <c r="N175" s="1019" t="e" cm="1">
        <f t="array" aca="1" ref="N175" ca="1">IF(N$2=_xlfn.NUMBERVALUE(LEFT(Report!$A$3,4)),INDEX(Report!$H$160:$H$175,_xlfn.XMATCH($B175,Report!$A$160:$A$175)),0)</f>
        <v>#NAME?</v>
      </c>
      <c r="O175" s="1019" cm="1">
        <f t="array" ref="O175">IF(O$2=_xlfn.NUMBERVALUE(LEFT(Report!$A$3,4)),INDEX(Report!$H$160:$H$175,_xlfn.XMATCH($B175,Report!$A$160:$A$175)),0)</f>
        <v>0</v>
      </c>
      <c r="P175" s="1019" cm="1">
        <f t="array" ref="P175">IF(P$2=_xlfn.NUMBERVALUE(LEFT(Report!$A$3,4)),INDEX(Report!$H$160:$H$175,_xlfn.XMATCH($B175,Report!$A$160:$A$175)),0)</f>
        <v>0</v>
      </c>
      <c r="Q175" s="1019" cm="1">
        <f t="array" ref="Q175">IF(Q$2=_xlfn.NUMBERVALUE(LEFT(Report!$A$3,4)),INDEX(Report!$H$160:$H$175,_xlfn.XMATCH($B175,Report!$A$160:$A$175)),0)</f>
        <v>0</v>
      </c>
    </row>
    <row r="176" spans="1:114" outlineLevel="1">
      <c r="B176" s="925" t="s">
        <v>115</v>
      </c>
      <c r="H176" s="933" t="s">
        <v>26</v>
      </c>
      <c r="J176" s="1019" cm="1">
        <f t="array" ref="J176">IF(J$2=_xlfn.NUMBERVALUE(LEFT(Report!$A$3,4)),INDEX(Report!$H$160:$H$175,_xlfn.XMATCH($B176,Report!$A$160:$A$175)),0)</f>
        <v>0</v>
      </c>
      <c r="K176" s="1019" cm="1">
        <f t="array" ref="K176">IF(K$2=_xlfn.NUMBERVALUE(LEFT(Report!$A$3,4)),INDEX(Report!$H$160:$H$175,_xlfn.XMATCH($B176,Report!$A$160:$A$175)),0)</f>
        <v>0</v>
      </c>
      <c r="L176" s="1019" cm="1">
        <f t="array" ref="L176">IF(L$2=_xlfn.NUMBERVALUE(LEFT(Report!$A$3,4)),INDEX(Report!$H$160:$H$175,_xlfn.XMATCH($B176,Report!$A$160:$A$175)),0)</f>
        <v>0</v>
      </c>
      <c r="M176" s="1019" cm="1">
        <f t="array" ref="M176">IF(M$2=_xlfn.NUMBERVALUE(LEFT(Report!$A$3,4)),INDEX(Report!$H$160:$H$175,_xlfn.XMATCH($B176,Report!$A$160:$A$175)),0)</f>
        <v>0</v>
      </c>
      <c r="N176" s="1019" t="e" cm="1">
        <f t="array" aca="1" ref="N176" ca="1">IF(N$2=_xlfn.NUMBERVALUE(LEFT(Report!$A$3,4)),INDEX(Report!$H$160:$H$175,_xlfn.XMATCH($B176,Report!$A$160:$A$175)),0)</f>
        <v>#NAME?</v>
      </c>
      <c r="O176" s="1019" cm="1">
        <f t="array" ref="O176">IF(O$2=_xlfn.NUMBERVALUE(LEFT(Report!$A$3,4)),INDEX(Report!$H$160:$H$175,_xlfn.XMATCH($B176,Report!$A$160:$A$175)),0)</f>
        <v>0</v>
      </c>
      <c r="P176" s="1019" cm="1">
        <f t="array" ref="P176">IF(P$2=_xlfn.NUMBERVALUE(LEFT(Report!$A$3,4)),INDEX(Report!$H$160:$H$175,_xlfn.XMATCH($B176,Report!$A$160:$A$175)),0)</f>
        <v>0</v>
      </c>
      <c r="Q176" s="1019" cm="1">
        <f t="array" ref="Q176">IF(Q$2=_xlfn.NUMBERVALUE(LEFT(Report!$A$3,4)),INDEX(Report!$H$160:$H$175,_xlfn.XMATCH($B176,Report!$A$160:$A$175)),0)</f>
        <v>0</v>
      </c>
    </row>
    <row r="177" spans="2:17" outlineLevel="1">
      <c r="B177" s="945" t="s">
        <v>116</v>
      </c>
      <c r="C177" s="934"/>
      <c r="H177" s="933" t="s">
        <v>26</v>
      </c>
      <c r="J177" s="1021">
        <f>SUM(J171:J176)</f>
        <v>0</v>
      </c>
      <c r="K177" s="1021">
        <f>SUM(K171:K176)</f>
        <v>0</v>
      </c>
      <c r="L177" s="1021">
        <f>SUM(L171:L176)</f>
        <v>0</v>
      </c>
      <c r="M177" s="1021">
        <f t="shared" ref="M177:Q177" si="60">SUM(M171:M176)</f>
        <v>0</v>
      </c>
      <c r="N177" s="1021" t="e">
        <f t="shared" ca="1" si="60"/>
        <v>#NAME?</v>
      </c>
      <c r="O177" s="1021">
        <f t="shared" si="60"/>
        <v>0</v>
      </c>
      <c r="P177" s="1021">
        <f t="shared" si="60"/>
        <v>0</v>
      </c>
      <c r="Q177" s="1021">
        <f t="shared" si="60"/>
        <v>0</v>
      </c>
    </row>
    <row r="178" spans="2:17" outlineLevel="1"/>
    <row r="179" spans="2:17" ht="15" outlineLevel="1">
      <c r="B179" s="943" t="s">
        <v>117</v>
      </c>
      <c r="E179" s="1018"/>
      <c r="H179" s="935" t="e" cm="1">
        <f t="array" aca="1" ref="H179" ca="1">IF(ABS(INDEX($J186:$Q186,_xlfn.XMATCH(YEAR(Input!$A$4),$J$2:$Q$2))-(Report!$B$171))&gt;Tolerance,1,0)</f>
        <v>#NAME?</v>
      </c>
    </row>
    <row r="180" spans="2:17" outlineLevel="1">
      <c r="B180" s="925" t="s">
        <v>96</v>
      </c>
      <c r="E180" s="1018" t="e">
        <v>#DIV/0!</v>
      </c>
      <c r="H180" s="933" t="s">
        <v>26</v>
      </c>
      <c r="J180" s="1019" cm="1">
        <f t="array" ref="J180">IF(J$2=_xlfn.NUMBERVALUE(LEFT(Report!$A$3,4)),INDEX(Report!$B$160:$B$175,_xlfn.XMATCH($B180,Report!$A$160:$A$175)),0)</f>
        <v>0</v>
      </c>
      <c r="K180" s="1019" cm="1">
        <f t="array" ref="K180">IF(K$2=_xlfn.NUMBERVALUE(LEFT(Report!$A$3,4)),INDEX(Report!$B$160:$B$175,_xlfn.XMATCH($B180,Report!$A$160:$A$175)),0)</f>
        <v>0</v>
      </c>
      <c r="L180" s="1019" cm="1">
        <f t="array" ref="L180">IF(L$2=_xlfn.NUMBERVALUE(LEFT(Report!$A$3,4)),INDEX(Report!$B$160:$B$175,_xlfn.XMATCH($B180,Report!$A$160:$A$175)),0)</f>
        <v>0</v>
      </c>
      <c r="M180" s="1019" cm="1">
        <f t="array" ref="M180">IF(M$2=_xlfn.NUMBERVALUE(LEFT(Report!$A$3,4)),INDEX(Report!$B$160:$B$175,_xlfn.XMATCH($B180,Report!$A$160:$A$175)),0)</f>
        <v>0</v>
      </c>
      <c r="N180" s="1019" t="e" cm="1">
        <f t="array" aca="1" ref="N180" ca="1">IF(N$2=_xlfn.NUMBERVALUE(LEFT(Report!$A$3,4)),INDEX(Report!$B$160:$B$175,_xlfn.XMATCH($B180,Report!$A$160:$A$175)),0)</f>
        <v>#NAME?</v>
      </c>
      <c r="O180" s="1019" cm="1">
        <f t="array" ref="O180">IF(O$2=_xlfn.NUMBERVALUE(LEFT(Report!$A$3,4)),INDEX(Report!$B$160:$B$175,_xlfn.XMATCH($B180,Report!$A$160:$A$175)),0)</f>
        <v>0</v>
      </c>
      <c r="P180" s="1019" cm="1">
        <f t="array" ref="P180">IF(P$2=_xlfn.NUMBERVALUE(LEFT(Report!$A$3,4)),INDEX(Report!$B$160:$B$175,_xlfn.XMATCH($B180,Report!$A$160:$A$175)),0)</f>
        <v>0</v>
      </c>
      <c r="Q180" s="1019" cm="1">
        <f t="array" ref="Q180">IF(Q$2=_xlfn.NUMBERVALUE(LEFT(Report!$A$3,4)),INDEX(Report!$B$160:$B$175,_xlfn.XMATCH($B180,Report!$A$160:$A$175)),0)</f>
        <v>0</v>
      </c>
    </row>
    <row r="181" spans="2:17" outlineLevel="1">
      <c r="B181" s="925" t="s">
        <v>97</v>
      </c>
      <c r="E181" s="1018" t="e">
        <v>#DIV/0!</v>
      </c>
      <c r="H181" s="933" t="s">
        <v>26</v>
      </c>
      <c r="J181" s="1019" cm="1">
        <f t="array" ref="J181">IF(J$2=_xlfn.NUMBERVALUE(LEFT(Report!$A$3,4)),INDEX(Report!$B$160:$B$175,_xlfn.XMATCH($B181,Report!$A$160:$A$175)),0)</f>
        <v>0</v>
      </c>
      <c r="K181" s="1019" cm="1">
        <f t="array" ref="K181">IF(K$2=_xlfn.NUMBERVALUE(LEFT(Report!$A$3,4)),INDEX(Report!$B$160:$B$175,_xlfn.XMATCH($B181,Report!$A$160:$A$175)),0)</f>
        <v>0</v>
      </c>
      <c r="L181" s="1019" cm="1">
        <f t="array" ref="L181">IF(L$2=_xlfn.NUMBERVALUE(LEFT(Report!$A$3,4)),INDEX(Report!$B$160:$B$175,_xlfn.XMATCH($B181,Report!$A$160:$A$175)),0)</f>
        <v>0</v>
      </c>
      <c r="M181" s="1019" cm="1">
        <f t="array" ref="M181">IF(M$2=_xlfn.NUMBERVALUE(LEFT(Report!$A$3,4)),INDEX(Report!$B$160:$B$175,_xlfn.XMATCH($B181,Report!$A$160:$A$175)),0)</f>
        <v>0</v>
      </c>
      <c r="N181" s="1019" t="e" cm="1">
        <f t="array" aca="1" ref="N181" ca="1">IF(N$2=_xlfn.NUMBERVALUE(LEFT(Report!$A$3,4)),INDEX(Report!$B$160:$B$175,_xlfn.XMATCH($B181,Report!$A$160:$A$175)),0)</f>
        <v>#NAME?</v>
      </c>
      <c r="O181" s="1019" cm="1">
        <f t="array" ref="O181">IF(O$2=_xlfn.NUMBERVALUE(LEFT(Report!$A$3,4)),INDEX(Report!$B$160:$B$175,_xlfn.XMATCH($B181,Report!$A$160:$A$175)),0)</f>
        <v>0</v>
      </c>
      <c r="P181" s="1019" cm="1">
        <f t="array" ref="P181">IF(P$2=_xlfn.NUMBERVALUE(LEFT(Report!$A$3,4)),INDEX(Report!$B$160:$B$175,_xlfn.XMATCH($B181,Report!$A$160:$A$175)),0)</f>
        <v>0</v>
      </c>
      <c r="Q181" s="1019" cm="1">
        <f t="array" ref="Q181">IF(Q$2=_xlfn.NUMBERVALUE(LEFT(Report!$A$3,4)),INDEX(Report!$B$160:$B$175,_xlfn.XMATCH($B181,Report!$A$160:$A$175)),0)</f>
        <v>0</v>
      </c>
    </row>
    <row r="182" spans="2:17" outlineLevel="1">
      <c r="B182" s="925" t="s">
        <v>98</v>
      </c>
      <c r="E182" s="1018" t="e">
        <v>#DIV/0!</v>
      </c>
      <c r="H182" s="933" t="s">
        <v>26</v>
      </c>
      <c r="J182" s="1019" cm="1">
        <f t="array" ref="J182">IF(J$2=_xlfn.NUMBERVALUE(LEFT(Report!$A$3,4)),INDEX(Report!$B$160:$B$175,_xlfn.XMATCH($B182,Report!$A$160:$A$175)),0)</f>
        <v>0</v>
      </c>
      <c r="K182" s="1019" cm="1">
        <f t="array" ref="K182">IF(K$2=_xlfn.NUMBERVALUE(LEFT(Report!$A$3,4)),INDEX(Report!$B$160:$B$175,_xlfn.XMATCH($B182,Report!$A$160:$A$175)),0)</f>
        <v>0</v>
      </c>
      <c r="L182" s="1019" cm="1">
        <f t="array" ref="L182">IF(L$2=_xlfn.NUMBERVALUE(LEFT(Report!$A$3,4)),INDEX(Report!$B$160:$B$175,_xlfn.XMATCH($B182,Report!$A$160:$A$175)),0)</f>
        <v>0</v>
      </c>
      <c r="M182" s="1019" cm="1">
        <f t="array" ref="M182">IF(M$2=_xlfn.NUMBERVALUE(LEFT(Report!$A$3,4)),INDEX(Report!$B$160:$B$175,_xlfn.XMATCH($B182,Report!$A$160:$A$175)),0)</f>
        <v>0</v>
      </c>
      <c r="N182" s="1019" t="e" cm="1">
        <f t="array" aca="1" ref="N182" ca="1">IF(N$2=_xlfn.NUMBERVALUE(LEFT(Report!$A$3,4)),INDEX(Report!$B$160:$B$175,_xlfn.XMATCH($B182,Report!$A$160:$A$175)),0)</f>
        <v>#NAME?</v>
      </c>
      <c r="O182" s="1019" cm="1">
        <f t="array" ref="O182">IF(O$2=_xlfn.NUMBERVALUE(LEFT(Report!$A$3,4)),INDEX(Report!$B$160:$B$175,_xlfn.XMATCH($B182,Report!$A$160:$A$175)),0)</f>
        <v>0</v>
      </c>
      <c r="P182" s="1019" cm="1">
        <f t="array" ref="P182">IF(P$2=_xlfn.NUMBERVALUE(LEFT(Report!$A$3,4)),INDEX(Report!$B$160:$B$175,_xlfn.XMATCH($B182,Report!$A$160:$A$175)),0)</f>
        <v>0</v>
      </c>
      <c r="Q182" s="1019" cm="1">
        <f t="array" ref="Q182">IF(Q$2=_xlfn.NUMBERVALUE(LEFT(Report!$A$3,4)),INDEX(Report!$B$160:$B$175,_xlfn.XMATCH($B182,Report!$A$160:$A$175)),0)</f>
        <v>0</v>
      </c>
    </row>
    <row r="183" spans="2:17" outlineLevel="1">
      <c r="B183" s="925" t="s">
        <v>99</v>
      </c>
      <c r="E183" s="1018" t="e">
        <v>#DIV/0!</v>
      </c>
      <c r="H183" s="933" t="s">
        <v>26</v>
      </c>
      <c r="J183" s="1019" cm="1">
        <f t="array" ref="J183">IF(J$2=_xlfn.NUMBERVALUE(LEFT(Report!$A$3,4)),INDEX(Report!$B$160:$B$175,_xlfn.XMATCH($B183,Report!$A$160:$A$175)),0)</f>
        <v>0</v>
      </c>
      <c r="K183" s="1019" cm="1">
        <f t="array" ref="K183">IF(K$2=_xlfn.NUMBERVALUE(LEFT(Report!$A$3,4)),INDEX(Report!$B$160:$B$175,_xlfn.XMATCH($B183,Report!$A$160:$A$175)),0)</f>
        <v>0</v>
      </c>
      <c r="L183" s="1019" cm="1">
        <f t="array" ref="L183">IF(L$2=_xlfn.NUMBERVALUE(LEFT(Report!$A$3,4)),INDEX(Report!$B$160:$B$175,_xlfn.XMATCH($B183,Report!$A$160:$A$175)),0)</f>
        <v>0</v>
      </c>
      <c r="M183" s="1019" cm="1">
        <f t="array" ref="M183">IF(M$2=_xlfn.NUMBERVALUE(LEFT(Report!$A$3,4)),INDEX(Report!$B$160:$B$175,_xlfn.XMATCH($B183,Report!$A$160:$A$175)),0)</f>
        <v>0</v>
      </c>
      <c r="N183" s="1019" t="e" cm="1">
        <f t="array" aca="1" ref="N183" ca="1">IF(N$2=_xlfn.NUMBERVALUE(LEFT(Report!$A$3,4)),INDEX(Report!$B$160:$B$175,_xlfn.XMATCH($B183,Report!$A$160:$A$175)),0)</f>
        <v>#NAME?</v>
      </c>
      <c r="O183" s="1019" cm="1">
        <f t="array" ref="O183">IF(O$2=_xlfn.NUMBERVALUE(LEFT(Report!$A$3,4)),INDEX(Report!$B$160:$B$175,_xlfn.XMATCH($B183,Report!$A$160:$A$175)),0)</f>
        <v>0</v>
      </c>
      <c r="P183" s="1019" cm="1">
        <f t="array" ref="P183">IF(P$2=_xlfn.NUMBERVALUE(LEFT(Report!$A$3,4)),INDEX(Report!$B$160:$B$175,_xlfn.XMATCH($B183,Report!$A$160:$A$175)),0)</f>
        <v>0</v>
      </c>
      <c r="Q183" s="1019" cm="1">
        <f t="array" ref="Q183">IF(Q$2=_xlfn.NUMBERVALUE(LEFT(Report!$A$3,4)),INDEX(Report!$B$160:$B$175,_xlfn.XMATCH($B183,Report!$A$160:$A$175)),0)</f>
        <v>0</v>
      </c>
    </row>
    <row r="184" spans="2:17" outlineLevel="1">
      <c r="B184" s="925" t="s">
        <v>100</v>
      </c>
      <c r="E184" s="1018" t="e">
        <v>#DIV/0!</v>
      </c>
      <c r="H184" s="933" t="s">
        <v>26</v>
      </c>
      <c r="J184" s="1019" cm="1">
        <f t="array" ref="J184">IF(J$2=_xlfn.NUMBERVALUE(LEFT(Report!$A$3,4)),INDEX(Report!$B$160:$B$175,_xlfn.XMATCH($B184,Report!$A$160:$A$175)),0)</f>
        <v>0</v>
      </c>
      <c r="K184" s="1019" cm="1">
        <f t="array" ref="K184">IF(K$2=_xlfn.NUMBERVALUE(LEFT(Report!$A$3,4)),INDEX(Report!$B$160:$B$175,_xlfn.XMATCH($B184,Report!$A$160:$A$175)),0)</f>
        <v>0</v>
      </c>
      <c r="L184" s="1019" cm="1">
        <f t="array" ref="L184">IF(L$2=_xlfn.NUMBERVALUE(LEFT(Report!$A$3,4)),INDEX(Report!$B$160:$B$175,_xlfn.XMATCH($B184,Report!$A$160:$A$175)),0)</f>
        <v>0</v>
      </c>
      <c r="M184" s="1019" cm="1">
        <f t="array" ref="M184">IF(M$2=_xlfn.NUMBERVALUE(LEFT(Report!$A$3,4)),INDEX(Report!$B$160:$B$175,_xlfn.XMATCH($B184,Report!$A$160:$A$175)),0)</f>
        <v>0</v>
      </c>
      <c r="N184" s="1019" t="e" cm="1">
        <f t="array" aca="1" ref="N184" ca="1">IF(N$2=_xlfn.NUMBERVALUE(LEFT(Report!$A$3,4)),INDEX(Report!$B$160:$B$175,_xlfn.XMATCH($B184,Report!$A$160:$A$175)),0)</f>
        <v>#NAME?</v>
      </c>
      <c r="O184" s="1019" cm="1">
        <f t="array" ref="O184">IF(O$2=_xlfn.NUMBERVALUE(LEFT(Report!$A$3,4)),INDEX(Report!$B$160:$B$175,_xlfn.XMATCH($B184,Report!$A$160:$A$175)),0)</f>
        <v>0</v>
      </c>
      <c r="P184" s="1019" cm="1">
        <f t="array" ref="P184">IF(P$2=_xlfn.NUMBERVALUE(LEFT(Report!$A$3,4)),INDEX(Report!$B$160:$B$175,_xlfn.XMATCH($B184,Report!$A$160:$A$175)),0)</f>
        <v>0</v>
      </c>
      <c r="Q184" s="1019" cm="1">
        <f t="array" ref="Q184">IF(Q$2=_xlfn.NUMBERVALUE(LEFT(Report!$A$3,4)),INDEX(Report!$B$160:$B$175,_xlfn.XMATCH($B184,Report!$A$160:$A$175)),0)</f>
        <v>0</v>
      </c>
    </row>
    <row r="185" spans="2:17" outlineLevel="1">
      <c r="B185" s="925" t="s">
        <v>115</v>
      </c>
      <c r="H185" s="933" t="s">
        <v>26</v>
      </c>
      <c r="J185" s="1020" cm="1">
        <f t="array" ref="J185">IF(J$2=_xlfn.NUMBERVALUE(LEFT(Report!$A$3,4)),INDEX(Report!$B$160:$B$175,_xlfn.XMATCH($B185,Report!$A$160:$A$175)),0)</f>
        <v>0</v>
      </c>
      <c r="K185" s="1020" cm="1">
        <f t="array" ref="K185">IF(K$2=_xlfn.NUMBERVALUE(LEFT(Report!$A$3,4)),INDEX(Report!$B$160:$B$175,_xlfn.XMATCH($B185,Report!$A$160:$A$175)),0)</f>
        <v>0</v>
      </c>
      <c r="L185" s="1020" cm="1">
        <f t="array" ref="L185">IF(L$2=_xlfn.NUMBERVALUE(LEFT(Report!$A$3,4)),INDEX(Report!$B$160:$B$175,_xlfn.XMATCH($B185,Report!$A$160:$A$175)),0)</f>
        <v>0</v>
      </c>
      <c r="M185" s="1020" cm="1">
        <f t="array" ref="M185">IF(M$2=_xlfn.NUMBERVALUE(LEFT(Report!$A$3,4)),INDEX(Report!$B$160:$B$175,_xlfn.XMATCH($B185,Report!$A$160:$A$175)),0)</f>
        <v>0</v>
      </c>
      <c r="N185" s="1020" t="e" cm="1">
        <f t="array" aca="1" ref="N185" ca="1">IF(N$2=_xlfn.NUMBERVALUE(LEFT(Report!$A$3,4)),INDEX(Report!$B$160:$B$175,_xlfn.XMATCH($B185,Report!$A$160:$A$175)),0)</f>
        <v>#NAME?</v>
      </c>
      <c r="O185" s="1020" cm="1">
        <f t="array" ref="O185">IF(O$2=_xlfn.NUMBERVALUE(LEFT(Report!$A$3,4)),INDEX(Report!$B$160:$B$175,_xlfn.XMATCH($B185,Report!$A$160:$A$175)),0)</f>
        <v>0</v>
      </c>
      <c r="P185" s="1020" cm="1">
        <f t="array" ref="P185">IF(P$2=_xlfn.NUMBERVALUE(LEFT(Report!$A$3,4)),INDEX(Report!$B$160:$B$175,_xlfn.XMATCH($B185,Report!$A$160:$A$175)),0)</f>
        <v>0</v>
      </c>
      <c r="Q185" s="1020" cm="1">
        <f t="array" ref="Q185">IF(Q$2=_xlfn.NUMBERVALUE(LEFT(Report!$A$3,4)),INDEX(Report!$B$160:$B$175,_xlfn.XMATCH($B185,Report!$A$160:$A$175)),0)</f>
        <v>0</v>
      </c>
    </row>
    <row r="186" spans="2:17" outlineLevel="1">
      <c r="B186" s="945" t="s">
        <v>118</v>
      </c>
      <c r="C186" s="934"/>
      <c r="H186" s="933" t="s">
        <v>26</v>
      </c>
      <c r="J186" s="1021">
        <f t="shared" ref="J186:Q186" si="61">SUM(J179:J185)</f>
        <v>0</v>
      </c>
      <c r="K186" s="1021">
        <f t="shared" si="61"/>
        <v>0</v>
      </c>
      <c r="L186" s="1021">
        <f t="shared" si="61"/>
        <v>0</v>
      </c>
      <c r="M186" s="1021">
        <f t="shared" si="61"/>
        <v>0</v>
      </c>
      <c r="N186" s="1021" t="e">
        <f t="shared" ca="1" si="61"/>
        <v>#NAME?</v>
      </c>
      <c r="O186" s="1021">
        <f t="shared" si="61"/>
        <v>0</v>
      </c>
      <c r="P186" s="1021">
        <f t="shared" si="61"/>
        <v>0</v>
      </c>
      <c r="Q186" s="1021">
        <f t="shared" si="61"/>
        <v>0</v>
      </c>
    </row>
    <row r="187" spans="2:17" outlineLevel="1"/>
    <row r="188" spans="2:17" ht="15" outlineLevel="1">
      <c r="B188" s="943" t="s">
        <v>119</v>
      </c>
      <c r="H188" s="935" t="e">
        <f ca="1">IF(ABS(SUMPRODUCT(INDEX($J189:$Q192,,_xlfn.XMATCH(YEAR(Input!$A$4),$J$2:$Q$2)),E180:E183)*dcHundred-(Report!R171))&gt;Tolerance,1,0)</f>
        <v>#NAME?</v>
      </c>
    </row>
    <row r="189" spans="2:17" outlineLevel="1">
      <c r="B189" s="925" t="s">
        <v>96</v>
      </c>
      <c r="H189" s="933" t="s">
        <v>105</v>
      </c>
      <c r="J189" s="948" cm="1">
        <f t="array" ref="J189">IF(J$2=_xlfn.NUMBERVALUE(LEFT(Report!$A$3,4)),INDEX(Report!$P$160:$P$175,_xlfn.XMATCH($B189,Report!$A$160:$A$175)),0)/dcHundred</f>
        <v>0</v>
      </c>
      <c r="K189" s="948" cm="1">
        <f t="array" ref="K189">IF(K$2=_xlfn.NUMBERVALUE(LEFT(Report!$A$3,4)),INDEX(Report!$P$160:$P$175,_xlfn.XMATCH($B189,Report!$A$160:$A$175)),0)/dcHundred</f>
        <v>0</v>
      </c>
      <c r="L189" s="948" cm="1">
        <f t="array" ref="L189">IF(L$2=_xlfn.NUMBERVALUE(LEFT(Report!$A$3,4)),INDEX(Report!$P$160:$P$175,_xlfn.XMATCH($B189,Report!$A$160:$A$175)),0)/dcHundred</f>
        <v>0</v>
      </c>
      <c r="M189" s="948" cm="1">
        <f t="array" ref="M189">IF(M$2=_xlfn.NUMBERVALUE(LEFT(Report!$A$3,4)),INDEX(Report!$P$160:$P$175,_xlfn.XMATCH($B189,Report!$A$160:$A$175)),0)/dcHundred</f>
        <v>0</v>
      </c>
      <c r="N189" s="948" t="e" cm="1">
        <f t="array" aca="1" ref="N189" ca="1">IF(N$2=_xlfn.NUMBERVALUE(LEFT(Report!$A$3,4)),INDEX(Report!$P$160:$P$175,_xlfn.XMATCH($B189,Report!$A$160:$A$175)),0)/dcHundred</f>
        <v>#NAME?</v>
      </c>
      <c r="O189" s="948" cm="1">
        <f t="array" ref="O189">IF(O$2=_xlfn.NUMBERVALUE(LEFT(Report!$A$3,4)),INDEX(Report!$P$160:$P$175,_xlfn.XMATCH($B189,Report!$A$160:$A$175)),0)/dcHundred</f>
        <v>0</v>
      </c>
      <c r="P189" s="948" cm="1">
        <f t="array" ref="P189">IF(P$2=_xlfn.NUMBERVALUE(LEFT(Report!$A$3,4)),INDEX(Report!$P$160:$P$175,_xlfn.XMATCH($B189,Report!$A$160:$A$175)),0)/dcHundred</f>
        <v>0</v>
      </c>
      <c r="Q189" s="948" cm="1">
        <f t="array" ref="Q189">IF(Q$2=_xlfn.NUMBERVALUE(LEFT(Report!$A$3,4)),INDEX(Report!$P$160:$P$175,_xlfn.XMATCH($B189,Report!$A$160:$A$175)),0)/dcHundred</f>
        <v>0</v>
      </c>
    </row>
    <row r="190" spans="2:17" outlineLevel="1">
      <c r="B190" s="925" t="s">
        <v>97</v>
      </c>
      <c r="H190" s="933" t="s">
        <v>105</v>
      </c>
      <c r="J190" s="948" cm="1">
        <f t="array" ref="J190">IF(J$2=_xlfn.NUMBERVALUE(LEFT(Report!$A$3,4)),INDEX(Report!$P$160:$P$175,_xlfn.XMATCH($B190,Report!$A$160:$A$175)),0)/dcHundred</f>
        <v>0</v>
      </c>
      <c r="K190" s="948" cm="1">
        <f t="array" ref="K190">IF(K$2=_xlfn.NUMBERVALUE(LEFT(Report!$A$3,4)),INDEX(Report!$P$160:$P$175,_xlfn.XMATCH($B190,Report!$A$160:$A$175)),0)/dcHundred</f>
        <v>0</v>
      </c>
      <c r="L190" s="948" cm="1">
        <f t="array" ref="L190">IF(L$2=_xlfn.NUMBERVALUE(LEFT(Report!$A$3,4)),INDEX(Report!$P$160:$P$175,_xlfn.XMATCH($B190,Report!$A$160:$A$175)),0)/dcHundred</f>
        <v>0</v>
      </c>
      <c r="M190" s="948" cm="1">
        <f t="array" ref="M190">IF(M$2=_xlfn.NUMBERVALUE(LEFT(Report!$A$3,4)),INDEX(Report!$P$160:$P$175,_xlfn.XMATCH($B190,Report!$A$160:$A$175)),0)/dcHundred</f>
        <v>0</v>
      </c>
      <c r="N190" s="948" t="e" cm="1">
        <f t="array" aca="1" ref="N190" ca="1">IF(N$2=_xlfn.NUMBERVALUE(LEFT(Report!$A$3,4)),INDEX(Report!$P$160:$P$175,_xlfn.XMATCH($B190,Report!$A$160:$A$175)),0)/dcHundred</f>
        <v>#NAME?</v>
      </c>
      <c r="O190" s="948" cm="1">
        <f t="array" ref="O190">IF(O$2=_xlfn.NUMBERVALUE(LEFT(Report!$A$3,4)),INDEX(Report!$P$160:$P$175,_xlfn.XMATCH($B190,Report!$A$160:$A$175)),0)/dcHundred</f>
        <v>0</v>
      </c>
      <c r="P190" s="948" cm="1">
        <f t="array" ref="P190">IF(P$2=_xlfn.NUMBERVALUE(LEFT(Report!$A$3,4)),INDEX(Report!$P$160:$P$175,_xlfn.XMATCH($B190,Report!$A$160:$A$175)),0)/dcHundred</f>
        <v>0</v>
      </c>
      <c r="Q190" s="948" cm="1">
        <f t="array" ref="Q190">IF(Q$2=_xlfn.NUMBERVALUE(LEFT(Report!$A$3,4)),INDEX(Report!$P$160:$P$175,_xlfn.XMATCH($B190,Report!$A$160:$A$175)),0)/dcHundred</f>
        <v>0</v>
      </c>
    </row>
    <row r="191" spans="2:17" outlineLevel="1">
      <c r="B191" s="925" t="s">
        <v>98</v>
      </c>
      <c r="H191" s="933" t="s">
        <v>105</v>
      </c>
      <c r="J191" s="948" cm="1">
        <f t="array" ref="J191">IF(J$2=_xlfn.NUMBERVALUE(LEFT(Report!$A$3,4)),INDEX(Report!$P$160:$P$175,_xlfn.XMATCH($B191,Report!$A$160:$A$175)),0)/dcHundred</f>
        <v>0</v>
      </c>
      <c r="K191" s="948" cm="1">
        <f t="array" ref="K191">IF(K$2=_xlfn.NUMBERVALUE(LEFT(Report!$A$3,4)),INDEX(Report!$P$160:$P$175,_xlfn.XMATCH($B191,Report!$A$160:$A$175)),0)/dcHundred</f>
        <v>0</v>
      </c>
      <c r="L191" s="948" cm="1">
        <f t="array" ref="L191">IF(L$2=_xlfn.NUMBERVALUE(LEFT(Report!$A$3,4)),INDEX(Report!$P$160:$P$175,_xlfn.XMATCH($B191,Report!$A$160:$A$175)),0)/dcHundred</f>
        <v>0</v>
      </c>
      <c r="M191" s="948" cm="1">
        <f t="array" ref="M191">IF(M$2=_xlfn.NUMBERVALUE(LEFT(Report!$A$3,4)),INDEX(Report!$P$160:$P$175,_xlfn.XMATCH($B191,Report!$A$160:$A$175)),0)/dcHundred</f>
        <v>0</v>
      </c>
      <c r="N191" s="948" t="e" cm="1">
        <f t="array" aca="1" ref="N191" ca="1">IF(N$2=_xlfn.NUMBERVALUE(LEFT(Report!$A$3,4)),INDEX(Report!$P$160:$P$175,_xlfn.XMATCH($B191,Report!$A$160:$A$175)),0)/dcHundred</f>
        <v>#NAME?</v>
      </c>
      <c r="O191" s="948" cm="1">
        <f t="array" ref="O191">IF(O$2=_xlfn.NUMBERVALUE(LEFT(Report!$A$3,4)),INDEX(Report!$P$160:$P$175,_xlfn.XMATCH($B191,Report!$A$160:$A$175)),0)/dcHundred</f>
        <v>0</v>
      </c>
      <c r="P191" s="948" cm="1">
        <f t="array" ref="P191">IF(P$2=_xlfn.NUMBERVALUE(LEFT(Report!$A$3,4)),INDEX(Report!$P$160:$P$175,_xlfn.XMATCH($B191,Report!$A$160:$A$175)),0)/dcHundred</f>
        <v>0</v>
      </c>
      <c r="Q191" s="948" cm="1">
        <f t="array" ref="Q191">IF(Q$2=_xlfn.NUMBERVALUE(LEFT(Report!$A$3,4)),INDEX(Report!$P$160:$P$175,_xlfn.XMATCH($B191,Report!$A$160:$A$175)),0)/dcHundred</f>
        <v>0</v>
      </c>
    </row>
    <row r="192" spans="2:17" outlineLevel="1">
      <c r="B192" s="925" t="s">
        <v>99</v>
      </c>
      <c r="H192" s="933" t="s">
        <v>105</v>
      </c>
      <c r="J192" s="948" cm="1">
        <f t="array" ref="J192">IF(J$2=_xlfn.NUMBERVALUE(LEFT(Report!$A$3,4)),INDEX(Report!$P$160:$P$175,_xlfn.XMATCH($B192,Report!$A$160:$A$175)),0)/dcHundred</f>
        <v>0</v>
      </c>
      <c r="K192" s="948" cm="1">
        <f t="array" ref="K192">IF(K$2=_xlfn.NUMBERVALUE(LEFT(Report!$A$3,4)),INDEX(Report!$P$160:$P$175,_xlfn.XMATCH($B192,Report!$A$160:$A$175)),0)/dcHundred</f>
        <v>0</v>
      </c>
      <c r="L192" s="948" cm="1">
        <f t="array" ref="L192">IF(L$2=_xlfn.NUMBERVALUE(LEFT(Report!$A$3,4)),INDEX(Report!$P$160:$P$175,_xlfn.XMATCH($B192,Report!$A$160:$A$175)),0)/dcHundred</f>
        <v>0</v>
      </c>
      <c r="M192" s="948" cm="1">
        <f t="array" ref="M192">IF(M$2=_xlfn.NUMBERVALUE(LEFT(Report!$A$3,4)),INDEX(Report!$P$160:$P$175,_xlfn.XMATCH($B192,Report!$A$160:$A$175)),0)/dcHundred</f>
        <v>0</v>
      </c>
      <c r="N192" s="948" cm="1">
        <f t="array" ref="N192">IF(N$2=_xlfn.NUMBERVALUE(LEFT(Report!$A$3,4)),INDEX(Report!$P$160:$P$175,_xlfn.XMATCH($B192,Report!$A$160:$A$175)),0)/dcHundred</f>
        <v>0.11</v>
      </c>
      <c r="O192" s="948" cm="1">
        <f t="array" ref="O192">IF(O$2=_xlfn.NUMBERVALUE(LEFT(Report!$A$3,4)),INDEX(Report!$P$160:$P$175,_xlfn.XMATCH($B192,Report!$A$160:$A$175)),0)/dcHundred</f>
        <v>0</v>
      </c>
      <c r="P192" s="948" cm="1">
        <f t="array" ref="P192">IF(P$2=_xlfn.NUMBERVALUE(LEFT(Report!$A$3,4)),INDEX(Report!$P$160:$P$175,_xlfn.XMATCH($B192,Report!$A$160:$A$175)),0)/dcHundred</f>
        <v>0</v>
      </c>
      <c r="Q192" s="948" cm="1">
        <f t="array" ref="Q192">IF(Q$2=_xlfn.NUMBERVALUE(LEFT(Report!$A$3,4)),INDEX(Report!$P$160:$P$175,_xlfn.XMATCH($B192,Report!$A$160:$A$175)),0)/dcHundred</f>
        <v>0</v>
      </c>
    </row>
    <row r="194" spans="2:114">
      <c r="B194" s="1003" t="s">
        <v>120</v>
      </c>
      <c r="C194" s="1004"/>
      <c r="D194" s="1004"/>
      <c r="E194" s="1004"/>
      <c r="F194" s="1004"/>
      <c r="G194" s="1004"/>
      <c r="H194" s="1004"/>
      <c r="I194" s="1004"/>
      <c r="J194" s="1004"/>
      <c r="K194" s="1004"/>
      <c r="L194" s="1004"/>
      <c r="M194" s="1004"/>
      <c r="N194" s="1004"/>
      <c r="O194" s="1004"/>
      <c r="P194" s="1004"/>
      <c r="Q194" s="1004"/>
      <c r="R194" s="1004"/>
      <c r="S194" s="1004"/>
      <c r="T194" s="1004"/>
      <c r="U194" s="1004"/>
      <c r="V194" s="1004"/>
      <c r="W194" s="1004"/>
      <c r="X194" s="1004"/>
      <c r="Y194" s="1004"/>
      <c r="Z194" s="1004"/>
      <c r="AA194" s="1004"/>
      <c r="AB194" s="1004"/>
      <c r="AC194" s="1004"/>
      <c r="AD194" s="1004"/>
      <c r="AE194" s="1004"/>
      <c r="AF194" s="1004"/>
      <c r="AG194" s="1004"/>
      <c r="AH194" s="1004"/>
      <c r="AI194" s="1004"/>
      <c r="AJ194" s="1004"/>
      <c r="AK194" s="1004"/>
      <c r="AL194" s="1004"/>
      <c r="AM194" s="1004"/>
      <c r="AN194" s="1004"/>
      <c r="AO194" s="1004"/>
      <c r="AP194" s="1004"/>
      <c r="AQ194" s="1004"/>
      <c r="AR194" s="1004"/>
      <c r="AS194" s="1004"/>
      <c r="AT194" s="1004"/>
      <c r="AU194" s="1004"/>
      <c r="AV194" s="1004"/>
      <c r="AW194" s="1004"/>
      <c r="AX194" s="1004"/>
      <c r="AY194" s="1004"/>
      <c r="AZ194" s="1004"/>
      <c r="BA194" s="1004"/>
      <c r="BB194" s="1004"/>
      <c r="BC194" s="1004"/>
      <c r="BD194" s="1004"/>
      <c r="BE194" s="1004"/>
      <c r="BF194" s="1004"/>
      <c r="BG194" s="1004"/>
      <c r="BH194" s="1004"/>
      <c r="BI194" s="1004"/>
      <c r="BJ194" s="1004"/>
      <c r="BK194" s="1004"/>
      <c r="BL194" s="1004"/>
      <c r="BM194" s="1004"/>
      <c r="BN194" s="1004"/>
      <c r="BO194" s="1004"/>
      <c r="BP194" s="1004"/>
      <c r="BQ194" s="1004"/>
      <c r="BR194" s="1004"/>
      <c r="BS194" s="1004"/>
      <c r="BT194" s="1004"/>
      <c r="BU194" s="1004"/>
      <c r="BV194" s="1004"/>
      <c r="BW194" s="1004"/>
      <c r="BX194" s="1004"/>
      <c r="BY194" s="1004"/>
      <c r="BZ194" s="1004"/>
      <c r="CA194" s="1004"/>
      <c r="CB194" s="1004"/>
      <c r="CC194" s="1004"/>
      <c r="CD194" s="1004"/>
      <c r="CE194" s="1004"/>
      <c r="CF194" s="1004"/>
      <c r="CG194" s="1004"/>
      <c r="CH194" s="1004"/>
      <c r="CI194" s="1004"/>
      <c r="CJ194" s="1004"/>
      <c r="CK194" s="1004"/>
      <c r="CL194" s="1004"/>
      <c r="CM194" s="1004"/>
      <c r="CN194" s="1004"/>
      <c r="CO194" s="1004"/>
      <c r="CP194" s="1004"/>
      <c r="CQ194" s="1004"/>
      <c r="CR194" s="1004"/>
      <c r="CS194" s="1004"/>
      <c r="CT194" s="1004"/>
      <c r="CU194" s="1004"/>
      <c r="CV194" s="1004"/>
      <c r="CW194" s="1004"/>
      <c r="CX194" s="1004"/>
      <c r="CY194" s="1004"/>
      <c r="CZ194" s="1004"/>
      <c r="DA194" s="1004"/>
      <c r="DB194" s="1004"/>
      <c r="DC194" s="1004"/>
      <c r="DD194" s="1004"/>
      <c r="DE194" s="1004"/>
      <c r="DF194" s="1004"/>
      <c r="DG194" s="1004"/>
      <c r="DH194" s="1004"/>
      <c r="DI194" s="1004"/>
      <c r="DJ194" s="1005"/>
    </row>
  </sheetData>
  <conditionalFormatting sqref="J3:Q3">
    <cfRule type="expression" dxfId="32" priority="7">
      <formula>J3="Actual"</formula>
    </cfRule>
    <cfRule type="expression" dxfId="31" priority="8">
      <formula>J3="Budget"</formula>
    </cfRule>
  </conditionalFormatting>
  <conditionalFormatting sqref="D2:F2">
    <cfRule type="expression" dxfId="30" priority="5">
      <formula>$D$2=0</formula>
    </cfRule>
    <cfRule type="expression" dxfId="29" priority="6">
      <formula>$D$2=1</formula>
    </cfRule>
  </conditionalFormatting>
  <conditionalFormatting sqref="S3:DJ3">
    <cfRule type="expression" dxfId="28" priority="1">
      <formula>S3="Actual"</formula>
    </cfRule>
    <cfRule type="expression" dxfId="27" priority="2">
      <formula>S3="Budget"</formula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opyMacro">
                <anchor moveWithCells="1" sizeWithCells="1">
                  <from>
                    <xdr:col>2</xdr:col>
                    <xdr:colOff>1714500</xdr:colOff>
                    <xdr:row>3</xdr:row>
                    <xdr:rowOff>28575</xdr:rowOff>
                  </from>
                  <to>
                    <xdr:col>5</xdr:col>
                    <xdr:colOff>323850</xdr:colOff>
                    <xdr:row>4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pageSetUpPr fitToPage="1"/>
  </sheetPr>
  <dimension ref="A1:EU97"/>
  <sheetViews>
    <sheetView zoomScale="70" zoomScaleNormal="70" workbookViewId="0">
      <pane xSplit="90" ySplit="6" topLeftCell="CM19" activePane="bottomRight" state="frozen"/>
      <selection pane="topRight" activeCell="CM1" sqref="CM1"/>
      <selection pane="bottomLeft" activeCell="A7" sqref="A7"/>
      <selection pane="bottomRight" activeCell="BO35" sqref="BO35:BZ40"/>
    </sheetView>
  </sheetViews>
  <sheetFormatPr defaultColWidth="8.42578125" defaultRowHeight="12.75" outlineLevelCol="1"/>
  <cols>
    <col min="1" max="1" width="38" customWidth="1"/>
    <col min="2" max="2" width="8.42578125" hidden="1" customWidth="1"/>
    <col min="3" max="3" width="2.85546875" customWidth="1"/>
    <col min="4" max="4" width="11.7109375" customWidth="1"/>
    <col min="5" max="5" width="2.85546875" customWidth="1"/>
    <col min="6" max="6" width="12.140625" customWidth="1"/>
    <col min="7" max="13" width="12.85546875" style="174" hidden="1" customWidth="1"/>
    <col min="14" max="21" width="15.140625" style="174" hidden="1" customWidth="1"/>
    <col min="22" max="23" width="14.5703125" style="174" hidden="1" customWidth="1"/>
    <col min="24" max="38" width="15.140625" style="174" hidden="1" customWidth="1"/>
    <col min="39" max="44" width="13.85546875" style="174" hidden="1" customWidth="1"/>
    <col min="45" max="53" width="13.42578125" style="174" hidden="1" customWidth="1"/>
    <col min="54" max="56" width="15.140625" style="174" hidden="1" customWidth="1"/>
    <col min="57" max="66" width="13.140625" style="174" hidden="1" customWidth="1"/>
    <col min="67" max="67" width="12.85546875" style="174" customWidth="1" outlineLevel="1"/>
    <col min="68" max="77" width="15" style="174" customWidth="1" outlineLevel="1"/>
    <col min="78" max="79" width="15" style="174" customWidth="1" outlineLevel="1" collapsed="1"/>
    <col min="80" max="90" width="15" style="174" customWidth="1" outlineLevel="1"/>
    <col min="91" max="102" width="15" style="174" customWidth="1"/>
    <col min="103" max="103" width="20.7109375" style="1055" customWidth="1"/>
    <col min="104" max="104" width="20" bestFit="1" customWidth="1"/>
    <col min="105" max="105" width="11.28515625" bestFit="1" customWidth="1"/>
    <col min="106" max="106" width="11.85546875" bestFit="1" customWidth="1"/>
  </cols>
  <sheetData>
    <row r="1" spans="1:151" ht="15.75">
      <c r="A1" s="23"/>
      <c r="C1" s="21"/>
      <c r="D1" s="25"/>
      <c r="E1" s="21"/>
      <c r="F1" s="2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29" t="s">
        <v>400</v>
      </c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1040"/>
      <c r="EU1" s="14"/>
    </row>
    <row r="2" spans="1:151" ht="15.75">
      <c r="C2" s="21"/>
      <c r="D2" s="21"/>
      <c r="E2" s="21"/>
      <c r="F2" s="2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748" t="s">
        <v>401</v>
      </c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1040"/>
    </row>
    <row r="3" spans="1:151" ht="15.75" customHeight="1">
      <c r="A3" s="179"/>
      <c r="C3" s="21"/>
      <c r="D3" s="21"/>
      <c r="E3" s="21"/>
      <c r="F3" s="2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29" t="s">
        <v>402</v>
      </c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772"/>
      <c r="CN3" s="772"/>
      <c r="CO3" s="772"/>
      <c r="CP3" s="772"/>
      <c r="CQ3" s="772"/>
      <c r="CR3" s="772"/>
      <c r="CS3" s="772"/>
      <c r="CT3" s="772"/>
      <c r="CU3" s="772"/>
      <c r="CV3" s="772"/>
      <c r="CW3" s="772"/>
      <c r="CX3" s="772"/>
      <c r="CY3" s="1040"/>
    </row>
    <row r="4" spans="1:151" ht="15.75">
      <c r="A4" s="23" t="s">
        <v>403</v>
      </c>
      <c r="C4" s="22"/>
      <c r="E4" s="22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041"/>
    </row>
    <row r="5" spans="1:151" ht="15">
      <c r="A5" s="24"/>
      <c r="C5" s="22"/>
      <c r="D5" s="376" t="s">
        <v>404</v>
      </c>
      <c r="E5" s="22"/>
      <c r="F5" s="376" t="s">
        <v>405</v>
      </c>
      <c r="G5" s="319" t="str">
        <f>+'Bal Sheet'!C5</f>
        <v>Actual</v>
      </c>
      <c r="H5" s="319" t="str">
        <f>+'Bal Sheet'!D5</f>
        <v>Actual</v>
      </c>
      <c r="I5" s="319" t="str">
        <f>+'Bal Sheet'!E5</f>
        <v>Actual</v>
      </c>
      <c r="J5" s="319" t="str">
        <f>+'Bal Sheet'!F5</f>
        <v>Actual</v>
      </c>
      <c r="K5" s="319" t="str">
        <f>+'Bal Sheet'!G5</f>
        <v>Actual</v>
      </c>
      <c r="L5" s="319" t="str">
        <f>+'Bal Sheet'!H5</f>
        <v>Actual</v>
      </c>
      <c r="M5" s="319" t="str">
        <f>+'Bal Sheet'!I5</f>
        <v>Actual</v>
      </c>
      <c r="N5" s="319" t="str">
        <f>+'Bal Sheet'!J5</f>
        <v>Actual</v>
      </c>
      <c r="O5" s="319" t="str">
        <f>+'Bal Sheet'!K5</f>
        <v>Actual</v>
      </c>
      <c r="P5" s="319" t="str">
        <f>+'Bal Sheet'!L5</f>
        <v>Actual</v>
      </c>
      <c r="Q5" s="319" t="str">
        <f>+'Bal Sheet'!M5</f>
        <v>Actual</v>
      </c>
      <c r="R5" s="319" t="str">
        <f>+'Bal Sheet'!N5</f>
        <v>Actual</v>
      </c>
      <c r="S5" s="319" t="str">
        <f>+'Bal Sheet'!O5</f>
        <v>Actual</v>
      </c>
      <c r="T5" s="319" t="str">
        <f>+'Bal Sheet'!P5</f>
        <v>Actual</v>
      </c>
      <c r="U5" s="319" t="str">
        <f>+'Bal Sheet'!Q5</f>
        <v>Actual</v>
      </c>
      <c r="V5" s="319" t="str">
        <f>+'Bal Sheet'!R5</f>
        <v>Actual</v>
      </c>
      <c r="W5" s="319" t="str">
        <f>+'Bal Sheet'!S5</f>
        <v>Actual</v>
      </c>
      <c r="X5" s="319" t="str">
        <f>+'Bal Sheet'!T5</f>
        <v>Actual</v>
      </c>
      <c r="Y5" s="319" t="str">
        <f>+'Bal Sheet'!U5</f>
        <v>Actual</v>
      </c>
      <c r="Z5" s="319" t="str">
        <f>+'Bal Sheet'!V5</f>
        <v>Actual</v>
      </c>
      <c r="AA5" s="319" t="str">
        <f>+'Bal Sheet'!W5</f>
        <v>Actual</v>
      </c>
      <c r="AB5" s="319" t="str">
        <f>+'Bal Sheet'!X5</f>
        <v>Actual</v>
      </c>
      <c r="AC5" s="319" t="str">
        <f>+'Bal Sheet'!Y5</f>
        <v>Actual</v>
      </c>
      <c r="AD5" s="319" t="str">
        <f>+'Bal Sheet'!Z5</f>
        <v>Actual</v>
      </c>
      <c r="AE5" s="319" t="str">
        <f>+'Bal Sheet'!AA5</f>
        <v>Actual</v>
      </c>
      <c r="AF5" s="319" t="str">
        <f>+'Bal Sheet'!AB5</f>
        <v>Actual</v>
      </c>
      <c r="AG5" s="319" t="str">
        <f>+'Bal Sheet'!AC5</f>
        <v>Actual</v>
      </c>
      <c r="AH5" s="319" t="str">
        <f>+'Bal Sheet'!AD5</f>
        <v>Actual</v>
      </c>
      <c r="AI5" s="319" t="str">
        <f>+'Bal Sheet'!AE5</f>
        <v>Actual</v>
      </c>
      <c r="AJ5" s="319" t="str">
        <f>+'Bal Sheet'!AF5</f>
        <v>Actual</v>
      </c>
      <c r="AK5" s="319" t="str">
        <f>+'Bal Sheet'!AG5</f>
        <v>Actual</v>
      </c>
      <c r="AL5" s="319" t="str">
        <f>+'Bal Sheet'!AH5</f>
        <v>Actual</v>
      </c>
      <c r="AM5" s="319" t="str">
        <f>+'Bal Sheet'!AI5</f>
        <v>Actual</v>
      </c>
      <c r="AN5" s="319" t="str">
        <f>+'Bal Sheet'!AJ5</f>
        <v>Actual</v>
      </c>
      <c r="AO5" s="319" t="str">
        <f>+'Bal Sheet'!AK5</f>
        <v>Actual</v>
      </c>
      <c r="AP5" s="319" t="str">
        <f>+'Bal Sheet'!AL5</f>
        <v>Actual</v>
      </c>
      <c r="AQ5" s="319" t="str">
        <f>+'Bal Sheet'!AM5</f>
        <v>Actual</v>
      </c>
      <c r="AR5" s="319" t="str">
        <f>+'Bal Sheet'!AN5</f>
        <v>Actual</v>
      </c>
      <c r="AS5" s="319" t="str">
        <f>+'Bal Sheet'!AO5</f>
        <v>Actual</v>
      </c>
      <c r="AT5" s="319" t="str">
        <f>+'Bal Sheet'!AP5</f>
        <v>Actual</v>
      </c>
      <c r="AU5" s="319" t="str">
        <f>+'Bal Sheet'!AQ5</f>
        <v>Actual</v>
      </c>
      <c r="AV5" s="319" t="str">
        <f>+'Bal Sheet'!AR5</f>
        <v>Actual</v>
      </c>
      <c r="AW5" s="319" t="str">
        <f>+'Bal Sheet'!AS5</f>
        <v>Actual</v>
      </c>
      <c r="AX5" s="319" t="str">
        <f>+'Bal Sheet'!AT5</f>
        <v>Actual</v>
      </c>
      <c r="AY5" s="319" t="str">
        <f>+'Bal Sheet'!AU5</f>
        <v>Actual</v>
      </c>
      <c r="AZ5" s="319" t="str">
        <f>+'Bal Sheet'!AV5</f>
        <v>Actual</v>
      </c>
      <c r="BA5" s="319" t="str">
        <f>+'Bal Sheet'!AW5</f>
        <v>Actual</v>
      </c>
      <c r="BB5" s="730" t="str">
        <f>+'Bal Sheet'!AX5</f>
        <v>Actual</v>
      </c>
      <c r="BC5" s="730" t="str">
        <f>+'Bal Sheet'!AY5</f>
        <v>Actual</v>
      </c>
      <c r="BD5" s="730" t="str">
        <f>+'Bal Sheet'!AZ5</f>
        <v>Actual</v>
      </c>
      <c r="BE5" s="730" t="str">
        <f>+'Bal Sheet'!BA5</f>
        <v>Actual</v>
      </c>
      <c r="BF5" s="730" t="str">
        <f>+'Bal Sheet'!BB5</f>
        <v>Actual</v>
      </c>
      <c r="BG5" s="730" t="str">
        <f>+'Bal Sheet'!BC5</f>
        <v>Actual</v>
      </c>
      <c r="BH5" s="730" t="str">
        <f>+'Bal Sheet'!BD5</f>
        <v>Actual</v>
      </c>
      <c r="BI5" s="730" t="str">
        <f>+'Bal Sheet'!BE5</f>
        <v>Actual</v>
      </c>
      <c r="BJ5" s="730" t="str">
        <f>+'Bal Sheet'!BF5</f>
        <v>Actual</v>
      </c>
      <c r="BK5" s="730" t="str">
        <f>+'Bal Sheet'!BG5</f>
        <v>Actual</v>
      </c>
      <c r="BL5" s="730" t="str">
        <f>+'Bal Sheet'!BH5</f>
        <v>Actual</v>
      </c>
      <c r="BM5" s="730" t="str">
        <f>+'Bal Sheet'!BI5</f>
        <v>Actual</v>
      </c>
      <c r="BN5" s="731" t="str">
        <f>+'Bal Sheet'!BJ5</f>
        <v>Actual</v>
      </c>
      <c r="BO5" s="731" t="str">
        <f>+'Bal Sheet'!BK5</f>
        <v>Actual</v>
      </c>
      <c r="BP5" s="731" t="str">
        <f>+'Bal Sheet'!BL5</f>
        <v>Actual</v>
      </c>
      <c r="BQ5" s="731" t="str">
        <f>+'Bal Sheet'!BM5</f>
        <v>Actual</v>
      </c>
      <c r="BR5" s="731" t="str">
        <f>+'Bal Sheet'!BN5</f>
        <v>Actual</v>
      </c>
      <c r="BS5" s="731" t="str">
        <f>+'Bal Sheet'!BO5</f>
        <v>Actual</v>
      </c>
      <c r="BT5" s="731" t="str">
        <f>+'Bal Sheet'!BP5</f>
        <v>Actual</v>
      </c>
      <c r="BU5" s="731" t="str">
        <f>+'Bal Sheet'!BQ5</f>
        <v>Actual</v>
      </c>
      <c r="BV5" s="731" t="str">
        <f>+'Bal Sheet'!BR5</f>
        <v>Actual</v>
      </c>
      <c r="BW5" s="731" t="str">
        <f>+'Bal Sheet'!BS5</f>
        <v>Actual</v>
      </c>
      <c r="BX5" s="731" t="str">
        <f>+'Bal Sheet'!BT5</f>
        <v>Actual</v>
      </c>
      <c r="BY5" s="731" t="str">
        <f>+'Bal Sheet'!BU5</f>
        <v>Actual</v>
      </c>
      <c r="BZ5" s="731" t="str">
        <f>+'Bal Sheet'!BV5</f>
        <v>Actual</v>
      </c>
      <c r="CA5" s="731" t="str">
        <f>+'Bal Sheet'!BW5</f>
        <v>Budget</v>
      </c>
      <c r="CB5" s="731" t="str">
        <f>+'Bal Sheet'!BX5</f>
        <v>Budget</v>
      </c>
      <c r="CC5" s="731" t="str">
        <f>+'Bal Sheet'!BY5</f>
        <v>Budget</v>
      </c>
      <c r="CD5" s="731" t="str">
        <f>+'Bal Sheet'!BZ5</f>
        <v>Budget</v>
      </c>
      <c r="CE5" s="731" t="str">
        <f>+'Bal Sheet'!CA5</f>
        <v>Budget</v>
      </c>
      <c r="CF5" s="731" t="str">
        <f>+'Bal Sheet'!CB5</f>
        <v>Budget</v>
      </c>
      <c r="CG5" s="731" t="str">
        <f>+'Bal Sheet'!CC5</f>
        <v>Budget</v>
      </c>
      <c r="CH5" s="731" t="str">
        <f>+'Bal Sheet'!CD5</f>
        <v>Budget</v>
      </c>
      <c r="CI5" s="731" t="str">
        <f>+'Bal Sheet'!CE5</f>
        <v>Budget</v>
      </c>
      <c r="CJ5" s="731" t="str">
        <f>+'Bal Sheet'!CF5</f>
        <v>Budget</v>
      </c>
      <c r="CK5" s="731" t="str">
        <f>+'Bal Sheet'!CG5</f>
        <v>Budget</v>
      </c>
      <c r="CL5" s="731" t="str">
        <f>+'Bal Sheet'!CH5</f>
        <v>Budget</v>
      </c>
      <c r="CM5" s="731" t="str">
        <f>+'Bal Sheet'!CI5</f>
        <v>Budget</v>
      </c>
      <c r="CN5" s="731" t="str">
        <f>+'Bal Sheet'!CJ5</f>
        <v>Budget</v>
      </c>
      <c r="CO5" s="731" t="str">
        <f>+'Bal Sheet'!CK5</f>
        <v>Budget</v>
      </c>
      <c r="CP5" s="731" t="str">
        <f>+'Bal Sheet'!CL5</f>
        <v>Budget</v>
      </c>
      <c r="CQ5" s="731" t="str">
        <f>+'Bal Sheet'!CM5</f>
        <v>Budget</v>
      </c>
      <c r="CR5" s="731" t="str">
        <f>+'Bal Sheet'!CN5</f>
        <v>Budget</v>
      </c>
      <c r="CS5" s="731" t="str">
        <f>+'Bal Sheet'!CO5</f>
        <v>Budget</v>
      </c>
      <c r="CT5" s="731" t="str">
        <f>+'Bal Sheet'!CP5</f>
        <v>Budget</v>
      </c>
      <c r="CU5" s="731" t="str">
        <f>+'Bal Sheet'!CQ5</f>
        <v>Budget</v>
      </c>
      <c r="CV5" s="731" t="str">
        <f>+'Bal Sheet'!CR5</f>
        <v>Budget</v>
      </c>
      <c r="CW5" s="731" t="str">
        <f>+'Bal Sheet'!CS5</f>
        <v>Budget</v>
      </c>
      <c r="CX5" s="731" t="str">
        <f>+'Bal Sheet'!CT5</f>
        <v>Budget</v>
      </c>
      <c r="CY5" s="1042" t="str">
        <f>+Input!A6</f>
        <v>(JAN 2024 - DEC 2024)</v>
      </c>
    </row>
    <row r="6" spans="1:151" ht="15">
      <c r="A6" s="24"/>
      <c r="C6" s="22"/>
      <c r="D6" s="376" t="s">
        <v>406</v>
      </c>
      <c r="E6" s="22"/>
      <c r="F6" s="376" t="s">
        <v>407</v>
      </c>
      <c r="G6" s="320">
        <f>+'Bal Sheet'!C6</f>
        <v>42736</v>
      </c>
      <c r="H6" s="320">
        <f>+'Bal Sheet'!D6</f>
        <v>42767</v>
      </c>
      <c r="I6" s="320">
        <f>+'Bal Sheet'!E6</f>
        <v>42798</v>
      </c>
      <c r="J6" s="320">
        <f>+'Bal Sheet'!F6</f>
        <v>42829</v>
      </c>
      <c r="K6" s="320">
        <f>+'Bal Sheet'!G6</f>
        <v>42860</v>
      </c>
      <c r="L6" s="320">
        <f>+'Bal Sheet'!H6</f>
        <v>42891</v>
      </c>
      <c r="M6" s="320">
        <f>+'Bal Sheet'!I6</f>
        <v>42922</v>
      </c>
      <c r="N6" s="320">
        <f>+'Bal Sheet'!J6</f>
        <v>42953</v>
      </c>
      <c r="O6" s="320">
        <f>+'Bal Sheet'!K6</f>
        <v>42984</v>
      </c>
      <c r="P6" s="320">
        <f>+'Bal Sheet'!L6</f>
        <v>43015</v>
      </c>
      <c r="Q6" s="320">
        <f>+'Bal Sheet'!M6</f>
        <v>43046</v>
      </c>
      <c r="R6" s="320">
        <f>+'Bal Sheet'!N6</f>
        <v>43077</v>
      </c>
      <c r="S6" s="320">
        <f>+'Bal Sheet'!O6</f>
        <v>43108</v>
      </c>
      <c r="T6" s="320">
        <f>+'Bal Sheet'!P6</f>
        <v>43139</v>
      </c>
      <c r="U6" s="320">
        <f>+'Bal Sheet'!Q6</f>
        <v>43170</v>
      </c>
      <c r="V6" s="320">
        <f>+'Bal Sheet'!R6</f>
        <v>43201</v>
      </c>
      <c r="W6" s="320">
        <f>+'Bal Sheet'!S6</f>
        <v>43232</v>
      </c>
      <c r="X6" s="320">
        <f>+'Bal Sheet'!T6</f>
        <v>43263</v>
      </c>
      <c r="Y6" s="320">
        <f>+'Bal Sheet'!U6</f>
        <v>43294</v>
      </c>
      <c r="Z6" s="320">
        <f>+'Bal Sheet'!V6</f>
        <v>43325</v>
      </c>
      <c r="AA6" s="320">
        <f>+'Bal Sheet'!W6</f>
        <v>43356</v>
      </c>
      <c r="AB6" s="320">
        <f>+'Bal Sheet'!X6</f>
        <v>43387</v>
      </c>
      <c r="AC6" s="320">
        <f>+'Bal Sheet'!Y6</f>
        <v>43418</v>
      </c>
      <c r="AD6" s="320">
        <f>+'Bal Sheet'!Z6</f>
        <v>43449</v>
      </c>
      <c r="AE6" s="320">
        <f>+'Bal Sheet'!AA6</f>
        <v>43480</v>
      </c>
      <c r="AF6" s="320">
        <f>+'Bal Sheet'!AB6</f>
        <v>43511</v>
      </c>
      <c r="AG6" s="320">
        <f>+'Bal Sheet'!AC6</f>
        <v>43542</v>
      </c>
      <c r="AH6" s="320">
        <f>+'Bal Sheet'!AD6</f>
        <v>43573</v>
      </c>
      <c r="AI6" s="320">
        <f>+'Bal Sheet'!AE6</f>
        <v>43604</v>
      </c>
      <c r="AJ6" s="320">
        <f>+'Bal Sheet'!AF6</f>
        <v>43635</v>
      </c>
      <c r="AK6" s="320">
        <f>+'Bal Sheet'!AG6</f>
        <v>43666</v>
      </c>
      <c r="AL6" s="320">
        <f>+'Bal Sheet'!AH6</f>
        <v>43697</v>
      </c>
      <c r="AM6" s="320">
        <f>+'Bal Sheet'!AI6</f>
        <v>43728</v>
      </c>
      <c r="AN6" s="320">
        <f>+'Bal Sheet'!AJ6</f>
        <v>43759</v>
      </c>
      <c r="AO6" s="320">
        <f>+'Bal Sheet'!AK6</f>
        <v>43790</v>
      </c>
      <c r="AP6" s="320">
        <f>+'Bal Sheet'!AL6</f>
        <v>43821</v>
      </c>
      <c r="AQ6" s="320">
        <f>+'Bal Sheet'!AM6</f>
        <v>43852</v>
      </c>
      <c r="AR6" s="320">
        <f>+'Bal Sheet'!AN6</f>
        <v>43883</v>
      </c>
      <c r="AS6" s="320">
        <f>+'Bal Sheet'!AO6</f>
        <v>43914</v>
      </c>
      <c r="AT6" s="320">
        <f>+'Bal Sheet'!AP6</f>
        <v>43945</v>
      </c>
      <c r="AU6" s="320">
        <f>+'Bal Sheet'!AQ6</f>
        <v>43976</v>
      </c>
      <c r="AV6" s="320">
        <f>+'Bal Sheet'!AR6</f>
        <v>44007</v>
      </c>
      <c r="AW6" s="320">
        <f>+'Bal Sheet'!AS6</f>
        <v>44038</v>
      </c>
      <c r="AX6" s="320">
        <f>+'Bal Sheet'!AT6</f>
        <v>44069</v>
      </c>
      <c r="AY6" s="320">
        <f>+'Bal Sheet'!AU6</f>
        <v>44100</v>
      </c>
      <c r="AZ6" s="320">
        <f>+'Bal Sheet'!AV6</f>
        <v>44131</v>
      </c>
      <c r="BA6" s="320">
        <f>+'Bal Sheet'!AW6</f>
        <v>44162</v>
      </c>
      <c r="BB6" s="728">
        <f>+'Bal Sheet'!AX6</f>
        <v>44193</v>
      </c>
      <c r="BC6" s="728">
        <f>+'Bal Sheet'!AY6</f>
        <v>44224</v>
      </c>
      <c r="BD6" s="728">
        <f>+'Bal Sheet'!AZ6</f>
        <v>44255</v>
      </c>
      <c r="BE6" s="728">
        <f>+'Bal Sheet'!BA6</f>
        <v>44285</v>
      </c>
      <c r="BF6" s="728">
        <f>+'Bal Sheet'!BB6</f>
        <v>44316</v>
      </c>
      <c r="BG6" s="728">
        <f>+'Bal Sheet'!BC6</f>
        <v>44347</v>
      </c>
      <c r="BH6" s="728">
        <f>+'Bal Sheet'!BD6</f>
        <v>44377</v>
      </c>
      <c r="BI6" s="728">
        <f>+'Bal Sheet'!BE6</f>
        <v>44408</v>
      </c>
      <c r="BJ6" s="728">
        <f>+'Bal Sheet'!BF6</f>
        <v>44439</v>
      </c>
      <c r="BK6" s="728">
        <f>+'Bal Sheet'!BG6</f>
        <v>44469</v>
      </c>
      <c r="BL6" s="728">
        <f>+'Bal Sheet'!BH6</f>
        <v>44500</v>
      </c>
      <c r="BM6" s="728">
        <f>+'Bal Sheet'!BI6</f>
        <v>44530</v>
      </c>
      <c r="BN6" s="729">
        <f>+'Bal Sheet'!BJ6</f>
        <v>44561</v>
      </c>
      <c r="BO6" s="729">
        <f>+'Bal Sheet'!BK6</f>
        <v>44592</v>
      </c>
      <c r="BP6" s="729">
        <f>+'Bal Sheet'!BL6</f>
        <v>44620</v>
      </c>
      <c r="BQ6" s="729">
        <f>+'Bal Sheet'!BM6</f>
        <v>44651</v>
      </c>
      <c r="BR6" s="729">
        <f>+'Bal Sheet'!BN6</f>
        <v>44681</v>
      </c>
      <c r="BS6" s="729">
        <f>+'Bal Sheet'!BO6</f>
        <v>44712</v>
      </c>
      <c r="BT6" s="729">
        <f>+'Bal Sheet'!BP6</f>
        <v>44742</v>
      </c>
      <c r="BU6" s="729">
        <f>+'Bal Sheet'!BQ6</f>
        <v>44773</v>
      </c>
      <c r="BV6" s="729">
        <f>+'Bal Sheet'!BR6</f>
        <v>44804</v>
      </c>
      <c r="BW6" s="729">
        <f>+'Bal Sheet'!BS6</f>
        <v>44834</v>
      </c>
      <c r="BX6" s="729">
        <f>+'Bal Sheet'!BT6</f>
        <v>44865</v>
      </c>
      <c r="BY6" s="729">
        <f>+'Bal Sheet'!BU6</f>
        <v>44895</v>
      </c>
      <c r="BZ6" s="729">
        <f>+'Bal Sheet'!BV6</f>
        <v>44926</v>
      </c>
      <c r="CA6" s="729">
        <f>+'Bal Sheet'!BW6</f>
        <v>44957</v>
      </c>
      <c r="CB6" s="729">
        <f>+'Bal Sheet'!BX6</f>
        <v>44985</v>
      </c>
      <c r="CC6" s="729">
        <f>+'Bal Sheet'!BY6</f>
        <v>45016</v>
      </c>
      <c r="CD6" s="729">
        <f>+'Bal Sheet'!BZ6</f>
        <v>45046</v>
      </c>
      <c r="CE6" s="729">
        <f>+'Bal Sheet'!CA6</f>
        <v>45077</v>
      </c>
      <c r="CF6" s="729">
        <f>+'Bal Sheet'!CB6</f>
        <v>45107</v>
      </c>
      <c r="CG6" s="729">
        <f>+'Bal Sheet'!CC6</f>
        <v>45138</v>
      </c>
      <c r="CH6" s="729">
        <f>+'Bal Sheet'!CD6</f>
        <v>45169</v>
      </c>
      <c r="CI6" s="729">
        <f>+'Bal Sheet'!CE6</f>
        <v>45199</v>
      </c>
      <c r="CJ6" s="729">
        <f>+'Bal Sheet'!CF6</f>
        <v>45230</v>
      </c>
      <c r="CK6" s="729">
        <f>+'Bal Sheet'!CG6</f>
        <v>45260</v>
      </c>
      <c r="CL6" s="729">
        <f>+'Bal Sheet'!CH6</f>
        <v>45291</v>
      </c>
      <c r="CM6" s="729">
        <f>+'Bal Sheet'!CI6</f>
        <v>45322</v>
      </c>
      <c r="CN6" s="729">
        <f>+'Bal Sheet'!CJ6</f>
        <v>45350</v>
      </c>
      <c r="CO6" s="729">
        <f>+'Bal Sheet'!CK6</f>
        <v>45382</v>
      </c>
      <c r="CP6" s="729">
        <f>+'Bal Sheet'!CL6</f>
        <v>45412</v>
      </c>
      <c r="CQ6" s="729">
        <f>+'Bal Sheet'!CM6</f>
        <v>45443</v>
      </c>
      <c r="CR6" s="729">
        <f>+'Bal Sheet'!CN6</f>
        <v>45473</v>
      </c>
      <c r="CS6" s="729">
        <f>+'Bal Sheet'!CO6</f>
        <v>45504</v>
      </c>
      <c r="CT6" s="729">
        <f>+'Bal Sheet'!CP6</f>
        <v>45535</v>
      </c>
      <c r="CU6" s="729">
        <f>+'Bal Sheet'!CQ6</f>
        <v>45565</v>
      </c>
      <c r="CV6" s="729">
        <f>+'Bal Sheet'!CR6</f>
        <v>45596</v>
      </c>
      <c r="CW6" s="729">
        <f>+'Bal Sheet'!CS6</f>
        <v>45626</v>
      </c>
      <c r="CX6" s="729">
        <f>+'Bal Sheet'!CT6</f>
        <v>45657</v>
      </c>
      <c r="CY6" s="1043" t="s">
        <v>408</v>
      </c>
    </row>
    <row r="7" spans="1:151">
      <c r="A7" t="s">
        <v>409</v>
      </c>
      <c r="C7" s="22"/>
      <c r="D7" s="707">
        <f>(+CY7/1000)</f>
        <v>635196.80000000005</v>
      </c>
      <c r="E7" s="708"/>
      <c r="F7" s="707">
        <f ca="1">SUM(OFFSET(CA7:CL7,0,'Bal Sheet'!$A$1))/1000</f>
        <v>635196.80000000005</v>
      </c>
      <c r="G7" s="355">
        <v>39009633.990000002</v>
      </c>
      <c r="H7" s="355">
        <v>36125128.779999994</v>
      </c>
      <c r="I7" s="355">
        <v>33999266.789999999</v>
      </c>
      <c r="J7" s="355">
        <v>36788892.019999996</v>
      </c>
      <c r="K7" s="355">
        <v>34043478.120000005</v>
      </c>
      <c r="L7" s="355">
        <v>30627749.869999997</v>
      </c>
      <c r="M7" s="355">
        <v>31896481.530000001</v>
      </c>
      <c r="N7" s="355">
        <v>37408660.879999995</v>
      </c>
      <c r="O7" s="355">
        <v>37220060.560000002</v>
      </c>
      <c r="P7" s="355">
        <v>31264726.539999999</v>
      </c>
      <c r="Q7" s="355">
        <v>34454206.760000005</v>
      </c>
      <c r="R7" s="355">
        <v>42142078.830000013</v>
      </c>
      <c r="S7" s="355">
        <v>59737368.489999995</v>
      </c>
      <c r="T7" s="355">
        <v>43456502.710000001</v>
      </c>
      <c r="U7" s="355">
        <v>35439285.339999996</v>
      </c>
      <c r="V7" s="355">
        <v>40963132.570000008</v>
      </c>
      <c r="W7" s="355">
        <v>33750433.270000003</v>
      </c>
      <c r="X7" s="355">
        <v>36100149.720000006</v>
      </c>
      <c r="Y7" s="355">
        <v>38475401.810000002</v>
      </c>
      <c r="Z7" s="355">
        <v>33960823.980000004</v>
      </c>
      <c r="AA7" s="355">
        <v>36561610.080000013</v>
      </c>
      <c r="AB7" s="355">
        <v>39125040.050000004</v>
      </c>
      <c r="AC7" s="355">
        <v>36874124.920000009</v>
      </c>
      <c r="AD7" s="355">
        <v>42173747.170000009</v>
      </c>
      <c r="AE7" s="355">
        <v>47675399.100000001</v>
      </c>
      <c r="AF7" s="355">
        <v>41282346.650000006</v>
      </c>
      <c r="AG7" s="355">
        <v>40972417.300000004</v>
      </c>
      <c r="AH7" s="355">
        <v>38557859.68</v>
      </c>
      <c r="AI7" s="355">
        <v>37479703.879999995</v>
      </c>
      <c r="AJ7" s="355">
        <v>32025081.750000004</v>
      </c>
      <c r="AK7" s="355">
        <v>32140814.890000001</v>
      </c>
      <c r="AL7" s="355">
        <v>30763920.25</v>
      </c>
      <c r="AM7" s="355">
        <v>35334292.890000001</v>
      </c>
      <c r="AN7" s="355">
        <v>34311088.479999997</v>
      </c>
      <c r="AO7" s="355">
        <v>36757847.039999999</v>
      </c>
      <c r="AP7" s="355">
        <v>42437008.07</v>
      </c>
      <c r="AQ7" s="355">
        <v>46564399.519999996</v>
      </c>
      <c r="AR7" s="355">
        <v>41641503.240000002</v>
      </c>
      <c r="AS7" s="355">
        <v>38444839.949999996</v>
      </c>
      <c r="AT7" s="355">
        <v>31831182.150000006</v>
      </c>
      <c r="AU7" s="355">
        <v>30361232.48</v>
      </c>
      <c r="AV7" s="355">
        <v>32045007.690000001</v>
      </c>
      <c r="AW7" s="355">
        <v>30525209.949999999</v>
      </c>
      <c r="AX7" s="355">
        <v>29434342.700000003</v>
      </c>
      <c r="AY7" s="355">
        <v>30091836.440000001</v>
      </c>
      <c r="AZ7" s="355">
        <v>31448742.199999999</v>
      </c>
      <c r="BA7" s="355">
        <v>34809282.790000007</v>
      </c>
      <c r="BB7" s="404">
        <v>44829436.920000002</v>
      </c>
      <c r="BC7" s="404">
        <v>57427824.769999996</v>
      </c>
      <c r="BD7" s="404">
        <v>47714723.329999998</v>
      </c>
      <c r="BE7" s="404">
        <v>46349639.280000001</v>
      </c>
      <c r="BF7" s="404">
        <v>44995002.140000001</v>
      </c>
      <c r="BG7" s="404">
        <v>37961226.520000011</v>
      </c>
      <c r="BH7" s="404">
        <v>37628565.090000004</v>
      </c>
      <c r="BI7" s="404">
        <v>38186269.560000002</v>
      </c>
      <c r="BJ7" s="404">
        <v>36037868.090000004</v>
      </c>
      <c r="BK7" s="404">
        <v>38034830</v>
      </c>
      <c r="BL7" s="404">
        <v>40510482.890000001</v>
      </c>
      <c r="BM7" s="404">
        <v>41747696.730000004</v>
      </c>
      <c r="BN7" s="404">
        <v>50551459.530000001</v>
      </c>
      <c r="BO7" s="583">
        <v>65115020.080000006</v>
      </c>
      <c r="BP7" s="583">
        <v>60900488.100000009</v>
      </c>
      <c r="BQ7" s="583">
        <v>53646620.089999996</v>
      </c>
      <c r="BR7" s="583">
        <v>50116440.350000001</v>
      </c>
      <c r="BS7" s="583">
        <v>54964320.950000003</v>
      </c>
      <c r="BT7" s="583">
        <v>52433907.390000001</v>
      </c>
      <c r="BU7" s="583">
        <v>52130301.400000006</v>
      </c>
      <c r="BV7" s="583">
        <v>56212606.500000007</v>
      </c>
      <c r="BW7" s="583">
        <v>49362805.340000004</v>
      </c>
      <c r="BX7" s="583">
        <v>51960999.949999996</v>
      </c>
      <c r="BY7" s="583">
        <v>43192050.219999991</v>
      </c>
      <c r="BZ7" s="583">
        <v>54187865.00999999</v>
      </c>
      <c r="CA7" s="583">
        <v>70597899.99999997</v>
      </c>
      <c r="CB7" s="583">
        <v>66926899.999999993</v>
      </c>
      <c r="CC7" s="583">
        <v>60371099.999999985</v>
      </c>
      <c r="CD7" s="583">
        <v>51796099.999999993</v>
      </c>
      <c r="CE7" s="583">
        <v>46941499.999999985</v>
      </c>
      <c r="CF7" s="583">
        <v>44971199.999999985</v>
      </c>
      <c r="CG7" s="583">
        <v>43585899.999999978</v>
      </c>
      <c r="CH7" s="583">
        <v>43049700.000000007</v>
      </c>
      <c r="CI7" s="583">
        <v>44878399.999999978</v>
      </c>
      <c r="CJ7" s="583">
        <v>45774900</v>
      </c>
      <c r="CK7" s="583">
        <v>54194199.99999997</v>
      </c>
      <c r="CL7" s="583">
        <v>59236199.999999993</v>
      </c>
      <c r="CM7" s="583">
        <v>71766499.99999997</v>
      </c>
      <c r="CN7" s="583">
        <v>67926200.000000015</v>
      </c>
      <c r="CO7" s="583">
        <v>60946099.999999993</v>
      </c>
      <c r="CP7" s="583">
        <v>52392500</v>
      </c>
      <c r="CQ7" s="583">
        <v>47476599.999999985</v>
      </c>
      <c r="CR7" s="583">
        <v>45373299.999999978</v>
      </c>
      <c r="CS7" s="583">
        <v>43920399.99999997</v>
      </c>
      <c r="CT7" s="583">
        <v>43371099.999999993</v>
      </c>
      <c r="CU7" s="583">
        <v>45200099.99999997</v>
      </c>
      <c r="CV7" s="583">
        <v>46104599.999999993</v>
      </c>
      <c r="CW7" s="583">
        <v>51491699.999999985</v>
      </c>
      <c r="CX7" s="583">
        <v>59227699.99999997</v>
      </c>
      <c r="CY7" s="1044">
        <f>SUM(CM7:CX7)</f>
        <v>635196800</v>
      </c>
      <c r="CZ7" s="33"/>
      <c r="DA7" s="205"/>
      <c r="DB7" s="452"/>
    </row>
    <row r="8" spans="1:151">
      <c r="A8" t="s">
        <v>410</v>
      </c>
      <c r="C8" s="22"/>
      <c r="D8" s="707">
        <f>(+CY8/1000)</f>
        <v>228428.9</v>
      </c>
      <c r="E8" s="708"/>
      <c r="F8" s="707">
        <f ca="1">SUM(OFFSET(CA8:CL8,0,'Bal Sheet'!$A$1))/1000</f>
        <v>228428.9</v>
      </c>
      <c r="G8" s="359">
        <v>14123756.439999999</v>
      </c>
      <c r="H8" s="359">
        <v>13284704.350000001</v>
      </c>
      <c r="I8" s="359">
        <v>10132613.449999999</v>
      </c>
      <c r="J8" s="359">
        <v>13624311.619999999</v>
      </c>
      <c r="K8" s="359">
        <v>12076232.76</v>
      </c>
      <c r="L8" s="359">
        <v>9351212.1099999994</v>
      </c>
      <c r="M8" s="359">
        <v>11576206.780000001</v>
      </c>
      <c r="N8" s="359">
        <v>16547458.02</v>
      </c>
      <c r="O8" s="359">
        <v>16308798.129999999</v>
      </c>
      <c r="P8" s="359">
        <v>10049997.700000001</v>
      </c>
      <c r="Q8" s="359">
        <v>12227990.450000001</v>
      </c>
      <c r="R8" s="359">
        <v>17224714.670000002</v>
      </c>
      <c r="S8" s="359">
        <v>28323337.009999998</v>
      </c>
      <c r="T8" s="359">
        <v>16877971.170000002</v>
      </c>
      <c r="U8" s="359">
        <v>10656544.970000001</v>
      </c>
      <c r="V8" s="359">
        <v>14035730.630000001</v>
      </c>
      <c r="W8" s="359">
        <v>11584869.24</v>
      </c>
      <c r="X8" s="359">
        <v>13927010.850000001</v>
      </c>
      <c r="Y8" s="359">
        <v>15458251.729999999</v>
      </c>
      <c r="Z8" s="359">
        <v>12079612.24</v>
      </c>
      <c r="AA8" s="359">
        <v>14237102.5</v>
      </c>
      <c r="AB8" s="359">
        <v>16311723.799999997</v>
      </c>
      <c r="AC8" s="359">
        <v>13970101.419999998</v>
      </c>
      <c r="AD8" s="359">
        <v>15719752.549999999</v>
      </c>
      <c r="AE8" s="359">
        <v>19487678.060000002</v>
      </c>
      <c r="AF8" s="359">
        <v>14733147.84</v>
      </c>
      <c r="AG8" s="359">
        <v>14785572.529999999</v>
      </c>
      <c r="AH8" s="359">
        <v>14444981.209999999</v>
      </c>
      <c r="AI8" s="359">
        <v>14046232.980000002</v>
      </c>
      <c r="AJ8" s="359">
        <v>9707830.5600000005</v>
      </c>
      <c r="AK8" s="359">
        <v>9757329.5500000007</v>
      </c>
      <c r="AL8" s="359">
        <v>8618926.2399999984</v>
      </c>
      <c r="AM8" s="359">
        <v>12903755.140000001</v>
      </c>
      <c r="AN8" s="359">
        <v>11404519.58</v>
      </c>
      <c r="AO8" s="359">
        <v>11643663.42</v>
      </c>
      <c r="AP8" s="359">
        <v>14617248.200000001</v>
      </c>
      <c r="AQ8" s="359">
        <v>17024957.799999997</v>
      </c>
      <c r="AR8" s="359">
        <v>13648088.01</v>
      </c>
      <c r="AS8" s="359">
        <v>11822521.219999999</v>
      </c>
      <c r="AT8" s="359">
        <v>9129555.3499999996</v>
      </c>
      <c r="AU8" s="359">
        <v>8251960.5399999991</v>
      </c>
      <c r="AV8" s="359">
        <v>9245049.3399999999</v>
      </c>
      <c r="AW8" s="359">
        <v>8495809.9900000002</v>
      </c>
      <c r="AX8" s="359">
        <v>6929366.8000000007</v>
      </c>
      <c r="AY8" s="359">
        <v>7392128.2000000002</v>
      </c>
      <c r="AZ8" s="359">
        <v>7640179.5300000012</v>
      </c>
      <c r="BA8" s="359">
        <v>10170215.460000001</v>
      </c>
      <c r="BB8" s="403">
        <v>16417657.560000001</v>
      </c>
      <c r="BC8" s="403">
        <v>20452194.869999997</v>
      </c>
      <c r="BD8" s="403">
        <v>16480775.060000002</v>
      </c>
      <c r="BE8" s="403">
        <v>15481339.280000001</v>
      </c>
      <c r="BF8" s="403">
        <v>13943323.74</v>
      </c>
      <c r="BG8" s="403">
        <v>10175093.430000002</v>
      </c>
      <c r="BH8" s="403">
        <v>10244738.020000001</v>
      </c>
      <c r="BI8" s="403">
        <v>10886004.699999999</v>
      </c>
      <c r="BJ8" s="403">
        <v>10059469.49</v>
      </c>
      <c r="BK8" s="403">
        <v>10464940.5</v>
      </c>
      <c r="BL8" s="403">
        <v>13348919.390000001</v>
      </c>
      <c r="BM8" s="403">
        <v>12574748.779999997</v>
      </c>
      <c r="BN8" s="403">
        <v>17167270.149999999</v>
      </c>
      <c r="BO8" s="584">
        <v>28573571.32</v>
      </c>
      <c r="BP8" s="584">
        <v>25605040.670000002</v>
      </c>
      <c r="BQ8" s="584">
        <v>20130271.890000001</v>
      </c>
      <c r="BR8" s="584">
        <v>18116487.979999997</v>
      </c>
      <c r="BS8" s="584">
        <v>23996809.530000001</v>
      </c>
      <c r="BT8" s="584">
        <v>23752235.289999999</v>
      </c>
      <c r="BU8" s="584">
        <v>22736165.91</v>
      </c>
      <c r="BV8" s="584">
        <v>26908758.969999999</v>
      </c>
      <c r="BW8" s="584">
        <v>20760327.030000001</v>
      </c>
      <c r="BX8" s="584">
        <v>20802289.300000001</v>
      </c>
      <c r="BY8" s="584">
        <v>11965096.620000001</v>
      </c>
      <c r="BZ8" s="584">
        <v>20091264.59</v>
      </c>
      <c r="CA8" s="584">
        <v>32330700</v>
      </c>
      <c r="CB8" s="584">
        <v>30137200</v>
      </c>
      <c r="CC8" s="584">
        <v>24809900</v>
      </c>
      <c r="CD8" s="584">
        <v>18243800</v>
      </c>
      <c r="CE8" s="584">
        <v>15145400</v>
      </c>
      <c r="CF8" s="584">
        <v>13843900</v>
      </c>
      <c r="CG8" s="584">
        <v>13329600</v>
      </c>
      <c r="CH8" s="584">
        <v>12910100</v>
      </c>
      <c r="CI8" s="584">
        <v>13755000</v>
      </c>
      <c r="CJ8" s="584">
        <v>14886200</v>
      </c>
      <c r="CK8" s="584">
        <v>17661600</v>
      </c>
      <c r="CL8" s="584">
        <v>21375500</v>
      </c>
      <c r="CM8" s="584">
        <v>32330700</v>
      </c>
      <c r="CN8" s="584">
        <v>30137200</v>
      </c>
      <c r="CO8" s="584">
        <v>24809900</v>
      </c>
      <c r="CP8" s="584">
        <v>18243800</v>
      </c>
      <c r="CQ8" s="584">
        <v>15145400</v>
      </c>
      <c r="CR8" s="584">
        <v>13843900</v>
      </c>
      <c r="CS8" s="584">
        <v>13329600</v>
      </c>
      <c r="CT8" s="584">
        <v>12910100</v>
      </c>
      <c r="CU8" s="584">
        <v>13755000</v>
      </c>
      <c r="CV8" s="584">
        <v>14886200</v>
      </c>
      <c r="CW8" s="584">
        <v>17661600</v>
      </c>
      <c r="CX8" s="584">
        <v>21375500</v>
      </c>
      <c r="CY8" s="1045">
        <f t="shared" ref="CY8:CY9" si="0">SUM(CM8:CX8)</f>
        <v>228428900</v>
      </c>
      <c r="CZ8" s="33"/>
      <c r="DA8" s="205"/>
      <c r="DB8" s="33"/>
    </row>
    <row r="9" spans="1:151">
      <c r="A9" t="s">
        <v>411</v>
      </c>
      <c r="C9" s="22"/>
      <c r="D9" s="709">
        <f t="shared" ref="D9" si="1">+D7-D8</f>
        <v>406767.9</v>
      </c>
      <c r="E9" s="708"/>
      <c r="F9" s="709">
        <f ca="1">SUM(OFFSET(CA9:CL9,0,'Bal Sheet'!$A$1))/1000</f>
        <v>406767.89999999991</v>
      </c>
      <c r="G9" s="251">
        <f t="shared" ref="G9:R9" si="2">+G7-G8</f>
        <v>24885877.550000004</v>
      </c>
      <c r="H9" s="251">
        <f t="shared" si="2"/>
        <v>22840424.429999992</v>
      </c>
      <c r="I9" s="251">
        <f t="shared" si="2"/>
        <v>23866653.34</v>
      </c>
      <c r="J9" s="251">
        <f t="shared" si="2"/>
        <v>23164580.399999999</v>
      </c>
      <c r="K9" s="251">
        <f t="shared" si="2"/>
        <v>21967245.360000007</v>
      </c>
      <c r="L9" s="251">
        <f t="shared" si="2"/>
        <v>21276537.759999998</v>
      </c>
      <c r="M9" s="251">
        <f t="shared" si="2"/>
        <v>20320274.75</v>
      </c>
      <c r="N9" s="251">
        <f t="shared" si="2"/>
        <v>20861202.859999996</v>
      </c>
      <c r="O9" s="251">
        <f t="shared" si="2"/>
        <v>20911262.430000003</v>
      </c>
      <c r="P9" s="251">
        <f t="shared" si="2"/>
        <v>21214728.839999996</v>
      </c>
      <c r="Q9" s="251">
        <f t="shared" si="2"/>
        <v>22226216.310000002</v>
      </c>
      <c r="R9" s="251">
        <f t="shared" si="2"/>
        <v>24917364.160000011</v>
      </c>
      <c r="S9" s="251">
        <f t="shared" ref="S9:AD9" si="3">+S7-S8</f>
        <v>31414031.479999997</v>
      </c>
      <c r="T9" s="251">
        <f t="shared" si="3"/>
        <v>26578531.539999999</v>
      </c>
      <c r="U9" s="251">
        <f t="shared" si="3"/>
        <v>24782740.369999997</v>
      </c>
      <c r="V9" s="251">
        <f t="shared" si="3"/>
        <v>26927401.940000005</v>
      </c>
      <c r="W9" s="251">
        <f t="shared" si="3"/>
        <v>22165564.030000001</v>
      </c>
      <c r="X9" s="251">
        <f t="shared" si="3"/>
        <v>22173138.870000005</v>
      </c>
      <c r="Y9" s="251">
        <f t="shared" si="3"/>
        <v>23017150.080000006</v>
      </c>
      <c r="Z9" s="251">
        <f t="shared" si="3"/>
        <v>21881211.740000002</v>
      </c>
      <c r="AA9" s="251">
        <f t="shared" si="3"/>
        <v>22324507.580000013</v>
      </c>
      <c r="AB9" s="251">
        <f t="shared" si="3"/>
        <v>22813316.250000007</v>
      </c>
      <c r="AC9" s="251">
        <f t="shared" si="3"/>
        <v>22904023.500000011</v>
      </c>
      <c r="AD9" s="251">
        <f t="shared" si="3"/>
        <v>26453994.620000012</v>
      </c>
      <c r="AE9" s="251">
        <f t="shared" ref="AE9:AP9" si="4">+AE7-AE8</f>
        <v>28187721.039999999</v>
      </c>
      <c r="AF9" s="251">
        <f t="shared" si="4"/>
        <v>26549198.810000006</v>
      </c>
      <c r="AG9" s="251">
        <f t="shared" si="4"/>
        <v>26186844.770000003</v>
      </c>
      <c r="AH9" s="251">
        <f t="shared" si="4"/>
        <v>24112878.469999999</v>
      </c>
      <c r="AI9" s="251">
        <f t="shared" si="4"/>
        <v>23433470.899999991</v>
      </c>
      <c r="AJ9" s="251">
        <f t="shared" si="4"/>
        <v>22317251.190000005</v>
      </c>
      <c r="AK9" s="251">
        <f t="shared" si="4"/>
        <v>22383485.34</v>
      </c>
      <c r="AL9" s="251">
        <f t="shared" si="4"/>
        <v>22144994.010000002</v>
      </c>
      <c r="AM9" s="251">
        <f t="shared" si="4"/>
        <v>22430537.75</v>
      </c>
      <c r="AN9" s="251">
        <f t="shared" si="4"/>
        <v>22906568.899999999</v>
      </c>
      <c r="AO9" s="251">
        <f t="shared" si="4"/>
        <v>25114183.619999997</v>
      </c>
      <c r="AP9" s="251">
        <f t="shared" si="4"/>
        <v>27819759.869999997</v>
      </c>
      <c r="AQ9" s="251">
        <f t="shared" ref="AQ9:AW9" si="5">+AQ7-AQ8</f>
        <v>29539441.719999999</v>
      </c>
      <c r="AR9" s="251">
        <f t="shared" si="5"/>
        <v>27993415.230000004</v>
      </c>
      <c r="AS9" s="251">
        <f t="shared" si="5"/>
        <v>26622318.729999997</v>
      </c>
      <c r="AT9" s="251">
        <f t="shared" si="5"/>
        <v>22701626.800000004</v>
      </c>
      <c r="AU9" s="251">
        <f t="shared" si="5"/>
        <v>22109271.940000001</v>
      </c>
      <c r="AV9" s="251">
        <f t="shared" si="5"/>
        <v>22799958.350000001</v>
      </c>
      <c r="AW9" s="251">
        <f t="shared" si="5"/>
        <v>22029399.960000001</v>
      </c>
      <c r="AX9" s="251">
        <f t="shared" ref="AX9:BB9" si="6">+AX7-AX8</f>
        <v>22504975.900000002</v>
      </c>
      <c r="AY9" s="251">
        <f t="shared" si="6"/>
        <v>22699708.240000002</v>
      </c>
      <c r="AZ9" s="251">
        <f t="shared" si="6"/>
        <v>23808562.669999998</v>
      </c>
      <c r="BA9" s="251">
        <f t="shared" si="6"/>
        <v>24639067.330000006</v>
      </c>
      <c r="BB9" s="686">
        <f t="shared" si="6"/>
        <v>28411779.359999999</v>
      </c>
      <c r="BC9" s="686">
        <f t="shared" ref="BC9:BN9" si="7">+BC7-BC8</f>
        <v>36975629.899999999</v>
      </c>
      <c r="BD9" s="686">
        <f t="shared" si="7"/>
        <v>31233948.269999996</v>
      </c>
      <c r="BE9" s="686">
        <f t="shared" si="7"/>
        <v>30868300</v>
      </c>
      <c r="BF9" s="686">
        <f t="shared" si="7"/>
        <v>31051678.399999999</v>
      </c>
      <c r="BG9" s="686">
        <f t="shared" si="7"/>
        <v>27786133.090000011</v>
      </c>
      <c r="BH9" s="686">
        <f t="shared" si="7"/>
        <v>27383827.07</v>
      </c>
      <c r="BI9" s="686">
        <f t="shared" si="7"/>
        <v>27300264.860000003</v>
      </c>
      <c r="BJ9" s="686">
        <f t="shared" si="7"/>
        <v>25978398.600000001</v>
      </c>
      <c r="BK9" s="686">
        <f t="shared" si="7"/>
        <v>27569889.5</v>
      </c>
      <c r="BL9" s="686">
        <f t="shared" si="7"/>
        <v>27161563.5</v>
      </c>
      <c r="BM9" s="686">
        <f t="shared" si="7"/>
        <v>29172947.950000007</v>
      </c>
      <c r="BN9" s="686">
        <f t="shared" si="7"/>
        <v>33384189.380000003</v>
      </c>
      <c r="BO9" s="686">
        <f t="shared" ref="BO9:BZ9" si="8">+BO7-BO8</f>
        <v>36541448.760000005</v>
      </c>
      <c r="BP9" s="686">
        <f t="shared" si="8"/>
        <v>35295447.430000007</v>
      </c>
      <c r="BQ9" s="686">
        <f t="shared" si="8"/>
        <v>33516348.199999996</v>
      </c>
      <c r="BR9" s="686">
        <f t="shared" si="8"/>
        <v>31999952.370000005</v>
      </c>
      <c r="BS9" s="686">
        <f t="shared" si="8"/>
        <v>30967511.420000002</v>
      </c>
      <c r="BT9" s="686">
        <f t="shared" si="8"/>
        <v>28681672.100000001</v>
      </c>
      <c r="BU9" s="686">
        <f t="shared" si="8"/>
        <v>29394135.490000006</v>
      </c>
      <c r="BV9" s="686">
        <f t="shared" si="8"/>
        <v>29303847.530000009</v>
      </c>
      <c r="BW9" s="686">
        <f t="shared" si="8"/>
        <v>28602478.310000002</v>
      </c>
      <c r="BX9" s="686">
        <f t="shared" si="8"/>
        <v>31158710.649999995</v>
      </c>
      <c r="BY9" s="686">
        <f t="shared" si="8"/>
        <v>31226953.59999999</v>
      </c>
      <c r="BZ9" s="686">
        <f t="shared" si="8"/>
        <v>34096600.419999987</v>
      </c>
      <c r="CA9" s="686">
        <f t="shared" ref="CA9:CL9" si="9">+CA7-CA8</f>
        <v>38267199.99999997</v>
      </c>
      <c r="CB9" s="686">
        <f t="shared" si="9"/>
        <v>36789699.999999993</v>
      </c>
      <c r="CC9" s="686">
        <f t="shared" si="9"/>
        <v>35561199.999999985</v>
      </c>
      <c r="CD9" s="686">
        <f t="shared" si="9"/>
        <v>33552299.999999993</v>
      </c>
      <c r="CE9" s="686">
        <f t="shared" si="9"/>
        <v>31796099.999999985</v>
      </c>
      <c r="CF9" s="686">
        <f t="shared" si="9"/>
        <v>31127299.999999985</v>
      </c>
      <c r="CG9" s="686">
        <f t="shared" si="9"/>
        <v>30256299.999999978</v>
      </c>
      <c r="CH9" s="686">
        <f t="shared" si="9"/>
        <v>30139600.000000007</v>
      </c>
      <c r="CI9" s="686">
        <f t="shared" si="9"/>
        <v>31123399.999999978</v>
      </c>
      <c r="CJ9" s="686">
        <f t="shared" si="9"/>
        <v>30888700</v>
      </c>
      <c r="CK9" s="686">
        <f t="shared" si="9"/>
        <v>36532599.99999997</v>
      </c>
      <c r="CL9" s="686">
        <f t="shared" si="9"/>
        <v>37860699.999999993</v>
      </c>
      <c r="CM9" s="686">
        <f t="shared" ref="CM9" si="10">+CM7-CM8</f>
        <v>39435799.99999997</v>
      </c>
      <c r="CN9" s="686">
        <f t="shared" ref="CN9:CX9" si="11">+CN7-CN8</f>
        <v>37789000.000000015</v>
      </c>
      <c r="CO9" s="686">
        <f t="shared" si="11"/>
        <v>36136199.999999993</v>
      </c>
      <c r="CP9" s="686">
        <f t="shared" si="11"/>
        <v>34148700</v>
      </c>
      <c r="CQ9" s="686">
        <f t="shared" si="11"/>
        <v>32331199.999999985</v>
      </c>
      <c r="CR9" s="686">
        <f t="shared" si="11"/>
        <v>31529399.999999978</v>
      </c>
      <c r="CS9" s="686">
        <f t="shared" si="11"/>
        <v>30590799.99999997</v>
      </c>
      <c r="CT9" s="686">
        <f t="shared" si="11"/>
        <v>30460999.999999993</v>
      </c>
      <c r="CU9" s="686">
        <f t="shared" si="11"/>
        <v>31445099.99999997</v>
      </c>
      <c r="CV9" s="686">
        <f t="shared" si="11"/>
        <v>31218399.999999993</v>
      </c>
      <c r="CW9" s="686">
        <f t="shared" si="11"/>
        <v>33830099.999999985</v>
      </c>
      <c r="CX9" s="686">
        <f t="shared" si="11"/>
        <v>37852199.99999997</v>
      </c>
      <c r="CY9" s="604">
        <f t="shared" si="0"/>
        <v>406767899.99999988</v>
      </c>
      <c r="CZ9" s="33"/>
      <c r="DA9" s="205"/>
      <c r="DB9" s="33"/>
    </row>
    <row r="10" spans="1:151">
      <c r="C10" s="22"/>
      <c r="D10" s="707"/>
      <c r="E10" s="708"/>
      <c r="F10" s="707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  <c r="CK10" s="596"/>
      <c r="CL10" s="596"/>
      <c r="CM10" s="596"/>
      <c r="CN10" s="596"/>
      <c r="CO10" s="596"/>
      <c r="CP10" s="596"/>
      <c r="CQ10" s="596"/>
      <c r="CR10" s="596"/>
      <c r="CS10" s="596"/>
      <c r="CT10" s="596"/>
      <c r="CU10" s="596"/>
      <c r="CV10" s="596"/>
      <c r="CW10" s="596"/>
      <c r="CX10" s="596"/>
      <c r="CY10" s="604"/>
      <c r="DA10" s="205"/>
      <c r="DB10" s="33"/>
    </row>
    <row r="11" spans="1:151">
      <c r="A11" t="s">
        <v>412</v>
      </c>
      <c r="C11" s="22"/>
      <c r="D11" s="707">
        <f t="shared" ref="D11:D19" si="12">(+CY11/1000)</f>
        <v>176207.9</v>
      </c>
      <c r="E11" s="708"/>
      <c r="F11" s="707">
        <f ca="1">SUM(OFFSET(CA11:CL11,0,'Bal Sheet'!$A$1))/1000</f>
        <v>176207.9</v>
      </c>
      <c r="G11" s="357">
        <v>7865164.410000002</v>
      </c>
      <c r="H11" s="357">
        <v>8269551.7300000014</v>
      </c>
      <c r="I11" s="357">
        <v>8260874.8500000006</v>
      </c>
      <c r="J11" s="357">
        <v>8496644.8100000005</v>
      </c>
      <c r="K11" s="357">
        <v>8318895.7199999997</v>
      </c>
      <c r="L11" s="357">
        <v>9566681.879999999</v>
      </c>
      <c r="M11" s="357">
        <v>8228868.1500000004</v>
      </c>
      <c r="N11" s="357">
        <v>8945266.620000001</v>
      </c>
      <c r="O11" s="357">
        <v>8838165.0500000007</v>
      </c>
      <c r="P11" s="357">
        <v>8999891.8099999987</v>
      </c>
      <c r="Q11" s="357">
        <v>8987604.1400000006</v>
      </c>
      <c r="R11" s="357">
        <v>8921564.7200000025</v>
      </c>
      <c r="S11" s="357">
        <v>10389126.91</v>
      </c>
      <c r="T11" s="357">
        <v>11405438.720000001</v>
      </c>
      <c r="U11" s="357">
        <v>11489755.91</v>
      </c>
      <c r="V11" s="357">
        <v>11848054.140000001</v>
      </c>
      <c r="W11" s="357">
        <v>10278946.560000001</v>
      </c>
      <c r="X11" s="357">
        <v>10162091.91</v>
      </c>
      <c r="Y11" s="357">
        <v>11144812.370000003</v>
      </c>
      <c r="Z11" s="357">
        <v>10559682.59</v>
      </c>
      <c r="AA11" s="357">
        <v>2936739.0100000007</v>
      </c>
      <c r="AB11" s="357">
        <v>10667708.469999999</v>
      </c>
      <c r="AC11" s="357">
        <v>10051616.659999998</v>
      </c>
      <c r="AD11" s="357">
        <v>10828374.869999999</v>
      </c>
      <c r="AE11" s="357">
        <v>10704047.970000001</v>
      </c>
      <c r="AF11" s="357">
        <v>10197302.529999999</v>
      </c>
      <c r="AG11" s="357">
        <v>10933807.130000001</v>
      </c>
      <c r="AH11" s="357">
        <v>9452738.7199999988</v>
      </c>
      <c r="AI11" s="357">
        <v>9623196.75</v>
      </c>
      <c r="AJ11" s="357">
        <v>10004876.34</v>
      </c>
      <c r="AK11" s="357">
        <v>10836839.369999999</v>
      </c>
      <c r="AL11" s="357">
        <v>10289937.84</v>
      </c>
      <c r="AM11" s="357">
        <v>10658872.26</v>
      </c>
      <c r="AN11" s="357">
        <v>10816141.519999998</v>
      </c>
      <c r="AO11" s="357">
        <v>11388449.270000003</v>
      </c>
      <c r="AP11" s="357">
        <v>13809685.580000004</v>
      </c>
      <c r="AQ11" s="357">
        <v>10646212.800000001</v>
      </c>
      <c r="AR11" s="357">
        <v>11589610.57</v>
      </c>
      <c r="AS11" s="357">
        <v>12036201.48</v>
      </c>
      <c r="AT11" s="357">
        <v>10133297.039999999</v>
      </c>
      <c r="AU11" s="357">
        <v>9496298.040000001</v>
      </c>
      <c r="AV11" s="357">
        <v>10924631.790000003</v>
      </c>
      <c r="AW11" s="357">
        <v>10202309.84</v>
      </c>
      <c r="AX11" s="357">
        <v>10103527.440000001</v>
      </c>
      <c r="AY11" s="357">
        <v>10896470.880000001</v>
      </c>
      <c r="AZ11" s="357">
        <v>12718271.51</v>
      </c>
      <c r="BA11" s="357">
        <v>9979721.5499999989</v>
      </c>
      <c r="BB11" s="404">
        <v>14552383.76</v>
      </c>
      <c r="BC11" s="404">
        <v>11859828.670000002</v>
      </c>
      <c r="BD11" s="404">
        <v>11091194.499999998</v>
      </c>
      <c r="BE11" s="404">
        <v>11222752.209999999</v>
      </c>
      <c r="BF11" s="404">
        <v>10992290.48</v>
      </c>
      <c r="BG11" s="404">
        <v>10570744.020000001</v>
      </c>
      <c r="BH11" s="404">
        <v>11346348.880000001</v>
      </c>
      <c r="BI11" s="404">
        <v>11808795.57</v>
      </c>
      <c r="BJ11" s="404">
        <v>10489196.460000001</v>
      </c>
      <c r="BK11" s="404">
        <v>12746654.459999999</v>
      </c>
      <c r="BL11" s="404">
        <v>11250399.399999999</v>
      </c>
      <c r="BM11" s="404">
        <v>11186756.789999999</v>
      </c>
      <c r="BN11" s="404">
        <v>15466521.239999996</v>
      </c>
      <c r="BO11" s="583">
        <v>11817209.380000001</v>
      </c>
      <c r="BP11" s="583">
        <v>11981353.629999997</v>
      </c>
      <c r="BQ11" s="583">
        <v>13154234.879999995</v>
      </c>
      <c r="BR11" s="583">
        <v>11891382.190000001</v>
      </c>
      <c r="BS11" s="583">
        <v>11788210.339999996</v>
      </c>
      <c r="BT11" s="583">
        <v>13945951.32</v>
      </c>
      <c r="BU11" s="583">
        <v>13166863.370000001</v>
      </c>
      <c r="BV11" s="583">
        <v>12431270.190000001</v>
      </c>
      <c r="BW11" s="583">
        <v>13792995.849999996</v>
      </c>
      <c r="BX11" s="583">
        <v>13302596.949999997</v>
      </c>
      <c r="BY11" s="583">
        <v>12296445.33</v>
      </c>
      <c r="BZ11" s="583">
        <v>13472778.250000002</v>
      </c>
      <c r="CA11" s="583">
        <v>12998199.999999994</v>
      </c>
      <c r="CB11" s="583">
        <v>12383600</v>
      </c>
      <c r="CC11" s="583">
        <v>13923799.999999998</v>
      </c>
      <c r="CD11" s="583">
        <v>11859400</v>
      </c>
      <c r="CE11" s="583">
        <v>12426599.999999996</v>
      </c>
      <c r="CF11" s="583">
        <v>13554099.999999998</v>
      </c>
      <c r="CG11" s="583">
        <v>12264800.000000002</v>
      </c>
      <c r="CH11" s="583">
        <v>12334699.999999998</v>
      </c>
      <c r="CI11" s="583">
        <v>12947700</v>
      </c>
      <c r="CJ11" s="583">
        <v>12327899.999999998</v>
      </c>
      <c r="CK11" s="583">
        <v>14521499.999999994</v>
      </c>
      <c r="CL11" s="583">
        <v>14203099.999999998</v>
      </c>
      <c r="CM11" s="583">
        <v>15021700.000000002</v>
      </c>
      <c r="CN11" s="583">
        <v>14162599.999999998</v>
      </c>
      <c r="CO11" s="583">
        <v>15468599.999999996</v>
      </c>
      <c r="CP11" s="583">
        <v>13953899.999999996</v>
      </c>
      <c r="CQ11" s="583">
        <v>14340299.999999996</v>
      </c>
      <c r="CR11" s="583">
        <v>15122599.999999994</v>
      </c>
      <c r="CS11" s="583">
        <v>14393599.999999994</v>
      </c>
      <c r="CT11" s="583">
        <v>14069899.999999994</v>
      </c>
      <c r="CU11" s="583">
        <v>14821499.999999998</v>
      </c>
      <c r="CV11" s="583">
        <v>14321899.999999996</v>
      </c>
      <c r="CW11" s="583">
        <v>14555200</v>
      </c>
      <c r="CX11" s="583">
        <v>15976099.999999991</v>
      </c>
      <c r="CY11" s="1044">
        <f t="shared" ref="CY11:CY20" si="13">SUM(CM11:CX11)</f>
        <v>176207900</v>
      </c>
      <c r="CZ11" s="33"/>
      <c r="DA11" s="205"/>
      <c r="DB11" s="33"/>
    </row>
    <row r="12" spans="1:151">
      <c r="A12" t="s">
        <v>413</v>
      </c>
      <c r="C12" s="22"/>
      <c r="D12" s="707">
        <f t="shared" si="12"/>
        <v>80339.8</v>
      </c>
      <c r="E12" s="708"/>
      <c r="F12" s="707">
        <f ca="1">SUM(OFFSET(CA12:CL12,0,'Bal Sheet'!$A$1))/1000</f>
        <v>80339.8</v>
      </c>
      <c r="G12" s="355">
        <v>3595775.31</v>
      </c>
      <c r="H12" s="355">
        <v>3616299.31</v>
      </c>
      <c r="I12" s="355">
        <v>3633375.89</v>
      </c>
      <c r="J12" s="355">
        <v>3642311.28</v>
      </c>
      <c r="K12" s="355">
        <v>3646711.86</v>
      </c>
      <c r="L12" s="355">
        <v>3664703.01</v>
      </c>
      <c r="M12" s="355">
        <v>3681094.35</v>
      </c>
      <c r="N12" s="355">
        <v>3699572.6</v>
      </c>
      <c r="O12" s="355">
        <v>3720976.73</v>
      </c>
      <c r="P12" s="355">
        <v>3759140.47</v>
      </c>
      <c r="Q12" s="355">
        <v>3784764.26</v>
      </c>
      <c r="R12" s="355">
        <v>3802460.82</v>
      </c>
      <c r="S12" s="355">
        <v>3828881.35</v>
      </c>
      <c r="T12" s="355">
        <v>3858918.81</v>
      </c>
      <c r="U12" s="355">
        <v>3877230.57</v>
      </c>
      <c r="V12" s="355">
        <v>3905747.53</v>
      </c>
      <c r="W12" s="355">
        <v>3922730.34</v>
      </c>
      <c r="X12" s="355">
        <v>3962454.71</v>
      </c>
      <c r="Y12" s="355">
        <v>3982806.7</v>
      </c>
      <c r="Z12" s="355">
        <v>4002276.8</v>
      </c>
      <c r="AA12" s="355">
        <v>4045105.27</v>
      </c>
      <c r="AB12" s="355">
        <v>4031307.23</v>
      </c>
      <c r="AC12" s="355">
        <v>4072746.98</v>
      </c>
      <c r="AD12" s="355">
        <v>4134643.13</v>
      </c>
      <c r="AE12" s="355">
        <v>3107962.62</v>
      </c>
      <c r="AF12" s="355">
        <v>3127764.88</v>
      </c>
      <c r="AG12" s="355">
        <v>3164395.09</v>
      </c>
      <c r="AH12" s="355">
        <v>3192930.59</v>
      </c>
      <c r="AI12" s="355">
        <v>3215751.7</v>
      </c>
      <c r="AJ12" s="355">
        <v>3240566.32</v>
      </c>
      <c r="AK12" s="355">
        <v>3269450.45</v>
      </c>
      <c r="AL12" s="355">
        <v>3291399.24</v>
      </c>
      <c r="AM12" s="355">
        <v>3306879.04</v>
      </c>
      <c r="AN12" s="355">
        <v>3343583.3</v>
      </c>
      <c r="AO12" s="355">
        <v>3354950.57</v>
      </c>
      <c r="AP12" s="355">
        <v>3395513.35</v>
      </c>
      <c r="AQ12" s="355">
        <v>3428541.86</v>
      </c>
      <c r="AR12" s="355">
        <v>3444795.37</v>
      </c>
      <c r="AS12" s="355">
        <v>3482418.96</v>
      </c>
      <c r="AT12" s="355">
        <v>3513602.62</v>
      </c>
      <c r="AU12" s="355">
        <v>3534644.66</v>
      </c>
      <c r="AV12" s="355">
        <v>3555660.03</v>
      </c>
      <c r="AW12" s="355">
        <v>3580039.27</v>
      </c>
      <c r="AX12" s="355">
        <v>3598451.29</v>
      </c>
      <c r="AY12" s="355">
        <v>3632403.4</v>
      </c>
      <c r="AZ12" s="355">
        <v>3656996.48</v>
      </c>
      <c r="BA12" s="355">
        <v>3752982.95</v>
      </c>
      <c r="BB12" s="404">
        <v>3789137.69</v>
      </c>
      <c r="BC12" s="404">
        <v>4058861.98</v>
      </c>
      <c r="BD12" s="404">
        <v>4092393.43</v>
      </c>
      <c r="BE12" s="404">
        <v>4088038.85</v>
      </c>
      <c r="BF12" s="404">
        <v>4119088.03</v>
      </c>
      <c r="BG12" s="404">
        <v>4253544.55</v>
      </c>
      <c r="BH12" s="404">
        <v>4279271.59</v>
      </c>
      <c r="BI12" s="404">
        <v>4304775.75</v>
      </c>
      <c r="BJ12" s="404">
        <v>4323312.1900000004</v>
      </c>
      <c r="BK12" s="404">
        <v>4344549.92</v>
      </c>
      <c r="BL12" s="404">
        <v>4358337.1100000003</v>
      </c>
      <c r="BM12" s="404">
        <v>4383559.29</v>
      </c>
      <c r="BN12" s="404">
        <v>4514855.82</v>
      </c>
      <c r="BO12" s="583">
        <v>4556223.72</v>
      </c>
      <c r="BP12" s="583">
        <v>4580607.3600000003</v>
      </c>
      <c r="BQ12" s="583">
        <v>-192470.77</v>
      </c>
      <c r="BR12" s="583">
        <v>4621121.43</v>
      </c>
      <c r="BS12" s="583">
        <v>4653219.08</v>
      </c>
      <c r="BT12" s="583">
        <v>-96220.41</v>
      </c>
      <c r="BU12" s="583">
        <v>4717547.8899999997</v>
      </c>
      <c r="BV12" s="583">
        <v>4710523.5599999996</v>
      </c>
      <c r="BW12" s="583">
        <v>-42495.4</v>
      </c>
      <c r="BX12" s="583">
        <v>4762167.58</v>
      </c>
      <c r="BY12" s="583">
        <v>4864802.5199999996</v>
      </c>
      <c r="BZ12" s="583">
        <v>4887440.9400000004</v>
      </c>
      <c r="CA12" s="583">
        <v>4910100</v>
      </c>
      <c r="CB12" s="583">
        <v>5136300</v>
      </c>
      <c r="CC12" s="583">
        <v>165700</v>
      </c>
      <c r="CD12" s="583">
        <v>5457900</v>
      </c>
      <c r="CE12" s="583">
        <v>5498600</v>
      </c>
      <c r="CF12" s="583">
        <v>1532200</v>
      </c>
      <c r="CG12" s="583">
        <v>5567800</v>
      </c>
      <c r="CH12" s="583">
        <v>5595400</v>
      </c>
      <c r="CI12" s="583">
        <v>3233700.0000000005</v>
      </c>
      <c r="CJ12" s="583">
        <v>5655400</v>
      </c>
      <c r="CK12" s="583">
        <v>5682300</v>
      </c>
      <c r="CL12" s="583">
        <v>-2186400</v>
      </c>
      <c r="CM12" s="583">
        <v>6500900</v>
      </c>
      <c r="CN12" s="583">
        <v>6538500</v>
      </c>
      <c r="CO12" s="583">
        <v>6573399.9999999991</v>
      </c>
      <c r="CP12" s="583">
        <v>6612500</v>
      </c>
      <c r="CQ12" s="583">
        <v>6628000</v>
      </c>
      <c r="CR12" s="583">
        <v>6666000</v>
      </c>
      <c r="CS12" s="583">
        <v>6705300</v>
      </c>
      <c r="CT12" s="583">
        <v>6739600</v>
      </c>
      <c r="CU12" s="583">
        <v>6780500</v>
      </c>
      <c r="CV12" s="583">
        <v>6829600</v>
      </c>
      <c r="CW12" s="583">
        <v>6864800</v>
      </c>
      <c r="CX12" s="583">
        <v>6900699.9999999991</v>
      </c>
      <c r="CY12" s="1044">
        <f t="shared" si="13"/>
        <v>80339800</v>
      </c>
      <c r="CZ12" s="33"/>
      <c r="DA12" s="205"/>
      <c r="DB12" s="33"/>
    </row>
    <row r="13" spans="1:151">
      <c r="A13" t="s">
        <v>414</v>
      </c>
      <c r="C13" s="22"/>
      <c r="D13" s="707">
        <f t="shared" si="12"/>
        <v>7436.3</v>
      </c>
      <c r="E13" s="708"/>
      <c r="F13" s="707">
        <f ca="1">SUM(OFFSET(CA13:CL13,0,'Bal Sheet'!$A$1))/1000</f>
        <v>7436.3</v>
      </c>
      <c r="G13" s="355">
        <v>155958.22</v>
      </c>
      <c r="H13" s="355">
        <v>155958.41</v>
      </c>
      <c r="I13" s="355">
        <v>155959.65</v>
      </c>
      <c r="J13" s="355">
        <v>158368.13</v>
      </c>
      <c r="K13" s="355">
        <v>157782.47</v>
      </c>
      <c r="L13" s="355">
        <v>157809.01999999999</v>
      </c>
      <c r="M13" s="355">
        <v>158117.35999999999</v>
      </c>
      <c r="N13" s="355">
        <v>158131.23000000001</v>
      </c>
      <c r="O13" s="355">
        <v>158476.85</v>
      </c>
      <c r="P13" s="355">
        <v>158503.75</v>
      </c>
      <c r="Q13" s="355">
        <v>158595.5</v>
      </c>
      <c r="R13" s="355">
        <v>158595.15</v>
      </c>
      <c r="S13" s="355">
        <v>160184.29999999999</v>
      </c>
      <c r="T13" s="355">
        <v>160187.41</v>
      </c>
      <c r="U13" s="355">
        <v>160210.32999999999</v>
      </c>
      <c r="V13" s="355">
        <v>161347.1</v>
      </c>
      <c r="W13" s="355">
        <v>161706.65</v>
      </c>
      <c r="X13" s="355">
        <v>161723.91</v>
      </c>
      <c r="Y13" s="355">
        <v>161648.19</v>
      </c>
      <c r="Z13" s="355">
        <v>163599.94</v>
      </c>
      <c r="AA13" s="355">
        <v>163761.54</v>
      </c>
      <c r="AB13" s="355">
        <v>163948.59</v>
      </c>
      <c r="AC13" s="355">
        <v>168391.29</v>
      </c>
      <c r="AD13" s="355">
        <v>168590.2</v>
      </c>
      <c r="AE13" s="355">
        <v>175750.58</v>
      </c>
      <c r="AF13" s="355">
        <v>176244.21</v>
      </c>
      <c r="AG13" s="355">
        <v>176111.99</v>
      </c>
      <c r="AH13" s="355">
        <v>176101.6</v>
      </c>
      <c r="AI13" s="355">
        <v>176152.95</v>
      </c>
      <c r="AJ13" s="355">
        <v>172556.62</v>
      </c>
      <c r="AK13" s="355">
        <v>172563.25</v>
      </c>
      <c r="AL13" s="355">
        <v>172487.48</v>
      </c>
      <c r="AM13" s="355">
        <v>172554.12</v>
      </c>
      <c r="AN13" s="355">
        <v>178817.54</v>
      </c>
      <c r="AO13" s="355">
        <v>179457.42</v>
      </c>
      <c r="AP13" s="355">
        <v>180492.46</v>
      </c>
      <c r="AQ13" s="355">
        <v>186368.99</v>
      </c>
      <c r="AR13" s="355">
        <v>184231.94</v>
      </c>
      <c r="AS13" s="355">
        <v>185353.5</v>
      </c>
      <c r="AT13" s="355">
        <v>184520.25</v>
      </c>
      <c r="AU13" s="355">
        <v>184391.25</v>
      </c>
      <c r="AV13" s="355">
        <v>184507.58</v>
      </c>
      <c r="AW13" s="355">
        <v>185260.31</v>
      </c>
      <c r="AX13" s="355">
        <v>185376.15</v>
      </c>
      <c r="AY13" s="355">
        <v>183665.84</v>
      </c>
      <c r="AZ13" s="355">
        <v>183812.57</v>
      </c>
      <c r="BA13" s="355">
        <v>274286.36</v>
      </c>
      <c r="BB13" s="404">
        <v>274706.28999999998</v>
      </c>
      <c r="BC13" s="404">
        <v>270651.27</v>
      </c>
      <c r="BD13" s="404">
        <v>270886.17</v>
      </c>
      <c r="BE13" s="404">
        <v>271218.26</v>
      </c>
      <c r="BF13" s="404">
        <v>285406.7</v>
      </c>
      <c r="BG13" s="404">
        <v>301060.37</v>
      </c>
      <c r="BH13" s="404">
        <v>302455.27</v>
      </c>
      <c r="BI13" s="404">
        <v>303895.84999999998</v>
      </c>
      <c r="BJ13" s="404">
        <v>305319.11</v>
      </c>
      <c r="BK13" s="404">
        <v>305870.89</v>
      </c>
      <c r="BL13" s="404">
        <v>306026.75</v>
      </c>
      <c r="BM13" s="404">
        <v>306171.98</v>
      </c>
      <c r="BN13" s="404">
        <v>306369.34999999998</v>
      </c>
      <c r="BO13" s="583">
        <v>306480.17</v>
      </c>
      <c r="BP13" s="583">
        <v>306715.53999999998</v>
      </c>
      <c r="BQ13" s="583">
        <v>339061.6</v>
      </c>
      <c r="BR13" s="583">
        <v>339744.77</v>
      </c>
      <c r="BS13" s="583">
        <v>339862.64</v>
      </c>
      <c r="BT13" s="583">
        <v>340197.19</v>
      </c>
      <c r="BU13" s="583">
        <v>339366.82</v>
      </c>
      <c r="BV13" s="583">
        <v>339490.01</v>
      </c>
      <c r="BW13" s="583">
        <v>339472.62</v>
      </c>
      <c r="BX13" s="583">
        <v>339739.91</v>
      </c>
      <c r="BY13" s="583">
        <v>339859.61</v>
      </c>
      <c r="BZ13" s="583">
        <v>343378.44</v>
      </c>
      <c r="CA13" s="583">
        <v>344200</v>
      </c>
      <c r="CB13" s="583">
        <v>370200</v>
      </c>
      <c r="CC13" s="583">
        <v>371200</v>
      </c>
      <c r="CD13" s="583">
        <v>379300</v>
      </c>
      <c r="CE13" s="583">
        <v>380700</v>
      </c>
      <c r="CF13" s="583">
        <v>572900</v>
      </c>
      <c r="CG13" s="583">
        <v>589500</v>
      </c>
      <c r="CH13" s="583">
        <v>600600</v>
      </c>
      <c r="CI13" s="583">
        <v>601400</v>
      </c>
      <c r="CJ13" s="583">
        <v>602300</v>
      </c>
      <c r="CK13" s="583">
        <v>602900</v>
      </c>
      <c r="CL13" s="583">
        <v>607200</v>
      </c>
      <c r="CM13" s="583">
        <v>613000</v>
      </c>
      <c r="CN13" s="583">
        <v>613200</v>
      </c>
      <c r="CO13" s="583">
        <v>613600</v>
      </c>
      <c r="CP13" s="583">
        <v>614000</v>
      </c>
      <c r="CQ13" s="583">
        <v>614400</v>
      </c>
      <c r="CR13" s="583">
        <v>614800</v>
      </c>
      <c r="CS13" s="583">
        <v>615200</v>
      </c>
      <c r="CT13" s="583">
        <v>615600</v>
      </c>
      <c r="CU13" s="583">
        <v>626100</v>
      </c>
      <c r="CV13" s="583">
        <v>629700</v>
      </c>
      <c r="CW13" s="583">
        <v>631300</v>
      </c>
      <c r="CX13" s="583">
        <v>635400</v>
      </c>
      <c r="CY13" s="1044">
        <f t="shared" si="13"/>
        <v>7436300</v>
      </c>
      <c r="CZ13" s="33"/>
      <c r="DA13" s="205"/>
      <c r="DB13" s="33"/>
    </row>
    <row r="14" spans="1:151">
      <c r="A14" t="s">
        <v>415</v>
      </c>
      <c r="C14" s="22"/>
      <c r="D14" s="707">
        <f t="shared" si="12"/>
        <v>0</v>
      </c>
      <c r="E14" s="708"/>
      <c r="F14" s="707">
        <f ca="1">SUM(OFFSET(CA14:CL14,0,'Bal Sheet'!$A$1))/1000</f>
        <v>0</v>
      </c>
      <c r="G14" s="355">
        <v>12428.82</v>
      </c>
      <c r="H14" s="355">
        <v>12428.82</v>
      </c>
      <c r="I14" s="355">
        <v>12428.82</v>
      </c>
      <c r="J14" s="355">
        <v>12428.82</v>
      </c>
      <c r="K14" s="355">
        <v>12428.82</v>
      </c>
      <c r="L14" s="355">
        <v>12428.82</v>
      </c>
      <c r="M14" s="355">
        <v>12428.82</v>
      </c>
      <c r="N14" s="355">
        <v>12428.82</v>
      </c>
      <c r="O14" s="355">
        <v>12428.82</v>
      </c>
      <c r="P14" s="355">
        <v>12428.82</v>
      </c>
      <c r="Q14" s="355">
        <v>12428.82</v>
      </c>
      <c r="R14" s="355">
        <v>12428.82</v>
      </c>
      <c r="S14" s="355">
        <v>12428.82</v>
      </c>
      <c r="T14" s="355">
        <v>12428.82</v>
      </c>
      <c r="U14" s="355">
        <v>12428.82</v>
      </c>
      <c r="V14" s="355">
        <v>12428.82</v>
      </c>
      <c r="W14" s="355">
        <v>12428.82</v>
      </c>
      <c r="X14" s="355">
        <v>12428.82</v>
      </c>
      <c r="Y14" s="355">
        <v>12428.82</v>
      </c>
      <c r="Z14" s="355">
        <v>12428.82</v>
      </c>
      <c r="AA14" s="355">
        <v>12428.82</v>
      </c>
      <c r="AB14" s="355">
        <v>12428.82</v>
      </c>
      <c r="AC14" s="355">
        <v>12428.82</v>
      </c>
      <c r="AD14" s="355">
        <v>12428.82</v>
      </c>
      <c r="AE14" s="355">
        <v>12428.82</v>
      </c>
      <c r="AF14" s="355">
        <v>12428.82</v>
      </c>
      <c r="AG14" s="355">
        <v>12428.82</v>
      </c>
      <c r="AH14" s="355">
        <v>12428.82</v>
      </c>
      <c r="AI14" s="355">
        <v>12428.82</v>
      </c>
      <c r="AJ14" s="355">
        <v>12428.82</v>
      </c>
      <c r="AK14" s="355">
        <v>12428.82</v>
      </c>
      <c r="AL14" s="355">
        <v>12428.82</v>
      </c>
      <c r="AM14" s="355">
        <v>12428.82</v>
      </c>
      <c r="AN14" s="355">
        <v>12428.82</v>
      </c>
      <c r="AO14" s="355">
        <v>12428.82</v>
      </c>
      <c r="AP14" s="355">
        <v>12428.82</v>
      </c>
      <c r="AQ14" s="355">
        <v>12428.82</v>
      </c>
      <c r="AR14" s="355">
        <v>12428.82</v>
      </c>
      <c r="AS14" s="355">
        <v>12428.82</v>
      </c>
      <c r="AT14" s="355">
        <v>12428.82</v>
      </c>
      <c r="AU14" s="355">
        <v>12428.82</v>
      </c>
      <c r="AV14" s="355">
        <v>12428.82</v>
      </c>
      <c r="AW14" s="355">
        <v>12428.82</v>
      </c>
      <c r="AX14" s="355">
        <v>12428.82</v>
      </c>
      <c r="AY14" s="355">
        <v>12428.82</v>
      </c>
      <c r="AZ14" s="355">
        <v>5949.73</v>
      </c>
      <c r="BA14" s="355">
        <v>5949.73</v>
      </c>
      <c r="BB14" s="404">
        <v>5949.73</v>
      </c>
      <c r="BC14" s="404">
        <v>5949.73</v>
      </c>
      <c r="BD14" s="404">
        <v>5949.73</v>
      </c>
      <c r="BE14" s="404">
        <v>5949.73</v>
      </c>
      <c r="BF14" s="404">
        <v>5949.73</v>
      </c>
      <c r="BG14" s="404">
        <v>5949.73</v>
      </c>
      <c r="BH14" s="404">
        <v>5949.73</v>
      </c>
      <c r="BI14" s="404">
        <v>5949.73</v>
      </c>
      <c r="BJ14" s="404">
        <v>-687.37</v>
      </c>
      <c r="BK14" s="404">
        <v>0</v>
      </c>
      <c r="BL14" s="404">
        <v>0</v>
      </c>
      <c r="BM14" s="404">
        <v>0</v>
      </c>
      <c r="BN14" s="404">
        <v>0</v>
      </c>
      <c r="BO14" s="583">
        <v>0</v>
      </c>
      <c r="BP14" s="583">
        <v>0</v>
      </c>
      <c r="BQ14" s="583">
        <v>0</v>
      </c>
      <c r="BR14" s="583">
        <v>0</v>
      </c>
      <c r="BS14" s="583">
        <v>0</v>
      </c>
      <c r="BT14" s="583">
        <v>0</v>
      </c>
      <c r="BU14" s="583">
        <v>0</v>
      </c>
      <c r="BV14" s="583">
        <v>0</v>
      </c>
      <c r="BW14" s="583">
        <v>0</v>
      </c>
      <c r="BX14" s="583">
        <v>0</v>
      </c>
      <c r="BY14" s="583">
        <v>0</v>
      </c>
      <c r="BZ14" s="583">
        <v>0</v>
      </c>
      <c r="CA14" s="583">
        <v>0</v>
      </c>
      <c r="CB14" s="583">
        <v>0</v>
      </c>
      <c r="CC14" s="583">
        <v>0</v>
      </c>
      <c r="CD14" s="583">
        <v>0</v>
      </c>
      <c r="CE14" s="583">
        <v>0</v>
      </c>
      <c r="CF14" s="583">
        <v>0</v>
      </c>
      <c r="CG14" s="583">
        <v>0</v>
      </c>
      <c r="CH14" s="583">
        <v>0</v>
      </c>
      <c r="CI14" s="583">
        <v>0</v>
      </c>
      <c r="CJ14" s="583">
        <v>0</v>
      </c>
      <c r="CK14" s="583">
        <v>0</v>
      </c>
      <c r="CL14" s="583">
        <v>0</v>
      </c>
      <c r="CM14" s="583">
        <v>0</v>
      </c>
      <c r="CN14" s="583">
        <v>0</v>
      </c>
      <c r="CO14" s="583">
        <v>0</v>
      </c>
      <c r="CP14" s="583">
        <v>0</v>
      </c>
      <c r="CQ14" s="583">
        <v>0</v>
      </c>
      <c r="CR14" s="583">
        <v>0</v>
      </c>
      <c r="CS14" s="583">
        <v>0</v>
      </c>
      <c r="CT14" s="583">
        <v>0</v>
      </c>
      <c r="CU14" s="583">
        <v>0</v>
      </c>
      <c r="CV14" s="583">
        <v>0</v>
      </c>
      <c r="CW14" s="583">
        <v>0</v>
      </c>
      <c r="CX14" s="583">
        <v>0</v>
      </c>
      <c r="CY14" s="1044">
        <f t="shared" si="13"/>
        <v>0</v>
      </c>
      <c r="CZ14" s="33"/>
      <c r="DA14" s="205"/>
      <c r="DB14" s="33"/>
    </row>
    <row r="15" spans="1:151">
      <c r="A15" t="s">
        <v>416</v>
      </c>
      <c r="C15" s="22"/>
      <c r="D15" s="707">
        <f t="shared" si="12"/>
        <v>999.6</v>
      </c>
      <c r="E15" s="708"/>
      <c r="F15" s="707">
        <f ca="1">SUM(OFFSET(CA15:CL15,0,'Bal Sheet'!$A$1))/1000</f>
        <v>999.6</v>
      </c>
      <c r="G15" s="355">
        <v>470000</v>
      </c>
      <c r="H15" s="355">
        <v>470000</v>
      </c>
      <c r="I15" s="355">
        <v>470000</v>
      </c>
      <c r="J15" s="355">
        <v>470000</v>
      </c>
      <c r="K15" s="355">
        <v>470000</v>
      </c>
      <c r="L15" s="355">
        <v>470000</v>
      </c>
      <c r="M15" s="355">
        <v>470000</v>
      </c>
      <c r="N15" s="355">
        <v>470000</v>
      </c>
      <c r="O15" s="355">
        <v>470000</v>
      </c>
      <c r="P15" s="355">
        <v>470000</v>
      </c>
      <c r="Q15" s="355">
        <v>470000</v>
      </c>
      <c r="R15" s="355">
        <v>-755743</v>
      </c>
      <c r="S15" s="355">
        <v>0</v>
      </c>
      <c r="T15" s="355">
        <v>583333.34</v>
      </c>
      <c r="U15" s="355">
        <v>2916666.68</v>
      </c>
      <c r="V15" s="355">
        <v>0</v>
      </c>
      <c r="W15" s="355">
        <v>0</v>
      </c>
      <c r="X15" s="355">
        <v>0</v>
      </c>
      <c r="Y15" s="355">
        <v>0</v>
      </c>
      <c r="Z15" s="355">
        <v>0</v>
      </c>
      <c r="AA15" s="355">
        <v>6517958</v>
      </c>
      <c r="AB15" s="355">
        <v>463895</v>
      </c>
      <c r="AC15" s="355">
        <v>463895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0</v>
      </c>
      <c r="AK15" s="355">
        <v>0</v>
      </c>
      <c r="AL15" s="355">
        <v>0</v>
      </c>
      <c r="AM15" s="355">
        <v>0</v>
      </c>
      <c r="AN15" s="355">
        <v>0</v>
      </c>
      <c r="AO15" s="355">
        <v>0</v>
      </c>
      <c r="AP15" s="355">
        <v>0</v>
      </c>
      <c r="AQ15" s="355">
        <v>0</v>
      </c>
      <c r="AR15" s="355">
        <v>0</v>
      </c>
      <c r="AS15" s="355">
        <v>0</v>
      </c>
      <c r="AT15" s="355">
        <v>0</v>
      </c>
      <c r="AU15" s="355">
        <v>0</v>
      </c>
      <c r="AV15" s="355">
        <v>0</v>
      </c>
      <c r="AW15" s="355">
        <v>0</v>
      </c>
      <c r="AX15" s="355">
        <v>0</v>
      </c>
      <c r="AY15" s="355">
        <v>0</v>
      </c>
      <c r="AZ15" s="355">
        <v>0</v>
      </c>
      <c r="BA15" s="355">
        <v>0</v>
      </c>
      <c r="BB15" s="404">
        <v>0</v>
      </c>
      <c r="BC15" s="404">
        <v>83333.33</v>
      </c>
      <c r="BD15" s="404">
        <v>83333.33</v>
      </c>
      <c r="BE15" s="404">
        <v>83333.33</v>
      </c>
      <c r="BF15" s="404">
        <v>83333.33</v>
      </c>
      <c r="BG15" s="404">
        <v>83333.33</v>
      </c>
      <c r="BH15" s="404">
        <v>83333.33</v>
      </c>
      <c r="BI15" s="404">
        <v>83333.33</v>
      </c>
      <c r="BJ15" s="404">
        <v>83333.33</v>
      </c>
      <c r="BK15" s="404">
        <v>83333.33</v>
      </c>
      <c r="BL15" s="404">
        <v>83333.33</v>
      </c>
      <c r="BM15" s="404">
        <v>83333.33</v>
      </c>
      <c r="BN15" s="404">
        <v>83333.33</v>
      </c>
      <c r="BO15" s="583">
        <v>83333.33</v>
      </c>
      <c r="BP15" s="583">
        <v>83333.33</v>
      </c>
      <c r="BQ15" s="583">
        <v>83333.33</v>
      </c>
      <c r="BR15" s="583">
        <v>83333.33</v>
      </c>
      <c r="BS15" s="583">
        <v>83333.33</v>
      </c>
      <c r="BT15" s="583">
        <v>83333.33</v>
      </c>
      <c r="BU15" s="583">
        <v>83333.33</v>
      </c>
      <c r="BV15" s="583">
        <v>83333.33</v>
      </c>
      <c r="BW15" s="583">
        <v>83333.33</v>
      </c>
      <c r="BX15" s="583">
        <v>83333.33</v>
      </c>
      <c r="BY15" s="583">
        <v>83333.33</v>
      </c>
      <c r="BZ15" s="583">
        <v>83333.33</v>
      </c>
      <c r="CA15" s="583">
        <v>83300</v>
      </c>
      <c r="CB15" s="583">
        <v>83300</v>
      </c>
      <c r="CC15" s="583">
        <v>83300</v>
      </c>
      <c r="CD15" s="583">
        <v>83300</v>
      </c>
      <c r="CE15" s="583">
        <v>83300</v>
      </c>
      <c r="CF15" s="583">
        <v>83300</v>
      </c>
      <c r="CG15" s="583">
        <v>83300</v>
      </c>
      <c r="CH15" s="583">
        <v>83300</v>
      </c>
      <c r="CI15" s="583">
        <v>83300</v>
      </c>
      <c r="CJ15" s="583">
        <v>83300</v>
      </c>
      <c r="CK15" s="583">
        <v>83300</v>
      </c>
      <c r="CL15" s="583">
        <v>83300</v>
      </c>
      <c r="CM15" s="583">
        <v>83300</v>
      </c>
      <c r="CN15" s="583">
        <v>83300</v>
      </c>
      <c r="CO15" s="583">
        <v>83300</v>
      </c>
      <c r="CP15" s="583">
        <v>83300</v>
      </c>
      <c r="CQ15" s="583">
        <v>83300</v>
      </c>
      <c r="CR15" s="583">
        <v>83300</v>
      </c>
      <c r="CS15" s="583">
        <v>83300</v>
      </c>
      <c r="CT15" s="583">
        <v>83300</v>
      </c>
      <c r="CU15" s="583">
        <v>83300</v>
      </c>
      <c r="CV15" s="583">
        <v>83300</v>
      </c>
      <c r="CW15" s="583">
        <v>83300</v>
      </c>
      <c r="CX15" s="583">
        <v>83300</v>
      </c>
      <c r="CY15" s="1044">
        <f t="shared" si="13"/>
        <v>999600</v>
      </c>
      <c r="CZ15" s="33"/>
      <c r="DA15" s="205"/>
      <c r="DB15" s="33"/>
    </row>
    <row r="16" spans="1:151">
      <c r="A16" t="s">
        <v>417</v>
      </c>
      <c r="C16" s="22"/>
      <c r="D16" s="707">
        <f t="shared" si="12"/>
        <v>66038.8</v>
      </c>
      <c r="E16" s="708"/>
      <c r="F16" s="707">
        <f ca="1">SUM(OFFSET(CA16:CL16,0,'Bal Sheet'!$A$1))/1000</f>
        <v>66038.8</v>
      </c>
      <c r="G16" s="355">
        <v>3585184.72</v>
      </c>
      <c r="H16" s="355">
        <v>3442063.32</v>
      </c>
      <c r="I16" s="355">
        <v>3377076.84</v>
      </c>
      <c r="J16" s="355">
        <v>3283577.51</v>
      </c>
      <c r="K16" s="355">
        <v>2774403.19</v>
      </c>
      <c r="L16" s="355">
        <v>2695535.35</v>
      </c>
      <c r="M16" s="355">
        <v>2572142.87</v>
      </c>
      <c r="N16" s="355">
        <v>2627913.4</v>
      </c>
      <c r="O16" s="355">
        <v>2578610.96</v>
      </c>
      <c r="P16" s="355">
        <v>2756832.45</v>
      </c>
      <c r="Q16" s="355">
        <v>2674039.12</v>
      </c>
      <c r="R16" s="355">
        <v>3520899.82</v>
      </c>
      <c r="S16" s="355">
        <v>4334596.51</v>
      </c>
      <c r="T16" s="355">
        <v>4015312.02</v>
      </c>
      <c r="U16" s="355">
        <v>3337124.2</v>
      </c>
      <c r="V16" s="355">
        <v>3589495.24</v>
      </c>
      <c r="W16" s="355">
        <v>3221215.62</v>
      </c>
      <c r="X16" s="355">
        <v>3014361.48</v>
      </c>
      <c r="Y16" s="355">
        <v>2936582.3</v>
      </c>
      <c r="Z16" s="355">
        <v>2981647.76</v>
      </c>
      <c r="AA16" s="355">
        <v>2925509</v>
      </c>
      <c r="AB16" s="355">
        <v>2877123.16</v>
      </c>
      <c r="AC16" s="355">
        <v>2540050.87</v>
      </c>
      <c r="AD16" s="355">
        <v>3556648.52</v>
      </c>
      <c r="AE16" s="355">
        <v>4307739.33</v>
      </c>
      <c r="AF16" s="355">
        <v>4173065.52</v>
      </c>
      <c r="AG16" s="355">
        <v>3738381.25</v>
      </c>
      <c r="AH16" s="355">
        <v>3495798.49</v>
      </c>
      <c r="AI16" s="355">
        <v>3411019.13</v>
      </c>
      <c r="AJ16" s="355">
        <v>3099423.36</v>
      </c>
      <c r="AK16" s="355">
        <v>3149256.73</v>
      </c>
      <c r="AL16" s="355">
        <v>2655880.29</v>
      </c>
      <c r="AM16" s="355">
        <v>2933410.13</v>
      </c>
      <c r="AN16" s="355">
        <v>3022627.73</v>
      </c>
      <c r="AO16" s="355">
        <v>3338463.86</v>
      </c>
      <c r="AP16" s="355">
        <v>3904465.91</v>
      </c>
      <c r="AQ16" s="355">
        <v>4250408.28</v>
      </c>
      <c r="AR16" s="355">
        <v>4388338.07</v>
      </c>
      <c r="AS16" s="355">
        <v>3828557.5</v>
      </c>
      <c r="AT16" s="355">
        <v>3446284.32</v>
      </c>
      <c r="AU16" s="355">
        <v>3239483.55</v>
      </c>
      <c r="AV16" s="355">
        <v>3047965.42</v>
      </c>
      <c r="AW16" s="355">
        <v>3230459.86</v>
      </c>
      <c r="AX16" s="355">
        <v>3169729.55</v>
      </c>
      <c r="AY16" s="355">
        <v>2793302.48</v>
      </c>
      <c r="AZ16" s="355">
        <v>3215027.13</v>
      </c>
      <c r="BA16" s="355">
        <v>2972960.48</v>
      </c>
      <c r="BB16" s="404">
        <v>3310526.72</v>
      </c>
      <c r="BC16" s="404">
        <v>4930150.0999999996</v>
      </c>
      <c r="BD16" s="404">
        <v>4622177.08</v>
      </c>
      <c r="BE16" s="404">
        <v>4266596.8600000003</v>
      </c>
      <c r="BF16" s="404">
        <v>4290323.0599999996</v>
      </c>
      <c r="BG16" s="404">
        <v>4348543.2699999996</v>
      </c>
      <c r="BH16" s="404">
        <v>3105990.25</v>
      </c>
      <c r="BI16" s="404">
        <v>3879599.44</v>
      </c>
      <c r="BJ16" s="404">
        <v>3558072.92</v>
      </c>
      <c r="BK16" s="404">
        <v>2843876.53</v>
      </c>
      <c r="BL16" s="404">
        <v>3600052.09</v>
      </c>
      <c r="BM16" s="404">
        <v>3884712.46</v>
      </c>
      <c r="BN16" s="404">
        <v>4388583.91</v>
      </c>
      <c r="BO16" s="583">
        <v>5171990.68</v>
      </c>
      <c r="BP16" s="583">
        <v>5274757.16</v>
      </c>
      <c r="BQ16" s="583">
        <v>4861659.2</v>
      </c>
      <c r="BR16" s="583">
        <v>4755937.9800000004</v>
      </c>
      <c r="BS16" s="583">
        <v>4464843.93</v>
      </c>
      <c r="BT16" s="583">
        <v>4313233.5999999996</v>
      </c>
      <c r="BU16" s="583">
        <v>4030385.48</v>
      </c>
      <c r="BV16" s="583">
        <v>4095278.69</v>
      </c>
      <c r="BW16" s="583">
        <v>3364089.67</v>
      </c>
      <c r="BX16" s="583">
        <v>4301171.3499999996</v>
      </c>
      <c r="BY16" s="583">
        <v>3875646.51</v>
      </c>
      <c r="BZ16" s="583">
        <v>5357717.79</v>
      </c>
      <c r="CA16" s="583">
        <v>5276000</v>
      </c>
      <c r="CB16" s="583">
        <v>5458799.9999999991</v>
      </c>
      <c r="CC16" s="583">
        <v>4974299.9999999991</v>
      </c>
      <c r="CD16" s="583">
        <v>4643100</v>
      </c>
      <c r="CE16" s="583">
        <v>4441099.9999999991</v>
      </c>
      <c r="CF16" s="583">
        <v>4295999.9999999991</v>
      </c>
      <c r="CG16" s="583">
        <v>3910199.9999999991</v>
      </c>
      <c r="CH16" s="583">
        <v>3927999.9999999995</v>
      </c>
      <c r="CI16" s="583">
        <v>3966300</v>
      </c>
      <c r="CJ16" s="583">
        <v>4209500</v>
      </c>
      <c r="CK16" s="583">
        <v>4555699.9999999991</v>
      </c>
      <c r="CL16" s="583">
        <v>5211500</v>
      </c>
      <c r="CM16" s="583">
        <v>6131100</v>
      </c>
      <c r="CN16" s="583">
        <v>6393099.9999999991</v>
      </c>
      <c r="CO16" s="583">
        <v>5855099.9999999981</v>
      </c>
      <c r="CP16" s="583">
        <v>5571800</v>
      </c>
      <c r="CQ16" s="583">
        <v>5350099.9999999991</v>
      </c>
      <c r="CR16" s="583">
        <v>5200300</v>
      </c>
      <c r="CS16" s="583">
        <v>4879099.9999999981</v>
      </c>
      <c r="CT16" s="583">
        <v>4851500.0000000009</v>
      </c>
      <c r="CU16" s="583">
        <v>4917299.9999999991</v>
      </c>
      <c r="CV16" s="583">
        <v>5178599.9999999991</v>
      </c>
      <c r="CW16" s="583">
        <v>5638099.9999999991</v>
      </c>
      <c r="CX16" s="583">
        <v>6072699.9999999991</v>
      </c>
      <c r="CY16" s="1044">
        <f t="shared" si="13"/>
        <v>66038800</v>
      </c>
      <c r="CZ16" s="33"/>
      <c r="DA16" s="205"/>
      <c r="DB16" s="33"/>
    </row>
    <row r="17" spans="1:106">
      <c r="A17" s="375" t="s">
        <v>418</v>
      </c>
      <c r="C17" s="22"/>
      <c r="D17" s="707">
        <f t="shared" si="12"/>
        <v>-16433</v>
      </c>
      <c r="E17" s="708"/>
      <c r="F17" s="707">
        <f ca="1">SUM(OFFSET(CA17:CL17,0,'Bal Sheet'!$A$1))/1000</f>
        <v>-16433</v>
      </c>
      <c r="G17" s="356">
        <v>2040825.61</v>
      </c>
      <c r="H17" s="356">
        <v>-631584.13</v>
      </c>
      <c r="I17" s="356">
        <v>194813.43</v>
      </c>
      <c r="J17" s="356">
        <v>511396.46</v>
      </c>
      <c r="K17" s="356">
        <v>-842268.7</v>
      </c>
      <c r="L17" s="356">
        <v>-962104.34</v>
      </c>
      <c r="M17" s="356">
        <v>-972907</v>
      </c>
      <c r="N17" s="356">
        <v>-1022100.66</v>
      </c>
      <c r="O17" s="356">
        <v>1584073.3</v>
      </c>
      <c r="P17" s="356">
        <v>-2008499.03</v>
      </c>
      <c r="Q17" s="356">
        <v>-1017595.27</v>
      </c>
      <c r="R17" s="356">
        <v>5725359.7400000002</v>
      </c>
      <c r="S17" s="356">
        <v>3172840.78</v>
      </c>
      <c r="T17" s="356">
        <v>342951.69</v>
      </c>
      <c r="U17" s="356">
        <v>895317.01</v>
      </c>
      <c r="V17" s="356">
        <v>1259189.22</v>
      </c>
      <c r="W17" s="356">
        <v>205117.85</v>
      </c>
      <c r="X17" s="356">
        <v>492073.16</v>
      </c>
      <c r="Y17" s="356">
        <v>166344.88</v>
      </c>
      <c r="Z17" s="356">
        <v>-879336.49</v>
      </c>
      <c r="AA17" s="356">
        <v>432770.52</v>
      </c>
      <c r="AB17" s="356">
        <v>-353761.9</v>
      </c>
      <c r="AC17" s="356">
        <v>-3383402.33</v>
      </c>
      <c r="AD17" s="356">
        <v>1424397.97</v>
      </c>
      <c r="AE17" s="356">
        <v>1898229.81</v>
      </c>
      <c r="AF17" s="356">
        <v>-87759.87</v>
      </c>
      <c r="AG17" s="356">
        <v>1161289.22</v>
      </c>
      <c r="AH17" s="356">
        <v>559174.94999999995</v>
      </c>
      <c r="AI17" s="356">
        <v>280899.64</v>
      </c>
      <c r="AJ17" s="356">
        <v>192965.77</v>
      </c>
      <c r="AK17" s="356">
        <v>-11924.53</v>
      </c>
      <c r="AL17" s="356">
        <v>-33331.160000000003</v>
      </c>
      <c r="AM17" s="356">
        <v>122357.41</v>
      </c>
      <c r="AN17" s="356">
        <v>114338.06</v>
      </c>
      <c r="AO17" s="356">
        <v>482314.44</v>
      </c>
      <c r="AP17" s="356">
        <v>85023.62</v>
      </c>
      <c r="AQ17" s="356">
        <v>3049614.09</v>
      </c>
      <c r="AR17" s="356">
        <v>-2074721.21</v>
      </c>
      <c r="AS17" s="356">
        <v>458500.76</v>
      </c>
      <c r="AT17" s="356">
        <v>139401.47</v>
      </c>
      <c r="AU17" s="356">
        <v>-398549.92</v>
      </c>
      <c r="AV17" s="356">
        <v>-17852.25</v>
      </c>
      <c r="AW17" s="356">
        <v>-500016.4</v>
      </c>
      <c r="AX17" s="356">
        <v>-116709.75999999999</v>
      </c>
      <c r="AY17" s="356">
        <v>120395.35</v>
      </c>
      <c r="AZ17" s="356">
        <v>-1700886.66</v>
      </c>
      <c r="BA17" s="356">
        <v>157810.87</v>
      </c>
      <c r="BB17" s="413">
        <v>323552.88</v>
      </c>
      <c r="BC17" s="413">
        <v>2773724.39</v>
      </c>
      <c r="BD17" s="413">
        <v>1074495.75</v>
      </c>
      <c r="BE17" s="413">
        <v>-504079.37</v>
      </c>
      <c r="BF17" s="413">
        <v>954143.7</v>
      </c>
      <c r="BG17" s="413">
        <v>-330815.38</v>
      </c>
      <c r="BH17" s="413">
        <v>1955989.38</v>
      </c>
      <c r="BI17" s="413">
        <v>-376170.8</v>
      </c>
      <c r="BJ17" s="413">
        <v>581226.12</v>
      </c>
      <c r="BK17" s="413">
        <v>1483442.87</v>
      </c>
      <c r="BL17" s="413">
        <v>-1692496.25</v>
      </c>
      <c r="BM17" s="413">
        <v>-1659190.4</v>
      </c>
      <c r="BN17" s="413">
        <v>3978282.47</v>
      </c>
      <c r="BO17" s="582">
        <v>2808335.05</v>
      </c>
      <c r="BP17" s="582">
        <v>3401893.44</v>
      </c>
      <c r="BQ17" s="582">
        <v>198240.37</v>
      </c>
      <c r="BR17" s="582">
        <v>1125620.96</v>
      </c>
      <c r="BS17" s="582">
        <v>398227.3</v>
      </c>
      <c r="BT17" s="582">
        <v>279421.68</v>
      </c>
      <c r="BU17" s="582">
        <v>-286222.64</v>
      </c>
      <c r="BV17" s="582">
        <v>-3528742.49</v>
      </c>
      <c r="BW17" s="582">
        <v>744323.69</v>
      </c>
      <c r="BX17" s="582">
        <v>-650891.84</v>
      </c>
      <c r="BY17" s="582">
        <v>-55693.45</v>
      </c>
      <c r="BZ17" s="582">
        <v>-71585.03</v>
      </c>
      <c r="CA17" s="582">
        <v>891900</v>
      </c>
      <c r="CB17" s="582">
        <v>963800</v>
      </c>
      <c r="CC17" s="582">
        <v>-618000</v>
      </c>
      <c r="CD17" s="582">
        <v>362900.00000000006</v>
      </c>
      <c r="CE17" s="582">
        <v>-427200.00000000006</v>
      </c>
      <c r="CF17" s="582">
        <v>15100.000000000002</v>
      </c>
      <c r="CG17" s="582">
        <v>-820300</v>
      </c>
      <c r="CH17" s="582">
        <v>-953900.00000000012</v>
      </c>
      <c r="CI17" s="582">
        <v>-311500</v>
      </c>
      <c r="CJ17" s="582">
        <v>-1400600</v>
      </c>
      <c r="CK17" s="582">
        <v>-293900</v>
      </c>
      <c r="CL17" s="582">
        <v>1609100</v>
      </c>
      <c r="CM17" s="582">
        <v>-53500</v>
      </c>
      <c r="CN17" s="582">
        <v>63500</v>
      </c>
      <c r="CO17" s="582">
        <v>-2858700</v>
      </c>
      <c r="CP17" s="582">
        <v>-789100</v>
      </c>
      <c r="CQ17" s="582">
        <v>-1424399.9999999998</v>
      </c>
      <c r="CR17" s="582">
        <v>-1866700</v>
      </c>
      <c r="CS17" s="582">
        <v>-1849200</v>
      </c>
      <c r="CT17" s="582">
        <v>-1855000</v>
      </c>
      <c r="CU17" s="582">
        <v>-1891899.9999999998</v>
      </c>
      <c r="CV17" s="582">
        <v>-1931200</v>
      </c>
      <c r="CW17" s="582">
        <v>-1291300</v>
      </c>
      <c r="CX17" s="582">
        <v>-685500</v>
      </c>
      <c r="CY17" s="1046">
        <f t="shared" si="13"/>
        <v>-16433000</v>
      </c>
      <c r="CZ17" s="33"/>
      <c r="DA17" s="205"/>
      <c r="DB17" s="33"/>
    </row>
    <row r="18" spans="1:106">
      <c r="A18" s="375" t="s">
        <v>419</v>
      </c>
      <c r="C18" s="22"/>
      <c r="D18" s="707">
        <f t="shared" si="12"/>
        <v>22490.1</v>
      </c>
      <c r="E18" s="708"/>
      <c r="F18" s="707">
        <f ca="1">SUM(OFFSET(CA18:CL18,0,'Bal Sheet'!$A$1))/1000</f>
        <v>22490.1</v>
      </c>
      <c r="G18" s="355">
        <v>1007791.66</v>
      </c>
      <c r="H18" s="355">
        <v>2803153.57</v>
      </c>
      <c r="I18" s="355">
        <v>2561260.2000000002</v>
      </c>
      <c r="J18" s="355">
        <v>1745517.27</v>
      </c>
      <c r="K18" s="355">
        <v>2904990.24</v>
      </c>
      <c r="L18" s="355">
        <v>2569026.12</v>
      </c>
      <c r="M18" s="355">
        <v>2508529.0099999998</v>
      </c>
      <c r="N18" s="355">
        <v>2444486.59</v>
      </c>
      <c r="O18" s="355">
        <v>102029.45</v>
      </c>
      <c r="P18" s="355">
        <v>3452189.2</v>
      </c>
      <c r="Q18" s="355">
        <v>2924938.02</v>
      </c>
      <c r="R18" s="355">
        <v>-2419811.6800000002</v>
      </c>
      <c r="S18" s="355">
        <v>-424489.68</v>
      </c>
      <c r="T18" s="355">
        <v>784354.58</v>
      </c>
      <c r="U18" s="355">
        <v>-231493.34</v>
      </c>
      <c r="V18" s="355">
        <v>224730.79</v>
      </c>
      <c r="W18" s="355">
        <v>919013.52</v>
      </c>
      <c r="X18" s="355">
        <v>539773.27</v>
      </c>
      <c r="Y18" s="355">
        <v>721249.05999999994</v>
      </c>
      <c r="Z18" s="355">
        <v>1619384.2000000002</v>
      </c>
      <c r="AA18" s="355">
        <v>836768.26</v>
      </c>
      <c r="AB18" s="355">
        <v>1163047.53</v>
      </c>
      <c r="AC18" s="355">
        <v>4457377.58</v>
      </c>
      <c r="AD18" s="355">
        <v>112743.38</v>
      </c>
      <c r="AE18" s="355">
        <v>246440.66</v>
      </c>
      <c r="AF18" s="355">
        <v>2016465.43</v>
      </c>
      <c r="AG18" s="355">
        <v>641096.55000000005</v>
      </c>
      <c r="AH18" s="355">
        <v>1080080.19</v>
      </c>
      <c r="AI18" s="355">
        <v>1176801.29</v>
      </c>
      <c r="AJ18" s="355">
        <v>1139163.42</v>
      </c>
      <c r="AK18" s="355">
        <v>944421.19</v>
      </c>
      <c r="AL18" s="355">
        <v>1173908.4099999999</v>
      </c>
      <c r="AM18" s="355">
        <v>599012.24</v>
      </c>
      <c r="AN18" s="355">
        <v>909892.55</v>
      </c>
      <c r="AO18" s="355">
        <v>858821.24</v>
      </c>
      <c r="AP18" s="355">
        <v>1452272.21</v>
      </c>
      <c r="AQ18" s="355">
        <v>-678148.9</v>
      </c>
      <c r="AR18" s="355">
        <v>3783401.71</v>
      </c>
      <c r="AS18" s="355">
        <v>983157.33</v>
      </c>
      <c r="AT18" s="355">
        <v>840155.65</v>
      </c>
      <c r="AU18" s="355">
        <v>1294461.54</v>
      </c>
      <c r="AV18" s="355">
        <v>911790.04</v>
      </c>
      <c r="AW18" s="355">
        <v>1291428.43</v>
      </c>
      <c r="AX18" s="355">
        <v>1019109.73</v>
      </c>
      <c r="AY18" s="355">
        <v>1259997.56</v>
      </c>
      <c r="AZ18" s="355">
        <v>1943284.86</v>
      </c>
      <c r="BA18" s="355">
        <v>1351955.5</v>
      </c>
      <c r="BB18" s="404">
        <v>1079410.44</v>
      </c>
      <c r="BC18" s="404">
        <v>675422.61</v>
      </c>
      <c r="BD18" s="404">
        <v>1189381.5</v>
      </c>
      <c r="BE18" s="404">
        <v>2754279.95</v>
      </c>
      <c r="BF18" s="404">
        <v>1355641.68</v>
      </c>
      <c r="BG18" s="404">
        <v>1901529.35</v>
      </c>
      <c r="BH18" s="404">
        <v>-395914.15</v>
      </c>
      <c r="BI18" s="404">
        <v>1617623.67</v>
      </c>
      <c r="BJ18" s="404">
        <v>729649.99</v>
      </c>
      <c r="BK18" s="404">
        <v>-747066.9</v>
      </c>
      <c r="BL18" s="404">
        <v>3026643.52</v>
      </c>
      <c r="BM18" s="404">
        <v>3801132.44</v>
      </c>
      <c r="BN18" s="404">
        <v>-2616528.1</v>
      </c>
      <c r="BO18" s="583">
        <v>447989.75</v>
      </c>
      <c r="BP18" s="583">
        <v>-533495.37</v>
      </c>
      <c r="BQ18" s="583">
        <v>3034364.22</v>
      </c>
      <c r="BR18" s="583">
        <v>1018819.87</v>
      </c>
      <c r="BS18" s="583">
        <v>1546580.43</v>
      </c>
      <c r="BT18" s="583">
        <v>1632224.02</v>
      </c>
      <c r="BU18" s="583">
        <v>1491018.23</v>
      </c>
      <c r="BV18" s="583">
        <v>4979215.91</v>
      </c>
      <c r="BW18" s="583">
        <v>1450781.13</v>
      </c>
      <c r="BX18" s="583">
        <v>2165864.66</v>
      </c>
      <c r="BY18" s="583">
        <v>1890697.16</v>
      </c>
      <c r="BZ18" s="583">
        <v>2410974.19</v>
      </c>
      <c r="CA18" s="583">
        <v>-1067500</v>
      </c>
      <c r="CB18" s="583">
        <v>1805900</v>
      </c>
      <c r="CC18" s="583">
        <v>3769900</v>
      </c>
      <c r="CD18" s="583">
        <v>1812400</v>
      </c>
      <c r="CE18" s="583">
        <v>2035900</v>
      </c>
      <c r="CF18" s="583">
        <v>2042600</v>
      </c>
      <c r="CG18" s="583">
        <v>2121300</v>
      </c>
      <c r="CH18" s="583">
        <v>2186500</v>
      </c>
      <c r="CI18" s="583">
        <v>2239700</v>
      </c>
      <c r="CJ18" s="583">
        <v>2253600</v>
      </c>
      <c r="CK18" s="583">
        <v>2064400</v>
      </c>
      <c r="CL18" s="583">
        <v>2270800</v>
      </c>
      <c r="CM18" s="583">
        <v>1801800</v>
      </c>
      <c r="CN18" s="583">
        <v>1404200</v>
      </c>
      <c r="CO18" s="583">
        <v>3189500</v>
      </c>
      <c r="CP18" s="583">
        <v>1570300</v>
      </c>
      <c r="CQ18" s="583">
        <v>1686700</v>
      </c>
      <c r="CR18" s="583">
        <v>1848900</v>
      </c>
      <c r="CS18" s="583">
        <v>1731400</v>
      </c>
      <c r="CT18" s="583">
        <v>1779900</v>
      </c>
      <c r="CU18" s="583">
        <v>2174800</v>
      </c>
      <c r="CV18" s="583">
        <v>1862000</v>
      </c>
      <c r="CW18" s="583">
        <v>1682700</v>
      </c>
      <c r="CX18" s="583">
        <v>1757900</v>
      </c>
      <c r="CY18" s="1044">
        <f t="shared" si="13"/>
        <v>22490100</v>
      </c>
      <c r="CZ18" s="33"/>
      <c r="DA18" s="205"/>
      <c r="DB18" s="33"/>
    </row>
    <row r="19" spans="1:106">
      <c r="A19" t="s">
        <v>420</v>
      </c>
      <c r="C19" s="22"/>
      <c r="D19" s="707">
        <f t="shared" si="12"/>
        <v>0</v>
      </c>
      <c r="E19" s="708"/>
      <c r="F19" s="707">
        <f ca="1">SUM(OFFSET(CA19:CL19,0,'Bal Sheet'!$A$1))/1000</f>
        <v>0</v>
      </c>
      <c r="G19" s="358">
        <v>0</v>
      </c>
      <c r="H19" s="358">
        <v>0</v>
      </c>
      <c r="I19" s="358">
        <v>0</v>
      </c>
      <c r="J19" s="358">
        <v>0</v>
      </c>
      <c r="K19" s="358">
        <v>0</v>
      </c>
      <c r="L19" s="358">
        <v>0</v>
      </c>
      <c r="M19" s="358">
        <v>0</v>
      </c>
      <c r="N19" s="358">
        <v>0</v>
      </c>
      <c r="O19" s="358">
        <v>0</v>
      </c>
      <c r="P19" s="358">
        <v>0</v>
      </c>
      <c r="Q19" s="358">
        <v>0</v>
      </c>
      <c r="R19" s="358">
        <v>0</v>
      </c>
      <c r="S19" s="358">
        <v>0</v>
      </c>
      <c r="T19" s="358">
        <v>0</v>
      </c>
      <c r="U19" s="358">
        <v>0</v>
      </c>
      <c r="V19" s="358">
        <v>0</v>
      </c>
      <c r="W19" s="358">
        <v>0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58">
        <v>0</v>
      </c>
      <c r="AD19" s="358">
        <v>0</v>
      </c>
      <c r="AE19" s="358">
        <v>0</v>
      </c>
      <c r="AF19" s="358">
        <v>0</v>
      </c>
      <c r="AG19" s="358">
        <v>0</v>
      </c>
      <c r="AH19" s="358">
        <v>0</v>
      </c>
      <c r="AI19" s="358">
        <v>0</v>
      </c>
      <c r="AJ19" s="358">
        <v>0</v>
      </c>
      <c r="AK19" s="358">
        <v>0</v>
      </c>
      <c r="AL19" s="358">
        <v>0</v>
      </c>
      <c r="AM19" s="358">
        <v>0</v>
      </c>
      <c r="AN19" s="358">
        <v>0</v>
      </c>
      <c r="AO19" s="358">
        <v>0</v>
      </c>
      <c r="AP19" s="358">
        <v>0</v>
      </c>
      <c r="AQ19" s="358">
        <v>0</v>
      </c>
      <c r="AR19" s="358">
        <v>0</v>
      </c>
      <c r="AS19" s="358">
        <v>0</v>
      </c>
      <c r="AT19" s="358">
        <v>0</v>
      </c>
      <c r="AU19" s="358">
        <v>0</v>
      </c>
      <c r="AV19" s="358">
        <v>0</v>
      </c>
      <c r="AW19" s="358">
        <v>0</v>
      </c>
      <c r="AX19" s="358">
        <v>0</v>
      </c>
      <c r="AY19" s="358">
        <v>0</v>
      </c>
      <c r="AZ19" s="358">
        <v>0</v>
      </c>
      <c r="BA19" s="358">
        <v>0</v>
      </c>
      <c r="BB19" s="412">
        <v>0</v>
      </c>
      <c r="BC19" s="412">
        <v>0</v>
      </c>
      <c r="BD19" s="412">
        <v>0</v>
      </c>
      <c r="BE19" s="412">
        <v>0</v>
      </c>
      <c r="BF19" s="412">
        <v>0</v>
      </c>
      <c r="BG19" s="412">
        <v>0</v>
      </c>
      <c r="BH19" s="412">
        <v>0</v>
      </c>
      <c r="BI19" s="412">
        <v>0</v>
      </c>
      <c r="BJ19" s="412">
        <v>0</v>
      </c>
      <c r="BK19" s="412">
        <v>0</v>
      </c>
      <c r="BL19" s="412">
        <v>0</v>
      </c>
      <c r="BM19" s="412">
        <v>0</v>
      </c>
      <c r="BN19" s="412">
        <v>0</v>
      </c>
      <c r="BO19" s="594">
        <v>0</v>
      </c>
      <c r="BP19" s="594">
        <v>0</v>
      </c>
      <c r="BQ19" s="594">
        <v>0</v>
      </c>
      <c r="BR19" s="594">
        <v>0</v>
      </c>
      <c r="BS19" s="594">
        <v>0</v>
      </c>
      <c r="BT19" s="594">
        <v>0</v>
      </c>
      <c r="BU19" s="594">
        <v>0</v>
      </c>
      <c r="BV19" s="594">
        <v>0</v>
      </c>
      <c r="BW19" s="594">
        <v>0</v>
      </c>
      <c r="BX19" s="594">
        <v>0</v>
      </c>
      <c r="BY19" s="594">
        <v>0</v>
      </c>
      <c r="BZ19" s="594">
        <v>0</v>
      </c>
      <c r="CA19" s="594">
        <v>3313300</v>
      </c>
      <c r="CB19" s="594">
        <v>0</v>
      </c>
      <c r="CC19" s="594">
        <v>0</v>
      </c>
      <c r="CD19" s="594">
        <v>0</v>
      </c>
      <c r="CE19" s="594">
        <v>0</v>
      </c>
      <c r="CF19" s="594">
        <v>0</v>
      </c>
      <c r="CG19" s="594">
        <v>0</v>
      </c>
      <c r="CH19" s="594">
        <v>0</v>
      </c>
      <c r="CI19" s="594">
        <v>0</v>
      </c>
      <c r="CJ19" s="594">
        <v>0</v>
      </c>
      <c r="CK19" s="594">
        <v>0</v>
      </c>
      <c r="CL19" s="594">
        <v>0</v>
      </c>
      <c r="CM19" s="594">
        <v>0</v>
      </c>
      <c r="CN19" s="594">
        <v>0</v>
      </c>
      <c r="CO19" s="594">
        <v>0</v>
      </c>
      <c r="CP19" s="594">
        <v>0</v>
      </c>
      <c r="CQ19" s="594">
        <v>0</v>
      </c>
      <c r="CR19" s="594">
        <v>0</v>
      </c>
      <c r="CS19" s="594">
        <v>0</v>
      </c>
      <c r="CT19" s="594">
        <v>0</v>
      </c>
      <c r="CU19" s="594">
        <v>0</v>
      </c>
      <c r="CV19" s="594">
        <v>0</v>
      </c>
      <c r="CW19" s="594">
        <v>0</v>
      </c>
      <c r="CX19" s="594">
        <v>0</v>
      </c>
      <c r="CY19" s="1047">
        <f t="shared" si="13"/>
        <v>0</v>
      </c>
      <c r="CZ19" s="33"/>
      <c r="DA19" s="205"/>
      <c r="DB19" s="33"/>
    </row>
    <row r="20" spans="1:106">
      <c r="A20" t="s">
        <v>421</v>
      </c>
      <c r="C20" s="22"/>
      <c r="D20" s="709">
        <f t="shared" ref="D20" si="14">SUM(D11:D19)</f>
        <v>337079.49999999994</v>
      </c>
      <c r="E20" s="708"/>
      <c r="F20" s="709">
        <f ca="1">SUM(OFFSET(CA20:CL20,0,'Bal Sheet'!$A$1))/1000</f>
        <v>337079.5</v>
      </c>
      <c r="G20" s="251">
        <f t="shared" ref="G20:R20" si="15">SUM(G11:G19)</f>
        <v>18733128.750000004</v>
      </c>
      <c r="H20" s="251">
        <f t="shared" si="15"/>
        <v>18137871.030000001</v>
      </c>
      <c r="I20" s="251">
        <f t="shared" si="15"/>
        <v>18665789.68</v>
      </c>
      <c r="J20" s="251">
        <f t="shared" si="15"/>
        <v>18320244.280000001</v>
      </c>
      <c r="K20" s="251">
        <f t="shared" si="15"/>
        <v>17442943.600000001</v>
      </c>
      <c r="L20" s="251">
        <f t="shared" si="15"/>
        <v>18174079.859999999</v>
      </c>
      <c r="M20" s="251">
        <f t="shared" si="15"/>
        <v>16658273.560000001</v>
      </c>
      <c r="N20" s="251">
        <f t="shared" si="15"/>
        <v>17335698.600000001</v>
      </c>
      <c r="O20" s="251">
        <f t="shared" si="15"/>
        <v>17464761.16</v>
      </c>
      <c r="P20" s="251">
        <f t="shared" si="15"/>
        <v>17600487.470000003</v>
      </c>
      <c r="Q20" s="251">
        <f t="shared" si="15"/>
        <v>17994774.59</v>
      </c>
      <c r="R20" s="251">
        <f t="shared" si="15"/>
        <v>18965754.390000004</v>
      </c>
      <c r="S20" s="251">
        <f t="shared" ref="S20:AD20" si="16">SUM(S11:S19)</f>
        <v>21473568.990000002</v>
      </c>
      <c r="T20" s="251">
        <f t="shared" si="16"/>
        <v>21162925.390000001</v>
      </c>
      <c r="U20" s="251">
        <f t="shared" si="16"/>
        <v>22457240.180000003</v>
      </c>
      <c r="V20" s="251">
        <f t="shared" si="16"/>
        <v>21000992.839999996</v>
      </c>
      <c r="W20" s="251">
        <f t="shared" si="16"/>
        <v>18721159.360000003</v>
      </c>
      <c r="X20" s="251">
        <f t="shared" si="16"/>
        <v>18344907.260000002</v>
      </c>
      <c r="Y20" s="251">
        <f t="shared" si="16"/>
        <v>19125872.32</v>
      </c>
      <c r="Z20" s="251">
        <f t="shared" si="16"/>
        <v>18459683.620000001</v>
      </c>
      <c r="AA20" s="251">
        <f t="shared" si="16"/>
        <v>17871040.420000002</v>
      </c>
      <c r="AB20" s="251">
        <f t="shared" si="16"/>
        <v>19025696.900000002</v>
      </c>
      <c r="AC20" s="251">
        <f t="shared" si="16"/>
        <v>18383104.869999997</v>
      </c>
      <c r="AD20" s="251">
        <f t="shared" si="16"/>
        <v>20237826.889999997</v>
      </c>
      <c r="AE20" s="251">
        <f t="shared" ref="AE20:AP20" si="17">SUM(AE11:AE19)</f>
        <v>20452599.789999999</v>
      </c>
      <c r="AF20" s="251">
        <f t="shared" si="17"/>
        <v>19615511.52</v>
      </c>
      <c r="AG20" s="251">
        <f t="shared" si="17"/>
        <v>19827510.050000001</v>
      </c>
      <c r="AH20" s="251">
        <f t="shared" si="17"/>
        <v>17969253.359999999</v>
      </c>
      <c r="AI20" s="251">
        <f t="shared" si="17"/>
        <v>17896250.279999997</v>
      </c>
      <c r="AJ20" s="251">
        <f t="shared" si="17"/>
        <v>17861980.649999999</v>
      </c>
      <c r="AK20" s="251">
        <f t="shared" si="17"/>
        <v>18373035.280000001</v>
      </c>
      <c r="AL20" s="251">
        <f t="shared" si="17"/>
        <v>17562710.920000002</v>
      </c>
      <c r="AM20" s="251">
        <f t="shared" si="17"/>
        <v>17805514.02</v>
      </c>
      <c r="AN20" s="251">
        <f t="shared" si="17"/>
        <v>18397829.519999996</v>
      </c>
      <c r="AO20" s="251">
        <f t="shared" si="17"/>
        <v>19614885.620000005</v>
      </c>
      <c r="AP20" s="251">
        <f t="shared" si="17"/>
        <v>22839881.950000007</v>
      </c>
      <c r="AQ20" s="251">
        <f t="shared" ref="AQ20:AW20" si="18">SUM(AQ11:AQ19)</f>
        <v>20895425.940000001</v>
      </c>
      <c r="AR20" s="251">
        <f t="shared" si="18"/>
        <v>21328085.270000003</v>
      </c>
      <c r="AS20" s="251">
        <f t="shared" si="18"/>
        <v>20986618.350000001</v>
      </c>
      <c r="AT20" s="251">
        <f t="shared" si="18"/>
        <v>18269690.169999998</v>
      </c>
      <c r="AU20" s="251">
        <f t="shared" si="18"/>
        <v>17363157.940000001</v>
      </c>
      <c r="AV20" s="251">
        <f t="shared" si="18"/>
        <v>18619131.43</v>
      </c>
      <c r="AW20" s="251">
        <f t="shared" si="18"/>
        <v>18001910.130000003</v>
      </c>
      <c r="AX20" s="251">
        <f t="shared" ref="AX20:BB20" si="19">SUM(AX11:AX19)</f>
        <v>17971913.219999999</v>
      </c>
      <c r="AY20" s="251">
        <f t="shared" si="19"/>
        <v>18898664.330000002</v>
      </c>
      <c r="AZ20" s="251">
        <f t="shared" si="19"/>
        <v>20022455.620000001</v>
      </c>
      <c r="BA20" s="251">
        <f t="shared" si="19"/>
        <v>18495667.440000001</v>
      </c>
      <c r="BB20" s="686">
        <f t="shared" si="19"/>
        <v>23335667.509999998</v>
      </c>
      <c r="BC20" s="686">
        <f t="shared" ref="BC20:BN20" si="20">SUM(BC11:BC19)</f>
        <v>24657922.080000002</v>
      </c>
      <c r="BD20" s="686">
        <f t="shared" si="20"/>
        <v>22429811.489999998</v>
      </c>
      <c r="BE20" s="686">
        <f t="shared" si="20"/>
        <v>22188089.819999997</v>
      </c>
      <c r="BF20" s="686">
        <f t="shared" si="20"/>
        <v>22086176.709999997</v>
      </c>
      <c r="BG20" s="686">
        <f t="shared" si="20"/>
        <v>21133889.240000002</v>
      </c>
      <c r="BH20" s="686">
        <f t="shared" si="20"/>
        <v>20683424.280000001</v>
      </c>
      <c r="BI20" s="686">
        <f t="shared" si="20"/>
        <v>21627802.539999999</v>
      </c>
      <c r="BJ20" s="686">
        <f t="shared" si="20"/>
        <v>20069422.75</v>
      </c>
      <c r="BK20" s="686">
        <f t="shared" si="20"/>
        <v>21060661.100000001</v>
      </c>
      <c r="BL20" s="686">
        <f t="shared" si="20"/>
        <v>20932295.949999999</v>
      </c>
      <c r="BM20" s="686">
        <f t="shared" si="20"/>
        <v>21986475.890000001</v>
      </c>
      <c r="BN20" s="686">
        <f t="shared" si="20"/>
        <v>26121418.019999992</v>
      </c>
      <c r="BO20" s="686">
        <f t="shared" ref="BO20:BZ20" si="21">SUM(BO11:BO19)</f>
        <v>25191562.080000002</v>
      </c>
      <c r="BP20" s="686">
        <f t="shared" si="21"/>
        <v>25095165.089999996</v>
      </c>
      <c r="BQ20" s="686">
        <f t="shared" si="21"/>
        <v>21478422.829999994</v>
      </c>
      <c r="BR20" s="686">
        <f t="shared" si="21"/>
        <v>23835960.530000001</v>
      </c>
      <c r="BS20" s="686">
        <f t="shared" si="21"/>
        <v>23274277.049999993</v>
      </c>
      <c r="BT20" s="686">
        <f t="shared" si="21"/>
        <v>20498140.73</v>
      </c>
      <c r="BU20" s="686">
        <f t="shared" si="21"/>
        <v>23542292.48</v>
      </c>
      <c r="BV20" s="686">
        <f t="shared" si="21"/>
        <v>23110369.199999999</v>
      </c>
      <c r="BW20" s="686">
        <f t="shared" si="21"/>
        <v>19732500.889999993</v>
      </c>
      <c r="BX20" s="686">
        <f t="shared" si="21"/>
        <v>24303981.939999998</v>
      </c>
      <c r="BY20" s="686">
        <f t="shared" si="21"/>
        <v>23295091.009999998</v>
      </c>
      <c r="BZ20" s="686">
        <f t="shared" si="21"/>
        <v>26484037.91</v>
      </c>
      <c r="CA20" s="686">
        <f t="shared" ref="CA20:CO20" si="22">SUM(CA11:CA19)</f>
        <v>26749499.999999993</v>
      </c>
      <c r="CB20" s="686">
        <f t="shared" si="22"/>
        <v>26201900</v>
      </c>
      <c r="CC20" s="686">
        <f t="shared" si="22"/>
        <v>22670199.999999996</v>
      </c>
      <c r="CD20" s="686">
        <f t="shared" si="22"/>
        <v>24598300</v>
      </c>
      <c r="CE20" s="686">
        <f t="shared" si="22"/>
        <v>24438999.999999996</v>
      </c>
      <c r="CF20" s="686">
        <f t="shared" si="22"/>
        <v>22096199.999999996</v>
      </c>
      <c r="CG20" s="686">
        <f t="shared" si="22"/>
        <v>23716600</v>
      </c>
      <c r="CH20" s="686">
        <f t="shared" si="22"/>
        <v>23774600</v>
      </c>
      <c r="CI20" s="686">
        <f t="shared" si="22"/>
        <v>22760600</v>
      </c>
      <c r="CJ20" s="686">
        <f t="shared" si="22"/>
        <v>23731400</v>
      </c>
      <c r="CK20" s="686">
        <f t="shared" si="22"/>
        <v>27216199.999999993</v>
      </c>
      <c r="CL20" s="686">
        <f t="shared" si="22"/>
        <v>21798600</v>
      </c>
      <c r="CM20" s="686">
        <f t="shared" si="22"/>
        <v>30098300</v>
      </c>
      <c r="CN20" s="686">
        <f t="shared" si="22"/>
        <v>29258400</v>
      </c>
      <c r="CO20" s="686">
        <f t="shared" si="22"/>
        <v>28924799.999999993</v>
      </c>
      <c r="CP20" s="686">
        <f t="shared" ref="CP20:CX20" si="23">SUM(CP11:CP19)</f>
        <v>27616699.999999996</v>
      </c>
      <c r="CQ20" s="686">
        <f t="shared" si="23"/>
        <v>27278399.999999996</v>
      </c>
      <c r="CR20" s="686">
        <f t="shared" si="23"/>
        <v>27669199.999999993</v>
      </c>
      <c r="CS20" s="686">
        <f t="shared" si="23"/>
        <v>26558699.999999993</v>
      </c>
      <c r="CT20" s="686">
        <f t="shared" si="23"/>
        <v>26284799.999999993</v>
      </c>
      <c r="CU20" s="686">
        <f t="shared" si="23"/>
        <v>27511600</v>
      </c>
      <c r="CV20" s="686">
        <f t="shared" si="23"/>
        <v>26973899.999999996</v>
      </c>
      <c r="CW20" s="686">
        <f t="shared" si="23"/>
        <v>28164100</v>
      </c>
      <c r="CX20" s="686">
        <f t="shared" si="23"/>
        <v>30740599.999999989</v>
      </c>
      <c r="CY20" s="604">
        <f t="shared" si="13"/>
        <v>337079500</v>
      </c>
      <c r="CZ20" s="33"/>
      <c r="DA20" s="205"/>
      <c r="DB20" s="33"/>
    </row>
    <row r="21" spans="1:106">
      <c r="C21" s="22"/>
      <c r="D21" s="707"/>
      <c r="E21" s="708"/>
      <c r="F21" s="707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596"/>
      <c r="BC21" s="596"/>
      <c r="BD21" s="596"/>
      <c r="BE21" s="596"/>
      <c r="BF21" s="596"/>
      <c r="BG21" s="596"/>
      <c r="BH21" s="596"/>
      <c r="BI21" s="596"/>
      <c r="BJ21" s="596"/>
      <c r="BK21" s="596"/>
      <c r="BL21" s="596"/>
      <c r="BM21" s="596"/>
      <c r="BN21" s="596"/>
      <c r="BO21" s="596"/>
      <c r="BP21" s="596"/>
      <c r="BQ21" s="596"/>
      <c r="BR21" s="596"/>
      <c r="BS21" s="596"/>
      <c r="BT21" s="596"/>
      <c r="BU21" s="596"/>
      <c r="BV21" s="596"/>
      <c r="BW21" s="596"/>
      <c r="BX21" s="596"/>
      <c r="BY21" s="596"/>
      <c r="BZ21" s="596"/>
      <c r="CA21" s="596"/>
      <c r="CB21" s="596"/>
      <c r="CC21" s="596"/>
      <c r="CD21" s="596"/>
      <c r="CE21" s="596"/>
      <c r="CF21" s="596"/>
      <c r="CG21" s="596"/>
      <c r="CH21" s="596"/>
      <c r="CI21" s="596"/>
      <c r="CJ21" s="596"/>
      <c r="CK21" s="596"/>
      <c r="CL21" s="596"/>
      <c r="CM21" s="596"/>
      <c r="CN21" s="596"/>
      <c r="CO21" s="596"/>
      <c r="CP21" s="596"/>
      <c r="CQ21" s="596"/>
      <c r="CR21" s="596"/>
      <c r="CS21" s="596"/>
      <c r="CT21" s="596"/>
      <c r="CU21" s="596"/>
      <c r="CV21" s="596"/>
      <c r="CW21" s="596"/>
      <c r="CX21" s="596"/>
      <c r="CY21" s="604"/>
      <c r="CZ21" s="33"/>
      <c r="DA21" s="205"/>
      <c r="DB21" s="33"/>
    </row>
    <row r="22" spans="1:106">
      <c r="A22" t="s">
        <v>422</v>
      </c>
      <c r="C22" s="22"/>
      <c r="D22" s="710">
        <f t="shared" ref="D22:F22" si="24">+D9-D20</f>
        <v>69688.400000000081</v>
      </c>
      <c r="E22" s="708"/>
      <c r="F22" s="710">
        <f t="shared" ca="1" si="24"/>
        <v>69688.399999999907</v>
      </c>
      <c r="G22" s="253">
        <f>+G9-G20</f>
        <v>6152748.8000000007</v>
      </c>
      <c r="H22" s="253">
        <f t="shared" ref="H22:R22" si="25">+H9-H20</f>
        <v>4702553.3999999911</v>
      </c>
      <c r="I22" s="253">
        <f t="shared" si="25"/>
        <v>5200863.66</v>
      </c>
      <c r="J22" s="253">
        <f t="shared" si="25"/>
        <v>4844336.1199999973</v>
      </c>
      <c r="K22" s="253">
        <f t="shared" si="25"/>
        <v>4524301.7600000054</v>
      </c>
      <c r="L22" s="253">
        <f t="shared" si="25"/>
        <v>3102457.8999999985</v>
      </c>
      <c r="M22" s="253">
        <f t="shared" si="25"/>
        <v>3662001.1899999995</v>
      </c>
      <c r="N22" s="253">
        <f t="shared" si="25"/>
        <v>3525504.2599999942</v>
      </c>
      <c r="O22" s="253">
        <f t="shared" si="25"/>
        <v>3446501.2700000033</v>
      </c>
      <c r="P22" s="253">
        <f t="shared" si="25"/>
        <v>3614241.3699999936</v>
      </c>
      <c r="Q22" s="253">
        <f t="shared" si="25"/>
        <v>4231441.7200000025</v>
      </c>
      <c r="R22" s="253">
        <f t="shared" si="25"/>
        <v>5951609.770000007</v>
      </c>
      <c r="S22" s="253">
        <f t="shared" ref="S22:AD22" si="26">+S9-S20</f>
        <v>9940462.4899999946</v>
      </c>
      <c r="T22" s="253">
        <f t="shared" si="26"/>
        <v>5415606.1499999985</v>
      </c>
      <c r="U22" s="253">
        <f t="shared" si="26"/>
        <v>2325500.1899999939</v>
      </c>
      <c r="V22" s="253">
        <f t="shared" si="26"/>
        <v>5926409.1000000089</v>
      </c>
      <c r="W22" s="253">
        <f t="shared" si="26"/>
        <v>3444404.6699999981</v>
      </c>
      <c r="X22" s="253">
        <f t="shared" si="26"/>
        <v>3828231.6100000031</v>
      </c>
      <c r="Y22" s="253">
        <f t="shared" si="26"/>
        <v>3891277.7600000054</v>
      </c>
      <c r="Z22" s="253">
        <f t="shared" si="26"/>
        <v>3421528.120000001</v>
      </c>
      <c r="AA22" s="253">
        <f t="shared" si="26"/>
        <v>4453467.1600000113</v>
      </c>
      <c r="AB22" s="253">
        <f t="shared" si="26"/>
        <v>3787619.3500000052</v>
      </c>
      <c r="AC22" s="253">
        <f t="shared" si="26"/>
        <v>4520918.6300000139</v>
      </c>
      <c r="AD22" s="253">
        <f t="shared" si="26"/>
        <v>6216167.7300000153</v>
      </c>
      <c r="AE22" s="253">
        <f t="shared" ref="AE22:AP22" si="27">+AE9-AE20</f>
        <v>7735121.25</v>
      </c>
      <c r="AF22" s="253">
        <f t="shared" si="27"/>
        <v>6933687.2900000066</v>
      </c>
      <c r="AG22" s="253">
        <f t="shared" si="27"/>
        <v>6359334.7200000025</v>
      </c>
      <c r="AH22" s="253">
        <f t="shared" si="27"/>
        <v>6143625.1099999994</v>
      </c>
      <c r="AI22" s="253">
        <f t="shared" si="27"/>
        <v>5537220.6199999936</v>
      </c>
      <c r="AJ22" s="253">
        <f t="shared" si="27"/>
        <v>4455270.5400000066</v>
      </c>
      <c r="AK22" s="253">
        <f t="shared" si="27"/>
        <v>4010450.0599999987</v>
      </c>
      <c r="AL22" s="253">
        <f t="shared" si="27"/>
        <v>4582283.09</v>
      </c>
      <c r="AM22" s="253">
        <f t="shared" si="27"/>
        <v>4625023.7300000004</v>
      </c>
      <c r="AN22" s="253">
        <f t="shared" si="27"/>
        <v>4508739.3800000027</v>
      </c>
      <c r="AO22" s="253">
        <f t="shared" si="27"/>
        <v>5499297.9999999925</v>
      </c>
      <c r="AP22" s="253">
        <f t="shared" si="27"/>
        <v>4979877.9199999906</v>
      </c>
      <c r="AQ22" s="253">
        <f t="shared" ref="AQ22:AW22" si="28">+AQ9-AQ20</f>
        <v>8644015.7799999975</v>
      </c>
      <c r="AR22" s="253">
        <f t="shared" si="28"/>
        <v>6665329.9600000009</v>
      </c>
      <c r="AS22" s="253">
        <f t="shared" si="28"/>
        <v>5635700.3799999952</v>
      </c>
      <c r="AT22" s="253">
        <f t="shared" si="28"/>
        <v>4431936.6300000064</v>
      </c>
      <c r="AU22" s="253">
        <f t="shared" si="28"/>
        <v>4746114</v>
      </c>
      <c r="AV22" s="253">
        <f t="shared" si="28"/>
        <v>4180826.9200000018</v>
      </c>
      <c r="AW22" s="253">
        <f t="shared" si="28"/>
        <v>4027489.8299999982</v>
      </c>
      <c r="AX22" s="253">
        <f t="shared" ref="AX22:BB22" si="29">+AX9-AX20</f>
        <v>4533062.6800000034</v>
      </c>
      <c r="AY22" s="253">
        <f t="shared" si="29"/>
        <v>3801043.91</v>
      </c>
      <c r="AZ22" s="253">
        <f t="shared" si="29"/>
        <v>3786107.049999997</v>
      </c>
      <c r="BA22" s="253">
        <f t="shared" si="29"/>
        <v>6143399.8900000043</v>
      </c>
      <c r="BB22" s="714">
        <f t="shared" si="29"/>
        <v>5076111.8500000015</v>
      </c>
      <c r="BC22" s="714">
        <f t="shared" ref="BC22:BN22" si="30">+BC9-BC20</f>
        <v>12317707.819999997</v>
      </c>
      <c r="BD22" s="714">
        <f t="shared" si="30"/>
        <v>8804136.7799999975</v>
      </c>
      <c r="BE22" s="714">
        <f t="shared" si="30"/>
        <v>8680210.1800000034</v>
      </c>
      <c r="BF22" s="714">
        <f t="shared" si="30"/>
        <v>8965501.6900000013</v>
      </c>
      <c r="BG22" s="714">
        <f t="shared" si="30"/>
        <v>6652243.8500000089</v>
      </c>
      <c r="BH22" s="714">
        <f t="shared" si="30"/>
        <v>6700402.7899999991</v>
      </c>
      <c r="BI22" s="714">
        <f t="shared" si="30"/>
        <v>5672462.320000004</v>
      </c>
      <c r="BJ22" s="714">
        <f t="shared" si="30"/>
        <v>5908975.8500000015</v>
      </c>
      <c r="BK22" s="714">
        <f t="shared" si="30"/>
        <v>6509228.3999999985</v>
      </c>
      <c r="BL22" s="714">
        <f t="shared" si="30"/>
        <v>6229267.5500000007</v>
      </c>
      <c r="BM22" s="714">
        <f t="shared" si="30"/>
        <v>7186472.0600000061</v>
      </c>
      <c r="BN22" s="714">
        <f t="shared" si="30"/>
        <v>7262771.3600000106</v>
      </c>
      <c r="BO22" s="714">
        <f t="shared" ref="BO22:CA22" si="31">+BO9-BO20</f>
        <v>11349886.680000003</v>
      </c>
      <c r="BP22" s="714">
        <f t="shared" si="31"/>
        <v>10200282.340000011</v>
      </c>
      <c r="BQ22" s="714">
        <f t="shared" si="31"/>
        <v>12037925.370000001</v>
      </c>
      <c r="BR22" s="714">
        <f t="shared" si="31"/>
        <v>8163991.8400000036</v>
      </c>
      <c r="BS22" s="714">
        <f t="shared" si="31"/>
        <v>7693234.3700000085</v>
      </c>
      <c r="BT22" s="714">
        <f t="shared" si="31"/>
        <v>8183531.370000001</v>
      </c>
      <c r="BU22" s="714">
        <f t="shared" si="31"/>
        <v>5851843.0100000054</v>
      </c>
      <c r="BV22" s="714">
        <f t="shared" si="31"/>
        <v>6193478.3300000094</v>
      </c>
      <c r="BW22" s="714">
        <f t="shared" si="31"/>
        <v>8869977.4200000092</v>
      </c>
      <c r="BX22" s="714">
        <f t="shared" si="31"/>
        <v>6854728.7099999972</v>
      </c>
      <c r="BY22" s="714">
        <f t="shared" si="31"/>
        <v>7931862.5899999924</v>
      </c>
      <c r="BZ22" s="714">
        <f t="shared" si="31"/>
        <v>7612562.5099999867</v>
      </c>
      <c r="CA22" s="714">
        <f t="shared" si="31"/>
        <v>11517699.999999978</v>
      </c>
      <c r="CB22" s="714">
        <f t="shared" ref="CB22:CO22" si="32">+CB9-CB20</f>
        <v>10587799.999999993</v>
      </c>
      <c r="CC22" s="714">
        <f t="shared" si="32"/>
        <v>12890999.999999989</v>
      </c>
      <c r="CD22" s="714">
        <f t="shared" si="32"/>
        <v>8953999.9999999925</v>
      </c>
      <c r="CE22" s="714">
        <f t="shared" si="32"/>
        <v>7357099.9999999888</v>
      </c>
      <c r="CF22" s="714">
        <f t="shared" si="32"/>
        <v>9031099.9999999888</v>
      </c>
      <c r="CG22" s="714">
        <f t="shared" si="32"/>
        <v>6539699.9999999776</v>
      </c>
      <c r="CH22" s="714">
        <f t="shared" si="32"/>
        <v>6365000.0000000075</v>
      </c>
      <c r="CI22" s="714">
        <f t="shared" si="32"/>
        <v>8362799.9999999776</v>
      </c>
      <c r="CJ22" s="714">
        <f t="shared" si="32"/>
        <v>7157300</v>
      </c>
      <c r="CK22" s="714">
        <f t="shared" si="32"/>
        <v>9316399.9999999776</v>
      </c>
      <c r="CL22" s="714">
        <f t="shared" si="32"/>
        <v>16062099.999999993</v>
      </c>
      <c r="CM22" s="714">
        <f t="shared" si="32"/>
        <v>9337499.9999999702</v>
      </c>
      <c r="CN22" s="714">
        <f t="shared" si="32"/>
        <v>8530600.0000000149</v>
      </c>
      <c r="CO22" s="714">
        <f t="shared" si="32"/>
        <v>7211400</v>
      </c>
      <c r="CP22" s="714">
        <f t="shared" ref="CP22:CX22" si="33">+CP9-CP20</f>
        <v>6532000.0000000037</v>
      </c>
      <c r="CQ22" s="714">
        <f t="shared" si="33"/>
        <v>5052799.9999999888</v>
      </c>
      <c r="CR22" s="714">
        <f t="shared" si="33"/>
        <v>3860199.9999999851</v>
      </c>
      <c r="CS22" s="714">
        <f t="shared" si="33"/>
        <v>4032099.9999999776</v>
      </c>
      <c r="CT22" s="714">
        <f t="shared" si="33"/>
        <v>4176200</v>
      </c>
      <c r="CU22" s="714">
        <f t="shared" si="33"/>
        <v>3933499.9999999702</v>
      </c>
      <c r="CV22" s="714">
        <f t="shared" si="33"/>
        <v>4244499.9999999963</v>
      </c>
      <c r="CW22" s="714">
        <f t="shared" si="33"/>
        <v>5665999.9999999851</v>
      </c>
      <c r="CX22" s="714">
        <f t="shared" si="33"/>
        <v>7111599.9999999814</v>
      </c>
      <c r="CY22" s="1048">
        <f>+CY9-CY20</f>
        <v>69688399.999999881</v>
      </c>
      <c r="CZ22" s="33"/>
      <c r="DA22" s="205"/>
      <c r="DB22" s="33"/>
    </row>
    <row r="23" spans="1:106">
      <c r="C23" s="22"/>
      <c r="D23" s="707"/>
      <c r="E23" s="708"/>
      <c r="F23" s="707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596"/>
      <c r="BC23" s="596"/>
      <c r="BD23" s="596"/>
      <c r="BE23" s="596"/>
      <c r="BF23" s="596"/>
      <c r="BG23" s="596"/>
      <c r="BH23" s="596"/>
      <c r="BI23" s="596"/>
      <c r="BJ23" s="596"/>
      <c r="BK23" s="596"/>
      <c r="BL23" s="596"/>
      <c r="BM23" s="596"/>
      <c r="BN23" s="596"/>
      <c r="BO23" s="596"/>
      <c r="BP23" s="596"/>
      <c r="BQ23" s="596"/>
      <c r="BR23" s="596"/>
      <c r="BS23" s="596"/>
      <c r="BT23" s="596"/>
      <c r="BU23" s="596"/>
      <c r="BV23" s="596"/>
      <c r="BW23" s="596"/>
      <c r="BX23" s="596"/>
      <c r="BY23" s="596"/>
      <c r="BZ23" s="596"/>
      <c r="CA23" s="596"/>
      <c r="CB23" s="596"/>
      <c r="CC23" s="596"/>
      <c r="CD23" s="596"/>
      <c r="CE23" s="596"/>
      <c r="CF23" s="596"/>
      <c r="CG23" s="596"/>
      <c r="CH23" s="596"/>
      <c r="CI23" s="596"/>
      <c r="CJ23" s="596"/>
      <c r="CK23" s="596"/>
      <c r="CL23" s="596"/>
      <c r="CM23" s="596"/>
      <c r="CN23" s="596"/>
      <c r="CO23" s="596"/>
      <c r="CP23" s="596"/>
      <c r="CQ23" s="596"/>
      <c r="CR23" s="596"/>
      <c r="CS23" s="596"/>
      <c r="CT23" s="596"/>
      <c r="CU23" s="596"/>
      <c r="CV23" s="596"/>
      <c r="CW23" s="596"/>
      <c r="CX23" s="596"/>
      <c r="CY23" s="604"/>
      <c r="DA23" s="205"/>
      <c r="DB23" s="33"/>
    </row>
    <row r="24" spans="1:106">
      <c r="A24" s="13" t="s">
        <v>423</v>
      </c>
      <c r="C24" s="22"/>
      <c r="D24" s="707"/>
      <c r="E24" s="708"/>
      <c r="F24" s="707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596"/>
      <c r="BC24" s="596"/>
      <c r="BD24" s="596"/>
      <c r="BE24" s="596"/>
      <c r="BF24" s="596"/>
      <c r="BG24" s="596"/>
      <c r="BH24" s="596"/>
      <c r="BI24" s="596"/>
      <c r="BJ24" s="596"/>
      <c r="BK24" s="596"/>
      <c r="BL24" s="596"/>
      <c r="BM24" s="596"/>
      <c r="BN24" s="596"/>
      <c r="BO24" s="596"/>
      <c r="BP24" s="596"/>
      <c r="BQ24" s="596"/>
      <c r="BR24" s="596"/>
      <c r="BS24" s="596"/>
      <c r="BT24" s="596"/>
      <c r="BU24" s="596"/>
      <c r="BV24" s="596"/>
      <c r="BW24" s="596"/>
      <c r="BX24" s="596"/>
      <c r="BY24" s="596"/>
      <c r="BZ24" s="596"/>
      <c r="CA24" s="596"/>
      <c r="CB24" s="596"/>
      <c r="CC24" s="596"/>
      <c r="CD24" s="596"/>
      <c r="CE24" s="596"/>
      <c r="CF24" s="596"/>
      <c r="CG24" s="596"/>
      <c r="CH24" s="596"/>
      <c r="CI24" s="596"/>
      <c r="CJ24" s="596"/>
      <c r="CK24" s="596"/>
      <c r="CL24" s="596"/>
      <c r="CM24" s="596"/>
      <c r="CN24" s="596"/>
      <c r="CO24" s="596"/>
      <c r="CP24" s="596"/>
      <c r="CQ24" s="596"/>
      <c r="CR24" s="596"/>
      <c r="CS24" s="596"/>
      <c r="CT24" s="596"/>
      <c r="CU24" s="596"/>
      <c r="CV24" s="596"/>
      <c r="CW24" s="596"/>
      <c r="CX24" s="596"/>
      <c r="CY24" s="604"/>
      <c r="DA24" s="205"/>
      <c r="DB24" s="33"/>
    </row>
    <row r="25" spans="1:106">
      <c r="A25" t="s">
        <v>424</v>
      </c>
      <c r="C25" s="22"/>
      <c r="D25" s="707">
        <f t="shared" ref="D25:D31" si="34">(+BZ25/1000)</f>
        <v>24.738840000000003</v>
      </c>
      <c r="E25" s="708"/>
      <c r="F25" s="707">
        <f ca="1">SUM(OFFSET(CA25:CL25,0,'Bal Sheet'!$A$1))/1000</f>
        <v>0</v>
      </c>
      <c r="G25" s="355">
        <v>125</v>
      </c>
      <c r="H25" s="355">
        <v>0</v>
      </c>
      <c r="I25" s="355">
        <v>26689.71</v>
      </c>
      <c r="J25" s="355">
        <v>0</v>
      </c>
      <c r="K25" s="355">
        <v>0</v>
      </c>
      <c r="L25" s="355">
        <v>4139.9799999999996</v>
      </c>
      <c r="M25" s="355">
        <v>-764.25</v>
      </c>
      <c r="N25" s="355">
        <v>-109.83000000000001</v>
      </c>
      <c r="O25" s="355">
        <v>-44.61</v>
      </c>
      <c r="P25" s="355">
        <v>-28.42</v>
      </c>
      <c r="Q25" s="355">
        <v>-710.23</v>
      </c>
      <c r="R25" s="355">
        <v>37947</v>
      </c>
      <c r="S25" s="355">
        <v>-36.43</v>
      </c>
      <c r="T25" s="355">
        <v>14279.87</v>
      </c>
      <c r="U25" s="355">
        <v>2460.94</v>
      </c>
      <c r="V25" s="355">
        <v>22589.25</v>
      </c>
      <c r="W25" s="355">
        <v>-32.590000000000003</v>
      </c>
      <c r="X25" s="355">
        <v>3943.19</v>
      </c>
      <c r="Y25" s="355">
        <v>5781.88</v>
      </c>
      <c r="Z25" s="355">
        <v>7777.3</v>
      </c>
      <c r="AA25" s="355">
        <v>5393.89</v>
      </c>
      <c r="AB25" s="355">
        <v>-239.08</v>
      </c>
      <c r="AC25" s="355">
        <v>-218.27</v>
      </c>
      <c r="AD25" s="355">
        <v>-316.47000000000003</v>
      </c>
      <c r="AE25" s="355">
        <v>-753.97</v>
      </c>
      <c r="AF25" s="355">
        <v>3809.22</v>
      </c>
      <c r="AG25" s="355">
        <v>-115.45</v>
      </c>
      <c r="AH25" s="355">
        <v>-145.88999999999999</v>
      </c>
      <c r="AI25" s="355">
        <v>5830.38</v>
      </c>
      <c r="AJ25" s="355">
        <v>-128.44</v>
      </c>
      <c r="AK25" s="355">
        <v>-275.52</v>
      </c>
      <c r="AL25" s="355">
        <v>571.84</v>
      </c>
      <c r="AM25" s="355">
        <v>-1720.8700000000001</v>
      </c>
      <c r="AN25" s="355">
        <v>3437.29</v>
      </c>
      <c r="AO25" s="355">
        <v>-1487.86</v>
      </c>
      <c r="AP25" s="355">
        <v>1708.8</v>
      </c>
      <c r="AQ25" s="355">
        <v>-301.91999999999996</v>
      </c>
      <c r="AR25" s="355">
        <v>2913.04</v>
      </c>
      <c r="AS25" s="355">
        <v>-835.78</v>
      </c>
      <c r="AT25" s="355">
        <v>4207.41</v>
      </c>
      <c r="AU25" s="355">
        <v>-2438.1</v>
      </c>
      <c r="AV25" s="355">
        <v>3701.68</v>
      </c>
      <c r="AW25" s="355">
        <v>-627.98</v>
      </c>
      <c r="AX25" s="355">
        <v>5972.9599999999991</v>
      </c>
      <c r="AY25" s="355">
        <v>-679.6</v>
      </c>
      <c r="AZ25" s="355">
        <v>-17017.97</v>
      </c>
      <c r="BA25" s="355">
        <v>-865.59</v>
      </c>
      <c r="BB25" s="404">
        <v>-4096.22</v>
      </c>
      <c r="BC25" s="404">
        <v>-2667.96</v>
      </c>
      <c r="BD25" s="404">
        <v>-2689.41</v>
      </c>
      <c r="BE25" s="404">
        <v>-2379.44</v>
      </c>
      <c r="BF25" s="404">
        <v>6465.51</v>
      </c>
      <c r="BG25" s="404">
        <v>-592.79</v>
      </c>
      <c r="BH25" s="404">
        <v>-1644.0300000000002</v>
      </c>
      <c r="BI25" s="404">
        <v>-1331.57</v>
      </c>
      <c r="BJ25" s="404">
        <v>-1656.31</v>
      </c>
      <c r="BK25" s="404">
        <v>-2642.34</v>
      </c>
      <c r="BL25" s="404">
        <v>-1974.72</v>
      </c>
      <c r="BM25" s="404">
        <v>-3059.44</v>
      </c>
      <c r="BN25" s="404">
        <v>-2266.75</v>
      </c>
      <c r="BO25" s="583">
        <v>-1835.51</v>
      </c>
      <c r="BP25" s="583">
        <v>-1269.93</v>
      </c>
      <c r="BQ25" s="583">
        <v>-1493.8000000000002</v>
      </c>
      <c r="BR25" s="583">
        <v>-743.82999999999993</v>
      </c>
      <c r="BS25" s="583">
        <v>-377.86</v>
      </c>
      <c r="BT25" s="583">
        <v>-2596.94</v>
      </c>
      <c r="BU25" s="583">
        <v>-427.72</v>
      </c>
      <c r="BV25" s="583">
        <v>-792.49</v>
      </c>
      <c r="BW25" s="583">
        <v>-74.489999999999995</v>
      </c>
      <c r="BX25" s="583">
        <v>-1316.14</v>
      </c>
      <c r="BY25" s="583">
        <v>-3478.96</v>
      </c>
      <c r="BZ25" s="583">
        <v>24738.840000000004</v>
      </c>
      <c r="CA25" s="583">
        <v>0</v>
      </c>
      <c r="CB25" s="583">
        <v>0</v>
      </c>
      <c r="CC25" s="583">
        <v>0</v>
      </c>
      <c r="CD25" s="583">
        <v>0</v>
      </c>
      <c r="CE25" s="583">
        <v>0</v>
      </c>
      <c r="CF25" s="583">
        <v>0</v>
      </c>
      <c r="CG25" s="583">
        <v>0</v>
      </c>
      <c r="CH25" s="583">
        <v>0</v>
      </c>
      <c r="CI25" s="583">
        <v>0</v>
      </c>
      <c r="CJ25" s="583">
        <v>0</v>
      </c>
      <c r="CK25" s="583">
        <v>0</v>
      </c>
      <c r="CL25" s="583">
        <v>0</v>
      </c>
      <c r="CM25" s="583">
        <v>0</v>
      </c>
      <c r="CN25" s="583">
        <v>0</v>
      </c>
      <c r="CO25" s="583">
        <v>0</v>
      </c>
      <c r="CP25" s="583">
        <v>0</v>
      </c>
      <c r="CQ25" s="583">
        <v>0</v>
      </c>
      <c r="CR25" s="583">
        <v>0</v>
      </c>
      <c r="CS25" s="583">
        <v>0</v>
      </c>
      <c r="CT25" s="583">
        <v>0</v>
      </c>
      <c r="CU25" s="583">
        <v>0</v>
      </c>
      <c r="CV25" s="583">
        <v>0</v>
      </c>
      <c r="CW25" s="583">
        <v>0</v>
      </c>
      <c r="CX25" s="583">
        <v>0</v>
      </c>
      <c r="CY25" s="1044">
        <f t="shared" ref="CY25:CY32" si="35">SUM(CM25:CX25)</f>
        <v>0</v>
      </c>
      <c r="CZ25" s="33"/>
      <c r="DA25" s="205"/>
      <c r="DB25" s="33"/>
    </row>
    <row r="26" spans="1:106">
      <c r="A26" t="s">
        <v>425</v>
      </c>
      <c r="C26" s="22"/>
      <c r="D26" s="707">
        <f t="shared" si="34"/>
        <v>59.599089999999997</v>
      </c>
      <c r="E26" s="708"/>
      <c r="F26" s="707">
        <f ca="1">SUM(OFFSET(CA26:CL26,0,'Bal Sheet'!$A$1))/1000</f>
        <v>271.7</v>
      </c>
      <c r="G26" s="355">
        <v>28006.81</v>
      </c>
      <c r="H26" s="355">
        <v>37984.57</v>
      </c>
      <c r="I26" s="355">
        <v>31193.17</v>
      </c>
      <c r="J26" s="355">
        <v>30066.84</v>
      </c>
      <c r="K26" s="355">
        <v>9809.65</v>
      </c>
      <c r="L26" s="355">
        <v>20994.17</v>
      </c>
      <c r="M26" s="355">
        <v>1754.21</v>
      </c>
      <c r="N26" s="355">
        <v>5124.66</v>
      </c>
      <c r="O26" s="355">
        <v>1872.7</v>
      </c>
      <c r="P26" s="355">
        <v>2250.67</v>
      </c>
      <c r="Q26" s="355">
        <v>653.58000000000004</v>
      </c>
      <c r="R26" s="355">
        <v>722.53</v>
      </c>
      <c r="S26" s="355">
        <v>5980.14</v>
      </c>
      <c r="T26" s="355">
        <v>683.95</v>
      </c>
      <c r="U26" s="355">
        <v>593.34</v>
      </c>
      <c r="V26" s="355">
        <v>1242.23</v>
      </c>
      <c r="W26" s="355">
        <v>3325.19</v>
      </c>
      <c r="X26" s="355">
        <v>823.95</v>
      </c>
      <c r="Y26" s="355">
        <v>-61.04</v>
      </c>
      <c r="Z26" s="355">
        <v>774.42</v>
      </c>
      <c r="AA26" s="355">
        <v>869.08</v>
      </c>
      <c r="AB26" s="355">
        <v>-123.42</v>
      </c>
      <c r="AC26" s="355">
        <v>859.74</v>
      </c>
      <c r="AD26" s="355">
        <v>1245.73</v>
      </c>
      <c r="AE26" s="355">
        <v>1386.14</v>
      </c>
      <c r="AF26" s="355">
        <v>1039.8</v>
      </c>
      <c r="AG26" s="355">
        <v>926.46</v>
      </c>
      <c r="AH26" s="355">
        <v>955.99</v>
      </c>
      <c r="AI26" s="355">
        <v>1150.17</v>
      </c>
      <c r="AJ26" s="355">
        <v>3577.39</v>
      </c>
      <c r="AK26" s="355">
        <v>3981.29</v>
      </c>
      <c r="AL26" s="355">
        <v>3921.99</v>
      </c>
      <c r="AM26" s="355">
        <v>3048.89</v>
      </c>
      <c r="AN26" s="355">
        <v>21.6</v>
      </c>
      <c r="AO26" s="355">
        <v>5046.87</v>
      </c>
      <c r="AP26" s="355">
        <v>1393.46</v>
      </c>
      <c r="AQ26" s="355">
        <v>5829.61</v>
      </c>
      <c r="AR26" s="355">
        <v>5336.06</v>
      </c>
      <c r="AS26" s="355">
        <v>13624.8</v>
      </c>
      <c r="AT26" s="355">
        <v>48706.879999999997</v>
      </c>
      <c r="AU26" s="355">
        <v>1187.4000000000001</v>
      </c>
      <c r="AV26" s="355">
        <v>991.75</v>
      </c>
      <c r="AW26" s="355">
        <v>897.63</v>
      </c>
      <c r="AX26" s="355">
        <v>1009.82</v>
      </c>
      <c r="AY26" s="355">
        <v>815.56</v>
      </c>
      <c r="AZ26" s="355">
        <v>749.87</v>
      </c>
      <c r="BA26" s="355">
        <v>902.24</v>
      </c>
      <c r="BB26" s="404">
        <v>992.81</v>
      </c>
      <c r="BC26" s="404">
        <v>10589.77</v>
      </c>
      <c r="BD26" s="404">
        <v>10135.75</v>
      </c>
      <c r="BE26" s="404">
        <v>9969.0400000000009</v>
      </c>
      <c r="BF26" s="404">
        <v>9850.0300000000007</v>
      </c>
      <c r="BG26" s="404">
        <v>14402.36</v>
      </c>
      <c r="BH26" s="404">
        <v>5189.09</v>
      </c>
      <c r="BI26" s="404">
        <v>3312.69</v>
      </c>
      <c r="BJ26" s="404">
        <v>3259.81</v>
      </c>
      <c r="BK26" s="404">
        <v>2984.07</v>
      </c>
      <c r="BL26" s="404">
        <v>3102.86</v>
      </c>
      <c r="BM26" s="404">
        <v>3158.87</v>
      </c>
      <c r="BN26" s="404">
        <v>3669.28</v>
      </c>
      <c r="BO26" s="583">
        <v>4131.33</v>
      </c>
      <c r="BP26" s="583">
        <v>3504.64</v>
      </c>
      <c r="BQ26" s="583">
        <v>9107.92</v>
      </c>
      <c r="BR26" s="583">
        <v>12370.84</v>
      </c>
      <c r="BS26" s="583">
        <v>14123.49</v>
      </c>
      <c r="BT26" s="583">
        <v>18412.560000000001</v>
      </c>
      <c r="BU26" s="583">
        <v>24298.01</v>
      </c>
      <c r="BV26" s="583">
        <v>36020.74</v>
      </c>
      <c r="BW26" s="583">
        <v>47039.45</v>
      </c>
      <c r="BX26" s="583">
        <v>56763.22</v>
      </c>
      <c r="BY26" s="583">
        <v>52515.59</v>
      </c>
      <c r="BZ26" s="583">
        <v>59599.09</v>
      </c>
      <c r="CA26" s="583">
        <v>29800</v>
      </c>
      <c r="CB26" s="583">
        <v>28100</v>
      </c>
      <c r="CC26" s="583">
        <v>26300</v>
      </c>
      <c r="CD26" s="583">
        <v>23600</v>
      </c>
      <c r="CE26" s="583">
        <v>21700</v>
      </c>
      <c r="CF26" s="583">
        <v>20500</v>
      </c>
      <c r="CG26" s="583">
        <v>20000</v>
      </c>
      <c r="CH26" s="583">
        <v>20000</v>
      </c>
      <c r="CI26" s="583">
        <v>21800</v>
      </c>
      <c r="CJ26" s="583">
        <v>24200</v>
      </c>
      <c r="CK26" s="583">
        <v>26200</v>
      </c>
      <c r="CL26" s="583">
        <v>27100</v>
      </c>
      <c r="CM26" s="583">
        <v>25400</v>
      </c>
      <c r="CN26" s="583">
        <v>22400</v>
      </c>
      <c r="CO26" s="583">
        <v>20600</v>
      </c>
      <c r="CP26" s="583">
        <v>20000</v>
      </c>
      <c r="CQ26" s="583">
        <v>20000</v>
      </c>
      <c r="CR26" s="583">
        <v>20000</v>
      </c>
      <c r="CS26" s="583">
        <v>20800</v>
      </c>
      <c r="CT26" s="583">
        <v>22200</v>
      </c>
      <c r="CU26" s="583">
        <v>23600</v>
      </c>
      <c r="CV26" s="583">
        <v>25000</v>
      </c>
      <c r="CW26" s="583">
        <v>26100</v>
      </c>
      <c r="CX26" s="583">
        <v>25600</v>
      </c>
      <c r="CY26" s="1044">
        <f t="shared" si="35"/>
        <v>271700</v>
      </c>
      <c r="CZ26" s="33"/>
      <c r="DA26" s="205"/>
      <c r="DB26" s="33"/>
    </row>
    <row r="27" spans="1:106">
      <c r="A27" t="s">
        <v>426</v>
      </c>
      <c r="C27" s="22"/>
      <c r="D27" s="707">
        <f t="shared" si="34"/>
        <v>43.992419999999996</v>
      </c>
      <c r="E27" s="708"/>
      <c r="F27" s="707">
        <f ca="1">SUM(OFFSET(CA27:CL27,0,'Bal Sheet'!$A$1))/1000</f>
        <v>495.6</v>
      </c>
      <c r="G27" s="355">
        <v>180045.13</v>
      </c>
      <c r="H27" s="355">
        <v>179957.13</v>
      </c>
      <c r="I27" s="355">
        <v>180174.23</v>
      </c>
      <c r="J27" s="355">
        <v>178584.13</v>
      </c>
      <c r="K27" s="355">
        <v>182218.13</v>
      </c>
      <c r="L27" s="355">
        <v>180676.13</v>
      </c>
      <c r="M27" s="355">
        <v>180862.13</v>
      </c>
      <c r="N27" s="355">
        <v>180994.13</v>
      </c>
      <c r="O27" s="355">
        <v>181050.13</v>
      </c>
      <c r="P27" s="355">
        <v>182665.96</v>
      </c>
      <c r="Q27" s="355">
        <v>186445.30000000002</v>
      </c>
      <c r="R27" s="355">
        <v>188288.13</v>
      </c>
      <c r="S27" s="355">
        <v>192933.99</v>
      </c>
      <c r="T27" s="355">
        <v>184973.23</v>
      </c>
      <c r="U27" s="355">
        <v>183278.47</v>
      </c>
      <c r="V27" s="355">
        <v>146758.51</v>
      </c>
      <c r="W27" s="355">
        <v>186318.64</v>
      </c>
      <c r="X27" s="355">
        <v>187862.47</v>
      </c>
      <c r="Y27" s="355">
        <v>189045.01</v>
      </c>
      <c r="Z27" s="355">
        <v>189231.06</v>
      </c>
      <c r="AA27" s="355">
        <v>196559.79</v>
      </c>
      <c r="AB27" s="355">
        <v>168325.95</v>
      </c>
      <c r="AC27" s="355">
        <v>193437.05000000002</v>
      </c>
      <c r="AD27" s="355">
        <v>180454.45</v>
      </c>
      <c r="AE27" s="355">
        <v>203266.58000000002</v>
      </c>
      <c r="AF27" s="355">
        <v>191020.30000000002</v>
      </c>
      <c r="AG27" s="355">
        <v>190023.93</v>
      </c>
      <c r="AH27" s="355">
        <v>191603.24</v>
      </c>
      <c r="AI27" s="355">
        <v>187239.5</v>
      </c>
      <c r="AJ27" s="355">
        <v>178349.92</v>
      </c>
      <c r="AK27" s="355">
        <v>195529.44</v>
      </c>
      <c r="AL27" s="355">
        <v>185547.74</v>
      </c>
      <c r="AM27" s="355">
        <v>189945.67</v>
      </c>
      <c r="AN27" s="355">
        <v>187425.12</v>
      </c>
      <c r="AO27" s="355">
        <v>187395.55000000002</v>
      </c>
      <c r="AP27" s="355">
        <v>186911.71</v>
      </c>
      <c r="AQ27" s="355">
        <v>183357.87</v>
      </c>
      <c r="AR27" s="355">
        <v>183381.67</v>
      </c>
      <c r="AS27" s="355">
        <v>187085.45</v>
      </c>
      <c r="AT27" s="355">
        <v>173926.1</v>
      </c>
      <c r="AU27" s="355">
        <v>134598.43</v>
      </c>
      <c r="AV27" s="355">
        <v>157662.21</v>
      </c>
      <c r="AW27" s="355">
        <v>21062.63</v>
      </c>
      <c r="AX27" s="355">
        <v>13641.89</v>
      </c>
      <c r="AY27" s="355">
        <v>852.55</v>
      </c>
      <c r="AZ27" s="355">
        <v>2386.31</v>
      </c>
      <c r="BA27" s="355">
        <v>-1094.53</v>
      </c>
      <c r="BB27" s="404">
        <v>395.97</v>
      </c>
      <c r="BC27" s="404">
        <v>999.71</v>
      </c>
      <c r="BD27" s="404">
        <v>-805.71</v>
      </c>
      <c r="BE27" s="404">
        <v>64.64</v>
      </c>
      <c r="BF27" s="404">
        <v>4013.08</v>
      </c>
      <c r="BG27" s="404">
        <v>7</v>
      </c>
      <c r="BH27" s="404">
        <v>2693.33</v>
      </c>
      <c r="BI27" s="404">
        <v>-2444.14</v>
      </c>
      <c r="BJ27" s="404">
        <v>113.74</v>
      </c>
      <c r="BK27" s="404">
        <v>1434.45</v>
      </c>
      <c r="BL27" s="404">
        <v>-1436.19</v>
      </c>
      <c r="BM27" s="404">
        <v>3539.36</v>
      </c>
      <c r="BN27" s="404">
        <v>-1551.62</v>
      </c>
      <c r="BO27" s="583">
        <v>2608.79</v>
      </c>
      <c r="BP27" s="583">
        <v>-948.79</v>
      </c>
      <c r="BQ27" s="583">
        <v>731</v>
      </c>
      <c r="BR27" s="583">
        <v>15940.24</v>
      </c>
      <c r="BS27" s="583">
        <v>10116.08</v>
      </c>
      <c r="BT27" s="583">
        <v>16299.65</v>
      </c>
      <c r="BU27" s="583">
        <v>11634.71</v>
      </c>
      <c r="BV27" s="583">
        <v>49008.39</v>
      </c>
      <c r="BW27" s="583">
        <v>57692.79</v>
      </c>
      <c r="BX27" s="583">
        <v>42199.27</v>
      </c>
      <c r="BY27" s="583">
        <v>47313.86</v>
      </c>
      <c r="BZ27" s="583">
        <v>43992.42</v>
      </c>
      <c r="CA27" s="583">
        <v>41300</v>
      </c>
      <c r="CB27" s="583">
        <v>41300</v>
      </c>
      <c r="CC27" s="583">
        <v>41300</v>
      </c>
      <c r="CD27" s="583">
        <v>41300</v>
      </c>
      <c r="CE27" s="583">
        <v>41300</v>
      </c>
      <c r="CF27" s="583">
        <v>41300</v>
      </c>
      <c r="CG27" s="583">
        <v>41300</v>
      </c>
      <c r="CH27" s="583">
        <v>41300</v>
      </c>
      <c r="CI27" s="583">
        <v>41300</v>
      </c>
      <c r="CJ27" s="583">
        <v>41300</v>
      </c>
      <c r="CK27" s="583">
        <v>41300</v>
      </c>
      <c r="CL27" s="583">
        <v>41300</v>
      </c>
      <c r="CM27" s="583">
        <v>41300</v>
      </c>
      <c r="CN27" s="583">
        <v>41300</v>
      </c>
      <c r="CO27" s="583">
        <v>41300</v>
      </c>
      <c r="CP27" s="583">
        <v>41300</v>
      </c>
      <c r="CQ27" s="583">
        <v>41300</v>
      </c>
      <c r="CR27" s="583">
        <v>41300</v>
      </c>
      <c r="CS27" s="583">
        <v>41300</v>
      </c>
      <c r="CT27" s="583">
        <v>41300</v>
      </c>
      <c r="CU27" s="583">
        <v>41300</v>
      </c>
      <c r="CV27" s="583">
        <v>41300</v>
      </c>
      <c r="CW27" s="583">
        <v>41300</v>
      </c>
      <c r="CX27" s="583">
        <v>41300</v>
      </c>
      <c r="CY27" s="1044">
        <f t="shared" si="35"/>
        <v>495600</v>
      </c>
      <c r="CZ27" s="33"/>
      <c r="DA27" s="205"/>
      <c r="DB27" s="33"/>
    </row>
    <row r="28" spans="1:106">
      <c r="A28" s="951" t="s">
        <v>427</v>
      </c>
      <c r="C28" s="22"/>
      <c r="D28" s="707">
        <f t="shared" si="34"/>
        <v>13.128950000000001</v>
      </c>
      <c r="E28" s="708"/>
      <c r="F28" s="707">
        <f ca="1">SUM(OFFSET(CA28:CL28,0,'Bal Sheet'!$A$1))/1000</f>
        <v>3864.7</v>
      </c>
      <c r="G28" s="355">
        <v>353932.4</v>
      </c>
      <c r="H28" s="355">
        <v>308136.26</v>
      </c>
      <c r="I28" s="355">
        <v>287169.15000000002</v>
      </c>
      <c r="J28" s="355">
        <v>146968.54999999999</v>
      </c>
      <c r="K28" s="355">
        <v>331963.59000000003</v>
      </c>
      <c r="L28" s="355">
        <v>-153361.17000000001</v>
      </c>
      <c r="M28" s="355">
        <v>293256.39</v>
      </c>
      <c r="N28" s="355">
        <v>142790.04999999999</v>
      </c>
      <c r="O28" s="355">
        <v>297970.53000000003</v>
      </c>
      <c r="P28" s="355">
        <v>245610.76</v>
      </c>
      <c r="Q28" s="355">
        <v>341556.85</v>
      </c>
      <c r="R28" s="355">
        <v>549068.92000000004</v>
      </c>
      <c r="S28" s="355">
        <v>427265.75</v>
      </c>
      <c r="T28" s="355">
        <v>414555.12</v>
      </c>
      <c r="U28" s="355">
        <v>112602.5</v>
      </c>
      <c r="V28" s="355">
        <v>506278.72</v>
      </c>
      <c r="W28" s="355">
        <v>262049.55</v>
      </c>
      <c r="X28" s="355">
        <v>222660.19</v>
      </c>
      <c r="Y28" s="355">
        <v>289543.83</v>
      </c>
      <c r="Z28" s="355">
        <v>189620.79</v>
      </c>
      <c r="AA28" s="355">
        <v>174472.46</v>
      </c>
      <c r="AB28" s="355">
        <v>253677.03</v>
      </c>
      <c r="AC28" s="355">
        <v>242731.81</v>
      </c>
      <c r="AD28" s="355">
        <v>417337.17</v>
      </c>
      <c r="AE28" s="355">
        <v>256648.59</v>
      </c>
      <c r="AF28" s="355">
        <v>285523.38</v>
      </c>
      <c r="AG28" s="355">
        <v>461128.74</v>
      </c>
      <c r="AH28" s="355">
        <v>417107.02</v>
      </c>
      <c r="AI28" s="355">
        <v>323818.81</v>
      </c>
      <c r="AJ28" s="355">
        <v>234534.32</v>
      </c>
      <c r="AK28" s="355">
        <v>338930.12</v>
      </c>
      <c r="AL28" s="355">
        <v>459463.36</v>
      </c>
      <c r="AM28" s="355">
        <v>219164.33</v>
      </c>
      <c r="AN28" s="355">
        <v>197590.86</v>
      </c>
      <c r="AO28" s="355">
        <v>194188.46</v>
      </c>
      <c r="AP28" s="355">
        <v>228792.44</v>
      </c>
      <c r="AQ28" s="355">
        <v>126272.64</v>
      </c>
      <c r="AR28" s="355">
        <v>424898.82</v>
      </c>
      <c r="AS28" s="355">
        <v>93899.42</v>
      </c>
      <c r="AT28" s="355">
        <v>334447.24</v>
      </c>
      <c r="AU28" s="355">
        <v>410336.04</v>
      </c>
      <c r="AV28" s="355">
        <v>224341.44</v>
      </c>
      <c r="AW28" s="355">
        <v>188439.92</v>
      </c>
      <c r="AX28" s="355">
        <v>311341.21000000002</v>
      </c>
      <c r="AY28" s="355">
        <v>239230.3</v>
      </c>
      <c r="AZ28" s="355">
        <v>350793.42</v>
      </c>
      <c r="BA28" s="355">
        <v>209032.59</v>
      </c>
      <c r="BB28" s="404">
        <v>367048.31</v>
      </c>
      <c r="BC28" s="404">
        <v>334134.96999999997</v>
      </c>
      <c r="BD28" s="404">
        <v>387862.25</v>
      </c>
      <c r="BE28" s="404">
        <v>275361.32</v>
      </c>
      <c r="BF28" s="404">
        <v>331471.51</v>
      </c>
      <c r="BG28" s="404">
        <v>390513.08</v>
      </c>
      <c r="BH28" s="404">
        <v>271490.58</v>
      </c>
      <c r="BI28" s="404">
        <v>274120.75</v>
      </c>
      <c r="BJ28" s="404">
        <v>337068.29</v>
      </c>
      <c r="BK28" s="404">
        <v>295827.65000000002</v>
      </c>
      <c r="BL28" s="404">
        <v>313747.78000000003</v>
      </c>
      <c r="BM28" s="404">
        <v>273112.37</v>
      </c>
      <c r="BN28" s="404">
        <v>159444.92000000001</v>
      </c>
      <c r="BO28" s="583">
        <v>144996.4</v>
      </c>
      <c r="BP28" s="583">
        <v>253318.71</v>
      </c>
      <c r="BQ28" s="583">
        <v>473623.69</v>
      </c>
      <c r="BR28" s="583">
        <v>257376.17</v>
      </c>
      <c r="BS28" s="583">
        <v>276005.40999999997</v>
      </c>
      <c r="BT28" s="583">
        <v>222974.37</v>
      </c>
      <c r="BU28" s="583">
        <v>436612.73</v>
      </c>
      <c r="BV28" s="583">
        <v>287987.53999999998</v>
      </c>
      <c r="BW28" s="583">
        <v>337555.77</v>
      </c>
      <c r="BX28" s="583">
        <v>251499.69</v>
      </c>
      <c r="BY28" s="583">
        <v>300104.23</v>
      </c>
      <c r="BZ28" s="583">
        <v>13128.95</v>
      </c>
      <c r="CA28" s="583">
        <v>178700</v>
      </c>
      <c r="CB28" s="583">
        <v>282500</v>
      </c>
      <c r="CC28" s="583">
        <v>222700</v>
      </c>
      <c r="CD28" s="583">
        <v>351600</v>
      </c>
      <c r="CE28" s="583">
        <v>310000</v>
      </c>
      <c r="CF28" s="583">
        <v>309500</v>
      </c>
      <c r="CG28" s="583">
        <v>336300</v>
      </c>
      <c r="CH28" s="583">
        <v>306000</v>
      </c>
      <c r="CI28" s="583">
        <v>324200</v>
      </c>
      <c r="CJ28" s="583">
        <v>321600</v>
      </c>
      <c r="CK28" s="583">
        <v>355000</v>
      </c>
      <c r="CL28" s="583">
        <v>566600</v>
      </c>
      <c r="CM28" s="583">
        <v>178700</v>
      </c>
      <c r="CN28" s="583">
        <v>282500</v>
      </c>
      <c r="CO28" s="583">
        <v>222700</v>
      </c>
      <c r="CP28" s="583">
        <v>351600</v>
      </c>
      <c r="CQ28" s="583">
        <v>310000</v>
      </c>
      <c r="CR28" s="583">
        <v>309500</v>
      </c>
      <c r="CS28" s="583">
        <v>336300</v>
      </c>
      <c r="CT28" s="583">
        <v>306000</v>
      </c>
      <c r="CU28" s="583">
        <v>324200</v>
      </c>
      <c r="CV28" s="583">
        <v>321600</v>
      </c>
      <c r="CW28" s="583">
        <v>355000</v>
      </c>
      <c r="CX28" s="583">
        <v>566600</v>
      </c>
      <c r="CY28" s="1044">
        <f t="shared" si="35"/>
        <v>3864700</v>
      </c>
      <c r="CZ28" s="33"/>
      <c r="DA28" s="205"/>
      <c r="DB28" s="33"/>
    </row>
    <row r="29" spans="1:106">
      <c r="A29" s="951" t="s">
        <v>428</v>
      </c>
      <c r="C29" s="22"/>
      <c r="D29" s="707">
        <f t="shared" si="34"/>
        <v>53.175150000000002</v>
      </c>
      <c r="E29" s="708"/>
      <c r="F29" s="707">
        <f ca="1">SUM(OFFSET(CA29:CL29,0,'Bal Sheet'!$A$1))/1000</f>
        <v>624.4</v>
      </c>
      <c r="G29" s="952">
        <v>-13338.130000000001</v>
      </c>
      <c r="H29" s="952">
        <v>19634.73</v>
      </c>
      <c r="I29" s="952">
        <v>8130.51</v>
      </c>
      <c r="J29" s="952">
        <v>29685.57</v>
      </c>
      <c r="K29" s="952">
        <v>15256.43</v>
      </c>
      <c r="L29" s="952">
        <v>14519.84</v>
      </c>
      <c r="M29" s="952">
        <v>53262.97</v>
      </c>
      <c r="N29" s="952">
        <v>24941.200000000001</v>
      </c>
      <c r="O29" s="952">
        <v>40323.160000000003</v>
      </c>
      <c r="P29" s="952">
        <v>22215.79</v>
      </c>
      <c r="Q29" s="952">
        <v>18851.760000000002</v>
      </c>
      <c r="R29" s="952">
        <v>33791.69</v>
      </c>
      <c r="S29" s="952">
        <v>13998.8</v>
      </c>
      <c r="T29" s="952">
        <v>78467.87</v>
      </c>
      <c r="U29" s="952">
        <v>20647.62</v>
      </c>
      <c r="V29" s="952">
        <v>56162.89</v>
      </c>
      <c r="W29" s="952">
        <v>32400.39</v>
      </c>
      <c r="X29" s="952">
        <v>13366.28</v>
      </c>
      <c r="Y29" s="952">
        <v>11097.45</v>
      </c>
      <c r="Z29" s="952">
        <v>27895.66</v>
      </c>
      <c r="AA29" s="952">
        <v>16658.64</v>
      </c>
      <c r="AB29" s="952">
        <v>73888.91</v>
      </c>
      <c r="AC29" s="952">
        <v>66279.03</v>
      </c>
      <c r="AD29" s="952">
        <v>37869.08</v>
      </c>
      <c r="AE29" s="952">
        <v>41193.14</v>
      </c>
      <c r="AF29" s="952">
        <v>25602.32</v>
      </c>
      <c r="AG29" s="952">
        <v>89218.47</v>
      </c>
      <c r="AH29" s="952">
        <v>28832.25</v>
      </c>
      <c r="AI29" s="952">
        <v>35379.17</v>
      </c>
      <c r="AJ29" s="952">
        <v>11174.1</v>
      </c>
      <c r="AK29" s="952">
        <v>14974.75</v>
      </c>
      <c r="AL29" s="952">
        <v>23220.42</v>
      </c>
      <c r="AM29" s="952">
        <v>77385.62000000001</v>
      </c>
      <c r="AN29" s="952">
        <v>19285.489999999998</v>
      </c>
      <c r="AO29" s="952">
        <v>41741.03</v>
      </c>
      <c r="AP29" s="952">
        <v>66190.570000000007</v>
      </c>
      <c r="AQ29" s="952">
        <v>11055.41</v>
      </c>
      <c r="AR29" s="952">
        <v>114461.26999999999</v>
      </c>
      <c r="AS29" s="952">
        <v>43439.23</v>
      </c>
      <c r="AT29" s="952">
        <v>113507.68</v>
      </c>
      <c r="AU29" s="952">
        <v>41371.550000000003</v>
      </c>
      <c r="AV29" s="952">
        <v>66857.179999999993</v>
      </c>
      <c r="AW29" s="952">
        <v>14575.52</v>
      </c>
      <c r="AX29" s="952">
        <v>26196.880000000001</v>
      </c>
      <c r="AY29" s="952">
        <v>9238.27</v>
      </c>
      <c r="AZ29" s="952">
        <v>47371.97</v>
      </c>
      <c r="BA29" s="952">
        <v>26350.89</v>
      </c>
      <c r="BB29" s="411">
        <v>80786.37</v>
      </c>
      <c r="BC29" s="411">
        <v>49957.54</v>
      </c>
      <c r="BD29" s="411">
        <v>61239.79</v>
      </c>
      <c r="BE29" s="411">
        <v>41263.420000000006</v>
      </c>
      <c r="BF29" s="411">
        <v>37604.119999999995</v>
      </c>
      <c r="BG29" s="411">
        <v>23143.49</v>
      </c>
      <c r="BH29" s="411">
        <v>40925.760000000002</v>
      </c>
      <c r="BI29" s="411">
        <v>32993.35</v>
      </c>
      <c r="BJ29" s="411">
        <v>33921.519999999997</v>
      </c>
      <c r="BK29" s="411">
        <v>93251.18</v>
      </c>
      <c r="BL29" s="411">
        <v>40916.58</v>
      </c>
      <c r="BM29" s="411">
        <v>33123.35</v>
      </c>
      <c r="BN29" s="411">
        <v>100632.34999999999</v>
      </c>
      <c r="BO29" s="593">
        <v>97357.119999999995</v>
      </c>
      <c r="BP29" s="593">
        <v>17359.57</v>
      </c>
      <c r="BQ29" s="593">
        <v>59151.110000000008</v>
      </c>
      <c r="BR29" s="593">
        <v>119240.51</v>
      </c>
      <c r="BS29" s="593">
        <v>61144.740000000005</v>
      </c>
      <c r="BT29" s="593">
        <v>130716.01</v>
      </c>
      <c r="BU29" s="593">
        <v>34948.160000000003</v>
      </c>
      <c r="BV29" s="593">
        <v>27179.95</v>
      </c>
      <c r="BW29" s="593">
        <v>32286.780000000002</v>
      </c>
      <c r="BX29" s="593">
        <v>74480.399999999994</v>
      </c>
      <c r="BY29" s="593">
        <v>66119.360000000001</v>
      </c>
      <c r="BZ29" s="593">
        <v>53175.15</v>
      </c>
      <c r="CA29" s="593">
        <v>82200</v>
      </c>
      <c r="CB29" s="593">
        <v>25100</v>
      </c>
      <c r="CC29" s="593">
        <v>52100</v>
      </c>
      <c r="CD29" s="593">
        <v>72100</v>
      </c>
      <c r="CE29" s="593">
        <v>59100</v>
      </c>
      <c r="CF29" s="593">
        <v>52100</v>
      </c>
      <c r="CG29" s="593">
        <v>20100</v>
      </c>
      <c r="CH29" s="593">
        <v>47100</v>
      </c>
      <c r="CI29" s="593">
        <v>52100</v>
      </c>
      <c r="CJ29" s="593">
        <v>18100</v>
      </c>
      <c r="CK29" s="593">
        <v>47100</v>
      </c>
      <c r="CL29" s="593">
        <v>82100</v>
      </c>
      <c r="CM29" s="593">
        <v>83300</v>
      </c>
      <c r="CN29" s="593">
        <v>26200</v>
      </c>
      <c r="CO29" s="593">
        <v>53300</v>
      </c>
      <c r="CP29" s="593">
        <v>73700</v>
      </c>
      <c r="CQ29" s="593">
        <v>60200</v>
      </c>
      <c r="CR29" s="593">
        <v>53300</v>
      </c>
      <c r="CS29" s="593">
        <v>21200</v>
      </c>
      <c r="CT29" s="593">
        <v>48200</v>
      </c>
      <c r="CU29" s="593">
        <v>53300</v>
      </c>
      <c r="CV29" s="593">
        <v>19200</v>
      </c>
      <c r="CW29" s="593">
        <v>48200</v>
      </c>
      <c r="CX29" s="593">
        <v>84300</v>
      </c>
      <c r="CY29" s="604">
        <f t="shared" si="35"/>
        <v>624400</v>
      </c>
      <c r="CZ29" s="33"/>
      <c r="DA29" s="205"/>
      <c r="DB29" s="33"/>
    </row>
    <row r="30" spans="1:106">
      <c r="A30" s="951" t="s">
        <v>429</v>
      </c>
      <c r="C30" s="22"/>
      <c r="D30" s="707">
        <f t="shared" si="34"/>
        <v>265.76827000000003</v>
      </c>
      <c r="E30" s="708"/>
      <c r="F30" s="707">
        <f ca="1">SUM(OFFSET(CA30:CL30,0,'Bal Sheet'!$A$1))/1000</f>
        <v>5060.5</v>
      </c>
      <c r="G30" s="952">
        <v>0</v>
      </c>
      <c r="H30" s="952">
        <v>0</v>
      </c>
      <c r="I30" s="952">
        <v>0</v>
      </c>
      <c r="J30" s="952">
        <v>0</v>
      </c>
      <c r="K30" s="952">
        <v>0</v>
      </c>
      <c r="L30" s="952">
        <v>0</v>
      </c>
      <c r="M30" s="952">
        <v>0</v>
      </c>
      <c r="N30" s="952">
        <v>0</v>
      </c>
      <c r="O30" s="952">
        <v>0</v>
      </c>
      <c r="P30" s="952">
        <v>0</v>
      </c>
      <c r="Q30" s="952">
        <v>0</v>
      </c>
      <c r="R30" s="952">
        <v>0</v>
      </c>
      <c r="S30" s="952">
        <v>0</v>
      </c>
      <c r="T30" s="952">
        <v>0</v>
      </c>
      <c r="U30" s="952">
        <v>0</v>
      </c>
      <c r="V30" s="952">
        <v>0</v>
      </c>
      <c r="W30" s="952">
        <v>0</v>
      </c>
      <c r="X30" s="952">
        <v>0</v>
      </c>
      <c r="Y30" s="952">
        <v>0</v>
      </c>
      <c r="Z30" s="952">
        <v>0</v>
      </c>
      <c r="AA30" s="952">
        <v>0</v>
      </c>
      <c r="AB30" s="952">
        <v>0</v>
      </c>
      <c r="AC30" s="952">
        <v>0</v>
      </c>
      <c r="AD30" s="952">
        <v>0</v>
      </c>
      <c r="AE30" s="952">
        <v>0</v>
      </c>
      <c r="AF30" s="952">
        <v>0</v>
      </c>
      <c r="AG30" s="952">
        <v>0</v>
      </c>
      <c r="AH30" s="952">
        <v>0</v>
      </c>
      <c r="AI30" s="952">
        <v>0</v>
      </c>
      <c r="AJ30" s="952">
        <v>0</v>
      </c>
      <c r="AK30" s="952">
        <v>0</v>
      </c>
      <c r="AL30" s="952">
        <v>135260.79</v>
      </c>
      <c r="AM30" s="952">
        <v>88143.23</v>
      </c>
      <c r="AN30" s="952">
        <v>69984.350000000006</v>
      </c>
      <c r="AO30" s="952">
        <v>78293.710000000006</v>
      </c>
      <c r="AP30" s="952">
        <v>98731.87</v>
      </c>
      <c r="AQ30" s="952">
        <v>128109.59</v>
      </c>
      <c r="AR30" s="952">
        <v>160068.20000000001</v>
      </c>
      <c r="AS30" s="952">
        <v>187039.09</v>
      </c>
      <c r="AT30" s="952">
        <v>212810.96</v>
      </c>
      <c r="AU30" s="952">
        <v>258036.43</v>
      </c>
      <c r="AV30" s="952">
        <v>295038.21000000002</v>
      </c>
      <c r="AW30" s="952">
        <v>317432.21000000002</v>
      </c>
      <c r="AX30" s="952">
        <v>354208</v>
      </c>
      <c r="AY30" s="952">
        <v>396170.73</v>
      </c>
      <c r="AZ30" s="952">
        <v>313400.96999999997</v>
      </c>
      <c r="BA30" s="952">
        <v>231389.87</v>
      </c>
      <c r="BB30" s="411">
        <v>267899.33</v>
      </c>
      <c r="BC30" s="411">
        <v>304757.78999999998</v>
      </c>
      <c r="BD30" s="411">
        <v>370593.85</v>
      </c>
      <c r="BE30" s="404">
        <v>389947.17</v>
      </c>
      <c r="BF30" s="404">
        <v>326242.06</v>
      </c>
      <c r="BG30" s="404">
        <v>221915.58</v>
      </c>
      <c r="BH30" s="404">
        <v>230325.17</v>
      </c>
      <c r="BI30" s="404">
        <v>249458.15</v>
      </c>
      <c r="BJ30" s="404">
        <v>280763.06</v>
      </c>
      <c r="BK30" s="404">
        <v>307772.68</v>
      </c>
      <c r="BL30" s="404">
        <v>330307.34000000003</v>
      </c>
      <c r="BM30" s="404">
        <v>118962.32</v>
      </c>
      <c r="BN30" s="404">
        <v>163717.22</v>
      </c>
      <c r="BO30" s="583">
        <v>180627.20000000001</v>
      </c>
      <c r="BP30" s="583">
        <v>197146.68</v>
      </c>
      <c r="BQ30" s="583">
        <v>214283.86</v>
      </c>
      <c r="BR30" s="583">
        <v>235931.8</v>
      </c>
      <c r="BS30" s="583">
        <v>260884.35</v>
      </c>
      <c r="BT30" s="583">
        <v>291434.89</v>
      </c>
      <c r="BU30" s="583">
        <v>325385.08</v>
      </c>
      <c r="BV30" s="583">
        <v>349541.75</v>
      </c>
      <c r="BW30" s="583">
        <v>370307.86</v>
      </c>
      <c r="BX30" s="583">
        <v>167646.16</v>
      </c>
      <c r="BY30" s="583">
        <v>245397.82</v>
      </c>
      <c r="BZ30" s="583">
        <v>265768.27</v>
      </c>
      <c r="CA30" s="583">
        <v>331100</v>
      </c>
      <c r="CB30" s="583">
        <v>337500</v>
      </c>
      <c r="CC30" s="583">
        <v>356600</v>
      </c>
      <c r="CD30" s="583">
        <v>425800</v>
      </c>
      <c r="CE30" s="583">
        <v>409400</v>
      </c>
      <c r="CF30" s="583">
        <v>353400</v>
      </c>
      <c r="CG30" s="583">
        <v>384200</v>
      </c>
      <c r="CH30" s="583">
        <v>417500</v>
      </c>
      <c r="CI30" s="583">
        <v>449300</v>
      </c>
      <c r="CJ30" s="583">
        <v>476900</v>
      </c>
      <c r="CK30" s="583">
        <v>363000</v>
      </c>
      <c r="CL30" s="583">
        <v>242300</v>
      </c>
      <c r="CM30" s="583">
        <v>256399.99999999997</v>
      </c>
      <c r="CN30" s="583">
        <v>272100</v>
      </c>
      <c r="CO30" s="583">
        <v>285000</v>
      </c>
      <c r="CP30" s="583">
        <v>312200</v>
      </c>
      <c r="CQ30" s="583">
        <v>356000</v>
      </c>
      <c r="CR30" s="583">
        <v>398800</v>
      </c>
      <c r="CS30" s="583">
        <v>440400</v>
      </c>
      <c r="CT30" s="583">
        <v>478800</v>
      </c>
      <c r="CU30" s="583">
        <v>515900</v>
      </c>
      <c r="CV30" s="583">
        <v>551400</v>
      </c>
      <c r="CW30" s="583">
        <v>585900</v>
      </c>
      <c r="CX30" s="583">
        <v>607600</v>
      </c>
      <c r="CY30" s="604">
        <f t="shared" si="35"/>
        <v>5060500</v>
      </c>
      <c r="CZ30" s="33"/>
      <c r="DA30" s="205"/>
      <c r="DB30" s="33"/>
    </row>
    <row r="31" spans="1:106">
      <c r="A31" s="375" t="s">
        <v>430</v>
      </c>
      <c r="C31" s="22"/>
      <c r="D31" s="707">
        <f t="shared" si="34"/>
        <v>-751.25300000000004</v>
      </c>
      <c r="E31" s="708"/>
      <c r="F31" s="707">
        <f ca="1">SUM(OFFSET(CA31:CL31,0,'Bal Sheet'!$A$1))/1000</f>
        <v>-111.7</v>
      </c>
      <c r="G31" s="356">
        <v>108287.96</v>
      </c>
      <c r="H31" s="356">
        <v>77885.19</v>
      </c>
      <c r="I31" s="356">
        <v>-82968.27</v>
      </c>
      <c r="J31" s="356">
        <v>71306.460000000006</v>
      </c>
      <c r="K31" s="356">
        <v>69687.77</v>
      </c>
      <c r="L31" s="356">
        <v>-197242.61</v>
      </c>
      <c r="M31" s="356">
        <v>58077.54</v>
      </c>
      <c r="N31" s="356">
        <v>62267.25</v>
      </c>
      <c r="O31" s="356">
        <v>-158640.4</v>
      </c>
      <c r="P31" s="356">
        <v>64185.54</v>
      </c>
      <c r="Q31" s="356">
        <v>65028.5</v>
      </c>
      <c r="R31" s="356">
        <v>-132944.51999999999</v>
      </c>
      <c r="S31" s="356">
        <v>47044.19</v>
      </c>
      <c r="T31" s="356">
        <v>47958.5</v>
      </c>
      <c r="U31" s="356">
        <v>-72836.14</v>
      </c>
      <c r="V31" s="356">
        <v>25831.03</v>
      </c>
      <c r="W31" s="356">
        <v>40255.230000000003</v>
      </c>
      <c r="X31" s="356">
        <v>-82719.839999999997</v>
      </c>
      <c r="Y31" s="356">
        <v>45225.96</v>
      </c>
      <c r="Z31" s="356">
        <v>41191.99</v>
      </c>
      <c r="AA31" s="356">
        <v>-97983.62</v>
      </c>
      <c r="AB31" s="356">
        <v>31369.27</v>
      </c>
      <c r="AC31" s="356">
        <v>32532.19</v>
      </c>
      <c r="AD31" s="356">
        <v>-136153.24</v>
      </c>
      <c r="AE31" s="356">
        <v>41463.75</v>
      </c>
      <c r="AF31" s="356">
        <v>43404.83</v>
      </c>
      <c r="AG31" s="356">
        <v>-37189.61</v>
      </c>
      <c r="AH31" s="356">
        <v>44384.56</v>
      </c>
      <c r="AI31" s="356">
        <v>38837.67</v>
      </c>
      <c r="AJ31" s="356">
        <v>-82483.349999999991</v>
      </c>
      <c r="AK31" s="356">
        <v>47574.159999999996</v>
      </c>
      <c r="AL31" s="356">
        <v>76939.41</v>
      </c>
      <c r="AM31" s="356">
        <v>-85876.32</v>
      </c>
      <c r="AN31" s="356">
        <v>59840.92</v>
      </c>
      <c r="AO31" s="356">
        <v>57126.34</v>
      </c>
      <c r="AP31" s="356">
        <v>-129170.98999999999</v>
      </c>
      <c r="AQ31" s="356">
        <v>74900.95</v>
      </c>
      <c r="AR31" s="356">
        <v>67533.11</v>
      </c>
      <c r="AS31" s="356">
        <v>-83639</v>
      </c>
      <c r="AT31" s="356">
        <v>80390.73</v>
      </c>
      <c r="AU31" s="356">
        <v>87099.11</v>
      </c>
      <c r="AV31" s="356">
        <v>94208.05</v>
      </c>
      <c r="AW31" s="356">
        <v>80852.38</v>
      </c>
      <c r="AX31" s="356">
        <v>87255.46</v>
      </c>
      <c r="AY31" s="356">
        <v>-317165.2</v>
      </c>
      <c r="AZ31" s="356">
        <v>67378.92</v>
      </c>
      <c r="BA31" s="356">
        <v>50946.69</v>
      </c>
      <c r="BB31" s="413">
        <v>-410525.51</v>
      </c>
      <c r="BC31" s="413">
        <v>73434.78</v>
      </c>
      <c r="BD31" s="413">
        <v>79044.53</v>
      </c>
      <c r="BE31" s="413">
        <v>-85309.56</v>
      </c>
      <c r="BF31" s="413">
        <v>75487.13</v>
      </c>
      <c r="BG31" s="413">
        <v>51845.84</v>
      </c>
      <c r="BH31" s="413">
        <v>-102745.14</v>
      </c>
      <c r="BI31" s="413">
        <v>57603.41</v>
      </c>
      <c r="BJ31" s="413">
        <v>63536.03</v>
      </c>
      <c r="BK31" s="413">
        <v>-88413.01</v>
      </c>
      <c r="BL31" s="413">
        <v>72742.33</v>
      </c>
      <c r="BM31" s="413">
        <v>24007.59</v>
      </c>
      <c r="BN31" s="413">
        <v>-97575.82</v>
      </c>
      <c r="BO31" s="582">
        <v>30791.97</v>
      </c>
      <c r="BP31" s="582">
        <v>48747.32</v>
      </c>
      <c r="BQ31" s="582">
        <v>-9406.42</v>
      </c>
      <c r="BR31" s="582">
        <v>43736.86</v>
      </c>
      <c r="BS31" s="582">
        <v>61132.79</v>
      </c>
      <c r="BT31" s="582">
        <v>48570.91</v>
      </c>
      <c r="BU31" s="582">
        <v>84579.21</v>
      </c>
      <c r="BV31" s="582">
        <v>102921.42</v>
      </c>
      <c r="BW31" s="582">
        <v>110967.21</v>
      </c>
      <c r="BX31" s="582">
        <v>51821.279999999999</v>
      </c>
      <c r="BY31" s="582">
        <v>72111.75</v>
      </c>
      <c r="BZ31" s="582">
        <v>-751253</v>
      </c>
      <c r="CA31" s="582">
        <v>-13500</v>
      </c>
      <c r="CB31" s="582">
        <v>500</v>
      </c>
      <c r="CC31" s="582">
        <v>-6800</v>
      </c>
      <c r="CD31" s="582">
        <v>-12500</v>
      </c>
      <c r="CE31" s="582">
        <v>-10300</v>
      </c>
      <c r="CF31" s="582">
        <v>-8300</v>
      </c>
      <c r="CG31" s="582">
        <v>-2800</v>
      </c>
      <c r="CH31" s="582">
        <v>-7200</v>
      </c>
      <c r="CI31" s="582">
        <v>-7900</v>
      </c>
      <c r="CJ31" s="582">
        <v>1300</v>
      </c>
      <c r="CK31" s="582">
        <v>-5600</v>
      </c>
      <c r="CL31" s="582">
        <v>-14200</v>
      </c>
      <c r="CM31" s="582">
        <v>-16200</v>
      </c>
      <c r="CN31" s="582">
        <v>-2600</v>
      </c>
      <c r="CO31" s="582">
        <v>-9800</v>
      </c>
      <c r="CP31" s="582">
        <v>-15200</v>
      </c>
      <c r="CQ31" s="582">
        <v>-12400</v>
      </c>
      <c r="CR31" s="582">
        <v>-10100</v>
      </c>
      <c r="CS31" s="582">
        <v>-4300</v>
      </c>
      <c r="CT31" s="582">
        <v>-8200</v>
      </c>
      <c r="CU31" s="582">
        <v>-9100</v>
      </c>
      <c r="CV31" s="582">
        <v>-100</v>
      </c>
      <c r="CW31" s="582">
        <v>-7200</v>
      </c>
      <c r="CX31" s="582">
        <v>-16500</v>
      </c>
      <c r="CY31" s="1046">
        <f t="shared" si="35"/>
        <v>-111700</v>
      </c>
      <c r="CZ31" s="33"/>
      <c r="DA31" s="205"/>
      <c r="DB31" s="33"/>
    </row>
    <row r="32" spans="1:106">
      <c r="A32" t="s">
        <v>431</v>
      </c>
      <c r="C32" s="22"/>
      <c r="D32" s="710">
        <f t="shared" ref="D32" si="36">+D25+D26+D27+D28-D29+D30-D31</f>
        <v>1105.3054200000001</v>
      </c>
      <c r="E32" s="712"/>
      <c r="F32" s="710">
        <f ca="1">SUM(OFFSET(CA32:CL32,0,'Bal Sheet'!$A$1))/1000</f>
        <v>9179.7999999999993</v>
      </c>
      <c r="G32" s="254">
        <f>+G25+G26+G27+G28-G29+G30-G31</f>
        <v>467159.51000000007</v>
      </c>
      <c r="H32" s="254">
        <f>+H25+H26+H27+H28-H29+H30-H31</f>
        <v>428558.04</v>
      </c>
      <c r="I32" s="253">
        <f t="shared" ref="I32:AP32" si="37">+I25+I26+I27+I28-I29+I30-I31</f>
        <v>600064.02</v>
      </c>
      <c r="J32" s="253">
        <f t="shared" si="37"/>
        <v>254627.49</v>
      </c>
      <c r="K32" s="253">
        <f t="shared" si="37"/>
        <v>439047.17</v>
      </c>
      <c r="L32" s="253">
        <f t="shared" si="37"/>
        <v>235171.87999999998</v>
      </c>
      <c r="M32" s="253">
        <f t="shared" si="37"/>
        <v>363767.97000000003</v>
      </c>
      <c r="N32" s="253">
        <f t="shared" si="37"/>
        <v>241590.56</v>
      </c>
      <c r="O32" s="253">
        <f t="shared" si="37"/>
        <v>599165.99</v>
      </c>
      <c r="P32" s="253">
        <f t="shared" si="37"/>
        <v>344097.64</v>
      </c>
      <c r="Q32" s="253">
        <f t="shared" si="37"/>
        <v>444065.24</v>
      </c>
      <c r="R32" s="253">
        <f t="shared" si="37"/>
        <v>875179.41000000015</v>
      </c>
      <c r="S32" s="253">
        <f t="shared" si="37"/>
        <v>565100.46</v>
      </c>
      <c r="T32" s="253">
        <f t="shared" si="37"/>
        <v>488065.80000000005</v>
      </c>
      <c r="U32" s="253">
        <f t="shared" si="37"/>
        <v>351123.77</v>
      </c>
      <c r="V32" s="253">
        <f t="shared" si="37"/>
        <v>594874.78999999992</v>
      </c>
      <c r="W32" s="253">
        <f t="shared" si="37"/>
        <v>379005.17000000004</v>
      </c>
      <c r="X32" s="253">
        <f t="shared" si="37"/>
        <v>484643.36</v>
      </c>
      <c r="Y32" s="253">
        <f t="shared" si="37"/>
        <v>427986.27</v>
      </c>
      <c r="Z32" s="253">
        <f t="shared" si="37"/>
        <v>318315.92000000004</v>
      </c>
      <c r="AA32" s="253">
        <f t="shared" si="37"/>
        <v>458620.19999999995</v>
      </c>
      <c r="AB32" s="253">
        <f t="shared" si="37"/>
        <v>316382.29999999993</v>
      </c>
      <c r="AC32" s="253">
        <f t="shared" si="37"/>
        <v>337999.11000000004</v>
      </c>
      <c r="AD32" s="253">
        <f t="shared" si="37"/>
        <v>697005.04</v>
      </c>
      <c r="AE32" s="253">
        <f t="shared" si="37"/>
        <v>377890.45</v>
      </c>
      <c r="AF32" s="253">
        <f t="shared" si="37"/>
        <v>412385.55</v>
      </c>
      <c r="AG32" s="253">
        <f t="shared" si="37"/>
        <v>599934.81999999995</v>
      </c>
      <c r="AH32" s="253">
        <f t="shared" si="37"/>
        <v>536303.55000000005</v>
      </c>
      <c r="AI32" s="253">
        <f t="shared" si="37"/>
        <v>443822.02</v>
      </c>
      <c r="AJ32" s="254">
        <f t="shared" si="37"/>
        <v>487642.44000000006</v>
      </c>
      <c r="AK32" s="254">
        <f t="shared" si="37"/>
        <v>475616.42</v>
      </c>
      <c r="AL32" s="254">
        <f t="shared" si="37"/>
        <v>684605.8899999999</v>
      </c>
      <c r="AM32" s="254">
        <f t="shared" si="37"/>
        <v>507071.95</v>
      </c>
      <c r="AN32" s="254">
        <f t="shared" si="37"/>
        <v>379332.81</v>
      </c>
      <c r="AO32" s="254">
        <f t="shared" si="37"/>
        <v>364569.36</v>
      </c>
      <c r="AP32" s="254">
        <f t="shared" si="37"/>
        <v>580518.69999999995</v>
      </c>
      <c r="AQ32" s="254">
        <f t="shared" ref="AQ32:AW32" si="38">+AQ25+AQ26+AQ27+AQ28-AQ29+AQ30-AQ31</f>
        <v>357311.43</v>
      </c>
      <c r="AR32" s="254">
        <f t="shared" si="38"/>
        <v>594603.41</v>
      </c>
      <c r="AS32" s="254">
        <f t="shared" si="38"/>
        <v>521012.75</v>
      </c>
      <c r="AT32" s="254">
        <f t="shared" si="38"/>
        <v>580200.18000000005</v>
      </c>
      <c r="AU32" s="254">
        <f t="shared" si="38"/>
        <v>673249.54</v>
      </c>
      <c r="AV32" s="254">
        <f t="shared" si="38"/>
        <v>520670.06</v>
      </c>
      <c r="AW32" s="254">
        <f t="shared" si="38"/>
        <v>431776.51</v>
      </c>
      <c r="AX32" s="254">
        <f t="shared" ref="AX32:BB32" si="39">+AX25+AX26+AX27+AX28-AX29+AX30-AX31</f>
        <v>572721.54</v>
      </c>
      <c r="AY32" s="254">
        <f t="shared" si="39"/>
        <v>944316.47</v>
      </c>
      <c r="AZ32" s="254">
        <f t="shared" si="39"/>
        <v>535561.71</v>
      </c>
      <c r="BA32" s="254">
        <f t="shared" si="39"/>
        <v>362067</v>
      </c>
      <c r="BB32" s="715">
        <f t="shared" si="39"/>
        <v>961979.34000000008</v>
      </c>
      <c r="BC32" s="715">
        <f t="shared" ref="BC32:BN32" si="40">+BC25+BC26+BC27+BC28-BC29+BC30-BC31</f>
        <v>524421.96</v>
      </c>
      <c r="BD32" s="715">
        <f t="shared" si="40"/>
        <v>624812.40999999992</v>
      </c>
      <c r="BE32" s="714">
        <f t="shared" si="40"/>
        <v>717008.86999999988</v>
      </c>
      <c r="BF32" s="714">
        <f t="shared" si="40"/>
        <v>564950.94000000006</v>
      </c>
      <c r="BG32" s="714">
        <f t="shared" si="40"/>
        <v>551255.9</v>
      </c>
      <c r="BH32" s="714">
        <f t="shared" si="40"/>
        <v>569873.52</v>
      </c>
      <c r="BI32" s="714">
        <f t="shared" si="40"/>
        <v>432519.12</v>
      </c>
      <c r="BJ32" s="714">
        <f t="shared" si="40"/>
        <v>522091.03999999992</v>
      </c>
      <c r="BK32" s="714">
        <f t="shared" si="40"/>
        <v>600538.34</v>
      </c>
      <c r="BL32" s="714">
        <f t="shared" si="40"/>
        <v>530088.16</v>
      </c>
      <c r="BM32" s="714">
        <f t="shared" si="40"/>
        <v>338582.54</v>
      </c>
      <c r="BN32" s="714">
        <f t="shared" si="40"/>
        <v>319956.52</v>
      </c>
      <c r="BO32" s="714">
        <f t="shared" ref="BO32:BZ32" si="41">+BO25+BO26+BO27+BO28-BO29+BO30-BO31</f>
        <v>202379.12</v>
      </c>
      <c r="BP32" s="714">
        <f t="shared" si="41"/>
        <v>385644.42</v>
      </c>
      <c r="BQ32" s="714">
        <f t="shared" si="41"/>
        <v>646507.9800000001</v>
      </c>
      <c r="BR32" s="714">
        <f t="shared" si="41"/>
        <v>357897.85000000003</v>
      </c>
      <c r="BS32" s="714">
        <f t="shared" si="41"/>
        <v>438473.94</v>
      </c>
      <c r="BT32" s="714">
        <f t="shared" si="41"/>
        <v>367237.61</v>
      </c>
      <c r="BU32" s="714">
        <f t="shared" si="41"/>
        <v>677975.44</v>
      </c>
      <c r="BV32" s="714">
        <f t="shared" si="41"/>
        <v>591664.55999999994</v>
      </c>
      <c r="BW32" s="714">
        <f t="shared" si="41"/>
        <v>669267.39</v>
      </c>
      <c r="BX32" s="714">
        <f t="shared" si="41"/>
        <v>390490.52</v>
      </c>
      <c r="BY32" s="714">
        <f t="shared" si="41"/>
        <v>503621.42999999993</v>
      </c>
      <c r="BZ32" s="714">
        <f t="shared" si="41"/>
        <v>1105305.42</v>
      </c>
      <c r="CA32" s="714">
        <f t="shared" ref="CA32:CO32" si="42">+CA25+CA26+CA27+CA28-CA29+CA30-CA31</f>
        <v>512200</v>
      </c>
      <c r="CB32" s="714">
        <f t="shared" si="42"/>
        <v>663800</v>
      </c>
      <c r="CC32" s="714">
        <f t="shared" si="42"/>
        <v>601600</v>
      </c>
      <c r="CD32" s="714">
        <f t="shared" si="42"/>
        <v>782700</v>
      </c>
      <c r="CE32" s="714">
        <f t="shared" si="42"/>
        <v>733600</v>
      </c>
      <c r="CF32" s="714">
        <f t="shared" si="42"/>
        <v>680900</v>
      </c>
      <c r="CG32" s="714">
        <f t="shared" si="42"/>
        <v>764500</v>
      </c>
      <c r="CH32" s="714">
        <f t="shared" si="42"/>
        <v>744900</v>
      </c>
      <c r="CI32" s="714">
        <f t="shared" si="42"/>
        <v>792400</v>
      </c>
      <c r="CJ32" s="714">
        <f t="shared" si="42"/>
        <v>844600</v>
      </c>
      <c r="CK32" s="714">
        <f t="shared" si="42"/>
        <v>744000</v>
      </c>
      <c r="CL32" s="714">
        <f t="shared" si="42"/>
        <v>809400</v>
      </c>
      <c r="CM32" s="714">
        <f t="shared" si="42"/>
        <v>434700</v>
      </c>
      <c r="CN32" s="714">
        <f t="shared" si="42"/>
        <v>594700</v>
      </c>
      <c r="CO32" s="714">
        <f t="shared" si="42"/>
        <v>526100</v>
      </c>
      <c r="CP32" s="714">
        <f t="shared" ref="CP32:CX32" si="43">+CP25+CP26+CP27+CP28-CP29+CP30-CP31</f>
        <v>666600</v>
      </c>
      <c r="CQ32" s="714">
        <f t="shared" si="43"/>
        <v>679500</v>
      </c>
      <c r="CR32" s="714">
        <f t="shared" si="43"/>
        <v>726400</v>
      </c>
      <c r="CS32" s="714">
        <f t="shared" si="43"/>
        <v>821900</v>
      </c>
      <c r="CT32" s="714">
        <f t="shared" si="43"/>
        <v>808300</v>
      </c>
      <c r="CU32" s="714">
        <f t="shared" si="43"/>
        <v>860800</v>
      </c>
      <c r="CV32" s="714">
        <f t="shared" si="43"/>
        <v>920200</v>
      </c>
      <c r="CW32" s="714">
        <f t="shared" si="43"/>
        <v>967300</v>
      </c>
      <c r="CX32" s="714">
        <f t="shared" si="43"/>
        <v>1173300</v>
      </c>
      <c r="CY32" s="1048">
        <f t="shared" si="35"/>
        <v>9179800</v>
      </c>
      <c r="CZ32" s="33"/>
      <c r="DA32" s="205"/>
      <c r="DB32" s="33"/>
    </row>
    <row r="33" spans="1:106">
      <c r="C33" s="22"/>
      <c r="D33" s="707"/>
      <c r="E33" s="708"/>
      <c r="F33" s="707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596"/>
      <c r="BC33" s="596"/>
      <c r="BD33" s="596"/>
      <c r="BE33" s="596"/>
      <c r="BF33" s="596"/>
      <c r="BG33" s="596"/>
      <c r="BH33" s="596"/>
      <c r="BI33" s="596"/>
      <c r="BJ33" s="596"/>
      <c r="BK33" s="596"/>
      <c r="BL33" s="596"/>
      <c r="BM33" s="596"/>
      <c r="BN33" s="596"/>
      <c r="BO33" s="596"/>
      <c r="BP33" s="596"/>
      <c r="BQ33" s="596"/>
      <c r="BR33" s="596"/>
      <c r="BS33" s="596"/>
      <c r="BT33" s="596"/>
      <c r="BU33" s="596"/>
      <c r="BV33" s="596"/>
      <c r="BW33" s="596"/>
      <c r="BX33" s="596"/>
      <c r="BY33" s="596"/>
      <c r="BZ33" s="596"/>
      <c r="CA33" s="596"/>
      <c r="CB33" s="596"/>
      <c r="CC33" s="596"/>
      <c r="CD33" s="596"/>
      <c r="CE33" s="596"/>
      <c r="CF33" s="596"/>
      <c r="CG33" s="596"/>
      <c r="CH33" s="596"/>
      <c r="CI33" s="596"/>
      <c r="CJ33" s="596"/>
      <c r="CK33" s="596"/>
      <c r="CL33" s="596"/>
      <c r="CM33" s="596"/>
      <c r="CN33" s="596"/>
      <c r="CO33" s="596"/>
      <c r="CP33" s="596"/>
      <c r="CQ33" s="596"/>
      <c r="CR33" s="596"/>
      <c r="CS33" s="596"/>
      <c r="CT33" s="596"/>
      <c r="CU33" s="596"/>
      <c r="CV33" s="596"/>
      <c r="CW33" s="596"/>
      <c r="CX33" s="596"/>
      <c r="CY33" s="604"/>
      <c r="DA33" s="205"/>
      <c r="DB33" s="33"/>
    </row>
    <row r="34" spans="1:106">
      <c r="A34" s="13" t="s">
        <v>432</v>
      </c>
      <c r="C34" s="22"/>
      <c r="D34" s="707"/>
      <c r="E34" s="708"/>
      <c r="F34" s="707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596"/>
      <c r="BC34" s="596"/>
      <c r="BD34" s="596"/>
      <c r="BE34" s="596"/>
      <c r="BF34" s="596"/>
      <c r="BG34" s="596"/>
      <c r="BH34" s="596"/>
      <c r="BI34" s="596"/>
      <c r="BJ34" s="596"/>
      <c r="BK34" s="596"/>
      <c r="BL34" s="596"/>
      <c r="BM34" s="596"/>
      <c r="BN34" s="596"/>
      <c r="BO34" s="596"/>
      <c r="BP34" s="596"/>
      <c r="BQ34" s="596"/>
      <c r="BR34" s="596"/>
      <c r="BS34" s="596"/>
      <c r="BT34" s="596"/>
      <c r="BU34" s="596"/>
      <c r="BV34" s="596"/>
      <c r="BW34" s="596"/>
      <c r="BX34" s="596"/>
      <c r="BY34" s="596"/>
      <c r="BZ34" s="596"/>
      <c r="CA34" s="596"/>
      <c r="CB34" s="596"/>
      <c r="CC34" s="596"/>
      <c r="CD34" s="596"/>
      <c r="CE34" s="596"/>
      <c r="CF34" s="596"/>
      <c r="CG34" s="596"/>
      <c r="CH34" s="596"/>
      <c r="CI34" s="596"/>
      <c r="CJ34" s="596"/>
      <c r="CK34" s="596"/>
      <c r="CL34" s="596"/>
      <c r="CM34" s="596"/>
      <c r="CN34" s="596"/>
      <c r="CO34" s="596"/>
      <c r="CP34" s="596"/>
      <c r="CQ34" s="596"/>
      <c r="CR34" s="596"/>
      <c r="CS34" s="596"/>
      <c r="CT34" s="596"/>
      <c r="CU34" s="596"/>
      <c r="CV34" s="596"/>
      <c r="CW34" s="596"/>
      <c r="CX34" s="596"/>
      <c r="CY34" s="604"/>
      <c r="DA34" s="205"/>
      <c r="DB34" s="33"/>
    </row>
    <row r="35" spans="1:106">
      <c r="A35" t="s">
        <v>433</v>
      </c>
      <c r="C35" s="22"/>
      <c r="D35" s="707">
        <f t="shared" ref="D35:D40" si="44">(+CY35/1000)</f>
        <v>48645</v>
      </c>
      <c r="E35" s="708"/>
      <c r="F35" s="707">
        <f ca="1">SUM(OFFSET(CA35:CL35,0,'Bal Sheet'!$A$1))/1000</f>
        <v>48645</v>
      </c>
      <c r="G35" s="355">
        <v>1103357.73</v>
      </c>
      <c r="H35" s="355">
        <v>1103357.73</v>
      </c>
      <c r="I35" s="355">
        <v>1103357.73</v>
      </c>
      <c r="J35" s="355">
        <v>1103357.73</v>
      </c>
      <c r="K35" s="355">
        <v>1103357.73</v>
      </c>
      <c r="L35" s="355">
        <v>1103357.73</v>
      </c>
      <c r="M35" s="355">
        <v>1103357.73</v>
      </c>
      <c r="N35" s="355">
        <v>1103357.73</v>
      </c>
      <c r="O35" s="355">
        <v>1103357.73</v>
      </c>
      <c r="P35" s="355">
        <v>1103357.73</v>
      </c>
      <c r="Q35" s="355">
        <v>1103357.73</v>
      </c>
      <c r="R35" s="355">
        <v>1103357.73</v>
      </c>
      <c r="S35" s="355">
        <v>1103357.73</v>
      </c>
      <c r="T35" s="355">
        <v>1103357.73</v>
      </c>
      <c r="U35" s="355">
        <v>1103357.73</v>
      </c>
      <c r="V35" s="355">
        <v>1103357.73</v>
      </c>
      <c r="W35" s="355">
        <v>976274</v>
      </c>
      <c r="X35" s="355">
        <v>1055232.6499999999</v>
      </c>
      <c r="Y35" s="355">
        <v>1117941.06</v>
      </c>
      <c r="Z35" s="355">
        <v>1117941.06</v>
      </c>
      <c r="AA35" s="355">
        <v>1117941.06</v>
      </c>
      <c r="AB35" s="355">
        <v>1198288.32</v>
      </c>
      <c r="AC35" s="355">
        <v>1210649.3899999999</v>
      </c>
      <c r="AD35" s="355">
        <v>1210649.3899999999</v>
      </c>
      <c r="AE35" s="355">
        <v>1210649.3899999999</v>
      </c>
      <c r="AF35" s="355">
        <v>1210649.3899999999</v>
      </c>
      <c r="AG35" s="355">
        <v>1210649.3899999999</v>
      </c>
      <c r="AH35" s="355">
        <v>1210649.3899999999</v>
      </c>
      <c r="AI35" s="355">
        <v>1210649.3899999999</v>
      </c>
      <c r="AJ35" s="355">
        <v>1210649.3899999999</v>
      </c>
      <c r="AK35" s="355">
        <v>1230788.28</v>
      </c>
      <c r="AL35" s="355">
        <v>1286170.22</v>
      </c>
      <c r="AM35" s="355">
        <v>1286170.22</v>
      </c>
      <c r="AN35" s="355">
        <v>1286170.22</v>
      </c>
      <c r="AO35" s="355">
        <v>1286170.22</v>
      </c>
      <c r="AP35" s="355">
        <v>1286170.22</v>
      </c>
      <c r="AQ35" s="355">
        <v>1286170.22</v>
      </c>
      <c r="AR35" s="355">
        <v>1286170.22</v>
      </c>
      <c r="AS35" s="355">
        <v>1281135.51</v>
      </c>
      <c r="AT35" s="355">
        <v>1286170.22</v>
      </c>
      <c r="AU35" s="355">
        <v>1286170.22</v>
      </c>
      <c r="AV35" s="355">
        <v>1286170.22</v>
      </c>
      <c r="AW35" s="355">
        <v>1286170.22</v>
      </c>
      <c r="AX35" s="355">
        <v>1286170.22</v>
      </c>
      <c r="AY35" s="355">
        <v>1286170.22</v>
      </c>
      <c r="AZ35" s="355">
        <v>1286170.22</v>
      </c>
      <c r="BA35" s="355">
        <v>1286170.22</v>
      </c>
      <c r="BB35" s="404">
        <v>1286170.22</v>
      </c>
      <c r="BC35" s="404">
        <v>1286170.22</v>
      </c>
      <c r="BD35" s="404">
        <v>1286170.22</v>
      </c>
      <c r="BE35" s="404">
        <v>1603857.72</v>
      </c>
      <c r="BF35" s="404">
        <v>1846795.22</v>
      </c>
      <c r="BG35" s="404">
        <v>1636354.16</v>
      </c>
      <c r="BH35" s="404">
        <v>1741574.69</v>
      </c>
      <c r="BI35" s="404">
        <v>1636354.16</v>
      </c>
      <c r="BJ35" s="404">
        <v>1636354.16</v>
      </c>
      <c r="BK35" s="404">
        <v>1542916.66</v>
      </c>
      <c r="BL35" s="404">
        <v>1636354.16</v>
      </c>
      <c r="BM35" s="404">
        <v>1636354.16</v>
      </c>
      <c r="BN35" s="404">
        <v>1636354.16</v>
      </c>
      <c r="BO35" s="583">
        <v>1636354.16</v>
      </c>
      <c r="BP35" s="583">
        <v>1636354.16</v>
      </c>
      <c r="BQ35" s="583">
        <v>1636354.16</v>
      </c>
      <c r="BR35" s="583">
        <v>1636354.16</v>
      </c>
      <c r="BS35" s="583">
        <v>1636354.16</v>
      </c>
      <c r="BT35" s="583">
        <v>1636354.16</v>
      </c>
      <c r="BU35" s="583">
        <v>1802760.41</v>
      </c>
      <c r="BV35" s="583">
        <v>1913697.91</v>
      </c>
      <c r="BW35" s="583">
        <v>1886614.45</v>
      </c>
      <c r="BX35" s="583">
        <v>1859531.24</v>
      </c>
      <c r="BY35" s="583">
        <v>1859531.24</v>
      </c>
      <c r="BZ35" s="583">
        <v>1859531.24</v>
      </c>
      <c r="CA35" s="583">
        <v>0</v>
      </c>
      <c r="CB35" s="583">
        <v>0</v>
      </c>
      <c r="CC35" s="583">
        <v>0</v>
      </c>
      <c r="CD35" s="583">
        <v>0</v>
      </c>
      <c r="CE35" s="583">
        <v>0</v>
      </c>
      <c r="CF35" s="583">
        <v>0</v>
      </c>
      <c r="CG35" s="583">
        <v>0</v>
      </c>
      <c r="CH35" s="583">
        <v>0</v>
      </c>
      <c r="CI35" s="583">
        <v>0</v>
      </c>
      <c r="CJ35" s="583">
        <v>3830000</v>
      </c>
      <c r="CK35" s="583">
        <v>3830000</v>
      </c>
      <c r="CL35" s="583">
        <v>3830000</v>
      </c>
      <c r="CM35" s="583">
        <v>3830000</v>
      </c>
      <c r="CN35" s="583">
        <v>3830000</v>
      </c>
      <c r="CO35" s="583">
        <v>3830000</v>
      </c>
      <c r="CP35" s="583">
        <v>3830000</v>
      </c>
      <c r="CQ35" s="583">
        <v>3830000</v>
      </c>
      <c r="CR35" s="583">
        <v>3830000</v>
      </c>
      <c r="CS35" s="583">
        <v>4277500</v>
      </c>
      <c r="CT35" s="583">
        <v>4277500</v>
      </c>
      <c r="CU35" s="583">
        <v>4277500</v>
      </c>
      <c r="CV35" s="583">
        <v>4277500</v>
      </c>
      <c r="CW35" s="583">
        <v>4277500</v>
      </c>
      <c r="CX35" s="583">
        <v>4277500</v>
      </c>
      <c r="CY35" s="1044">
        <f>SUM(CM35:CX35)</f>
        <v>48645000</v>
      </c>
      <c r="CZ35" s="33"/>
      <c r="DA35" s="205"/>
      <c r="DB35" s="33"/>
    </row>
    <row r="36" spans="1:106">
      <c r="A36" t="s">
        <v>434</v>
      </c>
      <c r="C36" s="22"/>
      <c r="D36" s="707">
        <f t="shared" si="44"/>
        <v>5138.8407002521735</v>
      </c>
      <c r="E36" s="708"/>
      <c r="F36" s="707">
        <f ca="1">SUM(OFFSET(CA36:CL36,0,'Bal Sheet'!$A$1))/1000</f>
        <v>5138.8407002521735</v>
      </c>
      <c r="G36" s="355">
        <v>44905.67</v>
      </c>
      <c r="H36" s="355">
        <v>49530.64</v>
      </c>
      <c r="I36" s="355">
        <v>53647.49</v>
      </c>
      <c r="J36" s="355">
        <v>57773.82</v>
      </c>
      <c r="K36" s="355">
        <v>34876.49</v>
      </c>
      <c r="L36" s="355">
        <v>46596.95</v>
      </c>
      <c r="M36" s="355">
        <v>59324.639999999999</v>
      </c>
      <c r="N36" s="355">
        <v>64594.479999999996</v>
      </c>
      <c r="O36" s="355">
        <v>132738.07</v>
      </c>
      <c r="P36" s="355">
        <v>123731.22</v>
      </c>
      <c r="Q36" s="355">
        <v>16783.32</v>
      </c>
      <c r="R36" s="355">
        <v>970.83</v>
      </c>
      <c r="S36" s="355">
        <v>7178.15</v>
      </c>
      <c r="T36" s="355">
        <v>196947.8</v>
      </c>
      <c r="U36" s="355">
        <v>-180863.37999999998</v>
      </c>
      <c r="V36" s="355">
        <v>7725.76</v>
      </c>
      <c r="W36" s="355">
        <v>67465.7</v>
      </c>
      <c r="X36" s="355">
        <v>84725.13</v>
      </c>
      <c r="Y36" s="355">
        <v>17948.07</v>
      </c>
      <c r="Z36" s="355">
        <v>11889.599999999999</v>
      </c>
      <c r="AA36" s="355">
        <v>17109.919999999998</v>
      </c>
      <c r="AB36" s="355">
        <v>13053.15</v>
      </c>
      <c r="AC36" s="355">
        <v>46774.2</v>
      </c>
      <c r="AD36" s="355">
        <v>153884.13</v>
      </c>
      <c r="AE36" s="355">
        <v>214969.99</v>
      </c>
      <c r="AF36" s="355">
        <v>197877.37</v>
      </c>
      <c r="AG36" s="355">
        <v>175503.68999999997</v>
      </c>
      <c r="AH36" s="355">
        <v>161745.99999999997</v>
      </c>
      <c r="AI36" s="355">
        <v>101718.97999999998</v>
      </c>
      <c r="AJ36" s="355">
        <v>-121127.27000000002</v>
      </c>
      <c r="AK36" s="355">
        <v>108407.9</v>
      </c>
      <c r="AL36" s="355">
        <v>95194.639999999985</v>
      </c>
      <c r="AM36" s="355">
        <v>104624.98999999999</v>
      </c>
      <c r="AN36" s="355">
        <v>115835.31999999999</v>
      </c>
      <c r="AO36" s="355">
        <v>123047.75999999998</v>
      </c>
      <c r="AP36" s="355">
        <v>179924.16</v>
      </c>
      <c r="AQ36" s="355">
        <v>210215.55000000002</v>
      </c>
      <c r="AR36" s="355">
        <v>89114.97</v>
      </c>
      <c r="AS36" s="355">
        <v>235704.4</v>
      </c>
      <c r="AT36" s="355">
        <v>93655.03</v>
      </c>
      <c r="AU36" s="355">
        <v>94080.85</v>
      </c>
      <c r="AV36" s="355">
        <v>98773.909999999974</v>
      </c>
      <c r="AW36" s="355">
        <v>117552.37</v>
      </c>
      <c r="AX36" s="355">
        <v>114333.16</v>
      </c>
      <c r="AY36" s="355">
        <v>110193.62</v>
      </c>
      <c r="AZ36" s="355">
        <v>128807.5</v>
      </c>
      <c r="BA36" s="355">
        <v>143573.54</v>
      </c>
      <c r="BB36" s="404">
        <v>182942.44</v>
      </c>
      <c r="BC36" s="404">
        <v>218833.53</v>
      </c>
      <c r="BD36" s="404">
        <v>205384.68999999997</v>
      </c>
      <c r="BE36" s="404">
        <v>170017.74</v>
      </c>
      <c r="BF36" s="404">
        <v>28172.49</v>
      </c>
      <c r="BG36" s="404">
        <v>47144.56</v>
      </c>
      <c r="BH36" s="404">
        <v>92193.74</v>
      </c>
      <c r="BI36" s="404">
        <v>48576.85</v>
      </c>
      <c r="BJ36" s="404">
        <v>53198.429999999993</v>
      </c>
      <c r="BK36" s="404">
        <v>44199.61</v>
      </c>
      <c r="BL36" s="404">
        <v>57750.91</v>
      </c>
      <c r="BM36" s="404">
        <v>58941.5</v>
      </c>
      <c r="BN36" s="404">
        <v>80505.77</v>
      </c>
      <c r="BO36" s="583">
        <v>115215.61</v>
      </c>
      <c r="BP36" s="583">
        <v>93170.03</v>
      </c>
      <c r="BQ36" s="583">
        <v>138232.37</v>
      </c>
      <c r="BR36" s="583">
        <v>180005.09</v>
      </c>
      <c r="BS36" s="583">
        <v>248595.58</v>
      </c>
      <c r="BT36" s="583">
        <v>274414.95</v>
      </c>
      <c r="BU36" s="583">
        <v>331705.44</v>
      </c>
      <c r="BV36" s="583">
        <v>262025.87</v>
      </c>
      <c r="BW36" s="583">
        <v>372285.58</v>
      </c>
      <c r="BX36" s="583">
        <v>518192.06</v>
      </c>
      <c r="BY36" s="583">
        <v>611452.86</v>
      </c>
      <c r="BZ36" s="583">
        <v>761985.27999999991</v>
      </c>
      <c r="CA36" s="583">
        <v>0</v>
      </c>
      <c r="CB36" s="583">
        <v>0</v>
      </c>
      <c r="CC36" s="583">
        <v>0</v>
      </c>
      <c r="CD36" s="583">
        <v>0</v>
      </c>
      <c r="CE36" s="583">
        <v>0</v>
      </c>
      <c r="CF36" s="583">
        <v>0</v>
      </c>
      <c r="CG36" s="583">
        <v>0</v>
      </c>
      <c r="CH36" s="583">
        <v>0</v>
      </c>
      <c r="CI36" s="583">
        <v>0</v>
      </c>
      <c r="CJ36" s="583">
        <v>1068508.3084570023</v>
      </c>
      <c r="CK36" s="583">
        <v>483763.55818643264</v>
      </c>
      <c r="CL36" s="583">
        <v>471977.70471175137</v>
      </c>
      <c r="CM36" s="583">
        <v>484179.94171761069</v>
      </c>
      <c r="CN36" s="583">
        <v>484871.1954369389</v>
      </c>
      <c r="CO36" s="583">
        <v>496403.12263124541</v>
      </c>
      <c r="CP36" s="583">
        <v>545301.84854122181</v>
      </c>
      <c r="CQ36" s="583">
        <v>583691.44608159002</v>
      </c>
      <c r="CR36" s="583">
        <v>407621.26538681326</v>
      </c>
      <c r="CS36" s="583">
        <v>275331.34778058401</v>
      </c>
      <c r="CT36" s="583">
        <v>290614.8774109619</v>
      </c>
      <c r="CU36" s="583">
        <v>285198.58419228258</v>
      </c>
      <c r="CV36" s="583">
        <v>369244.94475515967</v>
      </c>
      <c r="CW36" s="583">
        <v>440504.26969641831</v>
      </c>
      <c r="CX36" s="583">
        <v>475877.85662134731</v>
      </c>
      <c r="CY36" s="1044">
        <f t="shared" ref="CY36:CY41" si="45">SUM(CM36:CX36)</f>
        <v>5138840.7002521735</v>
      </c>
      <c r="CZ36" s="33"/>
      <c r="DA36" s="205"/>
      <c r="DB36" s="33"/>
    </row>
    <row r="37" spans="1:106">
      <c r="A37" t="s">
        <v>435</v>
      </c>
      <c r="C37" s="22"/>
      <c r="D37" s="707">
        <f t="shared" si="44"/>
        <v>0</v>
      </c>
      <c r="E37" s="708"/>
      <c r="F37" s="707">
        <f ca="1">SUM(OFFSET(CA37:CL37,0,'Bal Sheet'!$A$1))/1000</f>
        <v>0</v>
      </c>
      <c r="G37" s="355">
        <v>45345.03</v>
      </c>
      <c r="H37" s="355">
        <v>45345.03</v>
      </c>
      <c r="I37" s="355">
        <v>45345.03</v>
      </c>
      <c r="J37" s="355">
        <v>45345.03</v>
      </c>
      <c r="K37" s="355">
        <v>45345.03</v>
      </c>
      <c r="L37" s="355">
        <v>45345.03</v>
      </c>
      <c r="M37" s="355">
        <v>45345.03</v>
      </c>
      <c r="N37" s="355">
        <v>45345.03</v>
      </c>
      <c r="O37" s="355">
        <v>45345.03</v>
      </c>
      <c r="P37" s="355">
        <v>45345.03</v>
      </c>
      <c r="Q37" s="355">
        <v>45345.03</v>
      </c>
      <c r="R37" s="355">
        <v>45345.03</v>
      </c>
      <c r="S37" s="355">
        <v>45345.03</v>
      </c>
      <c r="T37" s="355">
        <v>45345.03</v>
      </c>
      <c r="U37" s="355">
        <v>45345.03</v>
      </c>
      <c r="V37" s="355">
        <v>45345.03</v>
      </c>
      <c r="W37" s="355">
        <v>27368.99</v>
      </c>
      <c r="X37" s="355">
        <v>12617.1</v>
      </c>
      <c r="Y37" s="355">
        <v>12704.24</v>
      </c>
      <c r="Z37" s="355">
        <v>12706.38</v>
      </c>
      <c r="AA37" s="355">
        <v>13141.73</v>
      </c>
      <c r="AB37" s="355">
        <v>13803.91</v>
      </c>
      <c r="AC37" s="355">
        <v>13829.09</v>
      </c>
      <c r="AD37" s="355">
        <v>13850.32</v>
      </c>
      <c r="AE37" s="355">
        <v>13822.88</v>
      </c>
      <c r="AF37" s="355">
        <v>13822.88</v>
      </c>
      <c r="AG37" s="355">
        <v>14052.4</v>
      </c>
      <c r="AH37" s="355">
        <v>13860.92</v>
      </c>
      <c r="AI37" s="355">
        <v>13860.92</v>
      </c>
      <c r="AJ37" s="355">
        <v>13860.92</v>
      </c>
      <c r="AK37" s="355">
        <v>13860.92</v>
      </c>
      <c r="AL37" s="355">
        <v>15398.62</v>
      </c>
      <c r="AM37" s="355">
        <v>15460.32</v>
      </c>
      <c r="AN37" s="355">
        <v>15429.82</v>
      </c>
      <c r="AO37" s="355">
        <v>15429.82</v>
      </c>
      <c r="AP37" s="355">
        <v>15628.22</v>
      </c>
      <c r="AQ37" s="355">
        <v>15469.92</v>
      </c>
      <c r="AR37" s="355">
        <v>15469.92</v>
      </c>
      <c r="AS37" s="355">
        <v>15481.28</v>
      </c>
      <c r="AT37" s="355">
        <v>15471.2</v>
      </c>
      <c r="AU37" s="355">
        <v>15471.2</v>
      </c>
      <c r="AV37" s="355">
        <v>15471.2</v>
      </c>
      <c r="AW37" s="355">
        <v>15471.2</v>
      </c>
      <c r="AX37" s="355">
        <v>15471.2</v>
      </c>
      <c r="AY37" s="355">
        <v>15471.2</v>
      </c>
      <c r="AZ37" s="355">
        <v>15471.2</v>
      </c>
      <c r="BA37" s="355">
        <v>15471.2</v>
      </c>
      <c r="BB37" s="404">
        <v>15471.2</v>
      </c>
      <c r="BC37" s="404">
        <v>15471.2</v>
      </c>
      <c r="BD37" s="404">
        <v>15471.2</v>
      </c>
      <c r="BE37" s="404">
        <v>28962.53</v>
      </c>
      <c r="BF37" s="404">
        <v>30345.65</v>
      </c>
      <c r="BG37" s="404">
        <v>32308.91</v>
      </c>
      <c r="BH37" s="404">
        <v>34366.57</v>
      </c>
      <c r="BI37" s="404">
        <v>31548.63</v>
      </c>
      <c r="BJ37" s="404">
        <v>31548.63</v>
      </c>
      <c r="BK37" s="404">
        <v>31548.63</v>
      </c>
      <c r="BL37" s="404">
        <v>31548.63</v>
      </c>
      <c r="BM37" s="404">
        <v>33014.53</v>
      </c>
      <c r="BN37" s="404">
        <v>31548.63</v>
      </c>
      <c r="BO37" s="583">
        <v>31548.63</v>
      </c>
      <c r="BP37" s="583">
        <v>31548.63</v>
      </c>
      <c r="BQ37" s="583">
        <v>31548.63</v>
      </c>
      <c r="BR37" s="583">
        <v>31548.63</v>
      </c>
      <c r="BS37" s="583">
        <v>31548.63</v>
      </c>
      <c r="BT37" s="583">
        <v>31548.63</v>
      </c>
      <c r="BU37" s="583">
        <v>38388.78</v>
      </c>
      <c r="BV37" s="583">
        <v>41512.61</v>
      </c>
      <c r="BW37" s="583">
        <v>40002.01</v>
      </c>
      <c r="BX37" s="583">
        <v>39319.17</v>
      </c>
      <c r="BY37" s="583">
        <v>38387.68</v>
      </c>
      <c r="BZ37" s="583">
        <v>38387.68</v>
      </c>
      <c r="CA37" s="583">
        <v>0</v>
      </c>
      <c r="CB37" s="583">
        <v>0</v>
      </c>
      <c r="CC37" s="583">
        <v>0</v>
      </c>
      <c r="CD37" s="583">
        <v>0</v>
      </c>
      <c r="CE37" s="583">
        <v>0</v>
      </c>
      <c r="CF37" s="583">
        <v>0</v>
      </c>
      <c r="CG37" s="583">
        <v>0</v>
      </c>
      <c r="CH37" s="583">
        <v>0</v>
      </c>
      <c r="CI37" s="583">
        <v>0</v>
      </c>
      <c r="CJ37" s="583">
        <v>0</v>
      </c>
      <c r="CK37" s="583">
        <v>0</v>
      </c>
      <c r="CL37" s="583">
        <v>0</v>
      </c>
      <c r="CM37" s="583">
        <v>0</v>
      </c>
      <c r="CN37" s="583">
        <v>0</v>
      </c>
      <c r="CO37" s="583">
        <v>0</v>
      </c>
      <c r="CP37" s="583">
        <v>0</v>
      </c>
      <c r="CQ37" s="583">
        <v>0</v>
      </c>
      <c r="CR37" s="583">
        <v>0</v>
      </c>
      <c r="CS37" s="583">
        <v>0</v>
      </c>
      <c r="CT37" s="583">
        <v>0</v>
      </c>
      <c r="CU37" s="583">
        <v>0</v>
      </c>
      <c r="CV37" s="583">
        <v>0</v>
      </c>
      <c r="CW37" s="583">
        <v>0</v>
      </c>
      <c r="CX37" s="583">
        <v>0</v>
      </c>
      <c r="CY37" s="1044">
        <f t="shared" si="45"/>
        <v>0</v>
      </c>
      <c r="CZ37" s="33"/>
      <c r="DA37" s="205"/>
      <c r="DB37" s="33"/>
    </row>
    <row r="38" spans="1:106">
      <c r="A38" t="s">
        <v>436</v>
      </c>
      <c r="C38" s="22"/>
      <c r="D38" s="707">
        <f t="shared" si="44"/>
        <v>0</v>
      </c>
      <c r="E38" s="708"/>
      <c r="F38" s="707">
        <f ca="1">SUM(OFFSET(CA38:CL38,0,'Bal Sheet'!$A$1))/1000</f>
        <v>0</v>
      </c>
      <c r="G38" s="355">
        <v>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11265.77</v>
      </c>
      <c r="R38" s="355">
        <v>17164.080000000002</v>
      </c>
      <c r="S38" s="355">
        <v>0</v>
      </c>
      <c r="T38" s="355">
        <v>0</v>
      </c>
      <c r="U38" s="355">
        <v>0</v>
      </c>
      <c r="V38" s="355">
        <v>0</v>
      </c>
      <c r="W38" s="355">
        <v>0</v>
      </c>
      <c r="X38" s="355">
        <v>0</v>
      </c>
      <c r="Y38" s="355">
        <v>0</v>
      </c>
      <c r="Z38" s="355">
        <v>0</v>
      </c>
      <c r="AA38" s="355">
        <v>0</v>
      </c>
      <c r="AB38" s="355">
        <v>10930.39</v>
      </c>
      <c r="AC38" s="355">
        <v>9713.34</v>
      </c>
      <c r="AD38" s="355">
        <v>0</v>
      </c>
      <c r="AE38" s="355">
        <v>0</v>
      </c>
      <c r="AF38" s="355">
        <v>0</v>
      </c>
      <c r="AG38" s="355">
        <v>0</v>
      </c>
      <c r="AH38" s="355">
        <v>0</v>
      </c>
      <c r="AI38" s="355">
        <v>0</v>
      </c>
      <c r="AJ38" s="355">
        <v>0</v>
      </c>
      <c r="AK38" s="355">
        <v>0</v>
      </c>
      <c r="AL38" s="355">
        <v>0</v>
      </c>
      <c r="AM38" s="355">
        <v>0</v>
      </c>
      <c r="AN38" s="355">
        <v>0</v>
      </c>
      <c r="AO38" s="355">
        <v>0</v>
      </c>
      <c r="AP38" s="355">
        <v>0</v>
      </c>
      <c r="AQ38" s="355">
        <v>0</v>
      </c>
      <c r="AR38" s="355">
        <v>0</v>
      </c>
      <c r="AS38" s="355">
        <v>219.4</v>
      </c>
      <c r="AT38" s="355">
        <v>0</v>
      </c>
      <c r="AU38" s="355">
        <v>0</v>
      </c>
      <c r="AV38" s="355">
        <v>0</v>
      </c>
      <c r="AW38" s="355">
        <v>0</v>
      </c>
      <c r="AX38" s="355">
        <v>0</v>
      </c>
      <c r="AY38" s="355">
        <v>0</v>
      </c>
      <c r="AZ38" s="355">
        <v>0</v>
      </c>
      <c r="BA38" s="355">
        <v>0</v>
      </c>
      <c r="BB38" s="404">
        <v>0</v>
      </c>
      <c r="BC38" s="404">
        <v>0</v>
      </c>
      <c r="BD38" s="404">
        <v>0</v>
      </c>
      <c r="BE38" s="404">
        <v>278.17</v>
      </c>
      <c r="BF38" s="404">
        <v>993.1</v>
      </c>
      <c r="BG38" s="404">
        <v>0</v>
      </c>
      <c r="BH38" s="404">
        <v>0</v>
      </c>
      <c r="BI38" s="404">
        <v>0</v>
      </c>
      <c r="BJ38" s="404">
        <v>0</v>
      </c>
      <c r="BK38" s="404">
        <v>0</v>
      </c>
      <c r="BL38" s="404">
        <v>0</v>
      </c>
      <c r="BM38" s="404">
        <v>0</v>
      </c>
      <c r="BN38" s="404">
        <v>0</v>
      </c>
      <c r="BO38" s="583">
        <v>0</v>
      </c>
      <c r="BP38" s="583">
        <v>0</v>
      </c>
      <c r="BQ38" s="583">
        <v>0</v>
      </c>
      <c r="BR38" s="583">
        <v>0</v>
      </c>
      <c r="BS38" s="583">
        <v>0</v>
      </c>
      <c r="BT38" s="583">
        <v>0</v>
      </c>
      <c r="BU38" s="583">
        <v>17810.62</v>
      </c>
      <c r="BV38" s="583">
        <v>65441.59</v>
      </c>
      <c r="BW38" s="583">
        <v>30893.3</v>
      </c>
      <c r="BX38" s="583">
        <v>0</v>
      </c>
      <c r="BY38" s="583">
        <v>0</v>
      </c>
      <c r="BZ38" s="583">
        <v>0</v>
      </c>
      <c r="CA38" s="583">
        <v>2498600</v>
      </c>
      <c r="CB38" s="583">
        <v>2630900</v>
      </c>
      <c r="CC38" s="583">
        <v>2736500</v>
      </c>
      <c r="CD38" s="583">
        <v>2798400</v>
      </c>
      <c r="CE38" s="583">
        <v>2841400</v>
      </c>
      <c r="CF38" s="583">
        <v>2878800</v>
      </c>
      <c r="CG38" s="583">
        <v>2937900</v>
      </c>
      <c r="CH38" s="583">
        <v>2963300</v>
      </c>
      <c r="CI38" s="583">
        <v>2974000</v>
      </c>
      <c r="CJ38" s="583">
        <v>0</v>
      </c>
      <c r="CK38" s="583">
        <v>0</v>
      </c>
      <c r="CL38" s="583">
        <v>0</v>
      </c>
      <c r="CM38" s="583">
        <v>0</v>
      </c>
      <c r="CN38" s="583">
        <v>0</v>
      </c>
      <c r="CO38" s="583">
        <v>0</v>
      </c>
      <c r="CP38" s="583">
        <v>0</v>
      </c>
      <c r="CQ38" s="583">
        <v>0</v>
      </c>
      <c r="CR38" s="583">
        <v>0</v>
      </c>
      <c r="CS38" s="583">
        <v>0</v>
      </c>
      <c r="CT38" s="583">
        <v>0</v>
      </c>
      <c r="CU38" s="583">
        <v>0</v>
      </c>
      <c r="CV38" s="583">
        <v>0</v>
      </c>
      <c r="CW38" s="583">
        <v>0</v>
      </c>
      <c r="CX38" s="583">
        <v>0</v>
      </c>
      <c r="CY38" s="1044">
        <f t="shared" si="45"/>
        <v>0</v>
      </c>
      <c r="CZ38" s="33"/>
      <c r="DA38" s="205"/>
      <c r="DB38" s="33"/>
    </row>
    <row r="39" spans="1:106">
      <c r="A39" t="s">
        <v>437</v>
      </c>
      <c r="C39" s="22"/>
      <c r="D39" s="707">
        <f t="shared" si="44"/>
        <v>747.1</v>
      </c>
      <c r="E39" s="708"/>
      <c r="F39" s="707">
        <f ca="1">SUM(OFFSET(CA39:CL39,0,'Bal Sheet'!$A$1))/1000</f>
        <v>747.1</v>
      </c>
      <c r="G39" s="355">
        <v>61471</v>
      </c>
      <c r="H39" s="355">
        <v>61667</v>
      </c>
      <c r="I39" s="355">
        <v>61786.000000000007</v>
      </c>
      <c r="J39" s="355">
        <v>61519.000000000007</v>
      </c>
      <c r="K39" s="355">
        <v>61397.000000000007</v>
      </c>
      <c r="L39" s="355">
        <v>60711</v>
      </c>
      <c r="M39" s="355">
        <v>58858</v>
      </c>
      <c r="N39" s="355">
        <v>56890</v>
      </c>
      <c r="O39" s="355">
        <v>56308</v>
      </c>
      <c r="P39" s="355">
        <v>55755.119999999995</v>
      </c>
      <c r="Q39" s="355">
        <v>55424.87999999999</v>
      </c>
      <c r="R39" s="355">
        <v>75832.44</v>
      </c>
      <c r="S39" s="355">
        <v>47575.75</v>
      </c>
      <c r="T39" s="355">
        <v>54553.06</v>
      </c>
      <c r="U39" s="355">
        <v>58215.859999999971</v>
      </c>
      <c r="V39" s="355">
        <v>59953.73</v>
      </c>
      <c r="W39" s="355">
        <v>64137.11</v>
      </c>
      <c r="X39" s="355">
        <v>63925.09</v>
      </c>
      <c r="Y39" s="355">
        <v>65400.46</v>
      </c>
      <c r="Z39" s="355">
        <v>65203.68</v>
      </c>
      <c r="AA39" s="355">
        <v>65944.14</v>
      </c>
      <c r="AB39" s="355">
        <v>64652.650000000009</v>
      </c>
      <c r="AC39" s="355">
        <v>56088.36</v>
      </c>
      <c r="AD39" s="355">
        <v>41433.169999999984</v>
      </c>
      <c r="AE39" s="355">
        <v>55623.549999999988</v>
      </c>
      <c r="AF39" s="355">
        <v>57061.350000000006</v>
      </c>
      <c r="AG39" s="355">
        <v>63013.750000000029</v>
      </c>
      <c r="AH39" s="355">
        <v>66742.160000000033</v>
      </c>
      <c r="AI39" s="355">
        <v>71652.23000000001</v>
      </c>
      <c r="AJ39" s="355">
        <v>74356.570000000022</v>
      </c>
      <c r="AK39" s="355">
        <v>74194</v>
      </c>
      <c r="AL39" s="355">
        <v>71661.140000000014</v>
      </c>
      <c r="AM39" s="355">
        <v>70275.050000000017</v>
      </c>
      <c r="AN39" s="355">
        <v>67494.130000000019</v>
      </c>
      <c r="AO39" s="355">
        <v>62713.550000000017</v>
      </c>
      <c r="AP39" s="355">
        <v>48962.799999999988</v>
      </c>
      <c r="AQ39" s="355">
        <v>-145022.20000000001</v>
      </c>
      <c r="AR39" s="355">
        <v>-19905.880000000005</v>
      </c>
      <c r="AS39" s="355">
        <v>-160570.04999999999</v>
      </c>
      <c r="AT39" s="355">
        <v>-25574.42</v>
      </c>
      <c r="AU39" s="355">
        <v>498125.57</v>
      </c>
      <c r="AV39" s="355">
        <v>185997.39999999991</v>
      </c>
      <c r="AW39" s="355">
        <v>45836.630000000005</v>
      </c>
      <c r="AX39" s="355">
        <v>45689.53</v>
      </c>
      <c r="AY39" s="355">
        <v>45340.69</v>
      </c>
      <c r="AZ39" s="355">
        <v>44945.899999999994</v>
      </c>
      <c r="BA39" s="355">
        <v>44632.26999999999</v>
      </c>
      <c r="BB39" s="404">
        <v>19939.53</v>
      </c>
      <c r="BC39" s="404">
        <v>23996.459999999992</v>
      </c>
      <c r="BD39" s="404">
        <v>31247.650000000023</v>
      </c>
      <c r="BE39" s="404">
        <v>28477.64</v>
      </c>
      <c r="BF39" s="404">
        <v>32186.019999999997</v>
      </c>
      <c r="BG39" s="404">
        <v>35035.270000000004</v>
      </c>
      <c r="BH39" s="404">
        <v>32970.089999999997</v>
      </c>
      <c r="BI39" s="404">
        <v>33447.470000000008</v>
      </c>
      <c r="BJ39" s="404">
        <v>31970.030000000013</v>
      </c>
      <c r="BK39" s="404">
        <v>33317.679999999993</v>
      </c>
      <c r="BL39" s="404">
        <v>33344.509999999995</v>
      </c>
      <c r="BM39" s="404">
        <v>33793.789999999994</v>
      </c>
      <c r="BN39" s="404">
        <v>23926.300000000003</v>
      </c>
      <c r="BO39" s="583">
        <v>38809.009999999995</v>
      </c>
      <c r="BP39" s="583">
        <v>39287.459999999992</v>
      </c>
      <c r="BQ39" s="583">
        <v>39997.959999999992</v>
      </c>
      <c r="BR39" s="583">
        <v>40076.300000000017</v>
      </c>
      <c r="BS39" s="583">
        <v>43057.41</v>
      </c>
      <c r="BT39" s="583">
        <v>42825.25</v>
      </c>
      <c r="BU39" s="583">
        <v>47714.869999999995</v>
      </c>
      <c r="BV39" s="583">
        <v>51768.579999999987</v>
      </c>
      <c r="BW39" s="583">
        <v>57526.210000000006</v>
      </c>
      <c r="BX39" s="583">
        <v>77570.879999999946</v>
      </c>
      <c r="BY39" s="583">
        <v>71346.570000000065</v>
      </c>
      <c r="BZ39" s="583">
        <v>35592.990000000107</v>
      </c>
      <c r="CA39" s="583">
        <v>67100</v>
      </c>
      <c r="CB39" s="583">
        <v>68300</v>
      </c>
      <c r="CC39" s="583">
        <v>69400</v>
      </c>
      <c r="CD39" s="583">
        <v>69900</v>
      </c>
      <c r="CE39" s="583">
        <v>69500</v>
      </c>
      <c r="CF39" s="583">
        <v>67899.999999999985</v>
      </c>
      <c r="CG39" s="583">
        <v>65800</v>
      </c>
      <c r="CH39" s="583">
        <v>63100</v>
      </c>
      <c r="CI39" s="583">
        <v>62200</v>
      </c>
      <c r="CJ39" s="583">
        <v>61900</v>
      </c>
      <c r="CK39" s="583">
        <v>61700</v>
      </c>
      <c r="CL39" s="583">
        <v>61900</v>
      </c>
      <c r="CM39" s="583">
        <v>61800.000000000007</v>
      </c>
      <c r="CN39" s="583">
        <v>62100</v>
      </c>
      <c r="CO39" s="583">
        <v>62400.000000000007</v>
      </c>
      <c r="CP39" s="583">
        <v>63100</v>
      </c>
      <c r="CQ39" s="583">
        <v>63499.999999999993</v>
      </c>
      <c r="CR39" s="583">
        <v>62800</v>
      </c>
      <c r="CS39" s="583">
        <v>62400</v>
      </c>
      <c r="CT39" s="583">
        <v>62199.999999999993</v>
      </c>
      <c r="CU39" s="583">
        <v>62100</v>
      </c>
      <c r="CV39" s="583">
        <v>61800</v>
      </c>
      <c r="CW39" s="583">
        <v>61600</v>
      </c>
      <c r="CX39" s="583">
        <v>61300.000000000007</v>
      </c>
      <c r="CY39" s="1044">
        <f t="shared" si="45"/>
        <v>747100</v>
      </c>
      <c r="CZ39" s="33"/>
      <c r="DA39" s="205"/>
      <c r="DB39" s="33"/>
    </row>
    <row r="40" spans="1:106">
      <c r="A40" t="s">
        <v>438</v>
      </c>
      <c r="C40" s="22"/>
      <c r="D40" s="707">
        <f t="shared" si="44"/>
        <v>-1613.7</v>
      </c>
      <c r="E40" s="708"/>
      <c r="F40" s="707">
        <f ca="1">SUM(OFFSET(CA40:CL40,0,'Bal Sheet'!$A$1))/1000</f>
        <v>-1613.7</v>
      </c>
      <c r="G40" s="355">
        <v>0</v>
      </c>
      <c r="H40" s="355">
        <v>0</v>
      </c>
      <c r="I40" s="355">
        <v>0</v>
      </c>
      <c r="J40" s="355">
        <v>0</v>
      </c>
      <c r="K40" s="355">
        <v>0</v>
      </c>
      <c r="L40" s="355">
        <v>0</v>
      </c>
      <c r="M40" s="355">
        <v>0</v>
      </c>
      <c r="N40" s="355">
        <v>0</v>
      </c>
      <c r="O40" s="355">
        <v>0</v>
      </c>
      <c r="P40" s="355">
        <v>0</v>
      </c>
      <c r="Q40" s="355">
        <v>0</v>
      </c>
      <c r="R40" s="355">
        <v>0</v>
      </c>
      <c r="S40" s="355">
        <v>0</v>
      </c>
      <c r="T40" s="355">
        <v>0</v>
      </c>
      <c r="U40" s="355">
        <v>0</v>
      </c>
      <c r="V40" s="355">
        <v>0</v>
      </c>
      <c r="W40" s="355">
        <v>0</v>
      </c>
      <c r="X40" s="355">
        <v>0</v>
      </c>
      <c r="Y40" s="355">
        <v>0</v>
      </c>
      <c r="Z40" s="355">
        <v>0</v>
      </c>
      <c r="AA40" s="355">
        <v>0</v>
      </c>
      <c r="AB40" s="355">
        <v>0</v>
      </c>
      <c r="AC40" s="355">
        <v>0</v>
      </c>
      <c r="AD40" s="355">
        <v>0</v>
      </c>
      <c r="AE40" s="355">
        <v>0</v>
      </c>
      <c r="AF40" s="355">
        <v>0</v>
      </c>
      <c r="AG40" s="355">
        <v>0</v>
      </c>
      <c r="AH40" s="355">
        <v>0</v>
      </c>
      <c r="AI40" s="355">
        <v>0</v>
      </c>
      <c r="AJ40" s="355">
        <v>0</v>
      </c>
      <c r="AK40" s="355">
        <v>0</v>
      </c>
      <c r="AL40" s="355">
        <v>-43419.48</v>
      </c>
      <c r="AM40" s="355">
        <v>-28294.53</v>
      </c>
      <c r="AN40" s="355">
        <v>-22465.389999999992</v>
      </c>
      <c r="AO40" s="355">
        <v>-25132.7</v>
      </c>
      <c r="AP40" s="355">
        <v>-31693.47</v>
      </c>
      <c r="AQ40" s="355">
        <v>-41123.9</v>
      </c>
      <c r="AR40" s="355">
        <v>-51382.78</v>
      </c>
      <c r="AS40" s="355">
        <v>-60040.59</v>
      </c>
      <c r="AT40" s="355">
        <v>-68313.5</v>
      </c>
      <c r="AU40" s="355">
        <v>-82831.14</v>
      </c>
      <c r="AV40" s="355">
        <v>-94708.89</v>
      </c>
      <c r="AW40" s="355">
        <v>-101897.5</v>
      </c>
      <c r="AX40" s="355">
        <v>-113702.74</v>
      </c>
      <c r="AY40" s="355">
        <v>-127173</v>
      </c>
      <c r="AZ40" s="355">
        <v>-100603.36</v>
      </c>
      <c r="BA40" s="355">
        <v>-74277.42</v>
      </c>
      <c r="BB40" s="404">
        <v>-85997.18</v>
      </c>
      <c r="BC40" s="404">
        <v>-97828.96</v>
      </c>
      <c r="BD40" s="404">
        <v>-118962.67</v>
      </c>
      <c r="BE40" s="404">
        <v>-125175.22</v>
      </c>
      <c r="BF40" s="404">
        <v>-101772.96</v>
      </c>
      <c r="BG40" s="404">
        <v>-70765.289999999994</v>
      </c>
      <c r="BH40" s="404">
        <v>-73446.960000000006</v>
      </c>
      <c r="BI40" s="404">
        <v>-79548.13</v>
      </c>
      <c r="BJ40" s="404">
        <v>-89530.79</v>
      </c>
      <c r="BK40" s="404">
        <v>-98143.71</v>
      </c>
      <c r="BL40" s="404">
        <v>-105329.65</v>
      </c>
      <c r="BM40" s="404">
        <v>-37935.15</v>
      </c>
      <c r="BN40" s="404">
        <v>-52206.77</v>
      </c>
      <c r="BO40" s="583">
        <v>-57599.07</v>
      </c>
      <c r="BP40" s="583">
        <v>-62866.879999999997</v>
      </c>
      <c r="BQ40" s="583">
        <v>-68331.64</v>
      </c>
      <c r="BR40" s="583">
        <v>-75234.820000000007</v>
      </c>
      <c r="BS40" s="583">
        <v>-83191.78</v>
      </c>
      <c r="BT40" s="583">
        <v>-92933.84</v>
      </c>
      <c r="BU40" s="583">
        <v>-103760.02</v>
      </c>
      <c r="BV40" s="583">
        <v>-111463.17</v>
      </c>
      <c r="BW40" s="583">
        <v>-118085.17</v>
      </c>
      <c r="BX40" s="583">
        <v>-53459.64</v>
      </c>
      <c r="BY40" s="583">
        <v>-78253.39</v>
      </c>
      <c r="BZ40" s="583">
        <v>-84749.19</v>
      </c>
      <c r="CA40" s="583">
        <v>-105600</v>
      </c>
      <c r="CB40" s="583">
        <v>-107600</v>
      </c>
      <c r="CC40" s="583">
        <v>-113700</v>
      </c>
      <c r="CD40" s="583">
        <v>-135800</v>
      </c>
      <c r="CE40" s="583">
        <v>-130500</v>
      </c>
      <c r="CF40" s="583">
        <v>-112700</v>
      </c>
      <c r="CG40" s="583">
        <v>-122500</v>
      </c>
      <c r="CH40" s="583">
        <v>-133100</v>
      </c>
      <c r="CI40" s="583">
        <v>-143300</v>
      </c>
      <c r="CJ40" s="583">
        <v>-152100</v>
      </c>
      <c r="CK40" s="583">
        <v>-115700</v>
      </c>
      <c r="CL40" s="583">
        <v>-77300</v>
      </c>
      <c r="CM40" s="583">
        <v>-81800</v>
      </c>
      <c r="CN40" s="583">
        <v>-86800</v>
      </c>
      <c r="CO40" s="583">
        <v>-90900</v>
      </c>
      <c r="CP40" s="583">
        <v>-99500</v>
      </c>
      <c r="CQ40" s="583">
        <v>-113500</v>
      </c>
      <c r="CR40" s="583">
        <v>-127200</v>
      </c>
      <c r="CS40" s="583">
        <v>-140400</v>
      </c>
      <c r="CT40" s="583">
        <v>-152700</v>
      </c>
      <c r="CU40" s="583">
        <v>-164500</v>
      </c>
      <c r="CV40" s="583">
        <v>-175800</v>
      </c>
      <c r="CW40" s="583">
        <v>-186800</v>
      </c>
      <c r="CX40" s="583">
        <v>-193800</v>
      </c>
      <c r="CY40" s="1045">
        <f t="shared" si="45"/>
        <v>-1613700</v>
      </c>
      <c r="CZ40" s="33"/>
      <c r="DA40" s="205"/>
      <c r="DB40" s="33"/>
    </row>
    <row r="41" spans="1:106">
      <c r="A41" t="s">
        <v>439</v>
      </c>
      <c r="C41" s="22"/>
      <c r="D41" s="710">
        <f t="shared" ref="D41" si="46">SUM(D35:D40)</f>
        <v>52917.240700252172</v>
      </c>
      <c r="E41" s="708"/>
      <c r="F41" s="710">
        <f ca="1">SUM(OFFSET(CA41:CL41,0,'Bal Sheet'!$A$1))/1000</f>
        <v>52917.240700252165</v>
      </c>
      <c r="G41" s="254">
        <f t="shared" ref="G41:AP41" si="47">SUM(G35:G40)</f>
        <v>1255079.43</v>
      </c>
      <c r="H41" s="254">
        <f t="shared" si="47"/>
        <v>1259900.3999999999</v>
      </c>
      <c r="I41" s="254">
        <f t="shared" si="47"/>
        <v>1264136.25</v>
      </c>
      <c r="J41" s="254">
        <f t="shared" si="47"/>
        <v>1267995.58</v>
      </c>
      <c r="K41" s="254">
        <f t="shared" si="47"/>
        <v>1244976.25</v>
      </c>
      <c r="L41" s="254">
        <f t="shared" si="47"/>
        <v>1256010.71</v>
      </c>
      <c r="M41" s="254">
        <f t="shared" si="47"/>
        <v>1266885.3999999999</v>
      </c>
      <c r="N41" s="254">
        <f t="shared" si="47"/>
        <v>1270187.24</v>
      </c>
      <c r="O41" s="254">
        <f t="shared" si="47"/>
        <v>1337748.83</v>
      </c>
      <c r="P41" s="254">
        <f t="shared" si="47"/>
        <v>1328189.1000000001</v>
      </c>
      <c r="Q41" s="254">
        <f t="shared" si="47"/>
        <v>1232176.73</v>
      </c>
      <c r="R41" s="254">
        <f t="shared" si="47"/>
        <v>1242670.1100000001</v>
      </c>
      <c r="S41" s="254">
        <f t="shared" si="47"/>
        <v>1203456.6599999999</v>
      </c>
      <c r="T41" s="254">
        <f t="shared" si="47"/>
        <v>1400203.62</v>
      </c>
      <c r="U41" s="254">
        <f t="shared" si="47"/>
        <v>1026055.24</v>
      </c>
      <c r="V41" s="254">
        <f t="shared" si="47"/>
        <v>1216382.25</v>
      </c>
      <c r="W41" s="254">
        <f t="shared" si="47"/>
        <v>1135245.8</v>
      </c>
      <c r="X41" s="254">
        <f t="shared" si="47"/>
        <v>1216499.97</v>
      </c>
      <c r="Y41" s="254">
        <f t="shared" si="47"/>
        <v>1213993.83</v>
      </c>
      <c r="Z41" s="254">
        <f t="shared" si="47"/>
        <v>1207740.72</v>
      </c>
      <c r="AA41" s="254">
        <f t="shared" si="47"/>
        <v>1214136.8499999999</v>
      </c>
      <c r="AB41" s="254">
        <f t="shared" si="47"/>
        <v>1300728.4199999997</v>
      </c>
      <c r="AC41" s="254">
        <f t="shared" si="47"/>
        <v>1337054.3800000001</v>
      </c>
      <c r="AD41" s="254">
        <f t="shared" si="47"/>
        <v>1419817.01</v>
      </c>
      <c r="AE41" s="254">
        <f t="shared" si="47"/>
        <v>1495065.8099999998</v>
      </c>
      <c r="AF41" s="254">
        <f t="shared" si="47"/>
        <v>1479410.9899999998</v>
      </c>
      <c r="AG41" s="254">
        <f t="shared" si="47"/>
        <v>1463219.2299999997</v>
      </c>
      <c r="AH41" s="254">
        <f t="shared" si="47"/>
        <v>1452998.4699999997</v>
      </c>
      <c r="AI41" s="254">
        <f t="shared" si="47"/>
        <v>1397881.5199999998</v>
      </c>
      <c r="AJ41" s="254">
        <f t="shared" si="47"/>
        <v>1177739.6099999999</v>
      </c>
      <c r="AK41" s="254">
        <f t="shared" si="47"/>
        <v>1427251.0999999999</v>
      </c>
      <c r="AL41" s="254">
        <f t="shared" si="47"/>
        <v>1425005.1400000001</v>
      </c>
      <c r="AM41" s="254">
        <f t="shared" si="47"/>
        <v>1448236.05</v>
      </c>
      <c r="AN41" s="254">
        <f t="shared" si="47"/>
        <v>1462464.1000000003</v>
      </c>
      <c r="AO41" s="254">
        <f t="shared" si="47"/>
        <v>1462228.6500000001</v>
      </c>
      <c r="AP41" s="254">
        <f t="shared" si="47"/>
        <v>1498991.93</v>
      </c>
      <c r="AQ41" s="254">
        <f t="shared" ref="AQ41:AW41" si="48">SUM(AQ35:AQ40)</f>
        <v>1325709.5900000001</v>
      </c>
      <c r="AR41" s="254">
        <f t="shared" si="48"/>
        <v>1319466.45</v>
      </c>
      <c r="AS41" s="254">
        <f t="shared" si="48"/>
        <v>1311929.9499999997</v>
      </c>
      <c r="AT41" s="254">
        <f t="shared" si="48"/>
        <v>1301408.53</v>
      </c>
      <c r="AU41" s="254">
        <f t="shared" si="48"/>
        <v>1811016.7000000002</v>
      </c>
      <c r="AV41" s="254">
        <f t="shared" si="48"/>
        <v>1491703.8399999999</v>
      </c>
      <c r="AW41" s="254">
        <f t="shared" si="48"/>
        <v>1363132.92</v>
      </c>
      <c r="AX41" s="254">
        <f t="shared" ref="AX41:BB41" si="49">SUM(AX35:AX40)</f>
        <v>1347961.3699999999</v>
      </c>
      <c r="AY41" s="254">
        <f t="shared" si="49"/>
        <v>1330002.7299999997</v>
      </c>
      <c r="AZ41" s="254">
        <f t="shared" si="49"/>
        <v>1374791.4599999997</v>
      </c>
      <c r="BA41" s="254">
        <f t="shared" si="49"/>
        <v>1415569.81</v>
      </c>
      <c r="BB41" s="715">
        <f t="shared" si="49"/>
        <v>1418526.21</v>
      </c>
      <c r="BC41" s="715">
        <f t="shared" ref="BC41:BN41" si="50">SUM(BC35:BC40)</f>
        <v>1446642.45</v>
      </c>
      <c r="BD41" s="715">
        <f t="shared" si="50"/>
        <v>1419311.0899999999</v>
      </c>
      <c r="BE41" s="715">
        <f t="shared" si="50"/>
        <v>1706418.5799999998</v>
      </c>
      <c r="BF41" s="715">
        <f t="shared" si="50"/>
        <v>1836719.52</v>
      </c>
      <c r="BG41" s="715">
        <f t="shared" si="50"/>
        <v>1680077.6099999999</v>
      </c>
      <c r="BH41" s="715">
        <f t="shared" si="50"/>
        <v>1827658.1300000001</v>
      </c>
      <c r="BI41" s="715">
        <f t="shared" si="50"/>
        <v>1670378.98</v>
      </c>
      <c r="BJ41" s="715">
        <f t="shared" si="50"/>
        <v>1663540.4599999997</v>
      </c>
      <c r="BK41" s="715">
        <f t="shared" si="50"/>
        <v>1553838.8699999999</v>
      </c>
      <c r="BL41" s="715">
        <f t="shared" si="50"/>
        <v>1653668.5599999998</v>
      </c>
      <c r="BM41" s="715">
        <f t="shared" si="50"/>
        <v>1724168.83</v>
      </c>
      <c r="BN41" s="715">
        <f t="shared" si="50"/>
        <v>1720128.0899999999</v>
      </c>
      <c r="BO41" s="715">
        <f t="shared" ref="BO41:BZ41" si="51">SUM(BO35:BO40)</f>
        <v>1764328.3399999999</v>
      </c>
      <c r="BP41" s="715">
        <f t="shared" si="51"/>
        <v>1737493.4</v>
      </c>
      <c r="BQ41" s="715">
        <f t="shared" si="51"/>
        <v>1777801.4799999997</v>
      </c>
      <c r="BR41" s="715">
        <f t="shared" si="51"/>
        <v>1812749.3599999999</v>
      </c>
      <c r="BS41" s="715">
        <f t="shared" si="51"/>
        <v>1876363.9999999998</v>
      </c>
      <c r="BT41" s="715">
        <f t="shared" si="51"/>
        <v>1892209.1499999997</v>
      </c>
      <c r="BU41" s="715">
        <f t="shared" si="51"/>
        <v>2134620.1</v>
      </c>
      <c r="BV41" s="715">
        <f t="shared" si="51"/>
        <v>2222983.3899999997</v>
      </c>
      <c r="BW41" s="715">
        <f t="shared" si="51"/>
        <v>2269236.3799999994</v>
      </c>
      <c r="BX41" s="715">
        <f t="shared" si="51"/>
        <v>2441153.7099999995</v>
      </c>
      <c r="BY41" s="715">
        <f t="shared" si="51"/>
        <v>2502464.9600000004</v>
      </c>
      <c r="BZ41" s="715">
        <f t="shared" si="51"/>
        <v>2610748.0000000005</v>
      </c>
      <c r="CA41" s="715">
        <f t="shared" ref="CA41:CO41" si="52">SUM(CA35:CA40)</f>
        <v>2460100</v>
      </c>
      <c r="CB41" s="715">
        <f t="shared" si="52"/>
        <v>2591600</v>
      </c>
      <c r="CC41" s="715">
        <f t="shared" si="52"/>
        <v>2692200</v>
      </c>
      <c r="CD41" s="715">
        <f t="shared" si="52"/>
        <v>2732500</v>
      </c>
      <c r="CE41" s="715">
        <f t="shared" si="52"/>
        <v>2780400</v>
      </c>
      <c r="CF41" s="715">
        <f t="shared" si="52"/>
        <v>2834000</v>
      </c>
      <c r="CG41" s="715">
        <f t="shared" si="52"/>
        <v>2881200</v>
      </c>
      <c r="CH41" s="715">
        <f t="shared" si="52"/>
        <v>2893300</v>
      </c>
      <c r="CI41" s="715">
        <f t="shared" si="52"/>
        <v>2892900</v>
      </c>
      <c r="CJ41" s="715">
        <f t="shared" si="52"/>
        <v>4808308.308457002</v>
      </c>
      <c r="CK41" s="715">
        <f t="shared" si="52"/>
        <v>4259763.5581864323</v>
      </c>
      <c r="CL41" s="715">
        <f t="shared" si="52"/>
        <v>4286577.7047117511</v>
      </c>
      <c r="CM41" s="715">
        <f t="shared" si="52"/>
        <v>4294179.9417176107</v>
      </c>
      <c r="CN41" s="715">
        <f t="shared" si="52"/>
        <v>4290171.1954369387</v>
      </c>
      <c r="CO41" s="715">
        <f t="shared" si="52"/>
        <v>4297903.1226312453</v>
      </c>
      <c r="CP41" s="715">
        <f t="shared" ref="CP41:CX41" si="53">SUM(CP35:CP40)</f>
        <v>4338901.8485412216</v>
      </c>
      <c r="CQ41" s="715">
        <f t="shared" si="53"/>
        <v>4363691.4460815899</v>
      </c>
      <c r="CR41" s="715">
        <f t="shared" si="53"/>
        <v>4173221.2653868133</v>
      </c>
      <c r="CS41" s="715">
        <f t="shared" si="53"/>
        <v>4474831.3477805844</v>
      </c>
      <c r="CT41" s="715">
        <f t="shared" si="53"/>
        <v>4477614.8774109622</v>
      </c>
      <c r="CU41" s="715">
        <f t="shared" si="53"/>
        <v>4460298.5841922825</v>
      </c>
      <c r="CV41" s="715">
        <f t="shared" si="53"/>
        <v>4532744.9447551593</v>
      </c>
      <c r="CW41" s="715">
        <f t="shared" si="53"/>
        <v>4592804.2696964182</v>
      </c>
      <c r="CX41" s="715">
        <f t="shared" si="53"/>
        <v>4620877.8566213474</v>
      </c>
      <c r="CY41" s="1048">
        <f t="shared" si="45"/>
        <v>52917240.700252168</v>
      </c>
      <c r="CZ41" s="33"/>
      <c r="DA41" s="205"/>
      <c r="DB41" s="33"/>
    </row>
    <row r="42" spans="1:106">
      <c r="C42" s="22"/>
      <c r="D42" s="707"/>
      <c r="E42" s="708"/>
      <c r="F42" s="707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  <c r="CC42" s="716"/>
      <c r="CD42" s="716"/>
      <c r="CE42" s="716"/>
      <c r="CF42" s="716"/>
      <c r="CG42" s="716"/>
      <c r="CH42" s="716"/>
      <c r="CI42" s="716"/>
      <c r="CJ42" s="716"/>
      <c r="CK42" s="716"/>
      <c r="CL42" s="716"/>
      <c r="CM42" s="716"/>
      <c r="CN42" s="716"/>
      <c r="CO42" s="716"/>
      <c r="CP42" s="716"/>
      <c r="CQ42" s="716"/>
      <c r="CR42" s="716"/>
      <c r="CS42" s="716"/>
      <c r="CT42" s="716"/>
      <c r="CU42" s="716"/>
      <c r="CV42" s="716"/>
      <c r="CW42" s="716"/>
      <c r="CX42" s="716"/>
      <c r="CY42" s="1049"/>
      <c r="CZ42" s="33"/>
      <c r="DA42" s="205"/>
      <c r="DB42" s="33"/>
    </row>
    <row r="43" spans="1:106" ht="13.5" thickBot="1">
      <c r="A43" t="s">
        <v>440</v>
      </c>
      <c r="C43" s="22"/>
      <c r="D43" s="713">
        <f t="shared" ref="D43" si="54">+D22+D32-D41</f>
        <v>17876.464719747913</v>
      </c>
      <c r="E43" s="708"/>
      <c r="F43" s="713">
        <f ca="1">SUM(OFFSET(CA43:CL43,0,'Bal Sheet'!$A$1))/1000</f>
        <v>25950.959299747698</v>
      </c>
      <c r="G43" s="256">
        <f t="shared" ref="G43:AO43" si="55">+G22+G32-G41</f>
        <v>5364828.8800000008</v>
      </c>
      <c r="H43" s="256">
        <f t="shared" si="55"/>
        <v>3871211.0399999912</v>
      </c>
      <c r="I43" s="256">
        <f t="shared" si="55"/>
        <v>4536791.43</v>
      </c>
      <c r="J43" s="256">
        <f t="shared" si="55"/>
        <v>3830968.0299999975</v>
      </c>
      <c r="K43" s="256">
        <f t="shared" si="55"/>
        <v>3718372.6800000053</v>
      </c>
      <c r="L43" s="256">
        <f t="shared" si="55"/>
        <v>2081619.0699999984</v>
      </c>
      <c r="M43" s="256">
        <f t="shared" si="55"/>
        <v>2758883.76</v>
      </c>
      <c r="N43" s="256">
        <f t="shared" si="55"/>
        <v>2496907.5799999945</v>
      </c>
      <c r="O43" s="256">
        <f t="shared" si="55"/>
        <v>2707918.4300000034</v>
      </c>
      <c r="P43" s="256">
        <f t="shared" si="55"/>
        <v>2630149.9099999936</v>
      </c>
      <c r="Q43" s="256">
        <f t="shared" si="55"/>
        <v>3443330.2300000028</v>
      </c>
      <c r="R43" s="256">
        <f t="shared" si="55"/>
        <v>5584119.0700000068</v>
      </c>
      <c r="S43" s="256">
        <f t="shared" si="55"/>
        <v>9302106.2899999954</v>
      </c>
      <c r="T43" s="256">
        <f t="shared" si="55"/>
        <v>4503468.3299999982</v>
      </c>
      <c r="U43" s="256">
        <f t="shared" si="55"/>
        <v>1650568.7199999939</v>
      </c>
      <c r="V43" s="256">
        <f t="shared" si="55"/>
        <v>5304901.640000009</v>
      </c>
      <c r="W43" s="256">
        <f t="shared" si="55"/>
        <v>2688164.0399999982</v>
      </c>
      <c r="X43" s="256">
        <f t="shared" si="55"/>
        <v>3096375.0000000037</v>
      </c>
      <c r="Y43" s="256">
        <f t="shared" si="55"/>
        <v>3105270.2000000048</v>
      </c>
      <c r="Z43" s="256">
        <f t="shared" si="55"/>
        <v>2532103.3200000012</v>
      </c>
      <c r="AA43" s="256">
        <f t="shared" si="55"/>
        <v>3697950.5100000119</v>
      </c>
      <c r="AB43" s="256">
        <f t="shared" si="55"/>
        <v>2803273.2300000051</v>
      </c>
      <c r="AC43" s="256">
        <f t="shared" si="55"/>
        <v>3521863.3600000143</v>
      </c>
      <c r="AD43" s="256">
        <f t="shared" si="55"/>
        <v>5493355.7600000156</v>
      </c>
      <c r="AE43" s="256">
        <f t="shared" si="55"/>
        <v>6617945.8900000006</v>
      </c>
      <c r="AF43" s="256">
        <f t="shared" si="55"/>
        <v>5866661.8500000071</v>
      </c>
      <c r="AG43" s="256">
        <f t="shared" si="55"/>
        <v>5496050.3100000033</v>
      </c>
      <c r="AH43" s="256">
        <f t="shared" si="55"/>
        <v>5226930.1899999995</v>
      </c>
      <c r="AI43" s="256">
        <f t="shared" si="55"/>
        <v>4583161.1199999936</v>
      </c>
      <c r="AJ43" s="256">
        <f t="shared" si="55"/>
        <v>3765173.3700000071</v>
      </c>
      <c r="AK43" s="256">
        <f t="shared" si="55"/>
        <v>3058815.379999999</v>
      </c>
      <c r="AL43" s="256">
        <f t="shared" si="55"/>
        <v>3841883.8399999994</v>
      </c>
      <c r="AM43" s="256">
        <f t="shared" si="55"/>
        <v>3683859.6300000008</v>
      </c>
      <c r="AN43" s="256">
        <f t="shared" si="55"/>
        <v>3425608.0900000017</v>
      </c>
      <c r="AO43" s="256">
        <f t="shared" si="55"/>
        <v>4401638.7099999925</v>
      </c>
      <c r="AP43" s="256">
        <f>+AP22+AP32-AP41</f>
        <v>4061404.6899999911</v>
      </c>
      <c r="AQ43" s="256">
        <f t="shared" ref="AQ43:AW43" si="56">+AQ22+AQ32-AQ41</f>
        <v>7675617.6199999973</v>
      </c>
      <c r="AR43" s="256">
        <f t="shared" si="56"/>
        <v>5940466.9200000009</v>
      </c>
      <c r="AS43" s="256">
        <f t="shared" si="56"/>
        <v>4844783.179999996</v>
      </c>
      <c r="AT43" s="256">
        <f t="shared" si="56"/>
        <v>3710728.2800000058</v>
      </c>
      <c r="AU43" s="256">
        <f t="shared" si="56"/>
        <v>3608346.84</v>
      </c>
      <c r="AV43" s="256">
        <f t="shared" si="56"/>
        <v>3209793.1400000015</v>
      </c>
      <c r="AW43" s="256">
        <f t="shared" si="56"/>
        <v>3096133.4199999981</v>
      </c>
      <c r="AX43" s="256">
        <f t="shared" ref="AX43:BB43" si="57">+AX22+AX32-AX41</f>
        <v>3757822.8500000034</v>
      </c>
      <c r="AY43" s="256">
        <f t="shared" si="57"/>
        <v>3415357.6500000004</v>
      </c>
      <c r="AZ43" s="256">
        <f t="shared" si="57"/>
        <v>2946877.299999997</v>
      </c>
      <c r="BA43" s="256">
        <f t="shared" si="57"/>
        <v>5089897.0800000038</v>
      </c>
      <c r="BB43" s="717">
        <f t="shared" si="57"/>
        <v>4619564.9800000014</v>
      </c>
      <c r="BC43" s="717">
        <f t="shared" ref="BC43:BN43" si="58">+BC22+BC32-BC41</f>
        <v>11395487.329999998</v>
      </c>
      <c r="BD43" s="717">
        <f t="shared" si="58"/>
        <v>8009638.0999999978</v>
      </c>
      <c r="BE43" s="717">
        <f t="shared" si="58"/>
        <v>7690800.4700000025</v>
      </c>
      <c r="BF43" s="717">
        <f t="shared" si="58"/>
        <v>7693733.1100000013</v>
      </c>
      <c r="BG43" s="717">
        <f t="shared" si="58"/>
        <v>5523422.1400000099</v>
      </c>
      <c r="BH43" s="717">
        <f t="shared" si="58"/>
        <v>5442618.1799999988</v>
      </c>
      <c r="BI43" s="717">
        <f t="shared" si="58"/>
        <v>4434602.4600000046</v>
      </c>
      <c r="BJ43" s="717">
        <f t="shared" si="58"/>
        <v>4767526.4300000016</v>
      </c>
      <c r="BK43" s="717">
        <f t="shared" si="58"/>
        <v>5555927.8699999982</v>
      </c>
      <c r="BL43" s="717">
        <f t="shared" si="58"/>
        <v>5105687.1500000013</v>
      </c>
      <c r="BM43" s="717">
        <f t="shared" si="58"/>
        <v>5800885.7700000061</v>
      </c>
      <c r="BN43" s="717">
        <f t="shared" si="58"/>
        <v>5862599.7900000103</v>
      </c>
      <c r="BO43" s="717">
        <f t="shared" ref="BO43:BZ43" si="59">+BO22+BO32-BO41</f>
        <v>9787937.4600000028</v>
      </c>
      <c r="BP43" s="717">
        <f t="shared" si="59"/>
        <v>8848433.3600000106</v>
      </c>
      <c r="BQ43" s="717">
        <f t="shared" si="59"/>
        <v>10906631.870000001</v>
      </c>
      <c r="BR43" s="717">
        <f t="shared" si="59"/>
        <v>6709140.3300000038</v>
      </c>
      <c r="BS43" s="717">
        <f t="shared" si="59"/>
        <v>6255344.3100000089</v>
      </c>
      <c r="BT43" s="717">
        <f t="shared" si="59"/>
        <v>6658559.830000001</v>
      </c>
      <c r="BU43" s="717">
        <f t="shared" si="59"/>
        <v>4395198.3500000052</v>
      </c>
      <c r="BV43" s="717">
        <f t="shared" si="59"/>
        <v>4562159.5000000093</v>
      </c>
      <c r="BW43" s="717">
        <f t="shared" si="59"/>
        <v>7270008.4300000109</v>
      </c>
      <c r="BX43" s="717">
        <f t="shared" si="59"/>
        <v>4804065.5199999977</v>
      </c>
      <c r="BY43" s="717">
        <f t="shared" si="59"/>
        <v>5933019.0599999912</v>
      </c>
      <c r="BZ43" s="717">
        <f t="shared" si="59"/>
        <v>6107119.9299999867</v>
      </c>
      <c r="CA43" s="717">
        <f t="shared" ref="CA43:CO43" si="60">+CA22+CA32-CA41</f>
        <v>9569799.9999999776</v>
      </c>
      <c r="CB43" s="717">
        <f t="shared" si="60"/>
        <v>8659999.9999999925</v>
      </c>
      <c r="CC43" s="717">
        <f t="shared" si="60"/>
        <v>10800399.999999989</v>
      </c>
      <c r="CD43" s="717">
        <f t="shared" si="60"/>
        <v>7004199.9999999925</v>
      </c>
      <c r="CE43" s="717">
        <f t="shared" si="60"/>
        <v>5310299.9999999888</v>
      </c>
      <c r="CF43" s="717">
        <f t="shared" si="60"/>
        <v>6877999.9999999888</v>
      </c>
      <c r="CG43" s="717">
        <f t="shared" si="60"/>
        <v>4422999.9999999776</v>
      </c>
      <c r="CH43" s="717">
        <f t="shared" si="60"/>
        <v>4216600.0000000075</v>
      </c>
      <c r="CI43" s="717">
        <f t="shared" si="60"/>
        <v>6262299.9999999776</v>
      </c>
      <c r="CJ43" s="717">
        <f t="shared" si="60"/>
        <v>3193591.691542998</v>
      </c>
      <c r="CK43" s="717">
        <f t="shared" si="60"/>
        <v>5800636.4418135453</v>
      </c>
      <c r="CL43" s="717">
        <f t="shared" si="60"/>
        <v>12584922.295288242</v>
      </c>
      <c r="CM43" s="717">
        <f t="shared" si="60"/>
        <v>5478020.0582823595</v>
      </c>
      <c r="CN43" s="717">
        <f t="shared" si="60"/>
        <v>4835128.8045630762</v>
      </c>
      <c r="CO43" s="717">
        <f t="shared" si="60"/>
        <v>3439596.8773687547</v>
      </c>
      <c r="CP43" s="717">
        <f t="shared" ref="CP43:CX43" si="61">+CP22+CP32-CP41</f>
        <v>2859698.1514587821</v>
      </c>
      <c r="CQ43" s="717">
        <f t="shared" si="61"/>
        <v>1368608.5539183989</v>
      </c>
      <c r="CR43" s="717">
        <f t="shared" si="61"/>
        <v>413378.73461317178</v>
      </c>
      <c r="CS43" s="717">
        <f t="shared" si="61"/>
        <v>379168.65221939329</v>
      </c>
      <c r="CT43" s="717">
        <f t="shared" si="61"/>
        <v>506885.12258903775</v>
      </c>
      <c r="CU43" s="717">
        <f t="shared" si="61"/>
        <v>334001.41580768768</v>
      </c>
      <c r="CV43" s="717">
        <f t="shared" si="61"/>
        <v>631955.05524483696</v>
      </c>
      <c r="CW43" s="717">
        <f t="shared" si="61"/>
        <v>2040495.7303035669</v>
      </c>
      <c r="CX43" s="717">
        <f t="shared" si="61"/>
        <v>3664022.143378634</v>
      </c>
      <c r="CY43" s="1050">
        <f>+CY22+CY32-CY41</f>
        <v>25950959.299747713</v>
      </c>
      <c r="CZ43" s="211">
        <f ca="1">+CY43/('Bal Sheet'!B63*1000)</f>
        <v>2.1789051372333262E-2</v>
      </c>
      <c r="DA43" s="205"/>
      <c r="DB43" s="33"/>
    </row>
    <row r="44" spans="1:106" ht="13.5" thickTop="1">
      <c r="C44" s="22"/>
      <c r="E44" s="708"/>
      <c r="G44" s="953">
        <v>0</v>
      </c>
      <c r="H44" s="953">
        <v>0</v>
      </c>
      <c r="I44" s="953">
        <v>0</v>
      </c>
      <c r="J44" s="953">
        <v>0</v>
      </c>
      <c r="K44" s="953">
        <v>0</v>
      </c>
      <c r="L44" s="953">
        <v>0</v>
      </c>
      <c r="M44" s="953">
        <v>0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3">
        <v>0</v>
      </c>
      <c r="Y44" s="953">
        <v>0</v>
      </c>
      <c r="Z44" s="953">
        <v>0</v>
      </c>
      <c r="AA44" s="953">
        <v>0</v>
      </c>
      <c r="AB44" s="953">
        <v>0</v>
      </c>
      <c r="AC44" s="953">
        <v>0</v>
      </c>
      <c r="AD44" s="953">
        <v>0</v>
      </c>
      <c r="AE44" s="953">
        <v>345.88999998755753</v>
      </c>
      <c r="AF44" s="953">
        <v>-538.14999999012798</v>
      </c>
      <c r="AG44" s="953">
        <v>-549.68999999389052</v>
      </c>
      <c r="AH44" s="953">
        <v>-269.80999999586493</v>
      </c>
      <c r="AI44" s="953">
        <v>-638.88000001013279</v>
      </c>
      <c r="AJ44" s="953">
        <v>673.370000008028</v>
      </c>
      <c r="AK44" s="953">
        <v>215.38000000175089</v>
      </c>
      <c r="AL44" s="953">
        <v>-116.16000000061467</v>
      </c>
      <c r="AM44" s="953">
        <v>459.6299999980256</v>
      </c>
      <c r="AN44" s="953">
        <v>8.0900000054389238</v>
      </c>
      <c r="AO44" s="953">
        <v>338.70999999064952</v>
      </c>
      <c r="AP44" s="953">
        <v>604.6899999929592</v>
      </c>
      <c r="AQ44" s="953">
        <v>117.6200000019744</v>
      </c>
      <c r="AR44" s="953">
        <v>366.9200000083074</v>
      </c>
      <c r="AS44" s="953">
        <v>183.18000000156462</v>
      </c>
      <c r="AT44" s="953">
        <v>-671.71999999182299</v>
      </c>
      <c r="AU44" s="953">
        <v>346.83999998541549</v>
      </c>
      <c r="AV44" s="953">
        <v>93.140000007115304</v>
      </c>
      <c r="AW44" s="953">
        <v>833.42000000411645</v>
      </c>
      <c r="AX44" s="953">
        <v>222.85000000242144</v>
      </c>
      <c r="AY44" s="953">
        <v>-342.34999998752028</v>
      </c>
      <c r="AZ44" s="953">
        <v>477.29999998537824</v>
      </c>
      <c r="BA44" s="953">
        <v>297.08000000752509</v>
      </c>
      <c r="BB44" s="706">
        <v>-235.01999997999519</v>
      </c>
      <c r="BC44" s="706">
        <v>287.32999998703599</v>
      </c>
      <c r="BD44" s="706">
        <v>38.100000032223761</v>
      </c>
      <c r="BE44" s="954">
        <v>500.47000001277775</v>
      </c>
      <c r="BF44" s="718">
        <v>33.11000001244247</v>
      </c>
      <c r="BG44" s="718">
        <v>122.14000002294779</v>
      </c>
      <c r="BH44" s="718">
        <v>418.17999999318272</v>
      </c>
      <c r="BI44" s="718">
        <v>-97.540000004693866</v>
      </c>
      <c r="BJ44" s="718">
        <v>-573.56999998632818</v>
      </c>
      <c r="BK44" s="718">
        <v>627.87000001315027</v>
      </c>
      <c r="BL44" s="718">
        <v>-112.84999999590218</v>
      </c>
      <c r="BM44" s="718">
        <v>485.77000002469867</v>
      </c>
      <c r="BN44" s="718">
        <v>499.79000002983958</v>
      </c>
      <c r="BO44" s="718">
        <v>-462.53999997116625</v>
      </c>
      <c r="BP44" s="718">
        <v>433.36000002920628</v>
      </c>
      <c r="BQ44" s="718">
        <v>1431.8700000140816</v>
      </c>
      <c r="BR44" s="718">
        <v>40.329999998211861</v>
      </c>
      <c r="BS44" s="718">
        <v>144.31000002846122</v>
      </c>
      <c r="BT44" s="718">
        <v>259.83000003919005</v>
      </c>
      <c r="BU44" s="718">
        <v>0</v>
      </c>
      <c r="BV44" s="718">
        <v>0</v>
      </c>
      <c r="BW44" s="718">
        <v>0</v>
      </c>
      <c r="BX44" s="718">
        <v>0</v>
      </c>
      <c r="BY44" s="718">
        <v>0</v>
      </c>
      <c r="BZ44" s="718">
        <v>0</v>
      </c>
      <c r="CA44" s="718">
        <v>0</v>
      </c>
      <c r="CB44" s="718">
        <v>0</v>
      </c>
      <c r="CC44" s="718">
        <v>0</v>
      </c>
      <c r="CD44" s="718">
        <v>0</v>
      </c>
      <c r="CE44" s="718">
        <v>-7.4505805969238281E-9</v>
      </c>
      <c r="CF44" s="718">
        <v>0</v>
      </c>
      <c r="CG44" s="718">
        <v>0</v>
      </c>
      <c r="CH44" s="718">
        <v>4.6566128730773926E-9</v>
      </c>
      <c r="CI44" s="718">
        <v>0</v>
      </c>
      <c r="CJ44" s="718">
        <v>0</v>
      </c>
      <c r="CK44" s="718">
        <v>0</v>
      </c>
      <c r="CL44" s="718">
        <v>0</v>
      </c>
      <c r="CM44" s="718">
        <v>7.4505805969238281E-9</v>
      </c>
      <c r="CN44" s="718">
        <v>0</v>
      </c>
      <c r="CO44" s="718">
        <v>0</v>
      </c>
      <c r="CP44" s="718">
        <v>4.1909515857696533E-9</v>
      </c>
      <c r="CQ44" s="718">
        <v>-2.0954757928848267E-9</v>
      </c>
      <c r="CR44" s="718">
        <v>8.149072527885437E-10</v>
      </c>
      <c r="CS44" s="718">
        <v>4.0163286030292511E-9</v>
      </c>
      <c r="CT44" s="718">
        <v>-2.7939677238464355E-9</v>
      </c>
      <c r="CU44" s="718">
        <v>-6.1118043959140778E-9</v>
      </c>
      <c r="CV44" s="718">
        <v>-2.0954757928848267E-9</v>
      </c>
      <c r="CW44" s="718">
        <v>0</v>
      </c>
      <c r="CX44" s="718">
        <v>0</v>
      </c>
      <c r="CY44" s="1051">
        <f t="shared" ref="CY44" si="62">SUM(CA44:CL44)</f>
        <v>-2.7939677238464355E-9</v>
      </c>
      <c r="CZ44" s="447"/>
      <c r="DA44" s="33"/>
      <c r="DB44" s="33"/>
    </row>
    <row r="45" spans="1:106">
      <c r="C45" s="22"/>
      <c r="E45" s="708"/>
      <c r="G45" s="953"/>
      <c r="H45" s="953"/>
      <c r="I45" s="953"/>
      <c r="J45" s="953"/>
      <c r="K45" s="953"/>
      <c r="L45" s="953"/>
      <c r="M45" s="953"/>
      <c r="N45" s="953"/>
      <c r="O45" s="953"/>
      <c r="P45" s="953"/>
      <c r="Q45" s="953"/>
      <c r="R45" s="953"/>
      <c r="S45" s="953"/>
      <c r="T45" s="953"/>
      <c r="U45" s="953"/>
      <c r="V45" s="953"/>
      <c r="W45" s="953"/>
      <c r="X45" s="953"/>
      <c r="Y45" s="953"/>
      <c r="Z45" s="953"/>
      <c r="AA45" s="953"/>
      <c r="AB45" s="953"/>
      <c r="AC45" s="953"/>
      <c r="AD45" s="953"/>
      <c r="AE45" s="953"/>
      <c r="AF45" s="953"/>
      <c r="AG45" s="953"/>
      <c r="AH45" s="953"/>
      <c r="AI45" s="953"/>
      <c r="AJ45" s="953"/>
      <c r="AK45" s="953"/>
      <c r="AL45" s="953"/>
      <c r="AM45" s="953"/>
      <c r="AN45" s="953"/>
      <c r="AO45" s="953"/>
      <c r="AP45" s="953"/>
      <c r="AQ45" s="953"/>
      <c r="AR45" s="953"/>
      <c r="AS45" s="953"/>
      <c r="AT45" s="953"/>
      <c r="AU45" s="953"/>
      <c r="AV45" s="953"/>
      <c r="AW45" s="953"/>
      <c r="AX45" s="953"/>
      <c r="AY45" s="953"/>
      <c r="AZ45" s="953"/>
      <c r="BA45" s="953"/>
      <c r="BB45" s="706"/>
      <c r="BC45" s="706"/>
      <c r="BD45" s="706"/>
      <c r="BE45" s="706"/>
      <c r="BF45" s="706"/>
      <c r="BG45" s="706"/>
      <c r="BH45" s="706"/>
      <c r="BI45" s="706"/>
      <c r="BJ45" s="706"/>
      <c r="BK45" s="706"/>
      <c r="BL45" s="706"/>
      <c r="BM45" s="706"/>
      <c r="BN45" s="706"/>
      <c r="BO45" s="706"/>
      <c r="BP45" s="706"/>
      <c r="BQ45" s="706"/>
      <c r="BR45" s="706"/>
      <c r="BS45" s="706"/>
      <c r="BT45" s="706"/>
      <c r="BU45" s="706"/>
      <c r="BV45" s="706"/>
      <c r="BW45" s="706"/>
      <c r="BX45" s="706"/>
      <c r="BY45" s="706"/>
      <c r="BZ45" s="706"/>
      <c r="CA45" s="706"/>
      <c r="CB45" s="706"/>
      <c r="CC45" s="706"/>
      <c r="CD45" s="706"/>
      <c r="CE45" s="706"/>
      <c r="CF45" s="706"/>
      <c r="CG45" s="706"/>
      <c r="CH45" s="706"/>
      <c r="CI45" s="706"/>
      <c r="CJ45" s="706"/>
      <c r="CK45" s="706"/>
      <c r="CL45" s="706"/>
      <c r="CM45" s="706"/>
      <c r="CN45" s="706"/>
      <c r="CO45" s="706"/>
      <c r="CP45" s="706"/>
      <c r="CQ45" s="706"/>
      <c r="CR45" s="706"/>
      <c r="CS45" s="706"/>
      <c r="CT45" s="706"/>
      <c r="CU45" s="706"/>
      <c r="CV45" s="706"/>
      <c r="CW45" s="706"/>
      <c r="CX45" s="706"/>
      <c r="CY45" s="1051"/>
      <c r="CZ45" s="450"/>
      <c r="DA45" s="33"/>
      <c r="DB45" s="33"/>
    </row>
    <row r="46" spans="1:106">
      <c r="C46" s="22"/>
      <c r="D46" s="22"/>
      <c r="E46" s="732"/>
      <c r="F46" s="12"/>
      <c r="G46" s="955"/>
      <c r="H46" s="955"/>
      <c r="I46" s="955"/>
      <c r="J46" s="955"/>
      <c r="K46" s="955"/>
      <c r="L46" s="955"/>
      <c r="M46" s="955"/>
      <c r="N46" s="955"/>
      <c r="O46" s="955"/>
      <c r="P46" s="955"/>
      <c r="Q46" s="955"/>
      <c r="R46" s="955"/>
      <c r="S46" s="955"/>
      <c r="T46" s="955"/>
      <c r="U46" s="955"/>
      <c r="V46" s="955"/>
      <c r="W46" s="955"/>
      <c r="X46" s="955"/>
      <c r="Y46" s="955"/>
      <c r="Z46" s="955"/>
      <c r="AA46" s="955"/>
      <c r="AB46" s="955"/>
      <c r="AC46" s="955"/>
      <c r="AD46" s="955"/>
      <c r="AE46" s="955"/>
      <c r="AF46" s="955"/>
      <c r="AG46" s="955"/>
      <c r="AH46" s="955"/>
      <c r="AI46" s="955"/>
      <c r="AJ46" s="955"/>
      <c r="AK46" s="955"/>
      <c r="AL46" s="955"/>
      <c r="AM46" s="955"/>
      <c r="AN46" s="955"/>
      <c r="AO46" s="955"/>
      <c r="AP46" s="955"/>
      <c r="AQ46" s="955"/>
      <c r="AR46" s="955"/>
      <c r="AS46" s="955"/>
      <c r="AT46" s="955"/>
      <c r="AU46" s="955"/>
      <c r="AV46" s="955"/>
      <c r="AW46" s="955"/>
      <c r="AX46" s="955"/>
      <c r="AY46" s="955"/>
      <c r="AZ46" s="955"/>
      <c r="BA46" s="955"/>
      <c r="BB46" s="718"/>
      <c r="BC46" s="718"/>
      <c r="BD46" s="718"/>
      <c r="BE46" s="718"/>
      <c r="BF46" s="718"/>
      <c r="BG46" s="718"/>
      <c r="BH46" s="718"/>
      <c r="BI46" s="718"/>
      <c r="BJ46" s="718"/>
      <c r="BK46" s="718"/>
      <c r="BL46" s="718"/>
      <c r="BM46" s="718"/>
      <c r="BN46" s="718"/>
      <c r="BO46" s="718"/>
      <c r="BP46" s="718"/>
      <c r="BQ46" s="718"/>
      <c r="BR46" s="718"/>
      <c r="BS46" s="718"/>
      <c r="BT46" s="718"/>
      <c r="BU46" s="718"/>
      <c r="BV46" s="718"/>
      <c r="BW46" s="718"/>
      <c r="BX46" s="718"/>
      <c r="BY46" s="718"/>
      <c r="BZ46" s="718"/>
      <c r="CA46" s="718"/>
      <c r="CB46" s="718"/>
      <c r="CC46" s="718"/>
      <c r="CD46" s="718"/>
      <c r="CE46" s="718"/>
      <c r="CF46" s="718"/>
      <c r="CG46" s="718"/>
      <c r="CH46" s="718"/>
      <c r="CI46" s="718"/>
      <c r="CJ46" s="718"/>
      <c r="CK46" s="718"/>
      <c r="CL46" s="718"/>
      <c r="CM46" s="718"/>
      <c r="CN46" s="718"/>
      <c r="CO46" s="718"/>
      <c r="CP46" s="718"/>
      <c r="CQ46" s="718"/>
      <c r="CR46" s="718"/>
      <c r="CS46" s="718"/>
      <c r="CT46" s="718"/>
      <c r="CU46" s="718"/>
      <c r="CV46" s="718"/>
      <c r="CW46" s="718"/>
      <c r="CX46" s="718"/>
      <c r="CY46" s="1052"/>
      <c r="CZ46" s="375"/>
      <c r="DA46" s="33"/>
      <c r="DB46" s="33"/>
    </row>
    <row r="47" spans="1:106">
      <c r="A47" s="733" t="s">
        <v>441</v>
      </c>
      <c r="B47" s="375"/>
      <c r="C47" s="22"/>
      <c r="D47" s="22"/>
      <c r="E47" s="732"/>
      <c r="F47" s="12"/>
      <c r="G47" s="955"/>
      <c r="H47" s="955"/>
      <c r="I47" s="955"/>
      <c r="J47" s="955"/>
      <c r="K47" s="955"/>
      <c r="L47" s="955"/>
      <c r="M47" s="955"/>
      <c r="N47" s="955"/>
      <c r="O47" s="955"/>
      <c r="P47" s="955"/>
      <c r="Q47" s="955"/>
      <c r="R47" s="955"/>
      <c r="S47" s="955"/>
      <c r="T47" s="955"/>
      <c r="U47" s="955"/>
      <c r="V47" s="955"/>
      <c r="W47" s="955"/>
      <c r="X47" s="955"/>
      <c r="Y47" s="955"/>
      <c r="Z47" s="955"/>
      <c r="AA47" s="955"/>
      <c r="AB47" s="955"/>
      <c r="AC47" s="955"/>
      <c r="AD47" s="955"/>
      <c r="AE47" s="955"/>
      <c r="AF47" s="955"/>
      <c r="AG47" s="955"/>
      <c r="AH47" s="955"/>
      <c r="AI47" s="955"/>
      <c r="AJ47" s="955"/>
      <c r="AK47" s="955"/>
      <c r="AL47" s="955"/>
      <c r="AM47" s="955"/>
      <c r="AN47" s="955"/>
      <c r="AO47" s="955"/>
      <c r="AP47" s="955"/>
      <c r="AQ47" s="955"/>
      <c r="AR47" s="955"/>
      <c r="AS47" s="955"/>
      <c r="AT47" s="955"/>
      <c r="AU47" s="955"/>
      <c r="AV47" s="955"/>
      <c r="AW47" s="955"/>
      <c r="AX47" s="955"/>
      <c r="AY47" s="955"/>
      <c r="AZ47" s="955"/>
      <c r="BA47" s="955"/>
      <c r="BB47" s="955"/>
      <c r="BC47" s="955"/>
      <c r="BD47" s="955"/>
      <c r="BE47" s="718"/>
      <c r="BF47" s="718"/>
      <c r="BG47" s="718"/>
      <c r="BH47" s="718"/>
      <c r="BI47" s="718"/>
      <c r="BJ47" s="718"/>
      <c r="BK47" s="718"/>
      <c r="BL47" s="718"/>
      <c r="BM47" s="718"/>
      <c r="BN47" s="718"/>
      <c r="BO47" s="718"/>
      <c r="BP47" s="718"/>
      <c r="BQ47" s="718"/>
      <c r="BR47" s="718"/>
      <c r="BS47" s="718"/>
      <c r="BT47" s="718"/>
      <c r="BU47" s="718"/>
      <c r="BV47" s="718"/>
      <c r="BW47" s="718"/>
      <c r="BX47" s="718"/>
      <c r="BY47" s="718"/>
      <c r="BZ47" s="718"/>
      <c r="CA47" s="718"/>
      <c r="CB47" s="718"/>
      <c r="CC47" s="718"/>
      <c r="CD47" s="718"/>
      <c r="CE47" s="718"/>
      <c r="CF47" s="718"/>
      <c r="CG47" s="718"/>
      <c r="CH47" s="718"/>
      <c r="CI47" s="718"/>
      <c r="CJ47" s="718"/>
      <c r="CK47" s="718"/>
      <c r="CL47" s="718"/>
      <c r="CM47" s="718"/>
      <c r="CN47" s="718"/>
      <c r="CO47" s="718"/>
      <c r="CP47" s="718"/>
      <c r="CQ47" s="718"/>
      <c r="CR47" s="718"/>
      <c r="CS47" s="718"/>
      <c r="CT47" s="718"/>
      <c r="CU47" s="718"/>
      <c r="CV47" s="718"/>
      <c r="CW47" s="718"/>
      <c r="CX47" s="718"/>
      <c r="CY47" s="1052"/>
      <c r="CZ47" s="375"/>
      <c r="DA47" s="33"/>
      <c r="DB47" s="33"/>
    </row>
    <row r="48" spans="1:106" ht="15">
      <c r="A48" s="734" t="s">
        <v>442</v>
      </c>
      <c r="B48" s="375"/>
      <c r="C48" s="22"/>
      <c r="D48" s="734" t="s">
        <v>443</v>
      </c>
      <c r="E48" s="732"/>
      <c r="F48" s="707">
        <f ca="1">SUM(OFFSET(BO48:BZ48,0,'Bal Sheet'!$A$1))/1000</f>
        <v>7347.7</v>
      </c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0"/>
      <c r="AW48" s="360"/>
      <c r="AX48" s="360"/>
      <c r="AY48" s="360"/>
      <c r="AZ48" s="360"/>
      <c r="BA48" s="360"/>
      <c r="BB48" s="719"/>
      <c r="BC48" s="719"/>
      <c r="BD48" s="719"/>
      <c r="BE48" s="719"/>
      <c r="BF48" s="719"/>
      <c r="BG48" s="719"/>
      <c r="BH48" s="719"/>
      <c r="BI48" s="780"/>
      <c r="BJ48" s="780"/>
      <c r="BK48" s="780"/>
      <c r="BL48" s="780"/>
      <c r="BM48" s="780"/>
      <c r="BN48" s="780"/>
      <c r="BO48" s="780">
        <v>243200</v>
      </c>
      <c r="BP48" s="780">
        <v>658700</v>
      </c>
      <c r="BQ48" s="780">
        <v>988000</v>
      </c>
      <c r="BR48" s="780">
        <v>534400</v>
      </c>
      <c r="BS48" s="780">
        <v>354100</v>
      </c>
      <c r="BT48" s="780">
        <v>670300</v>
      </c>
      <c r="BU48" s="780">
        <v>525900</v>
      </c>
      <c r="BV48" s="780">
        <v>398900</v>
      </c>
      <c r="BW48" s="780">
        <v>199000</v>
      </c>
      <c r="BX48" s="780">
        <v>472000</v>
      </c>
      <c r="BY48" s="780">
        <v>333000</v>
      </c>
      <c r="BZ48" s="780">
        <v>423700</v>
      </c>
      <c r="CA48" s="780">
        <v>609200</v>
      </c>
      <c r="CB48" s="780">
        <v>590900</v>
      </c>
      <c r="CC48" s="780">
        <v>611400</v>
      </c>
      <c r="CD48" s="780">
        <v>596100</v>
      </c>
      <c r="CE48" s="780">
        <v>613300</v>
      </c>
      <c r="CF48" s="780">
        <v>636400</v>
      </c>
      <c r="CG48" s="780">
        <v>602300</v>
      </c>
      <c r="CH48" s="780">
        <v>612300</v>
      </c>
      <c r="CI48" s="780">
        <v>602500</v>
      </c>
      <c r="CJ48" s="780">
        <v>614200</v>
      </c>
      <c r="CK48" s="780">
        <v>655600</v>
      </c>
      <c r="CL48" s="780">
        <v>603500</v>
      </c>
      <c r="CM48" s="780">
        <v>609200</v>
      </c>
      <c r="CN48" s="780">
        <v>590900</v>
      </c>
      <c r="CO48" s="780">
        <v>611400</v>
      </c>
      <c r="CP48" s="780">
        <v>596100</v>
      </c>
      <c r="CQ48" s="780">
        <v>613300</v>
      </c>
      <c r="CR48" s="780">
        <v>636400</v>
      </c>
      <c r="CS48" s="780">
        <v>602300</v>
      </c>
      <c r="CT48" s="780">
        <v>612300</v>
      </c>
      <c r="CU48" s="780">
        <v>602500</v>
      </c>
      <c r="CV48" s="780">
        <v>614200</v>
      </c>
      <c r="CW48" s="780">
        <v>655600</v>
      </c>
      <c r="CX48" s="780">
        <v>603500</v>
      </c>
      <c r="CY48" s="1044">
        <f>SUM(CM48:CX48)</f>
        <v>7347700</v>
      </c>
      <c r="CZ48" s="375"/>
      <c r="DA48" s="33"/>
      <c r="DB48" s="33"/>
    </row>
    <row r="49" spans="1:106">
      <c r="A49" s="375"/>
      <c r="B49" s="375"/>
      <c r="C49" s="22"/>
      <c r="D49" s="22"/>
      <c r="E49" s="732"/>
      <c r="F49" s="33"/>
      <c r="G49" s="955"/>
      <c r="H49" s="955"/>
      <c r="I49" s="955"/>
      <c r="J49" s="955"/>
      <c r="K49" s="955"/>
      <c r="L49" s="955"/>
      <c r="M49" s="955"/>
      <c r="N49" s="955"/>
      <c r="O49" s="955"/>
      <c r="P49" s="955"/>
      <c r="Q49" s="955"/>
      <c r="R49" s="955"/>
      <c r="S49" s="955"/>
      <c r="T49" s="955"/>
      <c r="U49" s="955"/>
      <c r="V49" s="955"/>
      <c r="W49" s="955"/>
      <c r="X49" s="955"/>
      <c r="Y49" s="955"/>
      <c r="Z49" s="955"/>
      <c r="AA49" s="955"/>
      <c r="AB49" s="955"/>
      <c r="AC49" s="955"/>
      <c r="AD49" s="955"/>
      <c r="AE49" s="955"/>
      <c r="AF49" s="955"/>
      <c r="AG49" s="955"/>
      <c r="AH49" s="955"/>
      <c r="AI49" s="955"/>
      <c r="AJ49" s="955"/>
      <c r="AK49" s="955"/>
      <c r="AL49" s="955"/>
      <c r="AM49" s="955"/>
      <c r="AN49" s="955"/>
      <c r="AO49" s="955"/>
      <c r="AP49" s="955"/>
      <c r="AQ49" s="955"/>
      <c r="AR49" s="955"/>
      <c r="AS49" s="955"/>
      <c r="AT49" s="955"/>
      <c r="AU49" s="955"/>
      <c r="AV49" s="955"/>
      <c r="AW49" s="955"/>
      <c r="AX49" s="955"/>
      <c r="AY49" s="955"/>
      <c r="AZ49" s="955"/>
      <c r="BA49" s="955"/>
      <c r="BB49" s="955"/>
      <c r="BC49" s="955"/>
      <c r="BD49" s="955"/>
      <c r="BE49" s="718"/>
      <c r="BF49" s="718"/>
      <c r="BG49" s="718"/>
      <c r="BH49" s="718"/>
      <c r="BI49" s="718"/>
      <c r="BJ49" s="718"/>
      <c r="BK49" s="718"/>
      <c r="BL49" s="718"/>
      <c r="BM49" s="718"/>
      <c r="BN49" s="718"/>
      <c r="BO49" s="718"/>
      <c r="BP49" s="718"/>
      <c r="BQ49" s="718"/>
      <c r="BR49" s="718"/>
      <c r="BS49" s="718"/>
      <c r="BT49" s="718"/>
      <c r="BU49" s="718"/>
      <c r="BV49" s="718"/>
      <c r="BW49" s="718"/>
      <c r="BX49" s="718"/>
      <c r="BY49" s="718"/>
      <c r="BZ49" s="718"/>
      <c r="CA49" s="718"/>
      <c r="CB49" s="718"/>
      <c r="CC49" s="718"/>
      <c r="CD49" s="718"/>
      <c r="CE49" s="718"/>
      <c r="CF49" s="718"/>
      <c r="CG49" s="718"/>
      <c r="CH49" s="718"/>
      <c r="CI49" s="718"/>
      <c r="CJ49" s="718"/>
      <c r="CK49" s="718"/>
      <c r="CL49" s="718"/>
      <c r="CM49" s="718"/>
      <c r="CN49" s="718"/>
      <c r="CO49" s="718"/>
      <c r="CP49" s="718"/>
      <c r="CQ49" s="718"/>
      <c r="CR49" s="718"/>
      <c r="CS49" s="718"/>
      <c r="CT49" s="718"/>
      <c r="CU49" s="718"/>
      <c r="CV49" s="718"/>
      <c r="CW49" s="718"/>
      <c r="CX49" s="718"/>
      <c r="CY49" s="1053"/>
      <c r="CZ49" s="375"/>
      <c r="DA49" s="33"/>
      <c r="DB49" s="33"/>
    </row>
    <row r="50" spans="1:106">
      <c r="C50" s="22"/>
      <c r="D50" s="22"/>
      <c r="E50" s="732"/>
      <c r="F50" s="33"/>
      <c r="G50" s="955"/>
      <c r="H50" s="955"/>
      <c r="I50" s="955"/>
      <c r="J50" s="955"/>
      <c r="K50" s="955"/>
      <c r="L50" s="955"/>
      <c r="M50" s="955"/>
      <c r="N50" s="955"/>
      <c r="O50" s="955"/>
      <c r="P50" s="955"/>
      <c r="Q50" s="955"/>
      <c r="R50" s="955"/>
      <c r="S50" s="955"/>
      <c r="T50" s="955"/>
      <c r="U50" s="955"/>
      <c r="V50" s="955"/>
      <c r="W50" s="955"/>
      <c r="X50" s="955"/>
      <c r="Y50" s="955"/>
      <c r="Z50" s="955"/>
      <c r="AA50" s="955"/>
      <c r="AB50" s="955"/>
      <c r="AC50" s="955"/>
      <c r="AD50" s="955"/>
      <c r="AE50" s="955"/>
      <c r="AF50" s="955"/>
      <c r="AG50" s="955"/>
      <c r="AH50" s="955"/>
      <c r="AI50" s="955"/>
      <c r="AJ50" s="955"/>
      <c r="AK50" s="955"/>
      <c r="AL50" s="955"/>
      <c r="AM50" s="955"/>
      <c r="AN50" s="955"/>
      <c r="AO50" s="955"/>
      <c r="AP50" s="955"/>
      <c r="AQ50" s="955"/>
      <c r="AR50" s="955"/>
      <c r="AS50" s="955"/>
      <c r="AT50" s="955"/>
      <c r="AU50" s="955"/>
      <c r="AV50" s="955"/>
      <c r="AW50" s="955"/>
      <c r="AX50" s="955"/>
      <c r="AY50" s="955"/>
      <c r="AZ50" s="955"/>
      <c r="BA50" s="955"/>
      <c r="BB50" s="955"/>
      <c r="BC50" s="955"/>
      <c r="BD50" s="955"/>
      <c r="BE50" s="955"/>
      <c r="BF50" s="955"/>
      <c r="BG50" s="955"/>
      <c r="BH50" s="955"/>
      <c r="BI50" s="955"/>
      <c r="BJ50" s="955"/>
      <c r="BK50" s="955"/>
      <c r="BL50" s="955"/>
      <c r="BM50" s="955"/>
      <c r="BN50" s="955"/>
      <c r="BO50" s="955"/>
      <c r="BP50" s="955"/>
      <c r="BQ50" s="955"/>
      <c r="BR50" s="955"/>
      <c r="BS50" s="955"/>
      <c r="BT50" s="955"/>
      <c r="BU50" s="955"/>
      <c r="BV50" s="955"/>
      <c r="BW50" s="955"/>
      <c r="BX50" s="955"/>
      <c r="BY50" s="955"/>
      <c r="BZ50" s="955"/>
      <c r="CA50" s="955"/>
      <c r="CB50" s="955"/>
      <c r="CC50" s="955"/>
      <c r="CD50" s="955"/>
      <c r="CE50" s="955"/>
      <c r="CF50" s="955"/>
      <c r="CG50" s="955"/>
      <c r="CH50" s="955"/>
      <c r="CI50" s="955"/>
      <c r="CJ50" s="955"/>
      <c r="CK50" s="955"/>
      <c r="CL50" s="955"/>
      <c r="CM50" s="955"/>
      <c r="CN50" s="955"/>
      <c r="CO50" s="955"/>
      <c r="CP50" s="955"/>
      <c r="CQ50" s="955"/>
      <c r="CR50" s="955"/>
      <c r="CS50" s="955"/>
      <c r="CT50" s="955"/>
      <c r="CU50" s="955"/>
      <c r="CV50" s="955"/>
      <c r="CW50" s="955"/>
      <c r="CX50" s="955"/>
      <c r="CY50" s="1053"/>
      <c r="CZ50" s="375"/>
      <c r="DA50" s="33"/>
      <c r="DB50" s="33"/>
    </row>
    <row r="51" spans="1:106">
      <c r="C51" s="22"/>
      <c r="D51" s="22"/>
      <c r="E51" s="22"/>
      <c r="F51" s="33"/>
      <c r="G51" s="956"/>
      <c r="H51" s="956"/>
      <c r="I51" s="956"/>
      <c r="J51" s="956"/>
      <c r="K51" s="956"/>
      <c r="L51" s="956"/>
      <c r="M51" s="956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6"/>
      <c r="Z51" s="956"/>
      <c r="AA51" s="956"/>
      <c r="AB51" s="956"/>
      <c r="AC51" s="956"/>
      <c r="AD51" s="956"/>
      <c r="AE51" s="956"/>
      <c r="AF51" s="956"/>
      <c r="AG51" s="956"/>
      <c r="AH51" s="956"/>
      <c r="AI51" s="956"/>
      <c r="AJ51" s="956"/>
      <c r="AK51" s="956"/>
      <c r="AL51" s="956"/>
      <c r="AM51" s="956"/>
      <c r="AN51" s="956"/>
      <c r="AO51" s="956"/>
      <c r="AP51" s="956"/>
      <c r="AQ51" s="956"/>
      <c r="AR51" s="956"/>
      <c r="AS51" s="956"/>
      <c r="AT51" s="956"/>
      <c r="AU51" s="956"/>
      <c r="AV51" s="956"/>
      <c r="AW51" s="956"/>
      <c r="AX51" s="956"/>
      <c r="AY51" s="956"/>
      <c r="AZ51" s="956"/>
      <c r="BA51" s="956"/>
      <c r="BB51" s="956"/>
      <c r="BC51" s="956"/>
      <c r="BD51" s="956"/>
      <c r="BE51" s="956"/>
      <c r="BF51" s="956"/>
      <c r="BG51" s="956"/>
      <c r="BH51" s="956"/>
      <c r="BI51" s="956"/>
      <c r="BJ51" s="956"/>
      <c r="BK51" s="956"/>
      <c r="BL51" s="956"/>
      <c r="BM51" s="956"/>
      <c r="BN51" s="956"/>
      <c r="BO51" s="956"/>
      <c r="BP51" s="956"/>
      <c r="BQ51" s="956"/>
      <c r="BR51" s="956"/>
      <c r="BS51" s="956"/>
      <c r="BT51" s="956"/>
      <c r="BU51" s="956"/>
      <c r="BV51" s="956"/>
      <c r="BW51" s="956"/>
      <c r="BX51" s="956"/>
      <c r="BY51" s="956"/>
      <c r="BZ51" s="956"/>
      <c r="CA51" s="956"/>
      <c r="CB51" s="956"/>
      <c r="CC51" s="956"/>
      <c r="CD51" s="956"/>
      <c r="CE51" s="956"/>
      <c r="CF51" s="956"/>
      <c r="CG51" s="956"/>
      <c r="CH51" s="956"/>
      <c r="CI51" s="956"/>
      <c r="CJ51" s="956"/>
      <c r="CK51" s="956"/>
      <c r="CL51" s="956"/>
      <c r="CM51" s="956"/>
      <c r="CN51" s="956"/>
      <c r="CO51" s="956"/>
      <c r="CP51" s="956"/>
      <c r="CQ51" s="956"/>
      <c r="CR51" s="956"/>
      <c r="CS51" s="956"/>
      <c r="CT51" s="956"/>
      <c r="CU51" s="956"/>
      <c r="CV51" s="956"/>
      <c r="CW51" s="956"/>
      <c r="CX51" s="956"/>
      <c r="CY51" s="1054"/>
      <c r="CZ51" s="375"/>
      <c r="DA51" s="33"/>
      <c r="DB51" s="33"/>
    </row>
    <row r="52" spans="1:106">
      <c r="C52" s="22"/>
      <c r="D52" s="22"/>
      <c r="E52" s="22"/>
      <c r="F52" s="33"/>
      <c r="G52" s="955"/>
      <c r="H52" s="955"/>
      <c r="I52" s="955"/>
      <c r="J52" s="955"/>
      <c r="K52" s="955"/>
      <c r="L52" s="955"/>
      <c r="M52" s="955"/>
      <c r="N52" s="955"/>
      <c r="O52" s="955"/>
      <c r="P52" s="955"/>
      <c r="Q52" s="955"/>
      <c r="R52" s="955"/>
      <c r="S52" s="955"/>
      <c r="T52" s="955"/>
      <c r="U52" s="955"/>
      <c r="V52" s="955"/>
      <c r="W52" s="955"/>
      <c r="X52" s="955"/>
      <c r="Y52" s="955"/>
      <c r="Z52" s="955"/>
      <c r="AA52" s="955"/>
      <c r="AB52" s="955"/>
      <c r="AC52" s="955"/>
      <c r="AD52" s="955"/>
      <c r="AE52" s="955"/>
      <c r="AF52" s="955"/>
      <c r="AG52" s="955"/>
      <c r="AH52" s="955"/>
      <c r="AI52" s="955"/>
      <c r="AJ52" s="955"/>
      <c r="AK52" s="955"/>
      <c r="AL52" s="955"/>
      <c r="AM52" s="955"/>
      <c r="AN52" s="955"/>
      <c r="AO52" s="955"/>
      <c r="AP52" s="955"/>
      <c r="AQ52" s="955"/>
      <c r="AR52" s="955"/>
      <c r="AS52" s="955"/>
      <c r="AT52" s="955"/>
      <c r="AU52" s="955"/>
      <c r="AV52" s="955"/>
      <c r="AW52" s="955"/>
      <c r="AX52" s="955"/>
      <c r="AY52" s="955"/>
      <c r="AZ52" s="955"/>
      <c r="BA52" s="955"/>
      <c r="BB52" s="955"/>
      <c r="BC52" s="955"/>
      <c r="BD52" s="955"/>
      <c r="BE52" s="955"/>
      <c r="BF52" s="955"/>
      <c r="BG52" s="955"/>
      <c r="BH52" s="955"/>
      <c r="BI52" s="955"/>
      <c r="BJ52" s="955"/>
      <c r="BK52" s="955"/>
      <c r="BL52" s="955"/>
      <c r="BM52" s="955"/>
      <c r="BN52" s="955"/>
      <c r="BO52" s="955"/>
      <c r="BP52" s="955"/>
      <c r="BQ52" s="955"/>
      <c r="BR52" s="955"/>
      <c r="BS52" s="955"/>
      <c r="BT52" s="955"/>
      <c r="BU52" s="955"/>
      <c r="BV52" s="955"/>
      <c r="BW52" s="955"/>
      <c r="BX52" s="955"/>
      <c r="BY52" s="955"/>
      <c r="BZ52" s="955"/>
      <c r="CA52" s="955">
        <v>112</v>
      </c>
      <c r="CB52" s="955">
        <v>113</v>
      </c>
      <c r="CC52" s="955">
        <v>114</v>
      </c>
      <c r="CD52" s="955">
        <v>115</v>
      </c>
      <c r="CE52" s="955">
        <v>116</v>
      </c>
      <c r="CF52" s="955">
        <v>117</v>
      </c>
      <c r="CG52" s="955">
        <v>118</v>
      </c>
      <c r="CH52" s="955">
        <v>119</v>
      </c>
      <c r="CI52" s="955">
        <v>120</v>
      </c>
      <c r="CJ52" s="955">
        <v>121</v>
      </c>
      <c r="CK52" s="955">
        <v>122</v>
      </c>
      <c r="CL52" s="955">
        <v>123</v>
      </c>
      <c r="CM52" s="955">
        <v>124</v>
      </c>
      <c r="CN52" s="955">
        <v>125</v>
      </c>
      <c r="CO52" s="955">
        <v>126</v>
      </c>
      <c r="CP52" s="955">
        <v>127</v>
      </c>
      <c r="CQ52" s="955">
        <v>128</v>
      </c>
      <c r="CR52" s="955">
        <v>129</v>
      </c>
      <c r="CS52" s="955">
        <v>130</v>
      </c>
      <c r="CT52" s="955">
        <v>131</v>
      </c>
      <c r="CU52" s="955">
        <v>132</v>
      </c>
      <c r="CV52" s="955">
        <v>133</v>
      </c>
      <c r="CW52" s="955">
        <v>134</v>
      </c>
      <c r="CX52" s="955">
        <v>135</v>
      </c>
      <c r="CY52" s="1051"/>
      <c r="CZ52" s="375"/>
      <c r="DA52" s="33"/>
      <c r="DB52" s="33"/>
    </row>
    <row r="53" spans="1:106">
      <c r="C53" s="22"/>
      <c r="D53" s="22"/>
      <c r="E53" s="22"/>
      <c r="F53" s="33"/>
      <c r="G53" s="955"/>
      <c r="H53" s="955"/>
      <c r="I53" s="955"/>
      <c r="J53" s="955"/>
      <c r="K53" s="955"/>
      <c r="L53" s="955"/>
      <c r="M53" s="955"/>
      <c r="N53" s="955"/>
      <c r="O53" s="955"/>
      <c r="P53" s="955"/>
      <c r="Q53" s="955"/>
      <c r="R53" s="955"/>
      <c r="S53" s="955"/>
      <c r="T53" s="955"/>
      <c r="U53" s="955"/>
      <c r="V53" s="955"/>
      <c r="W53" s="955"/>
      <c r="X53" s="955"/>
      <c r="Y53" s="955"/>
      <c r="Z53" s="955"/>
      <c r="AA53" s="955"/>
      <c r="AB53" s="955"/>
      <c r="AC53" s="955"/>
      <c r="AD53" s="955"/>
      <c r="AE53" s="955"/>
      <c r="AF53" s="955"/>
      <c r="AG53" s="955"/>
      <c r="AH53" s="955"/>
      <c r="AI53" s="955"/>
      <c r="AJ53" s="955"/>
      <c r="AK53" s="955"/>
      <c r="AL53" s="955"/>
      <c r="AM53" s="955"/>
      <c r="AN53" s="955"/>
      <c r="AO53" s="955"/>
      <c r="AP53" s="955"/>
      <c r="AQ53" s="955"/>
      <c r="AR53" s="955"/>
      <c r="AS53" s="955"/>
      <c r="AT53" s="955"/>
      <c r="AU53" s="955"/>
      <c r="AV53" s="955"/>
      <c r="AW53" s="955"/>
      <c r="AX53" s="955"/>
      <c r="AY53" s="955"/>
      <c r="AZ53" s="955"/>
      <c r="BA53" s="955"/>
      <c r="BB53" s="724"/>
      <c r="BC53" s="955"/>
      <c r="BD53" s="955"/>
      <c r="BE53" s="955"/>
      <c r="BF53" s="955"/>
      <c r="BG53" s="955"/>
      <c r="BH53" s="955"/>
      <c r="BI53" s="955"/>
      <c r="BJ53" s="955"/>
      <c r="BK53" s="955"/>
      <c r="BL53" s="955"/>
      <c r="BM53" s="955"/>
      <c r="BN53" s="955"/>
      <c r="BO53" s="955"/>
      <c r="BP53" s="955"/>
      <c r="BQ53" s="955"/>
      <c r="BR53" s="955"/>
      <c r="BS53" s="955"/>
      <c r="BT53" s="955"/>
      <c r="BU53" s="955"/>
      <c r="BV53" s="955"/>
      <c r="BW53" s="955"/>
      <c r="BX53" s="955"/>
      <c r="BY53" s="955"/>
      <c r="BZ53" s="955"/>
      <c r="CA53" s="955"/>
      <c r="CB53" s="955"/>
      <c r="CC53" s="955"/>
      <c r="CD53" s="955"/>
      <c r="CE53" s="955"/>
      <c r="CF53" s="955"/>
      <c r="CG53" s="955"/>
      <c r="CH53" s="955"/>
      <c r="CI53" s="955"/>
      <c r="CJ53" s="955"/>
      <c r="CK53" s="955"/>
      <c r="CL53" s="955"/>
      <c r="CM53" s="955"/>
      <c r="CN53" s="955"/>
      <c r="CO53" s="955"/>
      <c r="CP53" s="955"/>
      <c r="CQ53" s="955"/>
      <c r="CR53" s="955"/>
      <c r="CS53" s="955"/>
      <c r="CT53" s="955"/>
      <c r="CU53" s="955"/>
      <c r="CV53" s="955"/>
      <c r="CW53" s="955"/>
      <c r="CX53" s="955"/>
      <c r="CY53" s="1051"/>
      <c r="CZ53" s="375"/>
      <c r="DA53" s="33"/>
      <c r="DB53" s="33"/>
    </row>
    <row r="54" spans="1:106" ht="15">
      <c r="A54" s="441" t="s">
        <v>444</v>
      </c>
      <c r="C54" s="22"/>
      <c r="D54" t="s">
        <v>445</v>
      </c>
      <c r="E54" s="22"/>
      <c r="F54" s="707">
        <f ca="1">SUM(OFFSET(BO54:BZ54,0,'Bal Sheet'!$A$1))/1000</f>
        <v>0</v>
      </c>
      <c r="G54" s="955"/>
      <c r="H54" s="955"/>
      <c r="I54" s="955"/>
      <c r="J54" s="955"/>
      <c r="K54" s="955"/>
      <c r="L54" s="955"/>
      <c r="M54" s="955"/>
      <c r="N54" s="955"/>
      <c r="O54" s="955"/>
      <c r="P54" s="955"/>
      <c r="Q54" s="955"/>
      <c r="R54" s="955"/>
      <c r="S54" s="407"/>
      <c r="T54" s="407"/>
      <c r="U54" s="407"/>
      <c r="V54" s="407"/>
      <c r="W54" s="407"/>
      <c r="X54" s="407"/>
      <c r="Y54" s="407"/>
      <c r="Z54" s="407"/>
      <c r="AA54" s="407"/>
      <c r="AB54" s="407"/>
      <c r="AC54" s="407"/>
      <c r="AD54" s="407"/>
      <c r="AE54" s="407"/>
      <c r="AF54" s="407"/>
      <c r="AG54" s="407"/>
      <c r="AH54" s="407"/>
      <c r="AI54" s="407"/>
      <c r="AJ54" s="407"/>
      <c r="AK54" s="955"/>
      <c r="AL54" s="955"/>
      <c r="AM54" s="955"/>
      <c r="AN54" s="955"/>
      <c r="AO54" s="955"/>
      <c r="AP54" s="955"/>
      <c r="AQ54" s="955">
        <v>500</v>
      </c>
      <c r="AR54" s="955">
        <v>0</v>
      </c>
      <c r="AS54" s="955">
        <v>400</v>
      </c>
      <c r="AT54" s="955">
        <v>0</v>
      </c>
      <c r="AU54" s="955">
        <v>600</v>
      </c>
      <c r="AV54" s="955">
        <v>0</v>
      </c>
      <c r="AW54" s="955">
        <v>900</v>
      </c>
      <c r="AX54" s="955">
        <v>100</v>
      </c>
      <c r="AY54" s="955">
        <v>0</v>
      </c>
      <c r="AZ54" s="955">
        <v>300</v>
      </c>
      <c r="BA54" s="955">
        <v>0</v>
      </c>
      <c r="BB54" s="724">
        <v>0</v>
      </c>
      <c r="BC54" s="724"/>
      <c r="BD54" s="724"/>
      <c r="BE54" s="724"/>
      <c r="BF54" s="724"/>
      <c r="BG54" s="724"/>
      <c r="BH54" s="724"/>
      <c r="BI54" s="720"/>
      <c r="BJ54" s="720"/>
      <c r="BK54" s="720"/>
      <c r="BL54" s="720"/>
      <c r="BM54" s="720"/>
      <c r="BN54" s="720"/>
      <c r="BO54" s="720">
        <v>100</v>
      </c>
      <c r="BP54" s="720">
        <v>1500</v>
      </c>
      <c r="BQ54" s="720">
        <v>600</v>
      </c>
      <c r="BR54" s="720">
        <v>23100</v>
      </c>
      <c r="BS54" s="720">
        <v>0</v>
      </c>
      <c r="BT54" s="720">
        <v>0</v>
      </c>
      <c r="BU54" s="720">
        <v>0</v>
      </c>
      <c r="BV54" s="720">
        <v>4500</v>
      </c>
      <c r="BW54" s="720">
        <v>100</v>
      </c>
      <c r="BX54" s="720">
        <v>1500</v>
      </c>
      <c r="BY54" s="720">
        <v>3900</v>
      </c>
      <c r="BZ54" s="720">
        <v>0</v>
      </c>
      <c r="CA54" s="720">
        <v>0</v>
      </c>
      <c r="CB54" s="720">
        <v>0</v>
      </c>
      <c r="CC54" s="720">
        <v>0</v>
      </c>
      <c r="CD54" s="720">
        <v>0</v>
      </c>
      <c r="CE54" s="720">
        <v>0</v>
      </c>
      <c r="CF54" s="720">
        <v>0</v>
      </c>
      <c r="CG54" s="720">
        <v>0</v>
      </c>
      <c r="CH54" s="720">
        <v>0</v>
      </c>
      <c r="CI54" s="720">
        <v>0</v>
      </c>
      <c r="CJ54" s="720">
        <v>0</v>
      </c>
      <c r="CK54" s="720">
        <v>0</v>
      </c>
      <c r="CL54" s="720">
        <v>0</v>
      </c>
      <c r="CM54" s="720">
        <v>0</v>
      </c>
      <c r="CN54" s="720">
        <v>0</v>
      </c>
      <c r="CO54" s="720">
        <v>0</v>
      </c>
      <c r="CP54" s="720">
        <v>0</v>
      </c>
      <c r="CQ54" s="720">
        <v>0</v>
      </c>
      <c r="CR54" s="720">
        <v>0</v>
      </c>
      <c r="CS54" s="720">
        <v>0</v>
      </c>
      <c r="CT54" s="720">
        <v>0</v>
      </c>
      <c r="CU54" s="720">
        <v>0</v>
      </c>
      <c r="CV54" s="720">
        <v>0</v>
      </c>
      <c r="CW54" s="720">
        <v>0</v>
      </c>
      <c r="CX54" s="720">
        <v>0</v>
      </c>
      <c r="CY54" s="1051">
        <f>SUM(CM54:CX54)</f>
        <v>0</v>
      </c>
      <c r="CZ54" s="375"/>
      <c r="DA54" s="33"/>
      <c r="DB54" s="33"/>
    </row>
    <row r="55" spans="1:106" ht="15">
      <c r="A55" s="441" t="s">
        <v>1196</v>
      </c>
      <c r="C55" s="22"/>
      <c r="D55" t="s">
        <v>1195</v>
      </c>
      <c r="E55" s="22"/>
      <c r="F55" s="707">
        <f ca="1">SUM(OFFSET(BO55:BZ55,0,'Bal Sheet'!$A$1))/1000</f>
        <v>38.799999999999997</v>
      </c>
      <c r="G55" s="955"/>
      <c r="H55" s="955"/>
      <c r="I55" s="955"/>
      <c r="J55" s="955"/>
      <c r="K55" s="955"/>
      <c r="L55" s="955"/>
      <c r="M55" s="955"/>
      <c r="N55" s="955"/>
      <c r="O55" s="955"/>
      <c r="P55" s="955"/>
      <c r="Q55" s="955"/>
      <c r="R55" s="955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955"/>
      <c r="AL55" s="955"/>
      <c r="AM55" s="955"/>
      <c r="AN55" s="955"/>
      <c r="AO55" s="955"/>
      <c r="AP55" s="955"/>
      <c r="AQ55" s="955"/>
      <c r="AR55" s="955"/>
      <c r="AS55" s="955"/>
      <c r="AT55" s="955"/>
      <c r="AU55" s="955"/>
      <c r="AV55" s="955"/>
      <c r="AW55" s="955"/>
      <c r="AX55" s="955"/>
      <c r="AY55" s="955"/>
      <c r="AZ55" s="955"/>
      <c r="BA55" s="955"/>
      <c r="BB55" s="724"/>
      <c r="BC55" s="724"/>
      <c r="BD55" s="724"/>
      <c r="BE55" s="724"/>
      <c r="BF55" s="724"/>
      <c r="BG55" s="724"/>
      <c r="BH55" s="724"/>
      <c r="BI55" s="720"/>
      <c r="BJ55" s="720"/>
      <c r="BK55" s="720"/>
      <c r="BL55" s="720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  <c r="BY55" s="720"/>
      <c r="BZ55" s="720"/>
      <c r="CA55" s="720">
        <v>1400</v>
      </c>
      <c r="CB55" s="720">
        <v>1400</v>
      </c>
      <c r="CC55" s="720">
        <v>1400</v>
      </c>
      <c r="CD55" s="720">
        <v>23400</v>
      </c>
      <c r="CE55" s="720">
        <v>1400</v>
      </c>
      <c r="CF55" s="720">
        <v>1400</v>
      </c>
      <c r="CG55" s="720">
        <v>1400</v>
      </c>
      <c r="CH55" s="720">
        <v>1400</v>
      </c>
      <c r="CI55" s="720">
        <v>1400</v>
      </c>
      <c r="CJ55" s="720">
        <v>1400</v>
      </c>
      <c r="CK55" s="720">
        <v>1400</v>
      </c>
      <c r="CL55" s="720">
        <v>1400</v>
      </c>
      <c r="CM55" s="720">
        <v>1500</v>
      </c>
      <c r="CN55" s="720">
        <v>1500</v>
      </c>
      <c r="CO55" s="720">
        <v>1500</v>
      </c>
      <c r="CP55" s="720">
        <v>24000</v>
      </c>
      <c r="CQ55" s="720">
        <v>1500</v>
      </c>
      <c r="CR55" s="720">
        <v>1500</v>
      </c>
      <c r="CS55" s="720">
        <v>1500</v>
      </c>
      <c r="CT55" s="720">
        <v>1500</v>
      </c>
      <c r="CU55" s="720">
        <v>1500</v>
      </c>
      <c r="CV55" s="720">
        <v>1500</v>
      </c>
      <c r="CW55" s="720">
        <v>1500</v>
      </c>
      <c r="CX55" s="720">
        <v>1500</v>
      </c>
      <c r="CY55" s="1051">
        <f t="shared" ref="CY55:CY65" si="63">SUM(CM55:CX55)</f>
        <v>40500</v>
      </c>
      <c r="CZ55" s="375"/>
      <c r="DA55" s="33"/>
      <c r="DB55" s="33"/>
    </row>
    <row r="56" spans="1:106">
      <c r="A56" t="s">
        <v>446</v>
      </c>
      <c r="C56" s="22"/>
      <c r="D56" t="s">
        <v>447</v>
      </c>
      <c r="E56" s="22"/>
      <c r="F56" s="707">
        <f ca="1">SUM(OFFSET(BO56:BZ56,0,'Bal Sheet'!$A$1))/1000</f>
        <v>0</v>
      </c>
      <c r="G56" s="955"/>
      <c r="H56" s="955"/>
      <c r="I56" s="955"/>
      <c r="J56" s="955"/>
      <c r="K56" s="955"/>
      <c r="L56" s="955"/>
      <c r="M56" s="955"/>
      <c r="N56" s="955"/>
      <c r="O56" s="955"/>
      <c r="P56" s="955"/>
      <c r="Q56" s="955"/>
      <c r="R56" s="955"/>
      <c r="S56" s="955"/>
      <c r="T56" s="955"/>
      <c r="U56" s="955"/>
      <c r="V56" s="955"/>
      <c r="W56" s="955"/>
      <c r="X56" s="955"/>
      <c r="Y56" s="955"/>
      <c r="Z56" s="955"/>
      <c r="AA56" s="955"/>
      <c r="AB56" s="955"/>
      <c r="AC56" s="955"/>
      <c r="AD56" s="955"/>
      <c r="AE56" s="955"/>
      <c r="AF56" s="955"/>
      <c r="AG56" s="955"/>
      <c r="AH56" s="955"/>
      <c r="AI56" s="955"/>
      <c r="AJ56" s="955"/>
      <c r="AK56" s="955"/>
      <c r="AL56" s="955"/>
      <c r="AM56" s="955"/>
      <c r="AN56" s="955"/>
      <c r="AO56" s="955"/>
      <c r="AP56" s="955"/>
      <c r="AQ56" s="955">
        <v>3700</v>
      </c>
      <c r="AR56" s="955">
        <v>5700</v>
      </c>
      <c r="AS56" s="955">
        <v>10400</v>
      </c>
      <c r="AT56" s="955">
        <v>105000</v>
      </c>
      <c r="AU56" s="955">
        <v>20300</v>
      </c>
      <c r="AV56" s="955">
        <v>50900</v>
      </c>
      <c r="AW56" s="955">
        <v>0</v>
      </c>
      <c r="AX56" s="955">
        <v>4600</v>
      </c>
      <c r="AY56" s="955">
        <v>2200</v>
      </c>
      <c r="AZ56" s="955">
        <v>4800</v>
      </c>
      <c r="BA56" s="955">
        <v>3200</v>
      </c>
      <c r="BB56" s="724">
        <v>34500</v>
      </c>
      <c r="BC56" s="724"/>
      <c r="BD56" s="724"/>
      <c r="BE56" s="724"/>
      <c r="BF56" s="724"/>
      <c r="BG56" s="724"/>
      <c r="BH56" s="724"/>
      <c r="BI56" s="720"/>
      <c r="BJ56" s="720"/>
      <c r="BK56" s="720"/>
      <c r="BL56" s="720"/>
      <c r="BM56" s="720"/>
      <c r="BN56" s="720"/>
      <c r="BO56" s="720">
        <v>1400</v>
      </c>
      <c r="BP56" s="720">
        <v>1900</v>
      </c>
      <c r="BQ56" s="720">
        <v>11300</v>
      </c>
      <c r="BR56" s="720">
        <v>39200</v>
      </c>
      <c r="BS56" s="720">
        <v>13700</v>
      </c>
      <c r="BT56" s="720">
        <v>21000</v>
      </c>
      <c r="BU56" s="720">
        <v>16100.000000000002</v>
      </c>
      <c r="BV56" s="720">
        <v>-6500</v>
      </c>
      <c r="BW56" s="720">
        <v>23100</v>
      </c>
      <c r="BX56" s="720">
        <v>54200</v>
      </c>
      <c r="BY56" s="720">
        <v>36900</v>
      </c>
      <c r="BZ56" s="720">
        <v>25200</v>
      </c>
      <c r="CA56" s="720">
        <v>0</v>
      </c>
      <c r="CB56" s="720">
        <v>0</v>
      </c>
      <c r="CC56" s="720">
        <v>0</v>
      </c>
      <c r="CD56" s="720">
        <v>0</v>
      </c>
      <c r="CE56" s="720">
        <v>0</v>
      </c>
      <c r="CF56" s="720">
        <v>0</v>
      </c>
      <c r="CG56" s="720">
        <v>0</v>
      </c>
      <c r="CH56" s="720">
        <v>0</v>
      </c>
      <c r="CI56" s="720">
        <v>0</v>
      </c>
      <c r="CJ56" s="720">
        <v>0</v>
      </c>
      <c r="CK56" s="720">
        <v>0</v>
      </c>
      <c r="CL56" s="720">
        <v>0</v>
      </c>
      <c r="CM56" s="720">
        <v>0</v>
      </c>
      <c r="CN56" s="720">
        <v>0</v>
      </c>
      <c r="CO56" s="720">
        <v>0</v>
      </c>
      <c r="CP56" s="720">
        <v>0</v>
      </c>
      <c r="CQ56" s="720">
        <v>0</v>
      </c>
      <c r="CR56" s="720">
        <v>0</v>
      </c>
      <c r="CS56" s="720">
        <v>0</v>
      </c>
      <c r="CT56" s="720">
        <v>0</v>
      </c>
      <c r="CU56" s="720">
        <v>0</v>
      </c>
      <c r="CV56" s="720">
        <v>0</v>
      </c>
      <c r="CW56" s="720">
        <v>0</v>
      </c>
      <c r="CX56" s="720">
        <v>0</v>
      </c>
      <c r="CY56" s="1051">
        <f t="shared" si="63"/>
        <v>0</v>
      </c>
      <c r="CZ56" s="375"/>
      <c r="DA56" s="33"/>
      <c r="DB56" s="33"/>
    </row>
    <row r="57" spans="1:106">
      <c r="A57" t="s">
        <v>1197</v>
      </c>
      <c r="C57" s="22"/>
      <c r="D57" t="s">
        <v>1192</v>
      </c>
      <c r="E57" s="22"/>
      <c r="F57" s="707">
        <f ca="1">SUM(OFFSET(BO57:BZ57,0,'Bal Sheet'!$A$1))/1000</f>
        <v>307</v>
      </c>
      <c r="G57" s="955"/>
      <c r="H57" s="955"/>
      <c r="I57" s="955"/>
      <c r="J57" s="955"/>
      <c r="K57" s="955"/>
      <c r="L57" s="955"/>
      <c r="M57" s="955"/>
      <c r="N57" s="955"/>
      <c r="O57" s="955"/>
      <c r="P57" s="955"/>
      <c r="Q57" s="955"/>
      <c r="R57" s="955"/>
      <c r="S57" s="955"/>
      <c r="T57" s="955"/>
      <c r="U57" s="955"/>
      <c r="V57" s="955"/>
      <c r="W57" s="955"/>
      <c r="X57" s="955"/>
      <c r="Y57" s="955"/>
      <c r="Z57" s="955"/>
      <c r="AA57" s="955"/>
      <c r="AB57" s="955"/>
      <c r="AC57" s="955"/>
      <c r="AD57" s="955"/>
      <c r="AE57" s="955"/>
      <c r="AF57" s="955"/>
      <c r="AG57" s="955"/>
      <c r="AH57" s="955"/>
      <c r="AI57" s="955"/>
      <c r="AJ57" s="955"/>
      <c r="AK57" s="955"/>
      <c r="AL57" s="955"/>
      <c r="AM57" s="955"/>
      <c r="AN57" s="955"/>
      <c r="AO57" s="955"/>
      <c r="AP57" s="955"/>
      <c r="AQ57" s="955"/>
      <c r="AR57" s="955"/>
      <c r="AS57" s="955"/>
      <c r="AT57" s="955"/>
      <c r="AU57" s="955"/>
      <c r="AV57" s="955"/>
      <c r="AW57" s="955"/>
      <c r="AX57" s="955"/>
      <c r="AY57" s="955"/>
      <c r="AZ57" s="955"/>
      <c r="BA57" s="955"/>
      <c r="BB57" s="724"/>
      <c r="BC57" s="724"/>
      <c r="BD57" s="724"/>
      <c r="BE57" s="724"/>
      <c r="BF57" s="724"/>
      <c r="BG57" s="724"/>
      <c r="BH57" s="724"/>
      <c r="BI57" s="720"/>
      <c r="BJ57" s="720"/>
      <c r="BK57" s="720"/>
      <c r="BL57" s="720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  <c r="BY57" s="720"/>
      <c r="BZ57" s="720"/>
      <c r="CA57" s="720">
        <v>23500</v>
      </c>
      <c r="CB57" s="720">
        <v>23500</v>
      </c>
      <c r="CC57" s="720">
        <v>23500</v>
      </c>
      <c r="CD57" s="720">
        <v>23500</v>
      </c>
      <c r="CE57" s="720">
        <v>23500</v>
      </c>
      <c r="CF57" s="720">
        <v>23500</v>
      </c>
      <c r="CG57" s="720">
        <v>23500</v>
      </c>
      <c r="CH57" s="720">
        <v>23500</v>
      </c>
      <c r="CI57" s="720">
        <v>23500</v>
      </c>
      <c r="CJ57" s="720">
        <v>23500</v>
      </c>
      <c r="CK57" s="720">
        <v>23500</v>
      </c>
      <c r="CL57" s="720">
        <v>48500</v>
      </c>
      <c r="CM57" s="720">
        <v>24000</v>
      </c>
      <c r="CN57" s="720">
        <v>24000</v>
      </c>
      <c r="CO57" s="720">
        <v>24000</v>
      </c>
      <c r="CP57" s="720">
        <v>24000</v>
      </c>
      <c r="CQ57" s="720">
        <v>24000</v>
      </c>
      <c r="CR57" s="720">
        <v>24000</v>
      </c>
      <c r="CS57" s="720">
        <v>24000</v>
      </c>
      <c r="CT57" s="720">
        <v>24000</v>
      </c>
      <c r="CU57" s="720">
        <v>24000</v>
      </c>
      <c r="CV57" s="720">
        <v>24000</v>
      </c>
      <c r="CW57" s="720">
        <v>24000</v>
      </c>
      <c r="CX57" s="720">
        <v>49500</v>
      </c>
      <c r="CY57" s="1051">
        <f t="shared" si="63"/>
        <v>313500</v>
      </c>
      <c r="CZ57" s="375"/>
      <c r="DA57" s="33"/>
      <c r="DB57" s="33"/>
    </row>
    <row r="58" spans="1:106">
      <c r="A58" t="s">
        <v>448</v>
      </c>
      <c r="C58" s="22"/>
      <c r="D58" t="s">
        <v>449</v>
      </c>
      <c r="E58" s="22"/>
      <c r="F58" s="707">
        <f ca="1">SUM(OFFSET(BO58:BZ58,0,'Bal Sheet'!$A$1))/1000</f>
        <v>0</v>
      </c>
      <c r="G58" s="955"/>
      <c r="H58" s="955"/>
      <c r="I58" s="955"/>
      <c r="J58" s="955"/>
      <c r="K58" s="955"/>
      <c r="L58" s="955"/>
      <c r="M58" s="955"/>
      <c r="N58" s="955"/>
      <c r="O58" s="955"/>
      <c r="P58" s="955"/>
      <c r="Q58" s="955"/>
      <c r="R58" s="955"/>
      <c r="S58" s="955"/>
      <c r="T58" s="955"/>
      <c r="U58" s="955"/>
      <c r="V58" s="955"/>
      <c r="W58" s="955"/>
      <c r="X58" s="955"/>
      <c r="Y58" s="955"/>
      <c r="Z58" s="955"/>
      <c r="AA58" s="955"/>
      <c r="AB58" s="955"/>
      <c r="AC58" s="955"/>
      <c r="AD58" s="955"/>
      <c r="AE58" s="955"/>
      <c r="AF58" s="955"/>
      <c r="AG58" s="955"/>
      <c r="AH58" s="955"/>
      <c r="AI58" s="955"/>
      <c r="AJ58" s="955"/>
      <c r="AK58" s="955"/>
      <c r="AL58" s="955"/>
      <c r="AM58" s="955"/>
      <c r="AN58" s="955"/>
      <c r="AO58" s="955"/>
      <c r="AP58" s="955"/>
      <c r="AQ58" s="955">
        <v>1400</v>
      </c>
      <c r="AR58" s="955">
        <v>62000</v>
      </c>
      <c r="AS58" s="955">
        <v>26300</v>
      </c>
      <c r="AT58" s="955">
        <v>100</v>
      </c>
      <c r="AU58" s="955">
        <v>8500</v>
      </c>
      <c r="AV58" s="955">
        <v>1700</v>
      </c>
      <c r="AW58" s="955">
        <v>0</v>
      </c>
      <c r="AX58" s="955">
        <v>0</v>
      </c>
      <c r="AY58" s="955">
        <v>0</v>
      </c>
      <c r="AZ58" s="955">
        <v>13000</v>
      </c>
      <c r="BA58" s="955">
        <v>9500</v>
      </c>
      <c r="BB58" s="724">
        <v>5500</v>
      </c>
      <c r="BC58" s="724"/>
      <c r="BD58" s="724"/>
      <c r="BE58" s="724"/>
      <c r="BF58" s="724"/>
      <c r="BG58" s="724"/>
      <c r="BH58" s="724"/>
      <c r="BI58" s="720"/>
      <c r="BJ58" s="720"/>
      <c r="BK58" s="720"/>
      <c r="BL58" s="720"/>
      <c r="BM58" s="720"/>
      <c r="BN58" s="720"/>
      <c r="BO58" s="720">
        <v>49900</v>
      </c>
      <c r="BP58" s="720">
        <v>300</v>
      </c>
      <c r="BQ58" s="720">
        <v>3400</v>
      </c>
      <c r="BR58" s="720">
        <v>7300</v>
      </c>
      <c r="BS58" s="720">
        <v>22200</v>
      </c>
      <c r="BT58" s="720">
        <v>0</v>
      </c>
      <c r="BU58" s="720">
        <v>4000</v>
      </c>
      <c r="BV58" s="720">
        <v>3700</v>
      </c>
      <c r="BW58" s="720">
        <v>100</v>
      </c>
      <c r="BX58" s="720">
        <v>4200</v>
      </c>
      <c r="BY58" s="720">
        <v>7700</v>
      </c>
      <c r="BZ58" s="720">
        <v>-300</v>
      </c>
      <c r="CA58" s="720">
        <v>0</v>
      </c>
      <c r="CB58" s="720">
        <v>0</v>
      </c>
      <c r="CC58" s="720">
        <v>0</v>
      </c>
      <c r="CD58" s="720">
        <v>0</v>
      </c>
      <c r="CE58" s="720">
        <v>0</v>
      </c>
      <c r="CF58" s="720">
        <v>0</v>
      </c>
      <c r="CG58" s="720">
        <v>0</v>
      </c>
      <c r="CH58" s="720">
        <v>0</v>
      </c>
      <c r="CI58" s="720">
        <v>0</v>
      </c>
      <c r="CJ58" s="720">
        <v>0</v>
      </c>
      <c r="CK58" s="720">
        <v>0</v>
      </c>
      <c r="CL58" s="720">
        <v>0</v>
      </c>
      <c r="CM58" s="720">
        <v>0</v>
      </c>
      <c r="CN58" s="720">
        <v>0</v>
      </c>
      <c r="CO58" s="720">
        <v>0</v>
      </c>
      <c r="CP58" s="720">
        <v>0</v>
      </c>
      <c r="CQ58" s="720">
        <v>0</v>
      </c>
      <c r="CR58" s="720">
        <v>0</v>
      </c>
      <c r="CS58" s="720">
        <v>0</v>
      </c>
      <c r="CT58" s="720">
        <v>0</v>
      </c>
      <c r="CU58" s="720">
        <v>0</v>
      </c>
      <c r="CV58" s="720">
        <v>0</v>
      </c>
      <c r="CW58" s="720">
        <v>0</v>
      </c>
      <c r="CX58" s="720">
        <v>0</v>
      </c>
      <c r="CY58" s="1051">
        <f t="shared" si="63"/>
        <v>0</v>
      </c>
      <c r="CZ58" s="375"/>
      <c r="DA58" s="33"/>
      <c r="DB58" s="33"/>
    </row>
    <row r="59" spans="1:106">
      <c r="A59" t="s">
        <v>1198</v>
      </c>
      <c r="C59" s="22"/>
      <c r="D59" t="s">
        <v>1193</v>
      </c>
      <c r="E59" s="22"/>
      <c r="F59" s="707">
        <f ca="1">SUM(OFFSET(BO59:BZ59,0,'Bal Sheet'!$A$1))/1000</f>
        <v>135.4</v>
      </c>
      <c r="G59" s="955"/>
      <c r="H59" s="955"/>
      <c r="I59" s="955"/>
      <c r="J59" s="955"/>
      <c r="K59" s="955"/>
      <c r="L59" s="955"/>
      <c r="M59" s="955"/>
      <c r="N59" s="955"/>
      <c r="O59" s="955"/>
      <c r="P59" s="955"/>
      <c r="Q59" s="955"/>
      <c r="R59" s="955"/>
      <c r="S59" s="955"/>
      <c r="T59" s="955"/>
      <c r="U59" s="955"/>
      <c r="V59" s="955"/>
      <c r="W59" s="955"/>
      <c r="X59" s="955"/>
      <c r="Y59" s="955"/>
      <c r="Z59" s="955"/>
      <c r="AA59" s="955"/>
      <c r="AB59" s="955"/>
      <c r="AC59" s="955"/>
      <c r="AD59" s="955"/>
      <c r="AE59" s="955"/>
      <c r="AF59" s="955"/>
      <c r="AG59" s="955"/>
      <c r="AH59" s="955"/>
      <c r="AI59" s="955"/>
      <c r="AJ59" s="955"/>
      <c r="AK59" s="955"/>
      <c r="AL59" s="955"/>
      <c r="AM59" s="955"/>
      <c r="AN59" s="955"/>
      <c r="AO59" s="955"/>
      <c r="AP59" s="955"/>
      <c r="AQ59" s="955"/>
      <c r="AR59" s="955"/>
      <c r="AS59" s="955"/>
      <c r="AT59" s="955"/>
      <c r="AU59" s="955"/>
      <c r="AV59" s="955"/>
      <c r="AW59" s="955"/>
      <c r="AX59" s="955"/>
      <c r="AY59" s="955"/>
      <c r="AZ59" s="955"/>
      <c r="BA59" s="955"/>
      <c r="BB59" s="724"/>
      <c r="BC59" s="724"/>
      <c r="BD59" s="724"/>
      <c r="BE59" s="724"/>
      <c r="BF59" s="724"/>
      <c r="BG59" s="724"/>
      <c r="BH59" s="724"/>
      <c r="BI59" s="720"/>
      <c r="BJ59" s="720"/>
      <c r="BK59" s="720"/>
      <c r="BL59" s="720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  <c r="BY59" s="720"/>
      <c r="BZ59" s="720"/>
      <c r="CA59" s="720">
        <v>9200</v>
      </c>
      <c r="CB59" s="720">
        <v>9200</v>
      </c>
      <c r="CC59" s="720">
        <v>9200</v>
      </c>
      <c r="CD59" s="720">
        <v>9200</v>
      </c>
      <c r="CE59" s="720">
        <v>9200</v>
      </c>
      <c r="CF59" s="720">
        <v>9200</v>
      </c>
      <c r="CG59" s="720">
        <v>9200</v>
      </c>
      <c r="CH59" s="720">
        <v>9200</v>
      </c>
      <c r="CI59" s="720">
        <v>9200</v>
      </c>
      <c r="CJ59" s="720">
        <v>9200</v>
      </c>
      <c r="CK59" s="720">
        <v>9200</v>
      </c>
      <c r="CL59" s="720">
        <v>34200</v>
      </c>
      <c r="CM59" s="720">
        <v>9400</v>
      </c>
      <c r="CN59" s="720">
        <v>9400</v>
      </c>
      <c r="CO59" s="720">
        <v>9400</v>
      </c>
      <c r="CP59" s="720">
        <v>9400</v>
      </c>
      <c r="CQ59" s="720">
        <v>9400</v>
      </c>
      <c r="CR59" s="720">
        <v>9400</v>
      </c>
      <c r="CS59" s="720">
        <v>9400</v>
      </c>
      <c r="CT59" s="720">
        <v>9400</v>
      </c>
      <c r="CU59" s="720">
        <v>9400</v>
      </c>
      <c r="CV59" s="720">
        <v>9400</v>
      </c>
      <c r="CW59" s="720">
        <v>9400</v>
      </c>
      <c r="CX59" s="720">
        <v>34900</v>
      </c>
      <c r="CY59" s="1051">
        <f t="shared" si="63"/>
        <v>138300</v>
      </c>
      <c r="CZ59" s="375"/>
      <c r="DA59" s="33"/>
      <c r="DB59" s="33"/>
    </row>
    <row r="60" spans="1:106">
      <c r="A60" t="s">
        <v>450</v>
      </c>
      <c r="C60" s="22"/>
      <c r="D60" t="s">
        <v>451</v>
      </c>
      <c r="E60" s="22"/>
      <c r="F60" s="707">
        <f ca="1">SUM(OFFSET(BO60:BZ60,0,'Bal Sheet'!$A$1))/1000</f>
        <v>0</v>
      </c>
      <c r="G60" s="955"/>
      <c r="H60" s="955"/>
      <c r="I60" s="955"/>
      <c r="J60" s="955"/>
      <c r="K60" s="955"/>
      <c r="L60" s="955"/>
      <c r="M60" s="955"/>
      <c r="N60" s="955"/>
      <c r="O60" s="955"/>
      <c r="P60" s="955"/>
      <c r="Q60" s="955"/>
      <c r="R60" s="955"/>
      <c r="S60" s="955"/>
      <c r="T60" s="955"/>
      <c r="U60" s="955"/>
      <c r="V60" s="955"/>
      <c r="W60" s="955"/>
      <c r="X60" s="955"/>
      <c r="Y60" s="955"/>
      <c r="Z60" s="955"/>
      <c r="AA60" s="955"/>
      <c r="AB60" s="955"/>
      <c r="AC60" s="955"/>
      <c r="AD60" s="955"/>
      <c r="AE60" s="955"/>
      <c r="AF60" s="955"/>
      <c r="AG60" s="955"/>
      <c r="AH60" s="955"/>
      <c r="AI60" s="955"/>
      <c r="AJ60" s="955"/>
      <c r="AK60" s="955"/>
      <c r="AL60" s="955"/>
      <c r="AM60" s="955"/>
      <c r="AN60" s="955"/>
      <c r="AO60" s="955"/>
      <c r="AP60" s="955"/>
      <c r="AQ60" s="955">
        <v>3800</v>
      </c>
      <c r="AR60" s="955">
        <v>7100</v>
      </c>
      <c r="AS60" s="955">
        <v>3900</v>
      </c>
      <c r="AT60" s="955">
        <v>1300</v>
      </c>
      <c r="AU60" s="955">
        <v>1600</v>
      </c>
      <c r="AV60" s="955">
        <v>4100</v>
      </c>
      <c r="AW60" s="955">
        <v>1500</v>
      </c>
      <c r="AX60" s="955">
        <v>4600</v>
      </c>
      <c r="AY60" s="955">
        <v>1900</v>
      </c>
      <c r="AZ60" s="955">
        <v>12200</v>
      </c>
      <c r="BA60" s="955">
        <v>4400</v>
      </c>
      <c r="BB60" s="724">
        <v>30600</v>
      </c>
      <c r="BC60" s="724"/>
      <c r="BD60" s="724"/>
      <c r="BE60" s="724"/>
      <c r="BF60" s="724"/>
      <c r="BG60" s="724"/>
      <c r="BH60" s="724"/>
      <c r="BI60" s="720"/>
      <c r="BJ60" s="720"/>
      <c r="BK60" s="720"/>
      <c r="BL60" s="720"/>
      <c r="BM60" s="720"/>
      <c r="BN60" s="720"/>
      <c r="BO60" s="720">
        <v>2300</v>
      </c>
      <c r="BP60" s="720">
        <v>5100</v>
      </c>
      <c r="BQ60" s="720">
        <v>7600</v>
      </c>
      <c r="BR60" s="720">
        <v>9200</v>
      </c>
      <c r="BS60" s="720">
        <v>2300</v>
      </c>
      <c r="BT60" s="720">
        <v>3800</v>
      </c>
      <c r="BU60" s="720">
        <v>2500</v>
      </c>
      <c r="BV60" s="720">
        <v>4100</v>
      </c>
      <c r="BW60" s="720">
        <v>2800</v>
      </c>
      <c r="BX60" s="720">
        <v>5900</v>
      </c>
      <c r="BY60" s="720">
        <v>9500</v>
      </c>
      <c r="BZ60" s="720">
        <v>21400</v>
      </c>
      <c r="CA60" s="720">
        <v>0</v>
      </c>
      <c r="CB60" s="720">
        <v>0</v>
      </c>
      <c r="CC60" s="720">
        <v>0</v>
      </c>
      <c r="CD60" s="720">
        <v>0</v>
      </c>
      <c r="CE60" s="720">
        <v>0</v>
      </c>
      <c r="CF60" s="720">
        <v>0</v>
      </c>
      <c r="CG60" s="720">
        <v>0</v>
      </c>
      <c r="CH60" s="720">
        <v>0</v>
      </c>
      <c r="CI60" s="720">
        <v>0</v>
      </c>
      <c r="CJ60" s="720">
        <v>0</v>
      </c>
      <c r="CK60" s="720">
        <v>0</v>
      </c>
      <c r="CL60" s="720">
        <v>0</v>
      </c>
      <c r="CM60" s="720">
        <v>0</v>
      </c>
      <c r="CN60" s="720">
        <v>0</v>
      </c>
      <c r="CO60" s="720">
        <v>0</v>
      </c>
      <c r="CP60" s="720">
        <v>0</v>
      </c>
      <c r="CQ60" s="720">
        <v>0</v>
      </c>
      <c r="CR60" s="720">
        <v>0</v>
      </c>
      <c r="CS60" s="720">
        <v>0</v>
      </c>
      <c r="CT60" s="720">
        <v>0</v>
      </c>
      <c r="CU60" s="720">
        <v>0</v>
      </c>
      <c r="CV60" s="720">
        <v>0</v>
      </c>
      <c r="CW60" s="720">
        <v>0</v>
      </c>
      <c r="CX60" s="720">
        <v>0</v>
      </c>
      <c r="CY60" s="1051">
        <f t="shared" si="63"/>
        <v>0</v>
      </c>
      <c r="CZ60" s="375"/>
      <c r="DA60" s="33"/>
      <c r="DB60" s="33"/>
    </row>
    <row r="61" spans="1:106">
      <c r="A61" t="s">
        <v>1199</v>
      </c>
      <c r="C61" s="22"/>
      <c r="D61" t="s">
        <v>1194</v>
      </c>
      <c r="E61" s="22"/>
      <c r="F61" s="707">
        <f ca="1">SUM(OFFSET(BO61:BZ61,0,'Bal Sheet'!$A$1))/1000</f>
        <v>76.400000000000006</v>
      </c>
      <c r="G61" s="955"/>
      <c r="H61" s="955"/>
      <c r="I61" s="955"/>
      <c r="J61" s="955"/>
      <c r="K61" s="955"/>
      <c r="L61" s="955"/>
      <c r="M61" s="955"/>
      <c r="N61" s="955"/>
      <c r="O61" s="955"/>
      <c r="P61" s="955"/>
      <c r="Q61" s="955"/>
      <c r="R61" s="955"/>
      <c r="S61" s="955"/>
      <c r="T61" s="955"/>
      <c r="U61" s="955"/>
      <c r="V61" s="955"/>
      <c r="W61" s="955"/>
      <c r="X61" s="955"/>
      <c r="Y61" s="955"/>
      <c r="Z61" s="955"/>
      <c r="AA61" s="955"/>
      <c r="AB61" s="955"/>
      <c r="AC61" s="955"/>
      <c r="AD61" s="955"/>
      <c r="AE61" s="955"/>
      <c r="AF61" s="955"/>
      <c r="AG61" s="955"/>
      <c r="AH61" s="955"/>
      <c r="AI61" s="955"/>
      <c r="AJ61" s="955"/>
      <c r="AK61" s="955"/>
      <c r="AL61" s="955"/>
      <c r="AM61" s="955"/>
      <c r="AN61" s="955"/>
      <c r="AO61" s="955"/>
      <c r="AP61" s="955"/>
      <c r="AQ61" s="955"/>
      <c r="AR61" s="955"/>
      <c r="AS61" s="955"/>
      <c r="AT61" s="955"/>
      <c r="AU61" s="955"/>
      <c r="AV61" s="955"/>
      <c r="AW61" s="955"/>
      <c r="AX61" s="955"/>
      <c r="AY61" s="955"/>
      <c r="AZ61" s="955"/>
      <c r="BA61" s="955"/>
      <c r="BB61" s="724"/>
      <c r="BC61" s="724"/>
      <c r="BD61" s="724"/>
      <c r="BE61" s="724"/>
      <c r="BF61" s="724"/>
      <c r="BG61" s="724"/>
      <c r="BH61" s="724"/>
      <c r="BI61" s="720"/>
      <c r="BJ61" s="720"/>
      <c r="BK61" s="720"/>
      <c r="BL61" s="720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  <c r="BY61" s="720"/>
      <c r="BZ61" s="720"/>
      <c r="CA61" s="720">
        <v>4700</v>
      </c>
      <c r="CB61" s="720">
        <v>4700</v>
      </c>
      <c r="CC61" s="720">
        <v>9700</v>
      </c>
      <c r="CD61" s="720">
        <v>4700</v>
      </c>
      <c r="CE61" s="720">
        <v>4700</v>
      </c>
      <c r="CF61" s="720">
        <v>9700</v>
      </c>
      <c r="CG61" s="720">
        <v>4700</v>
      </c>
      <c r="CH61" s="720">
        <v>4700</v>
      </c>
      <c r="CI61" s="720">
        <v>9700</v>
      </c>
      <c r="CJ61" s="720">
        <v>4700</v>
      </c>
      <c r="CK61" s="720">
        <v>4700</v>
      </c>
      <c r="CL61" s="720">
        <v>9700</v>
      </c>
      <c r="CM61" s="720">
        <v>4800</v>
      </c>
      <c r="CN61" s="720">
        <v>4800</v>
      </c>
      <c r="CO61" s="720">
        <v>9900</v>
      </c>
      <c r="CP61" s="720">
        <v>4800</v>
      </c>
      <c r="CQ61" s="720">
        <v>4800</v>
      </c>
      <c r="CR61" s="720">
        <v>9900</v>
      </c>
      <c r="CS61" s="720">
        <v>4800</v>
      </c>
      <c r="CT61" s="720">
        <v>4800</v>
      </c>
      <c r="CU61" s="720">
        <v>9900</v>
      </c>
      <c r="CV61" s="720">
        <v>4800</v>
      </c>
      <c r="CW61" s="720">
        <v>4800</v>
      </c>
      <c r="CX61" s="720">
        <v>9900</v>
      </c>
      <c r="CY61" s="1051">
        <f t="shared" si="63"/>
        <v>78000</v>
      </c>
      <c r="CZ61" s="375"/>
      <c r="DA61" s="33"/>
      <c r="DB61" s="33"/>
    </row>
    <row r="62" spans="1:106">
      <c r="A62" t="s">
        <v>452</v>
      </c>
      <c r="C62" s="22"/>
      <c r="D62" t="s">
        <v>453</v>
      </c>
      <c r="E62" s="22"/>
      <c r="F62" s="707">
        <f ca="1">SUM(OFFSET(BO62:BZ62,0,'Bal Sheet'!$A$1))/1000</f>
        <v>0</v>
      </c>
      <c r="G62" s="955"/>
      <c r="H62" s="955"/>
      <c r="I62" s="955"/>
      <c r="J62" s="955"/>
      <c r="K62" s="955"/>
      <c r="L62" s="955"/>
      <c r="M62" s="955"/>
      <c r="N62" s="955"/>
      <c r="O62" s="955"/>
      <c r="P62" s="955"/>
      <c r="Q62" s="955"/>
      <c r="R62" s="955"/>
      <c r="S62" s="955"/>
      <c r="T62" s="955"/>
      <c r="U62" s="955"/>
      <c r="V62" s="955"/>
      <c r="W62" s="955"/>
      <c r="X62" s="955"/>
      <c r="Y62" s="955"/>
      <c r="Z62" s="955"/>
      <c r="AA62" s="955"/>
      <c r="AB62" s="955"/>
      <c r="AC62" s="955"/>
      <c r="AD62" s="955"/>
      <c r="AE62" s="955"/>
      <c r="AF62" s="955"/>
      <c r="AG62" s="955"/>
      <c r="AH62" s="955"/>
      <c r="AI62" s="955"/>
      <c r="AJ62" s="955"/>
      <c r="AK62" s="955"/>
      <c r="AL62" s="955"/>
      <c r="AM62" s="955"/>
      <c r="AN62" s="955"/>
      <c r="AO62" s="955"/>
      <c r="AP62" s="955"/>
      <c r="AQ62" s="955">
        <v>0</v>
      </c>
      <c r="AR62" s="955">
        <v>0</v>
      </c>
      <c r="AS62" s="955">
        <v>0</v>
      </c>
      <c r="AT62" s="955">
        <v>0</v>
      </c>
      <c r="AU62" s="955">
        <v>0</v>
      </c>
      <c r="AV62" s="955">
        <v>0</v>
      </c>
      <c r="AW62" s="955">
        <v>0</v>
      </c>
      <c r="AX62" s="955">
        <v>0</v>
      </c>
      <c r="AY62" s="955">
        <v>0</v>
      </c>
      <c r="AZ62" s="955">
        <v>0</v>
      </c>
      <c r="BA62" s="955">
        <v>0</v>
      </c>
      <c r="BB62" s="724">
        <v>0</v>
      </c>
      <c r="BC62" s="724"/>
      <c r="BD62" s="724"/>
      <c r="BE62" s="724"/>
      <c r="BF62" s="724"/>
      <c r="BG62" s="724"/>
      <c r="BH62" s="724"/>
      <c r="BI62" s="720"/>
      <c r="BJ62" s="720"/>
      <c r="BK62" s="720"/>
      <c r="BL62" s="720"/>
      <c r="BM62" s="720"/>
      <c r="BN62" s="720"/>
      <c r="BO62" s="720">
        <v>0</v>
      </c>
      <c r="BP62" s="720">
        <v>0</v>
      </c>
      <c r="BQ62" s="720">
        <v>0</v>
      </c>
      <c r="BR62" s="720">
        <v>0</v>
      </c>
      <c r="BS62" s="720">
        <v>0</v>
      </c>
      <c r="BT62" s="720">
        <v>0</v>
      </c>
      <c r="BU62" s="720">
        <v>0</v>
      </c>
      <c r="BV62" s="720">
        <v>0</v>
      </c>
      <c r="BW62" s="720">
        <v>0</v>
      </c>
      <c r="BX62" s="720">
        <v>0</v>
      </c>
      <c r="BY62" s="720">
        <v>0</v>
      </c>
      <c r="BZ62" s="720">
        <v>0</v>
      </c>
      <c r="CA62" s="720">
        <v>0</v>
      </c>
      <c r="CB62" s="720">
        <v>0</v>
      </c>
      <c r="CC62" s="720">
        <v>0</v>
      </c>
      <c r="CD62" s="720">
        <v>0</v>
      </c>
      <c r="CE62" s="720">
        <v>0</v>
      </c>
      <c r="CF62" s="720">
        <v>0</v>
      </c>
      <c r="CG62" s="720">
        <v>0</v>
      </c>
      <c r="CH62" s="720">
        <v>0</v>
      </c>
      <c r="CI62" s="720">
        <v>0</v>
      </c>
      <c r="CJ62" s="720">
        <v>0</v>
      </c>
      <c r="CK62" s="720">
        <v>0</v>
      </c>
      <c r="CL62" s="720">
        <v>0</v>
      </c>
      <c r="CM62" s="720">
        <v>0</v>
      </c>
      <c r="CN62" s="720">
        <v>0</v>
      </c>
      <c r="CO62" s="720">
        <v>0</v>
      </c>
      <c r="CP62" s="720">
        <v>0</v>
      </c>
      <c r="CQ62" s="720">
        <v>0</v>
      </c>
      <c r="CR62" s="720">
        <v>0</v>
      </c>
      <c r="CS62" s="720">
        <v>0</v>
      </c>
      <c r="CT62" s="720">
        <v>0</v>
      </c>
      <c r="CU62" s="720">
        <v>0</v>
      </c>
      <c r="CV62" s="720">
        <v>0</v>
      </c>
      <c r="CW62" s="720">
        <v>0</v>
      </c>
      <c r="CX62" s="720">
        <v>0</v>
      </c>
      <c r="CY62" s="1051">
        <f t="shared" si="63"/>
        <v>0</v>
      </c>
      <c r="CZ62" s="375"/>
      <c r="DA62" s="33"/>
      <c r="DB62" s="33"/>
    </row>
    <row r="63" spans="1:106">
      <c r="A63" t="s">
        <v>454</v>
      </c>
      <c r="C63" s="22"/>
      <c r="D63" t="s">
        <v>455</v>
      </c>
      <c r="E63" s="22"/>
      <c r="F63" s="707">
        <f ca="1">SUM(OFFSET(BO63:BZ63,0,'Bal Sheet'!$A$1))/1000</f>
        <v>0</v>
      </c>
      <c r="G63" s="955"/>
      <c r="H63" s="955"/>
      <c r="I63" s="955"/>
      <c r="J63" s="955"/>
      <c r="K63" s="955"/>
      <c r="L63" s="955"/>
      <c r="M63" s="955"/>
      <c r="N63" s="955"/>
      <c r="O63" s="955"/>
      <c r="P63" s="955"/>
      <c r="Q63" s="955"/>
      <c r="R63" s="955"/>
      <c r="S63" s="955"/>
      <c r="T63" s="955"/>
      <c r="U63" s="955"/>
      <c r="V63" s="955"/>
      <c r="W63" s="955"/>
      <c r="X63" s="955"/>
      <c r="Y63" s="955"/>
      <c r="Z63" s="955"/>
      <c r="AA63" s="955"/>
      <c r="AB63" s="955"/>
      <c r="AC63" s="955"/>
      <c r="AD63" s="955"/>
      <c r="AE63" s="955"/>
      <c r="AF63" s="955"/>
      <c r="AG63" s="955"/>
      <c r="AH63" s="955"/>
      <c r="AI63" s="955"/>
      <c r="AJ63" s="955"/>
      <c r="AK63" s="955"/>
      <c r="AL63" s="955"/>
      <c r="AM63" s="955"/>
      <c r="AN63" s="955"/>
      <c r="AO63" s="955"/>
      <c r="AP63" s="955"/>
      <c r="AQ63" s="955">
        <v>0</v>
      </c>
      <c r="AR63" s="955">
        <v>0</v>
      </c>
      <c r="AS63" s="955">
        <v>0</v>
      </c>
      <c r="AT63" s="955">
        <v>0</v>
      </c>
      <c r="AU63" s="955">
        <v>0</v>
      </c>
      <c r="AV63" s="955">
        <v>0</v>
      </c>
      <c r="AW63" s="955">
        <v>0</v>
      </c>
      <c r="AX63" s="955">
        <v>0</v>
      </c>
      <c r="AY63" s="955">
        <v>0</v>
      </c>
      <c r="AZ63" s="955">
        <v>0</v>
      </c>
      <c r="BA63" s="955">
        <v>0</v>
      </c>
      <c r="BB63" s="724">
        <v>0</v>
      </c>
      <c r="BC63" s="724"/>
      <c r="BD63" s="724"/>
      <c r="BE63" s="724"/>
      <c r="BF63" s="724"/>
      <c r="BG63" s="724"/>
      <c r="BH63" s="724"/>
      <c r="BI63" s="720"/>
      <c r="BJ63" s="720"/>
      <c r="BK63" s="720"/>
      <c r="BL63" s="720"/>
      <c r="BM63" s="720"/>
      <c r="BN63" s="720"/>
      <c r="BO63" s="720">
        <v>0</v>
      </c>
      <c r="BP63" s="720">
        <v>0</v>
      </c>
      <c r="BQ63" s="720">
        <v>0</v>
      </c>
      <c r="BR63" s="720">
        <v>0</v>
      </c>
      <c r="BS63" s="720">
        <v>0</v>
      </c>
      <c r="BT63" s="720">
        <v>0</v>
      </c>
      <c r="BU63" s="720">
        <v>0</v>
      </c>
      <c r="BV63" s="720">
        <v>0</v>
      </c>
      <c r="BW63" s="720">
        <v>0</v>
      </c>
      <c r="BX63" s="720">
        <v>0</v>
      </c>
      <c r="BY63" s="720">
        <v>0</v>
      </c>
      <c r="BZ63" s="720">
        <v>0</v>
      </c>
      <c r="CA63" s="720">
        <v>0</v>
      </c>
      <c r="CB63" s="720">
        <v>0</v>
      </c>
      <c r="CC63" s="720">
        <v>0</v>
      </c>
      <c r="CD63" s="720">
        <v>0</v>
      </c>
      <c r="CE63" s="720">
        <v>0</v>
      </c>
      <c r="CF63" s="720">
        <v>0</v>
      </c>
      <c r="CG63" s="720">
        <v>0</v>
      </c>
      <c r="CH63" s="720">
        <v>0</v>
      </c>
      <c r="CI63" s="720">
        <v>0</v>
      </c>
      <c r="CJ63" s="720">
        <v>0</v>
      </c>
      <c r="CK63" s="720">
        <v>0</v>
      </c>
      <c r="CL63" s="720">
        <v>0</v>
      </c>
      <c r="CM63" s="720">
        <v>0</v>
      </c>
      <c r="CN63" s="720">
        <v>0</v>
      </c>
      <c r="CO63" s="720">
        <v>0</v>
      </c>
      <c r="CP63" s="720">
        <v>0</v>
      </c>
      <c r="CQ63" s="720">
        <v>0</v>
      </c>
      <c r="CR63" s="720">
        <v>0</v>
      </c>
      <c r="CS63" s="720">
        <v>0</v>
      </c>
      <c r="CT63" s="720">
        <v>0</v>
      </c>
      <c r="CU63" s="720">
        <v>0</v>
      </c>
      <c r="CV63" s="720">
        <v>0</v>
      </c>
      <c r="CW63" s="720">
        <v>0</v>
      </c>
      <c r="CX63" s="720">
        <v>0</v>
      </c>
      <c r="CY63" s="1051">
        <f t="shared" si="63"/>
        <v>0</v>
      </c>
      <c r="CZ63" s="375"/>
      <c r="DA63" s="33"/>
      <c r="DB63" s="33"/>
    </row>
    <row r="64" spans="1:106">
      <c r="A64" t="s">
        <v>456</v>
      </c>
      <c r="C64" s="22"/>
      <c r="D64" t="s">
        <v>457</v>
      </c>
      <c r="E64" s="22"/>
      <c r="F64" s="707">
        <f ca="1">SUM(OFFSET(BO64:BZ64,0,'Bal Sheet'!$A$1))/1000</f>
        <v>0</v>
      </c>
      <c r="G64" s="718"/>
      <c r="H64" s="718"/>
      <c r="I64" s="71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8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18"/>
      <c r="AH64" s="718"/>
      <c r="AI64" s="718"/>
      <c r="AJ64" s="718"/>
      <c r="AK64" s="955"/>
      <c r="AL64" s="955"/>
      <c r="AM64" s="955"/>
      <c r="AN64" s="955"/>
      <c r="AO64" s="955"/>
      <c r="AP64" s="955"/>
      <c r="AQ64" s="955">
        <v>0</v>
      </c>
      <c r="AR64" s="955">
        <v>0</v>
      </c>
      <c r="AS64" s="955">
        <v>0</v>
      </c>
      <c r="AT64" s="955">
        <v>0</v>
      </c>
      <c r="AU64" s="955">
        <v>1100</v>
      </c>
      <c r="AV64" s="955">
        <v>0</v>
      </c>
      <c r="AW64" s="955">
        <v>0</v>
      </c>
      <c r="AX64" s="955">
        <v>0</v>
      </c>
      <c r="AY64" s="955">
        <v>0</v>
      </c>
      <c r="AZ64" s="955">
        <v>5000</v>
      </c>
      <c r="BA64" s="955">
        <v>0</v>
      </c>
      <c r="BB64" s="725">
        <v>0</v>
      </c>
      <c r="BC64" s="725"/>
      <c r="BD64" s="725"/>
      <c r="BE64" s="727"/>
      <c r="BF64" s="727"/>
      <c r="BG64" s="727"/>
      <c r="BH64" s="727"/>
      <c r="BI64" s="722"/>
      <c r="BJ64" s="722"/>
      <c r="BK64" s="722"/>
      <c r="BL64" s="722"/>
      <c r="BM64" s="722"/>
      <c r="BN64" s="722"/>
      <c r="BO64" s="722">
        <v>0</v>
      </c>
      <c r="BP64" s="722">
        <v>0</v>
      </c>
      <c r="BQ64" s="722">
        <v>24000</v>
      </c>
      <c r="BR64" s="722">
        <v>10000</v>
      </c>
      <c r="BS64" s="722">
        <v>0</v>
      </c>
      <c r="BT64" s="722">
        <v>0</v>
      </c>
      <c r="BU64" s="722">
        <v>0</v>
      </c>
      <c r="BV64" s="722">
        <v>16000</v>
      </c>
      <c r="BW64" s="722">
        <v>1000</v>
      </c>
      <c r="BX64" s="722">
        <v>0</v>
      </c>
      <c r="BY64" s="722">
        <v>0</v>
      </c>
      <c r="BZ64" s="722">
        <v>0</v>
      </c>
      <c r="CA64" s="720">
        <v>0</v>
      </c>
      <c r="CB64" s="720">
        <v>0</v>
      </c>
      <c r="CC64" s="720">
        <v>0</v>
      </c>
      <c r="CD64" s="720">
        <v>0</v>
      </c>
      <c r="CE64" s="720">
        <v>0</v>
      </c>
      <c r="CF64" s="720">
        <v>0</v>
      </c>
      <c r="CG64" s="720">
        <v>0</v>
      </c>
      <c r="CH64" s="720">
        <v>0</v>
      </c>
      <c r="CI64" s="720">
        <v>0</v>
      </c>
      <c r="CJ64" s="720">
        <v>0</v>
      </c>
      <c r="CK64" s="720">
        <v>0</v>
      </c>
      <c r="CL64" s="720">
        <v>0</v>
      </c>
      <c r="CM64" s="720">
        <v>0</v>
      </c>
      <c r="CN64" s="720">
        <v>0</v>
      </c>
      <c r="CO64" s="720">
        <v>0</v>
      </c>
      <c r="CP64" s="720">
        <v>0</v>
      </c>
      <c r="CQ64" s="720">
        <v>0</v>
      </c>
      <c r="CR64" s="720">
        <v>0</v>
      </c>
      <c r="CS64" s="720">
        <v>0</v>
      </c>
      <c r="CT64" s="720">
        <v>0</v>
      </c>
      <c r="CU64" s="720">
        <v>0</v>
      </c>
      <c r="CV64" s="720">
        <v>0</v>
      </c>
      <c r="CW64" s="720">
        <v>0</v>
      </c>
      <c r="CX64" s="720">
        <v>0</v>
      </c>
      <c r="CY64" s="1051">
        <f t="shared" si="63"/>
        <v>0</v>
      </c>
      <c r="CZ64" s="375"/>
      <c r="DA64" s="33"/>
      <c r="DB64" s="33"/>
    </row>
    <row r="65" spans="1:106">
      <c r="A65" s="375" t="s">
        <v>458</v>
      </c>
      <c r="C65" s="22"/>
      <c r="D65" s="375" t="s">
        <v>459</v>
      </c>
      <c r="E65" s="22"/>
      <c r="F65" s="707">
        <f ca="1">SUM(OFFSET(BO65:BZ65,0,'Bal Sheet'!$A$1))/1000</f>
        <v>99.6</v>
      </c>
      <c r="G65" s="718"/>
      <c r="H65" s="718"/>
      <c r="I65" s="718"/>
      <c r="J65" s="718"/>
      <c r="K65" s="718"/>
      <c r="L65" s="718"/>
      <c r="M65" s="718"/>
      <c r="N65" s="718"/>
      <c r="O65" s="718"/>
      <c r="P65" s="718"/>
      <c r="Q65" s="718"/>
      <c r="R65" s="718"/>
      <c r="S65" s="718"/>
      <c r="T65" s="718"/>
      <c r="U65" s="718"/>
      <c r="V65" s="718"/>
      <c r="W65" s="718"/>
      <c r="X65" s="718"/>
      <c r="Y65" s="718"/>
      <c r="Z65" s="718"/>
      <c r="AA65" s="718"/>
      <c r="AB65" s="718"/>
      <c r="AC65" s="718"/>
      <c r="AD65" s="718"/>
      <c r="AE65" s="718"/>
      <c r="AF65" s="718"/>
      <c r="AG65" s="718"/>
      <c r="AH65" s="718"/>
      <c r="AI65" s="718"/>
      <c r="AJ65" s="718"/>
      <c r="AK65" s="955"/>
      <c r="AL65" s="955"/>
      <c r="AM65" s="955"/>
      <c r="AN65" s="955"/>
      <c r="AO65" s="955"/>
      <c r="AP65" s="955"/>
      <c r="AQ65" s="955">
        <v>0</v>
      </c>
      <c r="AR65" s="955">
        <v>0</v>
      </c>
      <c r="AS65" s="955">
        <v>0</v>
      </c>
      <c r="AT65" s="955">
        <v>0</v>
      </c>
      <c r="AU65" s="955">
        <v>1100</v>
      </c>
      <c r="AV65" s="955">
        <v>0</v>
      </c>
      <c r="AW65" s="955">
        <v>0</v>
      </c>
      <c r="AX65" s="955">
        <v>0</v>
      </c>
      <c r="AY65" s="955">
        <v>0</v>
      </c>
      <c r="AZ65" s="955">
        <v>5000</v>
      </c>
      <c r="BA65" s="955">
        <v>0</v>
      </c>
      <c r="BB65" s="725">
        <v>0</v>
      </c>
      <c r="BC65" s="725"/>
      <c r="BD65" s="725"/>
      <c r="BE65" s="725"/>
      <c r="BF65" s="725"/>
      <c r="BG65" s="725"/>
      <c r="BH65" s="725"/>
      <c r="BI65" s="721"/>
      <c r="BJ65" s="721"/>
      <c r="BK65" s="721"/>
      <c r="BL65" s="721"/>
      <c r="BM65" s="721"/>
      <c r="BN65" s="721"/>
      <c r="BO65" s="721">
        <v>0</v>
      </c>
      <c r="BP65" s="721">
        <v>0</v>
      </c>
      <c r="BQ65" s="721">
        <v>0</v>
      </c>
      <c r="BR65" s="721">
        <v>0</v>
      </c>
      <c r="BS65" s="721">
        <v>0</v>
      </c>
      <c r="BT65" s="721">
        <v>0</v>
      </c>
      <c r="BU65" s="721">
        <v>0</v>
      </c>
      <c r="BV65" s="721">
        <v>0</v>
      </c>
      <c r="BW65" s="721">
        <v>0</v>
      </c>
      <c r="BX65" s="721">
        <v>0</v>
      </c>
      <c r="BY65" s="721">
        <v>0</v>
      </c>
      <c r="BZ65" s="721">
        <v>8300</v>
      </c>
      <c r="CA65" s="720">
        <v>8300</v>
      </c>
      <c r="CB65" s="720">
        <v>8300</v>
      </c>
      <c r="CC65" s="720">
        <v>8300</v>
      </c>
      <c r="CD65" s="720">
        <v>8300</v>
      </c>
      <c r="CE65" s="720">
        <v>8300</v>
      </c>
      <c r="CF65" s="720">
        <v>8300</v>
      </c>
      <c r="CG65" s="720">
        <v>8300</v>
      </c>
      <c r="CH65" s="720">
        <v>8300</v>
      </c>
      <c r="CI65" s="720">
        <v>8300</v>
      </c>
      <c r="CJ65" s="720">
        <v>8300</v>
      </c>
      <c r="CK65" s="720">
        <v>8300</v>
      </c>
      <c r="CL65" s="720">
        <v>8300</v>
      </c>
      <c r="CM65" s="720">
        <v>8500</v>
      </c>
      <c r="CN65" s="720">
        <v>8500</v>
      </c>
      <c r="CO65" s="720">
        <v>8500</v>
      </c>
      <c r="CP65" s="720">
        <v>8500</v>
      </c>
      <c r="CQ65" s="720">
        <v>8500</v>
      </c>
      <c r="CR65" s="720">
        <v>8500</v>
      </c>
      <c r="CS65" s="720">
        <v>8500</v>
      </c>
      <c r="CT65" s="720">
        <v>8500</v>
      </c>
      <c r="CU65" s="720">
        <v>8500</v>
      </c>
      <c r="CV65" s="720">
        <v>8500</v>
      </c>
      <c r="CW65" s="720">
        <v>8500</v>
      </c>
      <c r="CX65" s="720">
        <v>8500</v>
      </c>
      <c r="CY65" s="1051">
        <f t="shared" si="63"/>
        <v>102000</v>
      </c>
      <c r="CZ65" s="375"/>
      <c r="DA65" s="33"/>
      <c r="DB65" s="33"/>
    </row>
    <row r="66" spans="1:106">
      <c r="A66" s="455" t="s">
        <v>1240</v>
      </c>
      <c r="B66" s="442"/>
      <c r="C66" s="456"/>
      <c r="D66" s="456" t="s">
        <v>1239</v>
      </c>
      <c r="E66" s="456"/>
      <c r="F66" s="711">
        <f ca="1">SUM(OFFSET(BO66:BZ66,0,'Bal Sheet'!$A$1))/1000</f>
        <v>84.1</v>
      </c>
      <c r="G66" s="957"/>
      <c r="H66" s="957"/>
      <c r="I66" s="957"/>
      <c r="J66" s="957"/>
      <c r="K66" s="957"/>
      <c r="L66" s="957"/>
      <c r="M66" s="957"/>
      <c r="N66" s="957"/>
      <c r="O66" s="957"/>
      <c r="P66" s="957"/>
      <c r="Q66" s="957"/>
      <c r="R66" s="957"/>
      <c r="S66" s="957"/>
      <c r="T66" s="957"/>
      <c r="U66" s="957"/>
      <c r="V66" s="957"/>
      <c r="W66" s="957"/>
      <c r="X66" s="957"/>
      <c r="Y66" s="957"/>
      <c r="Z66" s="957"/>
      <c r="AA66" s="957"/>
      <c r="AB66" s="957"/>
      <c r="AC66" s="957"/>
      <c r="AD66" s="957"/>
      <c r="AE66" s="957">
        <v>0</v>
      </c>
      <c r="AF66" s="957">
        <v>4626.24</v>
      </c>
      <c r="AG66" s="957">
        <v>59783.8</v>
      </c>
      <c r="AH66" s="957">
        <v>12012.64</v>
      </c>
      <c r="AI66" s="957">
        <v>0</v>
      </c>
      <c r="AJ66" s="957">
        <v>0</v>
      </c>
      <c r="AK66" s="957">
        <v>2012.64</v>
      </c>
      <c r="AL66" s="957">
        <v>0</v>
      </c>
      <c r="AM66" s="957">
        <v>0</v>
      </c>
      <c r="AN66" s="957">
        <v>2012.64</v>
      </c>
      <c r="AO66" s="957">
        <v>0</v>
      </c>
      <c r="AP66" s="957">
        <v>0</v>
      </c>
      <c r="AQ66" s="958">
        <v>0</v>
      </c>
      <c r="AR66" s="958">
        <v>38414.83</v>
      </c>
      <c r="AS66" s="958">
        <v>1612.6</v>
      </c>
      <c r="AT66" s="958">
        <v>3631.03</v>
      </c>
      <c r="AU66" s="958">
        <v>0</v>
      </c>
      <c r="AV66" s="958">
        <v>0</v>
      </c>
      <c r="AW66" s="958">
        <v>3631.03</v>
      </c>
      <c r="AX66" s="958">
        <v>10000</v>
      </c>
      <c r="AY66" s="958">
        <v>0</v>
      </c>
      <c r="AZ66" s="958">
        <v>3631.03</v>
      </c>
      <c r="BA66" s="958">
        <v>0</v>
      </c>
      <c r="BB66" s="726">
        <v>-2754.8</v>
      </c>
      <c r="BC66" s="726"/>
      <c r="BD66" s="726"/>
      <c r="BE66" s="726"/>
      <c r="BF66" s="726"/>
      <c r="BG66" s="726"/>
      <c r="BH66" s="726"/>
      <c r="BI66" s="723"/>
      <c r="BJ66" s="723"/>
      <c r="BK66" s="723"/>
      <c r="BL66" s="723"/>
      <c r="BM66" s="723"/>
      <c r="BN66" s="723"/>
      <c r="BO66" s="723">
        <v>0</v>
      </c>
      <c r="BP66" s="723">
        <v>38000</v>
      </c>
      <c r="BQ66" s="723">
        <v>0</v>
      </c>
      <c r="BR66" s="723">
        <v>27900</v>
      </c>
      <c r="BS66" s="723">
        <v>12000</v>
      </c>
      <c r="BT66" s="723">
        <v>0</v>
      </c>
      <c r="BU66" s="723">
        <v>2900</v>
      </c>
      <c r="BV66" s="723">
        <v>0</v>
      </c>
      <c r="BW66" s="723">
        <v>0</v>
      </c>
      <c r="BX66" s="723">
        <v>2900</v>
      </c>
      <c r="BY66" s="723">
        <v>0</v>
      </c>
      <c r="BZ66" s="723">
        <v>0</v>
      </c>
      <c r="CA66" s="723">
        <v>35100</v>
      </c>
      <c r="CB66" s="723">
        <v>3000</v>
      </c>
      <c r="CC66" s="723">
        <v>0</v>
      </c>
      <c r="CD66" s="723">
        <v>28000</v>
      </c>
      <c r="CE66" s="723">
        <v>12000</v>
      </c>
      <c r="CF66" s="723">
        <v>0</v>
      </c>
      <c r="CG66" s="723">
        <v>3000</v>
      </c>
      <c r="CH66" s="723">
        <v>0</v>
      </c>
      <c r="CI66" s="723">
        <v>0</v>
      </c>
      <c r="CJ66" s="723">
        <v>3000</v>
      </c>
      <c r="CK66" s="723">
        <v>0</v>
      </c>
      <c r="CL66" s="723">
        <v>0</v>
      </c>
      <c r="CM66" s="723">
        <v>35100</v>
      </c>
      <c r="CN66" s="723">
        <v>3000</v>
      </c>
      <c r="CO66" s="723">
        <v>0</v>
      </c>
      <c r="CP66" s="723">
        <v>28000</v>
      </c>
      <c r="CQ66" s="723">
        <v>12000</v>
      </c>
      <c r="CR66" s="723">
        <v>0</v>
      </c>
      <c r="CS66" s="723">
        <v>3000</v>
      </c>
      <c r="CT66" s="723">
        <v>0</v>
      </c>
      <c r="CU66" s="723">
        <v>0</v>
      </c>
      <c r="CV66" s="723">
        <v>3000</v>
      </c>
      <c r="CW66" s="723">
        <v>0</v>
      </c>
      <c r="CX66" s="723">
        <v>0</v>
      </c>
      <c r="CY66" s="1051">
        <f>SUM(CM66:CX66)</f>
        <v>84100</v>
      </c>
      <c r="CZ66" s="375"/>
      <c r="DA66" s="33"/>
      <c r="DB66" s="33"/>
    </row>
    <row r="67" spans="1:106">
      <c r="A67" s="375" t="s">
        <v>460</v>
      </c>
      <c r="C67" s="22"/>
      <c r="E67" s="22"/>
      <c r="F67" s="707">
        <f ca="1">SUM(OFFSET(AE67:AP67,0,'Bal Sheet'!$A$1))/1000</f>
        <v>523.46572000000003</v>
      </c>
      <c r="G67" s="955"/>
      <c r="H67" s="955"/>
      <c r="I67" s="955"/>
      <c r="J67" s="955"/>
      <c r="K67" s="955"/>
      <c r="L67" s="955"/>
      <c r="M67" s="955"/>
      <c r="N67" s="955"/>
      <c r="O67" s="955"/>
      <c r="P67" s="955"/>
      <c r="Q67" s="955"/>
      <c r="R67" s="955"/>
      <c r="S67" s="955"/>
      <c r="T67" s="955"/>
      <c r="U67" s="955"/>
      <c r="V67" s="955"/>
      <c r="W67" s="955"/>
      <c r="X67" s="955"/>
      <c r="Y67" s="955"/>
      <c r="Z67" s="955"/>
      <c r="AA67" s="955"/>
      <c r="AB67" s="955"/>
      <c r="AC67" s="955"/>
      <c r="AD67" s="955"/>
      <c r="AE67" s="955"/>
      <c r="AF67" s="955"/>
      <c r="AG67" s="955"/>
      <c r="AH67" s="955"/>
      <c r="AI67" s="955"/>
      <c r="AJ67" s="955"/>
      <c r="AK67" s="959">
        <f t="shared" ref="AK67:CV67" si="64">SUM(AK54:AK66)</f>
        <v>2012.64</v>
      </c>
      <c r="AL67" s="959">
        <f t="shared" si="64"/>
        <v>0</v>
      </c>
      <c r="AM67" s="959">
        <f t="shared" si="64"/>
        <v>0</v>
      </c>
      <c r="AN67" s="959">
        <f t="shared" si="64"/>
        <v>2012.64</v>
      </c>
      <c r="AO67" s="959">
        <f t="shared" si="64"/>
        <v>0</v>
      </c>
      <c r="AP67" s="959">
        <f t="shared" si="64"/>
        <v>0</v>
      </c>
      <c r="AQ67" s="959">
        <f t="shared" si="64"/>
        <v>9400</v>
      </c>
      <c r="AR67" s="959">
        <f t="shared" si="64"/>
        <v>113214.83</v>
      </c>
      <c r="AS67" s="959">
        <f t="shared" si="64"/>
        <v>42612.6</v>
      </c>
      <c r="AT67" s="959">
        <f t="shared" si="64"/>
        <v>110031.03</v>
      </c>
      <c r="AU67" s="959">
        <f t="shared" si="64"/>
        <v>33200</v>
      </c>
      <c r="AV67" s="959">
        <f t="shared" si="64"/>
        <v>56700</v>
      </c>
      <c r="AW67" s="959">
        <f t="shared" si="64"/>
        <v>6031.0300000000007</v>
      </c>
      <c r="AX67" s="959">
        <f t="shared" si="64"/>
        <v>19300</v>
      </c>
      <c r="AY67" s="959">
        <f t="shared" si="64"/>
        <v>4100</v>
      </c>
      <c r="AZ67" s="959">
        <f t="shared" si="64"/>
        <v>43931.03</v>
      </c>
      <c r="BA67" s="959">
        <f t="shared" si="64"/>
        <v>17100</v>
      </c>
      <c r="BB67" s="718">
        <f t="shared" si="64"/>
        <v>67845.2</v>
      </c>
      <c r="BC67" s="718">
        <f t="shared" si="64"/>
        <v>0</v>
      </c>
      <c r="BD67" s="718">
        <f t="shared" si="64"/>
        <v>0</v>
      </c>
      <c r="BE67" s="718">
        <f t="shared" si="64"/>
        <v>0</v>
      </c>
      <c r="BF67" s="718">
        <f t="shared" si="64"/>
        <v>0</v>
      </c>
      <c r="BG67" s="718">
        <f t="shared" si="64"/>
        <v>0</v>
      </c>
      <c r="BH67" s="718">
        <f t="shared" si="64"/>
        <v>0</v>
      </c>
      <c r="BI67" s="718">
        <f t="shared" si="64"/>
        <v>0</v>
      </c>
      <c r="BJ67" s="718">
        <f t="shared" si="64"/>
        <v>0</v>
      </c>
      <c r="BK67" s="718">
        <f t="shared" si="64"/>
        <v>0</v>
      </c>
      <c r="BL67" s="718">
        <f t="shared" si="64"/>
        <v>0</v>
      </c>
      <c r="BM67" s="718">
        <f t="shared" si="64"/>
        <v>0</v>
      </c>
      <c r="BN67" s="718">
        <f t="shared" si="64"/>
        <v>0</v>
      </c>
      <c r="BO67" s="718">
        <f t="shared" si="64"/>
        <v>53700</v>
      </c>
      <c r="BP67" s="718">
        <f t="shared" si="64"/>
        <v>46800</v>
      </c>
      <c r="BQ67" s="718">
        <f t="shared" si="64"/>
        <v>46900</v>
      </c>
      <c r="BR67" s="718">
        <f t="shared" si="64"/>
        <v>116700</v>
      </c>
      <c r="BS67" s="718">
        <f t="shared" si="64"/>
        <v>50200</v>
      </c>
      <c r="BT67" s="718">
        <f t="shared" si="64"/>
        <v>24800</v>
      </c>
      <c r="BU67" s="718">
        <f t="shared" si="64"/>
        <v>25500</v>
      </c>
      <c r="BV67" s="718">
        <f t="shared" si="64"/>
        <v>21800</v>
      </c>
      <c r="BW67" s="718">
        <f t="shared" si="64"/>
        <v>27100</v>
      </c>
      <c r="BX67" s="718">
        <f t="shared" si="64"/>
        <v>68700</v>
      </c>
      <c r="BY67" s="718">
        <f t="shared" si="64"/>
        <v>58000</v>
      </c>
      <c r="BZ67" s="718">
        <f t="shared" si="64"/>
        <v>54600</v>
      </c>
      <c r="CA67" s="718">
        <f t="shared" si="64"/>
        <v>82200</v>
      </c>
      <c r="CB67" s="718">
        <f t="shared" si="64"/>
        <v>50100</v>
      </c>
      <c r="CC67" s="718">
        <f t="shared" si="64"/>
        <v>52100</v>
      </c>
      <c r="CD67" s="718">
        <f t="shared" si="64"/>
        <v>97100</v>
      </c>
      <c r="CE67" s="718">
        <f t="shared" si="64"/>
        <v>59100</v>
      </c>
      <c r="CF67" s="718">
        <f t="shared" si="64"/>
        <v>52100</v>
      </c>
      <c r="CG67" s="718">
        <f t="shared" si="64"/>
        <v>50100</v>
      </c>
      <c r="CH67" s="718">
        <f t="shared" si="64"/>
        <v>47100</v>
      </c>
      <c r="CI67" s="718">
        <f t="shared" si="64"/>
        <v>52100</v>
      </c>
      <c r="CJ67" s="718">
        <f t="shared" si="64"/>
        <v>50100</v>
      </c>
      <c r="CK67" s="718">
        <f t="shared" si="64"/>
        <v>47100</v>
      </c>
      <c r="CL67" s="718">
        <f t="shared" si="64"/>
        <v>102100</v>
      </c>
      <c r="CM67" s="718">
        <f t="shared" si="64"/>
        <v>83300</v>
      </c>
      <c r="CN67" s="718">
        <f t="shared" si="64"/>
        <v>51200</v>
      </c>
      <c r="CO67" s="718">
        <f t="shared" si="64"/>
        <v>53300</v>
      </c>
      <c r="CP67" s="718">
        <f t="shared" si="64"/>
        <v>98700</v>
      </c>
      <c r="CQ67" s="718">
        <f t="shared" si="64"/>
        <v>60200</v>
      </c>
      <c r="CR67" s="718">
        <f t="shared" si="64"/>
        <v>53300</v>
      </c>
      <c r="CS67" s="718">
        <f t="shared" si="64"/>
        <v>51200</v>
      </c>
      <c r="CT67" s="718">
        <f t="shared" si="64"/>
        <v>48200</v>
      </c>
      <c r="CU67" s="718">
        <f t="shared" si="64"/>
        <v>53300</v>
      </c>
      <c r="CV67" s="718">
        <f t="shared" si="64"/>
        <v>51200</v>
      </c>
      <c r="CW67" s="718">
        <f t="shared" ref="CW67:CY67" si="65">SUM(CW54:CW66)</f>
        <v>48200</v>
      </c>
      <c r="CX67" s="718">
        <f t="shared" si="65"/>
        <v>104300</v>
      </c>
      <c r="CY67" s="1051">
        <f t="shared" si="65"/>
        <v>756400</v>
      </c>
      <c r="CZ67" s="375"/>
      <c r="DA67" s="33"/>
      <c r="DB67" s="33"/>
    </row>
    <row r="68" spans="1:106">
      <c r="C68" s="22"/>
      <c r="E68" s="22"/>
      <c r="F68" s="33"/>
      <c r="G68" s="955"/>
      <c r="H68" s="955"/>
      <c r="I68" s="955"/>
      <c r="J68" s="955"/>
      <c r="K68" s="955"/>
      <c r="L68" s="955"/>
      <c r="M68" s="955"/>
      <c r="N68" s="955"/>
      <c r="O68" s="955"/>
      <c r="P68" s="955"/>
      <c r="Q68" s="955"/>
      <c r="R68" s="955"/>
      <c r="S68" s="955"/>
      <c r="T68" s="955"/>
      <c r="U68" s="955"/>
      <c r="V68" s="955"/>
      <c r="W68" s="955"/>
      <c r="X68" s="955"/>
      <c r="Y68" s="955"/>
      <c r="Z68" s="955"/>
      <c r="AA68" s="955"/>
      <c r="AB68" s="955"/>
      <c r="AC68" s="955"/>
      <c r="AD68" s="955"/>
      <c r="AE68" s="955"/>
      <c r="AF68" s="955"/>
      <c r="AG68" s="955"/>
      <c r="AH68" s="955"/>
      <c r="AI68" s="955"/>
      <c r="AJ68" s="955"/>
      <c r="AK68" s="955"/>
      <c r="AL68" s="955"/>
      <c r="AM68" s="955"/>
      <c r="AN68" s="955"/>
      <c r="AO68" s="955"/>
      <c r="AP68" s="955"/>
      <c r="AQ68" s="955"/>
      <c r="AR68" s="955"/>
      <c r="AS68" s="955"/>
      <c r="AT68" s="955"/>
      <c r="AU68" s="955"/>
      <c r="AV68" s="955"/>
      <c r="AW68" s="955"/>
      <c r="AX68" s="955"/>
      <c r="AY68" s="955"/>
      <c r="AZ68" s="955"/>
      <c r="BA68" s="955"/>
      <c r="BB68" s="718"/>
      <c r="BC68" s="718"/>
      <c r="BD68" s="718"/>
      <c r="BE68" s="718"/>
      <c r="BF68" s="718"/>
      <c r="BG68" s="718"/>
      <c r="BH68" s="718"/>
      <c r="BI68" s="718"/>
      <c r="BJ68" s="718"/>
      <c r="BK68" s="718"/>
      <c r="BL68" s="718"/>
      <c r="BM68" s="718"/>
      <c r="BN68" s="718"/>
      <c r="BO68" s="718"/>
      <c r="BP68" s="718"/>
      <c r="BQ68" s="718"/>
      <c r="BR68" s="718"/>
      <c r="BS68" s="718"/>
      <c r="BT68" s="718"/>
      <c r="BU68" s="718"/>
      <c r="BV68" s="718"/>
      <c r="BW68" s="718"/>
      <c r="BX68" s="718"/>
      <c r="BY68" s="718"/>
      <c r="BZ68" s="718"/>
      <c r="CA68" s="718"/>
      <c r="CB68" s="718"/>
      <c r="CC68" s="718"/>
      <c r="CD68" s="718"/>
      <c r="CE68" s="718"/>
      <c r="CF68" s="718"/>
      <c r="CG68" s="718"/>
      <c r="CH68" s="718"/>
      <c r="CI68" s="718"/>
      <c r="CJ68" s="718"/>
      <c r="CK68" s="718"/>
      <c r="CL68" s="718"/>
      <c r="CM68" s="718"/>
      <c r="CN68" s="718"/>
      <c r="CO68" s="718"/>
      <c r="CP68" s="718"/>
      <c r="CQ68" s="718"/>
      <c r="CR68" s="718"/>
      <c r="CS68" s="718"/>
      <c r="CT68" s="718"/>
      <c r="CU68" s="718"/>
      <c r="CV68" s="718"/>
      <c r="CW68" s="718"/>
      <c r="CX68" s="718"/>
      <c r="CY68" s="1051"/>
      <c r="CZ68" s="375"/>
      <c r="DA68" s="33"/>
      <c r="DB68" s="33"/>
    </row>
    <row r="69" spans="1:106">
      <c r="C69" s="22"/>
      <c r="E69" s="22"/>
      <c r="G69" s="955"/>
      <c r="H69" s="955"/>
      <c r="I69" s="955"/>
      <c r="J69" s="955"/>
      <c r="K69" s="955"/>
      <c r="L69" s="955"/>
      <c r="M69" s="955"/>
      <c r="N69" s="955"/>
      <c r="O69" s="955"/>
      <c r="P69" s="955"/>
      <c r="Q69" s="955"/>
      <c r="R69" s="955"/>
      <c r="S69" s="955"/>
      <c r="T69" s="955"/>
      <c r="U69" s="955"/>
      <c r="V69" s="955"/>
      <c r="W69" s="955"/>
      <c r="X69" s="955"/>
      <c r="Y69" s="955"/>
      <c r="Z69" s="955"/>
      <c r="AA69" s="955"/>
      <c r="AB69" s="955"/>
      <c r="AC69" s="955"/>
      <c r="AD69" s="955"/>
      <c r="AE69" s="955"/>
      <c r="AF69" s="955"/>
      <c r="AG69" s="955"/>
      <c r="AH69" s="955"/>
      <c r="AI69" s="955"/>
      <c r="AJ69" s="955"/>
      <c r="AK69" s="955"/>
      <c r="AL69" s="955"/>
      <c r="AM69" s="955"/>
      <c r="AN69" s="955"/>
      <c r="AO69" s="955"/>
      <c r="AP69" s="955"/>
      <c r="AQ69" s="955"/>
      <c r="AR69" s="955"/>
      <c r="AS69" s="955"/>
      <c r="AT69" s="955"/>
      <c r="AU69" s="955"/>
      <c r="AV69" s="955"/>
      <c r="AW69" s="955"/>
      <c r="AX69" s="955"/>
      <c r="AY69" s="955"/>
      <c r="AZ69" s="955"/>
      <c r="BA69" s="955"/>
      <c r="BB69" s="718"/>
      <c r="BC69" s="718"/>
      <c r="BD69" s="718"/>
      <c r="BE69" s="718"/>
      <c r="BF69" s="718"/>
      <c r="BG69" s="718"/>
      <c r="BH69" s="718"/>
      <c r="BI69" s="718"/>
      <c r="BJ69" s="718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8"/>
      <c r="CJ69" s="718"/>
      <c r="CK69" s="718"/>
      <c r="CL69" s="718"/>
      <c r="CM69" s="718"/>
      <c r="CN69" s="718"/>
      <c r="CO69" s="718"/>
      <c r="CP69" s="718"/>
      <c r="CQ69" s="718"/>
      <c r="CR69" s="718"/>
      <c r="CS69" s="718"/>
      <c r="CT69" s="718"/>
      <c r="CU69" s="718"/>
      <c r="CV69" s="718"/>
      <c r="CW69" s="718"/>
      <c r="CX69" s="718"/>
      <c r="CY69" s="1053"/>
      <c r="CZ69" s="375"/>
      <c r="DA69" s="33"/>
      <c r="DB69" s="33"/>
    </row>
    <row r="70" spans="1:106">
      <c r="C70" s="22"/>
      <c r="D70" s="22"/>
      <c r="E70" s="22"/>
      <c r="G70" s="955"/>
      <c r="H70" s="955"/>
      <c r="I70" s="955"/>
      <c r="J70" s="955"/>
      <c r="K70" s="955"/>
      <c r="L70" s="955"/>
      <c r="M70" s="955"/>
      <c r="N70" s="955"/>
      <c r="O70" s="955"/>
      <c r="P70" s="955"/>
      <c r="Q70" s="955"/>
      <c r="R70" s="955"/>
      <c r="S70" s="955"/>
      <c r="T70" s="955"/>
      <c r="U70" s="955"/>
      <c r="V70" s="955"/>
      <c r="W70" s="955"/>
      <c r="X70" s="955"/>
      <c r="Y70" s="955"/>
      <c r="Z70" s="955"/>
      <c r="AA70" s="955"/>
      <c r="AB70" s="955"/>
      <c r="AC70" s="955"/>
      <c r="AD70" s="955"/>
      <c r="AE70" s="955"/>
      <c r="AF70" s="955"/>
      <c r="AG70" s="955"/>
      <c r="AH70" s="955"/>
      <c r="AI70" s="955"/>
      <c r="AJ70" s="955"/>
      <c r="AK70" s="955"/>
      <c r="AL70" s="955"/>
      <c r="AM70" s="955"/>
      <c r="AN70" s="955"/>
      <c r="AO70" s="955"/>
      <c r="AP70" s="955"/>
      <c r="AQ70" s="955"/>
      <c r="AR70" s="955"/>
      <c r="AS70" s="955"/>
      <c r="AT70" s="955"/>
      <c r="AU70" s="955"/>
      <c r="AV70" s="955"/>
      <c r="AW70" s="955"/>
      <c r="AX70" s="955"/>
      <c r="AY70" s="955"/>
      <c r="AZ70" s="955"/>
      <c r="BA70" s="955"/>
      <c r="BB70" s="718"/>
      <c r="BC70" s="718"/>
      <c r="BD70" s="718"/>
      <c r="BE70" s="718"/>
      <c r="BF70" s="718"/>
      <c r="BG70" s="718"/>
      <c r="BH70" s="718"/>
      <c r="BI70" s="718"/>
      <c r="BJ70" s="718"/>
      <c r="BK70" s="718"/>
      <c r="BL70" s="718"/>
      <c r="BM70" s="718"/>
      <c r="BN70" s="718"/>
      <c r="BO70" s="718"/>
      <c r="BP70" s="718"/>
      <c r="BQ70" s="718"/>
      <c r="BR70" s="718"/>
      <c r="BS70" s="718"/>
      <c r="BT70" s="718"/>
      <c r="BU70" s="718"/>
      <c r="BV70" s="718"/>
      <c r="BW70" s="718"/>
      <c r="BX70" s="718"/>
      <c r="BY70" s="718"/>
      <c r="BZ70" s="718"/>
      <c r="CA70" s="718"/>
      <c r="CB70" s="718"/>
      <c r="CC70" s="718"/>
      <c r="CD70" s="718"/>
      <c r="CE70" s="718"/>
      <c r="CF70" s="718"/>
      <c r="CG70" s="718"/>
      <c r="CH70" s="718"/>
      <c r="CI70" s="718"/>
      <c r="CJ70" s="718"/>
      <c r="CK70" s="718"/>
      <c r="CL70" s="718"/>
      <c r="CM70" s="718"/>
      <c r="CN70" s="718"/>
      <c r="CO70" s="718"/>
      <c r="CP70" s="718"/>
      <c r="CQ70" s="718"/>
      <c r="CR70" s="718"/>
      <c r="CS70" s="718"/>
      <c r="CT70" s="718"/>
      <c r="CU70" s="718"/>
      <c r="CV70" s="718"/>
      <c r="CW70" s="718"/>
      <c r="CX70" s="718"/>
      <c r="CY70" s="1053"/>
      <c r="CZ70" s="375"/>
      <c r="DA70" s="33"/>
      <c r="DB70" s="33"/>
    </row>
    <row r="71" spans="1:106">
      <c r="C71" s="22"/>
      <c r="D71" s="22"/>
      <c r="E71" s="22"/>
      <c r="G71" s="955"/>
      <c r="H71" s="955"/>
      <c r="I71" s="955"/>
      <c r="J71" s="955"/>
      <c r="K71" s="955"/>
      <c r="L71" s="955"/>
      <c r="M71" s="955"/>
      <c r="N71" s="955"/>
      <c r="O71" s="955"/>
      <c r="P71" s="955"/>
      <c r="Q71" s="955"/>
      <c r="R71" s="955"/>
      <c r="S71" s="955"/>
      <c r="T71" s="955"/>
      <c r="U71" s="955"/>
      <c r="V71" s="955"/>
      <c r="W71" s="955"/>
      <c r="X71" s="955"/>
      <c r="Y71" s="955"/>
      <c r="Z71" s="955"/>
      <c r="AA71" s="955"/>
      <c r="AB71" s="955"/>
      <c r="AC71" s="955"/>
      <c r="AD71" s="955"/>
      <c r="AE71" s="955"/>
      <c r="AF71" s="955"/>
      <c r="AG71" s="955"/>
      <c r="AH71" s="955"/>
      <c r="AI71" s="955"/>
      <c r="AJ71" s="955"/>
      <c r="AK71" s="955"/>
      <c r="AL71" s="955"/>
      <c r="AM71" s="955"/>
      <c r="AN71" s="955"/>
      <c r="AO71" s="955"/>
      <c r="AP71" s="955"/>
      <c r="AQ71" s="955"/>
      <c r="AR71" s="955"/>
      <c r="AS71" s="955"/>
      <c r="AT71" s="955"/>
      <c r="AU71" s="955"/>
      <c r="AV71" s="955"/>
      <c r="AW71" s="955"/>
      <c r="AX71" s="955"/>
      <c r="AY71" s="955"/>
      <c r="AZ71" s="955"/>
      <c r="BA71" s="955"/>
      <c r="BB71" s="955"/>
      <c r="BC71" s="955"/>
      <c r="BD71" s="955"/>
      <c r="BE71" s="955"/>
      <c r="BF71" s="955"/>
      <c r="BG71" s="955"/>
      <c r="BH71" s="955"/>
      <c r="BI71" s="955"/>
      <c r="BJ71" s="955"/>
      <c r="BK71" s="955"/>
      <c r="BL71" s="955"/>
      <c r="BM71" s="955"/>
      <c r="BN71" s="955"/>
      <c r="BO71" s="955"/>
      <c r="BP71" s="955"/>
      <c r="BQ71" s="955"/>
      <c r="BR71" s="955"/>
      <c r="BS71" s="955"/>
      <c r="BT71" s="955"/>
      <c r="BU71" s="955"/>
      <c r="BV71" s="955"/>
      <c r="BW71" s="955"/>
      <c r="BX71" s="955"/>
      <c r="BY71" s="955"/>
      <c r="BZ71" s="955"/>
      <c r="CA71" s="955"/>
      <c r="CB71" s="955"/>
      <c r="CC71" s="955"/>
      <c r="CD71" s="955"/>
      <c r="CE71" s="955"/>
      <c r="CF71" s="955"/>
      <c r="CG71" s="955"/>
      <c r="CH71" s="955"/>
      <c r="CI71" s="955"/>
      <c r="CJ71" s="955"/>
      <c r="CK71" s="955"/>
      <c r="CL71" s="955"/>
      <c r="CM71" s="955"/>
      <c r="CN71" s="955"/>
      <c r="CO71" s="955"/>
      <c r="CP71" s="955"/>
      <c r="CQ71" s="955"/>
      <c r="CR71" s="955"/>
      <c r="CS71" s="955"/>
      <c r="CT71" s="955"/>
      <c r="CU71" s="955"/>
      <c r="CV71" s="955"/>
      <c r="CW71" s="955"/>
      <c r="CX71" s="955"/>
      <c r="CY71" s="1053"/>
      <c r="CZ71" s="375"/>
      <c r="DA71" s="33"/>
      <c r="DB71" s="33"/>
    </row>
    <row r="72" spans="1:106">
      <c r="C72" s="22"/>
      <c r="D72" s="22"/>
      <c r="E72" s="22"/>
      <c r="G72" s="955"/>
      <c r="H72" s="955"/>
      <c r="I72" s="955"/>
      <c r="J72" s="955"/>
      <c r="K72" s="955"/>
      <c r="L72" s="955"/>
      <c r="M72" s="955"/>
      <c r="N72" s="955"/>
      <c r="O72" s="955"/>
      <c r="P72" s="955"/>
      <c r="Q72" s="955"/>
      <c r="R72" s="955"/>
      <c r="S72" s="955"/>
      <c r="T72" s="955"/>
      <c r="U72" s="955"/>
      <c r="V72" s="955"/>
      <c r="W72" s="955"/>
      <c r="X72" s="955"/>
      <c r="Y72" s="955"/>
      <c r="Z72" s="955"/>
      <c r="AA72" s="955"/>
      <c r="AB72" s="955"/>
      <c r="AC72" s="955"/>
      <c r="AD72" s="955"/>
      <c r="AE72" s="955"/>
      <c r="AF72" s="955"/>
      <c r="AG72" s="955"/>
      <c r="AH72" s="955"/>
      <c r="AI72" s="955"/>
      <c r="AJ72" s="955"/>
      <c r="AK72" s="955"/>
      <c r="AL72" s="955"/>
      <c r="AM72" s="955"/>
      <c r="AN72" s="955"/>
      <c r="AO72" s="955"/>
      <c r="AP72" s="955"/>
      <c r="AQ72" s="955"/>
      <c r="AR72" s="955"/>
      <c r="AS72" s="955"/>
      <c r="AT72" s="955"/>
      <c r="AU72" s="955"/>
      <c r="AV72" s="955"/>
      <c r="AW72" s="955"/>
      <c r="AX72" s="955"/>
      <c r="AY72" s="955"/>
      <c r="AZ72" s="955"/>
      <c r="BA72" s="955"/>
      <c r="BB72" s="955"/>
      <c r="BC72" s="955"/>
      <c r="BD72" s="955"/>
      <c r="BE72" s="955"/>
      <c r="BF72" s="955"/>
      <c r="BG72" s="955"/>
      <c r="BH72" s="955"/>
      <c r="BI72" s="955"/>
      <c r="BJ72" s="955"/>
      <c r="BK72" s="955"/>
      <c r="BL72" s="955"/>
      <c r="BM72" s="955"/>
      <c r="BN72" s="955"/>
      <c r="BO72" s="955"/>
      <c r="BP72" s="955"/>
      <c r="BQ72" s="955"/>
      <c r="BR72" s="955"/>
      <c r="BS72" s="955"/>
      <c r="BT72" s="955"/>
      <c r="BU72" s="955"/>
      <c r="BV72" s="955"/>
      <c r="BW72" s="955"/>
      <c r="BX72" s="955"/>
      <c r="BY72" s="955"/>
      <c r="BZ72" s="955"/>
      <c r="CA72" s="955"/>
      <c r="CB72" s="955"/>
      <c r="CC72" s="955"/>
      <c r="CD72" s="955"/>
      <c r="CE72" s="955"/>
      <c r="CF72" s="955"/>
      <c r="CG72" s="955"/>
      <c r="CH72" s="955"/>
      <c r="CI72" s="955"/>
      <c r="CJ72" s="955"/>
      <c r="CK72" s="955"/>
      <c r="CL72" s="955"/>
      <c r="CM72" s="955"/>
      <c r="CN72" s="955"/>
      <c r="CO72" s="955"/>
      <c r="CP72" s="955"/>
      <c r="CQ72" s="955"/>
      <c r="CR72" s="955"/>
      <c r="CS72" s="955"/>
      <c r="CT72" s="955"/>
      <c r="CU72" s="955"/>
      <c r="CV72" s="955"/>
      <c r="CW72" s="955"/>
      <c r="CX72" s="955"/>
      <c r="CY72" s="1053"/>
      <c r="CZ72" s="375"/>
      <c r="DA72" s="33"/>
      <c r="DB72" s="33"/>
    </row>
    <row r="73" spans="1:106">
      <c r="C73" s="22"/>
      <c r="D73" s="22"/>
      <c r="E73" s="22"/>
      <c r="G73" s="955"/>
      <c r="H73" s="955"/>
      <c r="I73" s="955"/>
      <c r="J73" s="955"/>
      <c r="K73" s="955"/>
      <c r="L73" s="955"/>
      <c r="M73" s="955"/>
      <c r="N73" s="955"/>
      <c r="O73" s="955"/>
      <c r="P73" s="955"/>
      <c r="Q73" s="955"/>
      <c r="R73" s="955"/>
      <c r="S73" s="955"/>
      <c r="T73" s="955"/>
      <c r="U73" s="955"/>
      <c r="V73" s="955"/>
      <c r="W73" s="955"/>
      <c r="X73" s="955"/>
      <c r="Y73" s="955"/>
      <c r="Z73" s="955"/>
      <c r="AA73" s="955"/>
      <c r="AB73" s="955"/>
      <c r="AC73" s="955"/>
      <c r="AD73" s="955"/>
      <c r="AE73" s="955"/>
      <c r="AF73" s="955"/>
      <c r="AG73" s="955"/>
      <c r="AH73" s="955"/>
      <c r="AI73" s="955"/>
      <c r="AJ73" s="955"/>
      <c r="AK73" s="955"/>
      <c r="AL73" s="955"/>
      <c r="AM73" s="955"/>
      <c r="AN73" s="955"/>
      <c r="AO73" s="955"/>
      <c r="AP73" s="955"/>
      <c r="AQ73" s="955"/>
      <c r="AR73" s="955"/>
      <c r="AS73" s="955"/>
      <c r="AT73" s="955"/>
      <c r="AU73" s="955"/>
      <c r="AV73" s="955"/>
      <c r="AW73" s="955"/>
      <c r="AX73" s="955"/>
      <c r="AY73" s="955"/>
      <c r="AZ73" s="955"/>
      <c r="BA73" s="955"/>
      <c r="BB73" s="955"/>
      <c r="BC73" s="955"/>
      <c r="BD73" s="955"/>
      <c r="BE73" s="955"/>
      <c r="BF73" s="955"/>
      <c r="BG73" s="955"/>
      <c r="BH73" s="955"/>
      <c r="BI73" s="955"/>
      <c r="BJ73" s="955"/>
      <c r="BK73" s="955"/>
      <c r="BL73" s="955"/>
      <c r="BM73" s="955"/>
      <c r="BN73" s="955"/>
      <c r="BO73" s="955"/>
      <c r="BP73" s="955"/>
      <c r="BQ73" s="955"/>
      <c r="BR73" s="955"/>
      <c r="BS73" s="955"/>
      <c r="BT73" s="955"/>
      <c r="BU73" s="955"/>
      <c r="BV73" s="955"/>
      <c r="BW73" s="955"/>
      <c r="BX73" s="955"/>
      <c r="BY73" s="955"/>
      <c r="BZ73" s="955"/>
      <c r="CA73" s="955"/>
      <c r="CB73" s="955"/>
      <c r="CC73" s="955"/>
      <c r="CD73" s="955"/>
      <c r="CE73" s="955"/>
      <c r="CF73" s="955"/>
      <c r="CG73" s="955"/>
      <c r="CH73" s="955"/>
      <c r="CI73" s="955"/>
      <c r="CJ73" s="955"/>
      <c r="CK73" s="955"/>
      <c r="CL73" s="955"/>
      <c r="CM73" s="955"/>
      <c r="CN73" s="955"/>
      <c r="CO73" s="955"/>
      <c r="CP73" s="955"/>
      <c r="CQ73" s="955"/>
      <c r="CR73" s="955"/>
      <c r="CS73" s="955"/>
      <c r="CT73" s="955"/>
      <c r="CU73" s="955"/>
      <c r="CV73" s="955"/>
      <c r="CW73" s="955"/>
      <c r="CX73" s="955"/>
      <c r="CY73" s="1053"/>
      <c r="CZ73" s="375"/>
      <c r="DA73" s="33"/>
      <c r="DB73" s="33"/>
    </row>
    <row r="74" spans="1:106">
      <c r="C74" s="22"/>
      <c r="D74" s="22"/>
      <c r="E74" s="22"/>
      <c r="G74" s="955"/>
      <c r="H74" s="955"/>
      <c r="I74" s="955"/>
      <c r="J74" s="955"/>
      <c r="K74" s="955"/>
      <c r="L74" s="955"/>
      <c r="M74" s="955"/>
      <c r="N74" s="955"/>
      <c r="O74" s="955"/>
      <c r="P74" s="955"/>
      <c r="Q74" s="955"/>
      <c r="R74" s="955"/>
      <c r="S74" s="955"/>
      <c r="T74" s="955"/>
      <c r="U74" s="955"/>
      <c r="V74" s="955"/>
      <c r="W74" s="955"/>
      <c r="X74" s="955"/>
      <c r="Y74" s="955"/>
      <c r="Z74" s="955"/>
      <c r="AA74" s="955"/>
      <c r="AB74" s="955"/>
      <c r="AC74" s="955"/>
      <c r="AD74" s="955"/>
      <c r="AE74" s="955"/>
      <c r="AF74" s="955"/>
      <c r="AG74" s="955"/>
      <c r="AH74" s="955"/>
      <c r="AI74" s="955"/>
      <c r="AJ74" s="955"/>
      <c r="AK74" s="955"/>
      <c r="AL74" s="955"/>
      <c r="AM74" s="955"/>
      <c r="AN74" s="955"/>
      <c r="AO74" s="955"/>
      <c r="AP74" s="955"/>
      <c r="AQ74" s="955"/>
      <c r="AR74" s="955"/>
      <c r="AS74" s="955"/>
      <c r="AT74" s="955"/>
      <c r="AU74" s="955"/>
      <c r="AV74" s="955"/>
      <c r="AW74" s="955"/>
      <c r="AX74" s="955"/>
      <c r="AY74" s="955"/>
      <c r="AZ74" s="955"/>
      <c r="BA74" s="955"/>
      <c r="BB74" s="955"/>
      <c r="BC74" s="955"/>
      <c r="BD74" s="955"/>
      <c r="BE74" s="955"/>
      <c r="BF74" s="955"/>
      <c r="BG74" s="955"/>
      <c r="BH74" s="955"/>
      <c r="BI74" s="955"/>
      <c r="BJ74" s="955"/>
      <c r="BK74" s="955"/>
      <c r="BL74" s="955"/>
      <c r="BM74" s="955"/>
      <c r="BN74" s="955"/>
      <c r="BO74" s="955"/>
      <c r="BP74" s="955"/>
      <c r="BQ74" s="955"/>
      <c r="BR74" s="955"/>
      <c r="BS74" s="955"/>
      <c r="BT74" s="955"/>
      <c r="BU74" s="955"/>
      <c r="BV74" s="955"/>
      <c r="BW74" s="955"/>
      <c r="BX74" s="955"/>
      <c r="BY74" s="955"/>
      <c r="BZ74" s="955"/>
      <c r="CA74" s="955"/>
      <c r="CB74" s="955"/>
      <c r="CC74" s="955"/>
      <c r="CD74" s="955"/>
      <c r="CE74" s="955"/>
      <c r="CF74" s="955"/>
      <c r="CG74" s="955"/>
      <c r="CH74" s="955"/>
      <c r="CI74" s="955"/>
      <c r="CJ74" s="955"/>
      <c r="CK74" s="955"/>
      <c r="CL74" s="955"/>
      <c r="CM74" s="955"/>
      <c r="CN74" s="955"/>
      <c r="CO74" s="955"/>
      <c r="CP74" s="955"/>
      <c r="CQ74" s="955"/>
      <c r="CR74" s="955"/>
      <c r="CS74" s="955"/>
      <c r="CT74" s="955"/>
      <c r="CU74" s="955"/>
      <c r="CV74" s="955"/>
      <c r="CW74" s="955"/>
      <c r="CX74" s="955"/>
      <c r="CY74" s="1053"/>
      <c r="CZ74" s="375"/>
      <c r="DA74" s="33"/>
      <c r="DB74" s="33"/>
    </row>
    <row r="75" spans="1:106">
      <c r="C75" s="22"/>
      <c r="D75" s="22"/>
      <c r="E75" s="22"/>
      <c r="G75" s="955"/>
      <c r="H75" s="955"/>
      <c r="I75" s="955"/>
      <c r="J75" s="955"/>
      <c r="K75" s="955"/>
      <c r="L75" s="955"/>
      <c r="M75" s="955"/>
      <c r="N75" s="955"/>
      <c r="O75" s="955"/>
      <c r="P75" s="955"/>
      <c r="Q75" s="955"/>
      <c r="R75" s="955"/>
      <c r="S75" s="955"/>
      <c r="T75" s="955"/>
      <c r="U75" s="955"/>
      <c r="V75" s="955"/>
      <c r="W75" s="955"/>
      <c r="X75" s="955"/>
      <c r="Y75" s="955"/>
      <c r="Z75" s="955"/>
      <c r="AA75" s="955"/>
      <c r="AB75" s="955"/>
      <c r="AC75" s="955"/>
      <c r="AD75" s="955"/>
      <c r="AE75" s="955"/>
      <c r="AF75" s="955"/>
      <c r="AG75" s="955"/>
      <c r="AH75" s="955"/>
      <c r="AI75" s="955"/>
      <c r="AJ75" s="955"/>
      <c r="AK75" s="955"/>
      <c r="AL75" s="955"/>
      <c r="AM75" s="955"/>
      <c r="AN75" s="955"/>
      <c r="AO75" s="955"/>
      <c r="AP75" s="955"/>
      <c r="AQ75" s="955"/>
      <c r="AR75" s="955"/>
      <c r="AS75" s="955"/>
      <c r="AT75" s="955"/>
      <c r="AU75" s="955"/>
      <c r="AV75" s="955"/>
      <c r="AW75" s="955"/>
      <c r="AX75" s="955"/>
      <c r="AY75" s="955"/>
      <c r="AZ75" s="955"/>
      <c r="BA75" s="955"/>
      <c r="BB75" s="955"/>
      <c r="BC75" s="955"/>
      <c r="BD75" s="955"/>
      <c r="BE75" s="955"/>
      <c r="BF75" s="955"/>
      <c r="BG75" s="955"/>
      <c r="BH75" s="955"/>
      <c r="BI75" s="955"/>
      <c r="BJ75" s="955"/>
      <c r="BK75" s="955"/>
      <c r="BL75" s="955"/>
      <c r="BM75" s="955"/>
      <c r="BN75" s="955"/>
      <c r="BO75" s="955"/>
      <c r="BP75" s="955"/>
      <c r="BQ75" s="955"/>
      <c r="BR75" s="955"/>
      <c r="BS75" s="955"/>
      <c r="BT75" s="955"/>
      <c r="BU75" s="955"/>
      <c r="BV75" s="955"/>
      <c r="BW75" s="955"/>
      <c r="BX75" s="955"/>
      <c r="BY75" s="955"/>
      <c r="BZ75" s="955"/>
      <c r="CA75" s="955"/>
      <c r="CB75" s="955"/>
      <c r="CC75" s="955"/>
      <c r="CD75" s="955"/>
      <c r="CE75" s="955"/>
      <c r="CF75" s="955"/>
      <c r="CG75" s="955"/>
      <c r="CH75" s="955"/>
      <c r="CI75" s="955"/>
      <c r="CJ75" s="955"/>
      <c r="CK75" s="955"/>
      <c r="CL75" s="955"/>
      <c r="CM75" s="955"/>
      <c r="CN75" s="955"/>
      <c r="CO75" s="955"/>
      <c r="CP75" s="955"/>
      <c r="CQ75" s="955"/>
      <c r="CR75" s="955"/>
      <c r="CS75" s="955"/>
      <c r="CT75" s="955"/>
      <c r="CU75" s="955"/>
      <c r="CV75" s="955"/>
      <c r="CW75" s="955"/>
      <c r="CX75" s="955"/>
      <c r="CY75" s="1053"/>
      <c r="CZ75" s="375"/>
      <c r="DA75" s="33"/>
      <c r="DB75" s="33"/>
    </row>
    <row r="76" spans="1:106">
      <c r="C76" s="22"/>
      <c r="D76" s="22"/>
      <c r="E76" s="22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955"/>
      <c r="W76" s="955"/>
      <c r="X76" s="955"/>
      <c r="Y76" s="955"/>
      <c r="Z76" s="955"/>
      <c r="AA76" s="955"/>
      <c r="AB76" s="955"/>
      <c r="AC76" s="955"/>
      <c r="AD76" s="955"/>
      <c r="AE76" s="955"/>
      <c r="AF76" s="955"/>
      <c r="AG76" s="955"/>
      <c r="AH76" s="955"/>
      <c r="AI76" s="955"/>
      <c r="AJ76" s="955"/>
      <c r="AK76" s="955"/>
      <c r="AL76" s="955"/>
      <c r="AM76" s="955"/>
      <c r="AN76" s="955"/>
      <c r="AO76" s="955"/>
      <c r="AP76" s="955"/>
      <c r="AQ76" s="955"/>
      <c r="AR76" s="955"/>
      <c r="AS76" s="955"/>
      <c r="AT76" s="955"/>
      <c r="AU76" s="955"/>
      <c r="AV76" s="955"/>
      <c r="AW76" s="955"/>
      <c r="AX76" s="955"/>
      <c r="AY76" s="955"/>
      <c r="AZ76" s="955"/>
      <c r="BA76" s="955"/>
      <c r="BB76" s="955"/>
      <c r="BC76" s="955"/>
      <c r="BD76" s="955"/>
      <c r="BE76" s="955"/>
      <c r="BF76" s="955"/>
      <c r="BG76" s="955"/>
      <c r="BH76" s="955"/>
      <c r="BI76" s="955"/>
      <c r="BJ76" s="955"/>
      <c r="BK76" s="955"/>
      <c r="BL76" s="955"/>
      <c r="BM76" s="955"/>
      <c r="BN76" s="955"/>
      <c r="BO76" s="955"/>
      <c r="BP76" s="955"/>
      <c r="BQ76" s="955"/>
      <c r="BR76" s="955"/>
      <c r="BS76" s="955"/>
      <c r="BT76" s="955"/>
      <c r="BU76" s="955"/>
      <c r="BV76" s="955"/>
      <c r="BW76" s="955"/>
      <c r="BX76" s="955"/>
      <c r="BY76" s="955"/>
      <c r="BZ76" s="955"/>
      <c r="CA76" s="955"/>
      <c r="CB76" s="955"/>
      <c r="CC76" s="955"/>
      <c r="CD76" s="955"/>
      <c r="CE76" s="955"/>
      <c r="CF76" s="955"/>
      <c r="CG76" s="955"/>
      <c r="CH76" s="955"/>
      <c r="CI76" s="955"/>
      <c r="CJ76" s="955"/>
      <c r="CK76" s="955"/>
      <c r="CL76" s="955"/>
      <c r="CM76" s="955"/>
      <c r="CN76" s="955"/>
      <c r="CO76" s="955"/>
      <c r="CP76" s="955"/>
      <c r="CQ76" s="955"/>
      <c r="CR76" s="955"/>
      <c r="CS76" s="955"/>
      <c r="CT76" s="955"/>
      <c r="CU76" s="955"/>
      <c r="CV76" s="955"/>
      <c r="CW76" s="955"/>
      <c r="CX76" s="955"/>
      <c r="CY76" s="1053"/>
      <c r="CZ76" s="375"/>
      <c r="DA76" s="33"/>
      <c r="DB76" s="33"/>
    </row>
    <row r="77" spans="1:106">
      <c r="C77" s="22"/>
      <c r="D77" s="22"/>
      <c r="E77" s="22"/>
      <c r="G77" s="955"/>
      <c r="H77" s="955"/>
      <c r="I77" s="955"/>
      <c r="J77" s="955"/>
      <c r="K77" s="955"/>
      <c r="L77" s="955"/>
      <c r="M77" s="955"/>
      <c r="N77" s="955"/>
      <c r="O77" s="955"/>
      <c r="P77" s="955"/>
      <c r="Q77" s="955"/>
      <c r="R77" s="955"/>
      <c r="S77" s="955"/>
      <c r="T77" s="955"/>
      <c r="U77" s="955"/>
      <c r="V77" s="955"/>
      <c r="W77" s="955"/>
      <c r="X77" s="955"/>
      <c r="Y77" s="955"/>
      <c r="Z77" s="955"/>
      <c r="AA77" s="955"/>
      <c r="AB77" s="955"/>
      <c r="AC77" s="955"/>
      <c r="AD77" s="955"/>
      <c r="AE77" s="955"/>
      <c r="AF77" s="955"/>
      <c r="AG77" s="955"/>
      <c r="AH77" s="955"/>
      <c r="AI77" s="955"/>
      <c r="AJ77" s="955"/>
      <c r="AK77" s="955"/>
      <c r="AL77" s="955"/>
      <c r="AM77" s="955"/>
      <c r="AN77" s="955"/>
      <c r="AO77" s="955"/>
      <c r="AP77" s="955"/>
      <c r="AQ77" s="955"/>
      <c r="AR77" s="955"/>
      <c r="AS77" s="955"/>
      <c r="AT77" s="955"/>
      <c r="AU77" s="955"/>
      <c r="AV77" s="955"/>
      <c r="AW77" s="955"/>
      <c r="AX77" s="955"/>
      <c r="AY77" s="955"/>
      <c r="AZ77" s="955"/>
      <c r="BA77" s="955"/>
      <c r="BB77" s="955"/>
      <c r="BC77" s="955"/>
      <c r="BD77" s="955"/>
      <c r="BE77" s="955"/>
      <c r="BF77" s="955"/>
      <c r="BG77" s="955"/>
      <c r="BH77" s="955"/>
      <c r="BI77" s="955"/>
      <c r="BJ77" s="955"/>
      <c r="BK77" s="955"/>
      <c r="BL77" s="955"/>
      <c r="BM77" s="955"/>
      <c r="BN77" s="955"/>
      <c r="BO77" s="955"/>
      <c r="BP77" s="955"/>
      <c r="BQ77" s="955"/>
      <c r="BR77" s="955"/>
      <c r="BS77" s="955"/>
      <c r="BT77" s="955"/>
      <c r="BU77" s="955"/>
      <c r="BV77" s="955"/>
      <c r="BW77" s="955"/>
      <c r="BX77" s="955"/>
      <c r="BY77" s="955"/>
      <c r="BZ77" s="955"/>
      <c r="CA77" s="955"/>
      <c r="CB77" s="955"/>
      <c r="CC77" s="955"/>
      <c r="CD77" s="955"/>
      <c r="CE77" s="955"/>
      <c r="CF77" s="955"/>
      <c r="CG77" s="955"/>
      <c r="CH77" s="955"/>
      <c r="CI77" s="955"/>
      <c r="CJ77" s="955"/>
      <c r="CK77" s="955"/>
      <c r="CL77" s="955"/>
      <c r="CM77" s="955"/>
      <c r="CN77" s="955"/>
      <c r="CO77" s="955"/>
      <c r="CP77" s="955"/>
      <c r="CQ77" s="955"/>
      <c r="CR77" s="955"/>
      <c r="CS77" s="955"/>
      <c r="CT77" s="955"/>
      <c r="CU77" s="955"/>
      <c r="CV77" s="955"/>
      <c r="CW77" s="955"/>
      <c r="CX77" s="955"/>
      <c r="CY77" s="1053"/>
      <c r="CZ77" s="375"/>
      <c r="DA77" s="33"/>
      <c r="DB77" s="33"/>
    </row>
    <row r="78" spans="1:106">
      <c r="C78" s="22"/>
      <c r="D78" s="22"/>
      <c r="E78" s="22"/>
      <c r="G78" s="955"/>
      <c r="H78" s="955"/>
      <c r="I78" s="955"/>
      <c r="J78" s="955"/>
      <c r="K78" s="955"/>
      <c r="L78" s="955"/>
      <c r="M78" s="955"/>
      <c r="N78" s="955"/>
      <c r="O78" s="955"/>
      <c r="P78" s="955"/>
      <c r="Q78" s="955"/>
      <c r="R78" s="955"/>
      <c r="S78" s="955"/>
      <c r="T78" s="955"/>
      <c r="U78" s="955"/>
      <c r="V78" s="955"/>
      <c r="W78" s="955"/>
      <c r="X78" s="955"/>
      <c r="Y78" s="955"/>
      <c r="Z78" s="955"/>
      <c r="AA78" s="955"/>
      <c r="AB78" s="955"/>
      <c r="AC78" s="955"/>
      <c r="AD78" s="955"/>
      <c r="AE78" s="955"/>
      <c r="AF78" s="955"/>
      <c r="AG78" s="955"/>
      <c r="AH78" s="955"/>
      <c r="AI78" s="955"/>
      <c r="AJ78" s="955"/>
      <c r="AK78" s="955"/>
      <c r="AL78" s="955"/>
      <c r="AM78" s="955"/>
      <c r="AN78" s="955"/>
      <c r="AO78" s="955"/>
      <c r="AP78" s="955"/>
      <c r="AQ78" s="955"/>
      <c r="AR78" s="955"/>
      <c r="AS78" s="955"/>
      <c r="AT78" s="955"/>
      <c r="AU78" s="955"/>
      <c r="AV78" s="955"/>
      <c r="AW78" s="955"/>
      <c r="AX78" s="955"/>
      <c r="AY78" s="955"/>
      <c r="AZ78" s="955"/>
      <c r="BA78" s="955"/>
      <c r="BB78" s="955"/>
      <c r="BC78" s="955"/>
      <c r="BD78" s="955"/>
      <c r="BE78" s="955"/>
      <c r="BF78" s="955"/>
      <c r="BG78" s="955"/>
      <c r="BH78" s="955"/>
      <c r="BI78" s="955"/>
      <c r="BJ78" s="955"/>
      <c r="BK78" s="955"/>
      <c r="BL78" s="955"/>
      <c r="BM78" s="955"/>
      <c r="BN78" s="955"/>
      <c r="BO78" s="955"/>
      <c r="BP78" s="955"/>
      <c r="BQ78" s="955"/>
      <c r="BR78" s="955"/>
      <c r="BS78" s="955"/>
      <c r="BT78" s="955"/>
      <c r="BU78" s="955"/>
      <c r="BV78" s="955"/>
      <c r="BW78" s="955"/>
      <c r="BX78" s="955"/>
      <c r="BY78" s="955"/>
      <c r="BZ78" s="955"/>
      <c r="CA78" s="955"/>
      <c r="CB78" s="955"/>
      <c r="CC78" s="955"/>
      <c r="CD78" s="955"/>
      <c r="CE78" s="955"/>
      <c r="CF78" s="955"/>
      <c r="CG78" s="955"/>
      <c r="CH78" s="955"/>
      <c r="CI78" s="955"/>
      <c r="CJ78" s="955"/>
      <c r="CK78" s="955"/>
      <c r="CL78" s="955"/>
      <c r="CM78" s="955"/>
      <c r="CN78" s="955"/>
      <c r="CO78" s="955"/>
      <c r="CP78" s="955"/>
      <c r="CQ78" s="955"/>
      <c r="CR78" s="955"/>
      <c r="CS78" s="955"/>
      <c r="CT78" s="955"/>
      <c r="CU78" s="955"/>
      <c r="CV78" s="955"/>
      <c r="CW78" s="955"/>
      <c r="CX78" s="955"/>
      <c r="CY78" s="1053"/>
      <c r="CZ78" s="375"/>
      <c r="DA78" s="33"/>
      <c r="DB78" s="33"/>
    </row>
    <row r="79" spans="1:106">
      <c r="C79" s="22"/>
      <c r="D79" s="22"/>
      <c r="E79" s="22"/>
      <c r="G79" s="955"/>
      <c r="H79" s="955"/>
      <c r="I79" s="955"/>
      <c r="J79" s="955"/>
      <c r="K79" s="955"/>
      <c r="L79" s="955"/>
      <c r="M79" s="955"/>
      <c r="N79" s="955"/>
      <c r="O79" s="955"/>
      <c r="P79" s="955"/>
      <c r="Q79" s="955"/>
      <c r="R79" s="955"/>
      <c r="S79" s="955"/>
      <c r="T79" s="955"/>
      <c r="U79" s="955"/>
      <c r="V79" s="955"/>
      <c r="W79" s="955"/>
      <c r="X79" s="955"/>
      <c r="Y79" s="955"/>
      <c r="Z79" s="955"/>
      <c r="AA79" s="955"/>
      <c r="AB79" s="955"/>
      <c r="AC79" s="955"/>
      <c r="AD79" s="955"/>
      <c r="AE79" s="955"/>
      <c r="AF79" s="955"/>
      <c r="AG79" s="955"/>
      <c r="AH79" s="955"/>
      <c r="AI79" s="955"/>
      <c r="AJ79" s="955"/>
      <c r="AK79" s="955"/>
      <c r="AL79" s="955"/>
      <c r="AM79" s="955"/>
      <c r="AN79" s="955"/>
      <c r="AO79" s="955"/>
      <c r="AP79" s="955"/>
      <c r="AQ79" s="955"/>
      <c r="AR79" s="955"/>
      <c r="AS79" s="955"/>
      <c r="AT79" s="955"/>
      <c r="AU79" s="955"/>
      <c r="AV79" s="955"/>
      <c r="AW79" s="955"/>
      <c r="AX79" s="955"/>
      <c r="AY79" s="955"/>
      <c r="AZ79" s="955"/>
      <c r="BA79" s="955"/>
      <c r="BB79" s="955"/>
      <c r="BC79" s="955"/>
      <c r="BD79" s="955"/>
      <c r="BE79" s="955"/>
      <c r="BF79" s="955"/>
      <c r="BG79" s="955"/>
      <c r="BH79" s="955"/>
      <c r="BI79" s="955"/>
      <c r="BJ79" s="955"/>
      <c r="BK79" s="955"/>
      <c r="BL79" s="955"/>
      <c r="BM79" s="955"/>
      <c r="BN79" s="955"/>
      <c r="BO79" s="955"/>
      <c r="BP79" s="955"/>
      <c r="BQ79" s="955"/>
      <c r="BR79" s="955"/>
      <c r="BS79" s="955"/>
      <c r="BT79" s="955"/>
      <c r="BU79" s="955"/>
      <c r="BV79" s="955"/>
      <c r="BW79" s="955"/>
      <c r="BX79" s="955"/>
      <c r="BY79" s="955"/>
      <c r="BZ79" s="955"/>
      <c r="CA79" s="955"/>
      <c r="CB79" s="955"/>
      <c r="CC79" s="955"/>
      <c r="CD79" s="955"/>
      <c r="CE79" s="955"/>
      <c r="CF79" s="955"/>
      <c r="CG79" s="955"/>
      <c r="CH79" s="955"/>
      <c r="CI79" s="955"/>
      <c r="CJ79" s="955"/>
      <c r="CK79" s="955"/>
      <c r="CL79" s="955"/>
      <c r="CM79" s="955"/>
      <c r="CN79" s="955"/>
      <c r="CO79" s="955"/>
      <c r="CP79" s="955"/>
      <c r="CQ79" s="955"/>
      <c r="CR79" s="955"/>
      <c r="CS79" s="955"/>
      <c r="CT79" s="955"/>
      <c r="CU79" s="955"/>
      <c r="CV79" s="955"/>
      <c r="CW79" s="955"/>
      <c r="CX79" s="955"/>
      <c r="CY79" s="1053"/>
      <c r="CZ79" s="375"/>
      <c r="DA79" s="33"/>
      <c r="DB79" s="33"/>
    </row>
    <row r="80" spans="1:106">
      <c r="C80" s="22"/>
      <c r="D80" s="22"/>
      <c r="E80" s="22"/>
      <c r="G80" s="955"/>
      <c r="H80" s="955"/>
      <c r="I80" s="955"/>
      <c r="J80" s="955"/>
      <c r="K80" s="955"/>
      <c r="L80" s="955"/>
      <c r="M80" s="955"/>
      <c r="N80" s="955"/>
      <c r="O80" s="955"/>
      <c r="P80" s="955"/>
      <c r="Q80" s="955"/>
      <c r="R80" s="955"/>
      <c r="S80" s="955"/>
      <c r="T80" s="955"/>
      <c r="U80" s="955"/>
      <c r="V80" s="955"/>
      <c r="W80" s="955"/>
      <c r="X80" s="955"/>
      <c r="Y80" s="955"/>
      <c r="Z80" s="955"/>
      <c r="AA80" s="955"/>
      <c r="AB80" s="955"/>
      <c r="AC80" s="955"/>
      <c r="AD80" s="955"/>
      <c r="AE80" s="955"/>
      <c r="AF80" s="955"/>
      <c r="AG80" s="955"/>
      <c r="AH80" s="955"/>
      <c r="AI80" s="955"/>
      <c r="AJ80" s="955"/>
      <c r="AK80" s="955"/>
      <c r="AL80" s="955"/>
      <c r="AM80" s="955"/>
      <c r="AN80" s="955"/>
      <c r="AO80" s="955"/>
      <c r="AP80" s="955"/>
      <c r="AQ80" s="955"/>
      <c r="AR80" s="955"/>
      <c r="AS80" s="955"/>
      <c r="AT80" s="955"/>
      <c r="AU80" s="955"/>
      <c r="AV80" s="955"/>
      <c r="AW80" s="955"/>
      <c r="AX80" s="955"/>
      <c r="AY80" s="955"/>
      <c r="AZ80" s="955"/>
      <c r="BA80" s="955"/>
      <c r="BB80" s="955"/>
      <c r="BC80" s="955"/>
      <c r="BD80" s="955"/>
      <c r="BE80" s="955"/>
      <c r="BF80" s="955"/>
      <c r="BG80" s="955"/>
      <c r="BH80" s="955"/>
      <c r="BI80" s="955"/>
      <c r="BJ80" s="955"/>
      <c r="BK80" s="955"/>
      <c r="BL80" s="955"/>
      <c r="BM80" s="955"/>
      <c r="BN80" s="955"/>
      <c r="BO80" s="955"/>
      <c r="BP80" s="955"/>
      <c r="BQ80" s="955"/>
      <c r="BR80" s="955"/>
      <c r="BS80" s="955"/>
      <c r="BT80" s="955"/>
      <c r="BU80" s="955"/>
      <c r="BV80" s="955"/>
      <c r="BW80" s="955"/>
      <c r="BX80" s="955"/>
      <c r="BY80" s="955"/>
      <c r="BZ80" s="955"/>
      <c r="CA80" s="955"/>
      <c r="CB80" s="955"/>
      <c r="CC80" s="955"/>
      <c r="CD80" s="955"/>
      <c r="CE80" s="955"/>
      <c r="CF80" s="955"/>
      <c r="CG80" s="955"/>
      <c r="CH80" s="955"/>
      <c r="CI80" s="955"/>
      <c r="CJ80" s="955"/>
      <c r="CK80" s="955"/>
      <c r="CL80" s="955"/>
      <c r="CM80" s="955"/>
      <c r="CN80" s="955"/>
      <c r="CO80" s="955"/>
      <c r="CP80" s="955"/>
      <c r="CQ80" s="955"/>
      <c r="CR80" s="955"/>
      <c r="CS80" s="955"/>
      <c r="CT80" s="955"/>
      <c r="CU80" s="955"/>
      <c r="CV80" s="955"/>
      <c r="CW80" s="955"/>
      <c r="CX80" s="955"/>
      <c r="CY80" s="1053"/>
      <c r="CZ80" s="375"/>
      <c r="DA80" s="33"/>
      <c r="DB80" s="33"/>
    </row>
    <row r="81" spans="3:106">
      <c r="C81" s="22"/>
      <c r="D81" s="22"/>
      <c r="E81" s="22"/>
      <c r="G81" s="955"/>
      <c r="H81" s="955"/>
      <c r="I81" s="955"/>
      <c r="J81" s="955"/>
      <c r="K81" s="955"/>
      <c r="L81" s="955"/>
      <c r="M81" s="955"/>
      <c r="N81" s="955"/>
      <c r="O81" s="955"/>
      <c r="P81" s="955"/>
      <c r="Q81" s="955"/>
      <c r="R81" s="955"/>
      <c r="S81" s="955"/>
      <c r="T81" s="955"/>
      <c r="U81" s="955"/>
      <c r="V81" s="955"/>
      <c r="W81" s="955"/>
      <c r="X81" s="955"/>
      <c r="Y81" s="955"/>
      <c r="Z81" s="955"/>
      <c r="AA81" s="955"/>
      <c r="AB81" s="955"/>
      <c r="AC81" s="955"/>
      <c r="AD81" s="955"/>
      <c r="AE81" s="955"/>
      <c r="AF81" s="955"/>
      <c r="AG81" s="955"/>
      <c r="AH81" s="955"/>
      <c r="AI81" s="955"/>
      <c r="AJ81" s="955"/>
      <c r="AK81" s="955"/>
      <c r="AL81" s="955"/>
      <c r="AM81" s="955"/>
      <c r="AN81" s="955"/>
      <c r="AO81" s="955"/>
      <c r="AP81" s="955"/>
      <c r="AQ81" s="955"/>
      <c r="AR81" s="955"/>
      <c r="AS81" s="955"/>
      <c r="AT81" s="955"/>
      <c r="AU81" s="955"/>
      <c r="AV81" s="955"/>
      <c r="AW81" s="955"/>
      <c r="AX81" s="955"/>
      <c r="AY81" s="955"/>
      <c r="AZ81" s="955"/>
      <c r="BA81" s="955"/>
      <c r="BB81" s="955"/>
      <c r="BC81" s="955"/>
      <c r="BD81" s="955"/>
      <c r="BE81" s="955"/>
      <c r="BF81" s="955"/>
      <c r="BG81" s="955"/>
      <c r="BH81" s="955"/>
      <c r="BI81" s="955"/>
      <c r="BJ81" s="955"/>
      <c r="BK81" s="955"/>
      <c r="BL81" s="955"/>
      <c r="BM81" s="955"/>
      <c r="BN81" s="955"/>
      <c r="BO81" s="955"/>
      <c r="BP81" s="955"/>
      <c r="BQ81" s="955"/>
      <c r="BR81" s="955"/>
      <c r="BS81" s="955"/>
      <c r="BT81" s="955"/>
      <c r="BU81" s="955"/>
      <c r="BV81" s="955"/>
      <c r="BW81" s="955"/>
      <c r="BX81" s="955"/>
      <c r="BY81" s="955"/>
      <c r="BZ81" s="955"/>
      <c r="CA81" s="955"/>
      <c r="CB81" s="955"/>
      <c r="CC81" s="955"/>
      <c r="CD81" s="955"/>
      <c r="CE81" s="955"/>
      <c r="CF81" s="955"/>
      <c r="CG81" s="955"/>
      <c r="CH81" s="955"/>
      <c r="CI81" s="955"/>
      <c r="CJ81" s="955"/>
      <c r="CK81" s="955"/>
      <c r="CL81" s="955"/>
      <c r="CM81" s="955"/>
      <c r="CN81" s="955"/>
      <c r="CO81" s="955"/>
      <c r="CP81" s="955"/>
      <c r="CQ81" s="955"/>
      <c r="CR81" s="955"/>
      <c r="CS81" s="955"/>
      <c r="CT81" s="955"/>
      <c r="CU81" s="955"/>
      <c r="CV81" s="955"/>
      <c r="CW81" s="955"/>
      <c r="CX81" s="955"/>
      <c r="CY81" s="1053"/>
      <c r="CZ81" s="375"/>
      <c r="DA81" s="33"/>
      <c r="DB81" s="33"/>
    </row>
    <row r="82" spans="3:106">
      <c r="C82" s="22"/>
      <c r="D82" s="22"/>
      <c r="E82" s="22"/>
      <c r="G82" s="955"/>
      <c r="H82" s="955"/>
      <c r="I82" s="955"/>
      <c r="J82" s="955"/>
      <c r="K82" s="955"/>
      <c r="L82" s="955"/>
      <c r="M82" s="955"/>
      <c r="N82" s="955"/>
      <c r="O82" s="955"/>
      <c r="P82" s="955"/>
      <c r="Q82" s="955"/>
      <c r="R82" s="955"/>
      <c r="S82" s="955"/>
      <c r="T82" s="955"/>
      <c r="U82" s="955"/>
      <c r="V82" s="955"/>
      <c r="W82" s="955"/>
      <c r="X82" s="955"/>
      <c r="Y82" s="955"/>
      <c r="Z82" s="955"/>
      <c r="AA82" s="955"/>
      <c r="AB82" s="955"/>
      <c r="AC82" s="955"/>
      <c r="AD82" s="955"/>
      <c r="AE82" s="955"/>
      <c r="AF82" s="955"/>
      <c r="AG82" s="955"/>
      <c r="AH82" s="955"/>
      <c r="AI82" s="955"/>
      <c r="AJ82" s="955"/>
      <c r="AK82" s="955"/>
      <c r="AL82" s="955"/>
      <c r="AM82" s="955"/>
      <c r="AN82" s="955"/>
      <c r="AO82" s="955"/>
      <c r="AP82" s="955"/>
      <c r="AQ82" s="955"/>
      <c r="AR82" s="955"/>
      <c r="AS82" s="955"/>
      <c r="AT82" s="955"/>
      <c r="AU82" s="955"/>
      <c r="AV82" s="955"/>
      <c r="AW82" s="955"/>
      <c r="AX82" s="955"/>
      <c r="AY82" s="955"/>
      <c r="AZ82" s="955"/>
      <c r="BA82" s="955"/>
      <c r="BB82" s="955"/>
      <c r="BC82" s="955"/>
      <c r="BD82" s="955"/>
      <c r="BE82" s="955"/>
      <c r="BF82" s="955"/>
      <c r="BG82" s="955"/>
      <c r="BH82" s="955"/>
      <c r="BI82" s="955"/>
      <c r="BJ82" s="955"/>
      <c r="BK82" s="955"/>
      <c r="BL82" s="955"/>
      <c r="BM82" s="955"/>
      <c r="BN82" s="955"/>
      <c r="BO82" s="955"/>
      <c r="BP82" s="955"/>
      <c r="BQ82" s="955"/>
      <c r="BR82" s="955"/>
      <c r="BS82" s="955"/>
      <c r="BT82" s="955"/>
      <c r="BU82" s="955"/>
      <c r="BV82" s="955"/>
      <c r="BW82" s="955"/>
      <c r="BX82" s="955"/>
      <c r="BY82" s="955"/>
      <c r="BZ82" s="955"/>
      <c r="CA82" s="955"/>
      <c r="CB82" s="955"/>
      <c r="CC82" s="955"/>
      <c r="CD82" s="955"/>
      <c r="CE82" s="955"/>
      <c r="CF82" s="955"/>
      <c r="CG82" s="955"/>
      <c r="CH82" s="955"/>
      <c r="CI82" s="955"/>
      <c r="CJ82" s="955"/>
      <c r="CK82" s="955"/>
      <c r="CL82" s="955"/>
      <c r="CM82" s="955"/>
      <c r="CN82" s="955"/>
      <c r="CO82" s="955"/>
      <c r="CP82" s="955"/>
      <c r="CQ82" s="955"/>
      <c r="CR82" s="955"/>
      <c r="CS82" s="955"/>
      <c r="CT82" s="955"/>
      <c r="CU82" s="955"/>
      <c r="CV82" s="955"/>
      <c r="CW82" s="955"/>
      <c r="CX82" s="955"/>
      <c r="CY82" s="1053"/>
      <c r="CZ82" s="375"/>
      <c r="DA82" s="33"/>
      <c r="DB82" s="33"/>
    </row>
    <row r="83" spans="3:106">
      <c r="C83" s="22"/>
      <c r="D83" s="22"/>
      <c r="E83" s="22"/>
      <c r="G83" s="955"/>
      <c r="H83" s="955"/>
      <c r="I83" s="955"/>
      <c r="J83" s="955"/>
      <c r="K83" s="955"/>
      <c r="L83" s="955"/>
      <c r="M83" s="955"/>
      <c r="N83" s="955"/>
      <c r="O83" s="955"/>
      <c r="P83" s="955"/>
      <c r="Q83" s="955"/>
      <c r="R83" s="955"/>
      <c r="S83" s="955"/>
      <c r="T83" s="955"/>
      <c r="U83" s="955"/>
      <c r="V83" s="955"/>
      <c r="W83" s="955"/>
      <c r="X83" s="955"/>
      <c r="Y83" s="955"/>
      <c r="Z83" s="955"/>
      <c r="AA83" s="955"/>
      <c r="AB83" s="955"/>
      <c r="AC83" s="955"/>
      <c r="AD83" s="955"/>
      <c r="AE83" s="955"/>
      <c r="AF83" s="955"/>
      <c r="AG83" s="955"/>
      <c r="AH83" s="955"/>
      <c r="AI83" s="955"/>
      <c r="AJ83" s="955"/>
      <c r="AK83" s="955"/>
      <c r="AL83" s="955"/>
      <c r="AM83" s="955"/>
      <c r="AN83" s="955"/>
      <c r="AO83" s="955"/>
      <c r="AP83" s="955"/>
      <c r="AQ83" s="955"/>
      <c r="AR83" s="955"/>
      <c r="AS83" s="955"/>
      <c r="AT83" s="955"/>
      <c r="AU83" s="955"/>
      <c r="AV83" s="955"/>
      <c r="AW83" s="955"/>
      <c r="AX83" s="955"/>
      <c r="AY83" s="955"/>
      <c r="AZ83" s="955"/>
      <c r="BA83" s="955"/>
      <c r="BB83" s="955"/>
      <c r="BC83" s="955"/>
      <c r="BD83" s="955"/>
      <c r="BE83" s="955"/>
      <c r="BF83" s="955"/>
      <c r="BG83" s="955"/>
      <c r="BH83" s="955"/>
      <c r="BI83" s="955"/>
      <c r="BJ83" s="955"/>
      <c r="BK83" s="955"/>
      <c r="BL83" s="955"/>
      <c r="BM83" s="955"/>
      <c r="BN83" s="955"/>
      <c r="BO83" s="955"/>
      <c r="BP83" s="955"/>
      <c r="BQ83" s="955"/>
      <c r="BR83" s="955"/>
      <c r="BS83" s="955"/>
      <c r="BT83" s="955"/>
      <c r="BU83" s="955"/>
      <c r="BV83" s="955"/>
      <c r="BW83" s="955"/>
      <c r="BX83" s="955"/>
      <c r="BY83" s="955"/>
      <c r="BZ83" s="955"/>
      <c r="CA83" s="955"/>
      <c r="CB83" s="955"/>
      <c r="CC83" s="955"/>
      <c r="CD83" s="955"/>
      <c r="CE83" s="955"/>
      <c r="CF83" s="955"/>
      <c r="CG83" s="955"/>
      <c r="CH83" s="955"/>
      <c r="CI83" s="955"/>
      <c r="CJ83" s="955"/>
      <c r="CK83" s="955"/>
      <c r="CL83" s="955"/>
      <c r="CM83" s="955"/>
      <c r="CN83" s="955"/>
      <c r="CO83" s="955"/>
      <c r="CP83" s="955"/>
      <c r="CQ83" s="955"/>
      <c r="CR83" s="955"/>
      <c r="CS83" s="955"/>
      <c r="CT83" s="955"/>
      <c r="CU83" s="955"/>
      <c r="CV83" s="955"/>
      <c r="CW83" s="955"/>
      <c r="CX83" s="955"/>
      <c r="CY83" s="1053"/>
      <c r="CZ83" s="375"/>
      <c r="DA83" s="33"/>
      <c r="DB83" s="33"/>
    </row>
    <row r="84" spans="3:106">
      <c r="C84" s="22"/>
      <c r="D84" s="22"/>
      <c r="E84" s="22"/>
      <c r="G84" s="955"/>
      <c r="H84" s="955"/>
      <c r="I84" s="955"/>
      <c r="J84" s="955"/>
      <c r="K84" s="955"/>
      <c r="L84" s="955"/>
      <c r="M84" s="955"/>
      <c r="N84" s="955"/>
      <c r="O84" s="955"/>
      <c r="P84" s="955"/>
      <c r="Q84" s="955"/>
      <c r="R84" s="955"/>
      <c r="S84" s="955"/>
      <c r="T84" s="955"/>
      <c r="U84" s="955"/>
      <c r="V84" s="955"/>
      <c r="W84" s="955"/>
      <c r="X84" s="955"/>
      <c r="Y84" s="955"/>
      <c r="Z84" s="955"/>
      <c r="AA84" s="955"/>
      <c r="AB84" s="955"/>
      <c r="AC84" s="955"/>
      <c r="AD84" s="955"/>
      <c r="AE84" s="955"/>
      <c r="AF84" s="955"/>
      <c r="AG84" s="955"/>
      <c r="AH84" s="955"/>
      <c r="AI84" s="955"/>
      <c r="AJ84" s="955"/>
      <c r="AK84" s="955"/>
      <c r="AL84" s="955"/>
      <c r="AM84" s="955"/>
      <c r="AN84" s="955"/>
      <c r="AO84" s="955"/>
      <c r="AP84" s="955"/>
      <c r="AQ84" s="955"/>
      <c r="AR84" s="955"/>
      <c r="AS84" s="955"/>
      <c r="AT84" s="955"/>
      <c r="AU84" s="955"/>
      <c r="AV84" s="955"/>
      <c r="AW84" s="955"/>
      <c r="AX84" s="955"/>
      <c r="AY84" s="955"/>
      <c r="AZ84" s="955"/>
      <c r="BA84" s="955"/>
      <c r="BB84" s="955"/>
      <c r="BC84" s="955"/>
      <c r="BD84" s="955"/>
      <c r="BE84" s="955"/>
      <c r="BF84" s="955"/>
      <c r="BG84" s="955"/>
      <c r="BH84" s="955"/>
      <c r="BI84" s="955"/>
      <c r="BJ84" s="955"/>
      <c r="BK84" s="955"/>
      <c r="BL84" s="955"/>
      <c r="BM84" s="955"/>
      <c r="BN84" s="955"/>
      <c r="BO84" s="955"/>
      <c r="BP84" s="955"/>
      <c r="BQ84" s="955"/>
      <c r="BR84" s="955"/>
      <c r="BS84" s="955"/>
      <c r="BT84" s="955"/>
      <c r="BU84" s="955"/>
      <c r="BV84" s="955"/>
      <c r="BW84" s="955"/>
      <c r="BX84" s="955"/>
      <c r="BY84" s="955"/>
      <c r="BZ84" s="955"/>
      <c r="CA84" s="955"/>
      <c r="CB84" s="955"/>
      <c r="CC84" s="955"/>
      <c r="CD84" s="955"/>
      <c r="CE84" s="955"/>
      <c r="CF84" s="955"/>
      <c r="CG84" s="955"/>
      <c r="CH84" s="955"/>
      <c r="CI84" s="955"/>
      <c r="CJ84" s="955"/>
      <c r="CK84" s="955"/>
      <c r="CL84" s="955"/>
      <c r="CM84" s="955"/>
      <c r="CN84" s="955"/>
      <c r="CO84" s="955"/>
      <c r="CP84" s="955"/>
      <c r="CQ84" s="955"/>
      <c r="CR84" s="955"/>
      <c r="CS84" s="955"/>
      <c r="CT84" s="955"/>
      <c r="CU84" s="955"/>
      <c r="CV84" s="955"/>
      <c r="CW84" s="955"/>
      <c r="CX84" s="955"/>
      <c r="CY84" s="1053"/>
      <c r="CZ84" s="375"/>
      <c r="DA84" s="33"/>
      <c r="DB84" s="33"/>
    </row>
    <row r="85" spans="3:106">
      <c r="C85" s="22"/>
      <c r="D85" s="22"/>
      <c r="E85" s="22"/>
      <c r="G85" s="955"/>
      <c r="H85" s="955"/>
      <c r="I85" s="955"/>
      <c r="J85" s="955"/>
      <c r="K85" s="955"/>
      <c r="L85" s="955"/>
      <c r="M85" s="955"/>
      <c r="N85" s="955"/>
      <c r="O85" s="955"/>
      <c r="P85" s="955"/>
      <c r="Q85" s="955"/>
      <c r="R85" s="955"/>
      <c r="S85" s="955"/>
      <c r="T85" s="955"/>
      <c r="U85" s="955"/>
      <c r="V85" s="955"/>
      <c r="W85" s="955"/>
      <c r="X85" s="955"/>
      <c r="Y85" s="955"/>
      <c r="Z85" s="955"/>
      <c r="AA85" s="955"/>
      <c r="AB85" s="955"/>
      <c r="AC85" s="955"/>
      <c r="AD85" s="955"/>
      <c r="AE85" s="955"/>
      <c r="AF85" s="955"/>
      <c r="AG85" s="955"/>
      <c r="AH85" s="955"/>
      <c r="AI85" s="955"/>
      <c r="AJ85" s="955"/>
      <c r="AK85" s="955"/>
      <c r="AL85" s="955"/>
      <c r="AM85" s="955"/>
      <c r="AN85" s="955"/>
      <c r="AO85" s="955"/>
      <c r="AP85" s="955"/>
      <c r="AQ85" s="955"/>
      <c r="AR85" s="955"/>
      <c r="AS85" s="955"/>
      <c r="AT85" s="955"/>
      <c r="AU85" s="955"/>
      <c r="AV85" s="955"/>
      <c r="AW85" s="955"/>
      <c r="AX85" s="955"/>
      <c r="AY85" s="955"/>
      <c r="AZ85" s="955"/>
      <c r="BA85" s="955"/>
      <c r="BB85" s="955"/>
      <c r="BC85" s="955"/>
      <c r="BD85" s="955"/>
      <c r="BE85" s="955"/>
      <c r="BF85" s="955"/>
      <c r="BG85" s="955"/>
      <c r="BH85" s="955"/>
      <c r="BI85" s="955"/>
      <c r="BJ85" s="955"/>
      <c r="BK85" s="955"/>
      <c r="BL85" s="955"/>
      <c r="BM85" s="955"/>
      <c r="BN85" s="955"/>
      <c r="BO85" s="955"/>
      <c r="BP85" s="955"/>
      <c r="BQ85" s="955"/>
      <c r="BR85" s="955"/>
      <c r="BS85" s="955"/>
      <c r="BT85" s="955"/>
      <c r="BU85" s="955"/>
      <c r="BV85" s="955"/>
      <c r="BW85" s="955"/>
      <c r="BX85" s="955"/>
      <c r="BY85" s="955"/>
      <c r="BZ85" s="955"/>
      <c r="CA85" s="955"/>
      <c r="CB85" s="955"/>
      <c r="CC85" s="955"/>
      <c r="CD85" s="955"/>
      <c r="CE85" s="955"/>
      <c r="CF85" s="955"/>
      <c r="CG85" s="955"/>
      <c r="CH85" s="955"/>
      <c r="CI85" s="955"/>
      <c r="CJ85" s="955"/>
      <c r="CK85" s="955"/>
      <c r="CL85" s="955"/>
      <c r="CM85" s="955"/>
      <c r="CN85" s="955"/>
      <c r="CO85" s="955"/>
      <c r="CP85" s="955"/>
      <c r="CQ85" s="955"/>
      <c r="CR85" s="955"/>
      <c r="CS85" s="955"/>
      <c r="CT85" s="955"/>
      <c r="CU85" s="955"/>
      <c r="CV85" s="955"/>
      <c r="CW85" s="955"/>
      <c r="CX85" s="955"/>
      <c r="CY85" s="1053"/>
      <c r="CZ85" s="375"/>
      <c r="DA85" s="33"/>
      <c r="DB85" s="33"/>
    </row>
    <row r="86" spans="3:106">
      <c r="C86" s="22"/>
      <c r="D86" s="22"/>
      <c r="E86" s="22"/>
      <c r="G86" s="955"/>
      <c r="H86" s="955"/>
      <c r="I86" s="955"/>
      <c r="J86" s="955"/>
      <c r="K86" s="955"/>
      <c r="L86" s="955"/>
      <c r="M86" s="955"/>
      <c r="N86" s="955"/>
      <c r="O86" s="955"/>
      <c r="P86" s="955"/>
      <c r="Q86" s="955"/>
      <c r="R86" s="955"/>
      <c r="S86" s="955"/>
      <c r="T86" s="955"/>
      <c r="U86" s="955"/>
      <c r="V86" s="955"/>
      <c r="W86" s="955"/>
      <c r="X86" s="955"/>
      <c r="Y86" s="955"/>
      <c r="Z86" s="955"/>
      <c r="AA86" s="955"/>
      <c r="AB86" s="955"/>
      <c r="AC86" s="955"/>
      <c r="AD86" s="955"/>
      <c r="AE86" s="955"/>
      <c r="AF86" s="955"/>
      <c r="AG86" s="955"/>
      <c r="AH86" s="955"/>
      <c r="AI86" s="955"/>
      <c r="AJ86" s="955"/>
      <c r="AK86" s="955"/>
      <c r="AL86" s="955"/>
      <c r="AM86" s="955"/>
      <c r="AN86" s="955"/>
      <c r="AO86" s="955"/>
      <c r="AP86" s="955"/>
      <c r="AQ86" s="955"/>
      <c r="AR86" s="955"/>
      <c r="AS86" s="955"/>
      <c r="AT86" s="955"/>
      <c r="AU86" s="955"/>
      <c r="AV86" s="955"/>
      <c r="AW86" s="955"/>
      <c r="AX86" s="955"/>
      <c r="AY86" s="955"/>
      <c r="AZ86" s="955"/>
      <c r="BA86" s="955"/>
      <c r="BB86" s="955"/>
      <c r="BC86" s="955"/>
      <c r="BD86" s="955"/>
      <c r="BE86" s="955"/>
      <c r="BF86" s="955"/>
      <c r="BG86" s="955"/>
      <c r="BH86" s="955"/>
      <c r="BI86" s="955"/>
      <c r="BJ86" s="955"/>
      <c r="BK86" s="955"/>
      <c r="BL86" s="955"/>
      <c r="BM86" s="955"/>
      <c r="BN86" s="955"/>
      <c r="BO86" s="955"/>
      <c r="BP86" s="955"/>
      <c r="BQ86" s="955"/>
      <c r="BR86" s="955"/>
      <c r="BS86" s="955"/>
      <c r="BT86" s="955"/>
      <c r="BU86" s="955"/>
      <c r="BV86" s="955"/>
      <c r="BW86" s="955"/>
      <c r="BX86" s="955"/>
      <c r="BY86" s="955"/>
      <c r="BZ86" s="955"/>
      <c r="CA86" s="955"/>
      <c r="CB86" s="955"/>
      <c r="CC86" s="955"/>
      <c r="CD86" s="955"/>
      <c r="CE86" s="955"/>
      <c r="CF86" s="955"/>
      <c r="CG86" s="955"/>
      <c r="CH86" s="955"/>
      <c r="CI86" s="955"/>
      <c r="CJ86" s="955"/>
      <c r="CK86" s="955"/>
      <c r="CL86" s="955"/>
      <c r="CM86" s="955"/>
      <c r="CN86" s="955"/>
      <c r="CO86" s="955"/>
      <c r="CP86" s="955"/>
      <c r="CQ86" s="955"/>
      <c r="CR86" s="955"/>
      <c r="CS86" s="955"/>
      <c r="CT86" s="955"/>
      <c r="CU86" s="955"/>
      <c r="CV86" s="955"/>
      <c r="CW86" s="955"/>
      <c r="CX86" s="955"/>
      <c r="CY86" s="1053"/>
      <c r="CZ86" s="375"/>
      <c r="DA86" s="33"/>
      <c r="DB86" s="33"/>
    </row>
    <row r="87" spans="3:106">
      <c r="C87" s="22"/>
      <c r="D87" s="22"/>
      <c r="E87" s="22"/>
      <c r="G87" s="955"/>
      <c r="H87" s="955"/>
      <c r="I87" s="955"/>
      <c r="J87" s="955"/>
      <c r="K87" s="955"/>
      <c r="L87" s="955"/>
      <c r="M87" s="955"/>
      <c r="N87" s="955"/>
      <c r="O87" s="955"/>
      <c r="P87" s="955"/>
      <c r="Q87" s="955"/>
      <c r="R87" s="955"/>
      <c r="S87" s="955"/>
      <c r="T87" s="955"/>
      <c r="U87" s="955"/>
      <c r="V87" s="955"/>
      <c r="W87" s="955"/>
      <c r="X87" s="955"/>
      <c r="Y87" s="955"/>
      <c r="Z87" s="955"/>
      <c r="AA87" s="955"/>
      <c r="AB87" s="955"/>
      <c r="AC87" s="955"/>
      <c r="AD87" s="955"/>
      <c r="AE87" s="955"/>
      <c r="AF87" s="955"/>
      <c r="AG87" s="955"/>
      <c r="AH87" s="955"/>
      <c r="AI87" s="955"/>
      <c r="AJ87" s="955"/>
      <c r="AK87" s="955"/>
      <c r="AL87" s="955"/>
      <c r="AM87" s="955"/>
      <c r="AN87" s="955"/>
      <c r="AO87" s="955"/>
      <c r="AP87" s="955"/>
      <c r="AQ87" s="955"/>
      <c r="AR87" s="955"/>
      <c r="AS87" s="955"/>
      <c r="AT87" s="955"/>
      <c r="AU87" s="955"/>
      <c r="AV87" s="955"/>
      <c r="AW87" s="955"/>
      <c r="AX87" s="955"/>
      <c r="AY87" s="955"/>
      <c r="AZ87" s="955"/>
      <c r="BA87" s="955"/>
      <c r="BB87" s="955"/>
      <c r="BC87" s="955"/>
      <c r="BD87" s="955"/>
      <c r="BE87" s="955"/>
      <c r="BF87" s="955"/>
      <c r="BG87" s="955"/>
      <c r="BH87" s="955"/>
      <c r="BI87" s="955"/>
      <c r="BJ87" s="955"/>
      <c r="BK87" s="955"/>
      <c r="BL87" s="955"/>
      <c r="BM87" s="955"/>
      <c r="BN87" s="955"/>
      <c r="BO87" s="955"/>
      <c r="BP87" s="955"/>
      <c r="BQ87" s="955"/>
      <c r="BR87" s="955"/>
      <c r="BS87" s="955"/>
      <c r="BT87" s="955"/>
      <c r="BU87" s="955"/>
      <c r="BV87" s="955"/>
      <c r="BW87" s="955"/>
      <c r="BX87" s="955"/>
      <c r="BY87" s="955"/>
      <c r="BZ87" s="955"/>
      <c r="CA87" s="955"/>
      <c r="CB87" s="955"/>
      <c r="CC87" s="955"/>
      <c r="CD87" s="955"/>
      <c r="CE87" s="955"/>
      <c r="CF87" s="955"/>
      <c r="CG87" s="955"/>
      <c r="CH87" s="955"/>
      <c r="CI87" s="955"/>
      <c r="CJ87" s="955"/>
      <c r="CK87" s="955"/>
      <c r="CL87" s="955"/>
      <c r="CM87" s="955"/>
      <c r="CN87" s="955"/>
      <c r="CO87" s="955"/>
      <c r="CP87" s="955"/>
      <c r="CQ87" s="955"/>
      <c r="CR87" s="955"/>
      <c r="CS87" s="955"/>
      <c r="CT87" s="955"/>
      <c r="CU87" s="955"/>
      <c r="CV87" s="955"/>
      <c r="CW87" s="955"/>
      <c r="CX87" s="955"/>
      <c r="CY87" s="1053"/>
      <c r="CZ87" s="375"/>
      <c r="DA87" s="33"/>
      <c r="DB87" s="33"/>
    </row>
    <row r="88" spans="3:106">
      <c r="C88" s="22"/>
      <c r="D88" s="22"/>
      <c r="E88" s="22"/>
      <c r="G88" s="955"/>
      <c r="H88" s="955"/>
      <c r="I88" s="955"/>
      <c r="J88" s="955"/>
      <c r="K88" s="955"/>
      <c r="L88" s="955"/>
      <c r="M88" s="955"/>
      <c r="N88" s="955"/>
      <c r="O88" s="955"/>
      <c r="P88" s="955"/>
      <c r="Q88" s="955"/>
      <c r="R88" s="955"/>
      <c r="S88" s="955"/>
      <c r="T88" s="955"/>
      <c r="U88" s="955"/>
      <c r="V88" s="955"/>
      <c r="W88" s="955"/>
      <c r="X88" s="955"/>
      <c r="Y88" s="955"/>
      <c r="Z88" s="955"/>
      <c r="AA88" s="955"/>
      <c r="AB88" s="955"/>
      <c r="AC88" s="955"/>
      <c r="AD88" s="955"/>
      <c r="AE88" s="955"/>
      <c r="AF88" s="955"/>
      <c r="AG88" s="955"/>
      <c r="AH88" s="955"/>
      <c r="AI88" s="955"/>
      <c r="AJ88" s="955"/>
      <c r="AK88" s="955"/>
      <c r="AL88" s="955"/>
      <c r="AM88" s="955"/>
      <c r="AN88" s="955"/>
      <c r="AO88" s="955"/>
      <c r="AP88" s="955"/>
      <c r="AQ88" s="955"/>
      <c r="AR88" s="955"/>
      <c r="AS88" s="955"/>
      <c r="AT88" s="955"/>
      <c r="AU88" s="955"/>
      <c r="AV88" s="955"/>
      <c r="AW88" s="955"/>
      <c r="AX88" s="955"/>
      <c r="AY88" s="955"/>
      <c r="AZ88" s="955"/>
      <c r="BA88" s="955"/>
      <c r="BB88" s="955"/>
      <c r="BC88" s="955"/>
      <c r="BD88" s="955"/>
      <c r="BE88" s="955"/>
      <c r="BF88" s="955"/>
      <c r="BG88" s="955"/>
      <c r="BH88" s="955"/>
      <c r="BI88" s="955"/>
      <c r="BJ88" s="955"/>
      <c r="BK88" s="955"/>
      <c r="BL88" s="955"/>
      <c r="BM88" s="955"/>
      <c r="BN88" s="955"/>
      <c r="BO88" s="955"/>
      <c r="BP88" s="955"/>
      <c r="BQ88" s="955"/>
      <c r="BR88" s="955"/>
      <c r="BS88" s="955"/>
      <c r="BT88" s="955"/>
      <c r="BU88" s="955"/>
      <c r="BV88" s="955"/>
      <c r="BW88" s="955"/>
      <c r="BX88" s="955"/>
      <c r="BY88" s="955"/>
      <c r="BZ88" s="955"/>
      <c r="CA88" s="955"/>
      <c r="CB88" s="955"/>
      <c r="CC88" s="955"/>
      <c r="CD88" s="955"/>
      <c r="CE88" s="955"/>
      <c r="CF88" s="955"/>
      <c r="CG88" s="955"/>
      <c r="CH88" s="955"/>
      <c r="CI88" s="955"/>
      <c r="CJ88" s="955"/>
      <c r="CK88" s="955"/>
      <c r="CL88" s="955"/>
      <c r="CM88" s="955"/>
      <c r="CN88" s="955"/>
      <c r="CO88" s="955"/>
      <c r="CP88" s="955"/>
      <c r="CQ88" s="955"/>
      <c r="CR88" s="955"/>
      <c r="CS88" s="955"/>
      <c r="CT88" s="955"/>
      <c r="CU88" s="955"/>
      <c r="CV88" s="955"/>
      <c r="CW88" s="955"/>
      <c r="CX88" s="955"/>
      <c r="CY88" s="1053"/>
      <c r="CZ88" s="375"/>
      <c r="DA88" s="33"/>
      <c r="DB88" s="33"/>
    </row>
    <row r="89" spans="3:106">
      <c r="C89" s="22"/>
      <c r="D89" s="22"/>
      <c r="E89" s="22"/>
      <c r="G89" s="955"/>
      <c r="H89" s="955"/>
      <c r="I89" s="955"/>
      <c r="J89" s="955"/>
      <c r="K89" s="955"/>
      <c r="L89" s="955"/>
      <c r="M89" s="955"/>
      <c r="N89" s="955"/>
      <c r="O89" s="955"/>
      <c r="P89" s="955"/>
      <c r="Q89" s="955"/>
      <c r="R89" s="955"/>
      <c r="S89" s="955"/>
      <c r="T89" s="955"/>
      <c r="U89" s="955"/>
      <c r="V89" s="955"/>
      <c r="W89" s="955"/>
      <c r="X89" s="955"/>
      <c r="Y89" s="955"/>
      <c r="Z89" s="955"/>
      <c r="AA89" s="955"/>
      <c r="AB89" s="955"/>
      <c r="AC89" s="955"/>
      <c r="AD89" s="955"/>
      <c r="AE89" s="955"/>
      <c r="AF89" s="955"/>
      <c r="AG89" s="955"/>
      <c r="AH89" s="955"/>
      <c r="AI89" s="955"/>
      <c r="AJ89" s="955"/>
      <c r="AK89" s="955"/>
      <c r="AL89" s="955"/>
      <c r="AM89" s="955"/>
      <c r="AN89" s="955"/>
      <c r="AO89" s="955"/>
      <c r="AP89" s="955"/>
      <c r="AQ89" s="955"/>
      <c r="AR89" s="955"/>
      <c r="AS89" s="955"/>
      <c r="AT89" s="955"/>
      <c r="AU89" s="955"/>
      <c r="AV89" s="955"/>
      <c r="AW89" s="955"/>
      <c r="AX89" s="955"/>
      <c r="AY89" s="955"/>
      <c r="AZ89" s="955"/>
      <c r="BA89" s="955"/>
      <c r="BB89" s="955"/>
      <c r="BC89" s="955"/>
      <c r="BD89" s="955"/>
      <c r="BE89" s="955"/>
      <c r="BF89" s="955"/>
      <c r="BG89" s="955"/>
      <c r="BH89" s="955"/>
      <c r="BI89" s="955"/>
      <c r="BJ89" s="955"/>
      <c r="BK89" s="955"/>
      <c r="BL89" s="955"/>
      <c r="BM89" s="955"/>
      <c r="BN89" s="955"/>
      <c r="BO89" s="955"/>
      <c r="BP89" s="955"/>
      <c r="BQ89" s="955"/>
      <c r="BR89" s="955"/>
      <c r="BS89" s="955"/>
      <c r="BT89" s="955"/>
      <c r="BU89" s="955"/>
      <c r="BV89" s="955"/>
      <c r="BW89" s="955"/>
      <c r="BX89" s="955"/>
      <c r="BY89" s="955"/>
      <c r="BZ89" s="955"/>
      <c r="CA89" s="955"/>
      <c r="CB89" s="955"/>
      <c r="CC89" s="955"/>
      <c r="CD89" s="955"/>
      <c r="CE89" s="955"/>
      <c r="CF89" s="955"/>
      <c r="CG89" s="955"/>
      <c r="CH89" s="955"/>
      <c r="CI89" s="955"/>
      <c r="CJ89" s="955"/>
      <c r="CK89" s="955"/>
      <c r="CL89" s="955"/>
      <c r="CM89" s="955"/>
      <c r="CN89" s="955"/>
      <c r="CO89" s="955"/>
      <c r="CP89" s="955"/>
      <c r="CQ89" s="955"/>
      <c r="CR89" s="955"/>
      <c r="CS89" s="955"/>
      <c r="CT89" s="955"/>
      <c r="CU89" s="955"/>
      <c r="CV89" s="955"/>
      <c r="CW89" s="955"/>
      <c r="CX89" s="955"/>
      <c r="CY89" s="382"/>
      <c r="CZ89" s="375"/>
      <c r="DA89" s="33"/>
      <c r="DB89" s="33"/>
    </row>
    <row r="90" spans="3:106">
      <c r="C90" s="22"/>
      <c r="D90" s="22"/>
      <c r="E90" s="22"/>
      <c r="G90" s="955"/>
      <c r="H90" s="955"/>
      <c r="I90" s="955"/>
      <c r="J90" s="955"/>
      <c r="K90" s="955"/>
      <c r="L90" s="955"/>
      <c r="M90" s="955"/>
      <c r="N90" s="955"/>
      <c r="O90" s="955"/>
      <c r="P90" s="955"/>
      <c r="Q90" s="955"/>
      <c r="R90" s="955"/>
      <c r="S90" s="955"/>
      <c r="T90" s="955"/>
      <c r="U90" s="955"/>
      <c r="V90" s="955"/>
      <c r="W90" s="955"/>
      <c r="X90" s="955"/>
      <c r="Y90" s="955"/>
      <c r="Z90" s="955"/>
      <c r="AA90" s="955"/>
      <c r="AB90" s="955"/>
      <c r="AC90" s="955"/>
      <c r="AD90" s="955"/>
      <c r="AE90" s="955"/>
      <c r="AF90" s="955"/>
      <c r="AG90" s="955"/>
      <c r="AH90" s="955"/>
      <c r="AI90" s="955"/>
      <c r="AJ90" s="955"/>
      <c r="AK90" s="955"/>
      <c r="AL90" s="955"/>
      <c r="AM90" s="955"/>
      <c r="AN90" s="955"/>
      <c r="AO90" s="955"/>
      <c r="AP90" s="955"/>
      <c r="AQ90" s="955"/>
      <c r="AR90" s="955"/>
      <c r="AS90" s="955"/>
      <c r="AT90" s="955"/>
      <c r="AU90" s="955"/>
      <c r="AV90" s="955"/>
      <c r="AW90" s="955"/>
      <c r="AX90" s="955"/>
      <c r="AY90" s="955"/>
      <c r="AZ90" s="955"/>
      <c r="BA90" s="955"/>
      <c r="BB90" s="955"/>
      <c r="BC90" s="955"/>
      <c r="BD90" s="955"/>
      <c r="BE90" s="955"/>
      <c r="BF90" s="955"/>
      <c r="BG90" s="955"/>
      <c r="BH90" s="955"/>
      <c r="BI90" s="955"/>
      <c r="BJ90" s="955"/>
      <c r="BK90" s="955"/>
      <c r="BL90" s="955"/>
      <c r="BM90" s="955"/>
      <c r="BN90" s="955"/>
      <c r="BO90" s="955"/>
      <c r="BP90" s="955"/>
      <c r="BQ90" s="955"/>
      <c r="BR90" s="955"/>
      <c r="BS90" s="955"/>
      <c r="BT90" s="955"/>
      <c r="BU90" s="955"/>
      <c r="BV90" s="955"/>
      <c r="BW90" s="955"/>
      <c r="BX90" s="955"/>
      <c r="BY90" s="955"/>
      <c r="BZ90" s="955"/>
      <c r="CA90" s="955"/>
      <c r="CB90" s="955"/>
      <c r="CC90" s="955"/>
      <c r="CD90" s="955"/>
      <c r="CE90" s="955"/>
      <c r="CF90" s="955"/>
      <c r="CG90" s="955"/>
      <c r="CH90" s="955"/>
      <c r="CI90" s="955"/>
      <c r="CJ90" s="955"/>
      <c r="CK90" s="955"/>
      <c r="CL90" s="955"/>
      <c r="CM90" s="955"/>
      <c r="CN90" s="955"/>
      <c r="CO90" s="955"/>
      <c r="CP90" s="955"/>
      <c r="CQ90" s="955"/>
      <c r="CR90" s="955"/>
      <c r="CS90" s="955"/>
      <c r="CT90" s="955"/>
      <c r="CU90" s="955"/>
      <c r="CV90" s="955"/>
      <c r="CW90" s="955"/>
      <c r="CX90" s="955"/>
      <c r="CY90" s="382"/>
      <c r="CZ90" s="375"/>
      <c r="DA90" s="375"/>
      <c r="DB90" s="375"/>
    </row>
    <row r="91" spans="3:106">
      <c r="C91" s="22"/>
      <c r="D91" s="22"/>
      <c r="E91" s="22"/>
      <c r="G91" s="955"/>
      <c r="H91" s="955"/>
      <c r="I91" s="955"/>
      <c r="J91" s="955"/>
      <c r="K91" s="955"/>
      <c r="L91" s="955"/>
      <c r="M91" s="955"/>
      <c r="N91" s="955"/>
      <c r="O91" s="955"/>
      <c r="P91" s="955"/>
      <c r="Q91" s="955"/>
      <c r="R91" s="955"/>
      <c r="S91" s="955"/>
      <c r="T91" s="955"/>
      <c r="U91" s="955"/>
      <c r="V91" s="955"/>
      <c r="W91" s="955"/>
      <c r="X91" s="955"/>
      <c r="Y91" s="955"/>
      <c r="Z91" s="955"/>
      <c r="AA91" s="955"/>
      <c r="AB91" s="955"/>
      <c r="AC91" s="955"/>
      <c r="AD91" s="955"/>
      <c r="AE91" s="955"/>
      <c r="AF91" s="955"/>
      <c r="AG91" s="955"/>
      <c r="AH91" s="955"/>
      <c r="AI91" s="955"/>
      <c r="AJ91" s="955"/>
      <c r="AK91" s="955"/>
      <c r="AL91" s="955"/>
      <c r="AM91" s="955"/>
      <c r="AN91" s="955"/>
      <c r="AO91" s="955"/>
      <c r="AP91" s="955"/>
      <c r="AQ91" s="955"/>
      <c r="AR91" s="955"/>
      <c r="AS91" s="955"/>
      <c r="AT91" s="955"/>
      <c r="AU91" s="955"/>
      <c r="AV91" s="955"/>
      <c r="AW91" s="955"/>
      <c r="AX91" s="955"/>
      <c r="AY91" s="955"/>
      <c r="AZ91" s="955"/>
      <c r="BA91" s="955"/>
      <c r="BB91" s="955"/>
      <c r="BC91" s="955"/>
      <c r="BD91" s="955"/>
      <c r="BE91" s="955"/>
      <c r="BF91" s="955"/>
      <c r="BG91" s="955"/>
      <c r="BH91" s="955"/>
      <c r="BI91" s="955"/>
      <c r="BJ91" s="955"/>
      <c r="BK91" s="955"/>
      <c r="BL91" s="955"/>
      <c r="BM91" s="955"/>
      <c r="BN91" s="955"/>
      <c r="BO91" s="955"/>
      <c r="BP91" s="955"/>
      <c r="BQ91" s="955"/>
      <c r="BR91" s="955"/>
      <c r="BS91" s="955"/>
      <c r="BT91" s="955"/>
      <c r="BU91" s="955"/>
      <c r="BV91" s="955"/>
      <c r="BW91" s="955"/>
      <c r="BX91" s="955"/>
      <c r="BY91" s="955"/>
      <c r="BZ91" s="955"/>
      <c r="CA91" s="955"/>
      <c r="CB91" s="955"/>
      <c r="CC91" s="955"/>
      <c r="CD91" s="955"/>
      <c r="CE91" s="955"/>
      <c r="CF91" s="955"/>
      <c r="CG91" s="955"/>
      <c r="CH91" s="955"/>
      <c r="CI91" s="955"/>
      <c r="CJ91" s="955"/>
      <c r="CK91" s="955"/>
      <c r="CL91" s="955"/>
      <c r="CM91" s="955"/>
      <c r="CN91" s="955"/>
      <c r="CO91" s="955"/>
      <c r="CP91" s="955"/>
      <c r="CQ91" s="955"/>
      <c r="CR91" s="955"/>
      <c r="CS91" s="955"/>
      <c r="CT91" s="955"/>
      <c r="CU91" s="955"/>
      <c r="CV91" s="955"/>
      <c r="CW91" s="955"/>
      <c r="CX91" s="955"/>
      <c r="CY91" s="382"/>
      <c r="CZ91" s="375"/>
      <c r="DA91" s="375"/>
      <c r="DB91" s="375"/>
    </row>
    <row r="92" spans="3:106">
      <c r="C92" s="22"/>
      <c r="D92" s="22"/>
      <c r="E92" s="22"/>
      <c r="G92" s="955"/>
      <c r="H92" s="955"/>
      <c r="I92" s="955"/>
      <c r="J92" s="955"/>
      <c r="K92" s="955"/>
      <c r="L92" s="955"/>
      <c r="M92" s="955"/>
      <c r="N92" s="955"/>
      <c r="O92" s="955"/>
      <c r="P92" s="955"/>
      <c r="Q92" s="955"/>
      <c r="R92" s="955"/>
      <c r="S92" s="955"/>
      <c r="T92" s="955"/>
      <c r="U92" s="955"/>
      <c r="V92" s="955"/>
      <c r="W92" s="955"/>
      <c r="X92" s="955"/>
      <c r="Y92" s="955"/>
      <c r="Z92" s="955"/>
      <c r="AA92" s="955"/>
      <c r="AB92" s="955"/>
      <c r="AC92" s="955"/>
      <c r="AD92" s="955"/>
      <c r="AE92" s="955"/>
      <c r="AF92" s="955"/>
      <c r="AG92" s="955"/>
      <c r="AH92" s="955"/>
      <c r="AI92" s="955"/>
      <c r="AJ92" s="955"/>
      <c r="AK92" s="955"/>
      <c r="AL92" s="955"/>
      <c r="AM92" s="955"/>
      <c r="AN92" s="955"/>
      <c r="AO92" s="955"/>
      <c r="AP92" s="955"/>
      <c r="AQ92" s="955"/>
      <c r="AR92" s="955"/>
      <c r="AS92" s="955"/>
      <c r="AT92" s="955"/>
      <c r="AU92" s="955"/>
      <c r="AV92" s="955"/>
      <c r="AW92" s="955"/>
      <c r="AX92" s="955"/>
      <c r="AY92" s="955"/>
      <c r="AZ92" s="955"/>
      <c r="BA92" s="955"/>
      <c r="BB92" s="955"/>
      <c r="BC92" s="955"/>
      <c r="BD92" s="955"/>
      <c r="BE92" s="955"/>
      <c r="BF92" s="955"/>
      <c r="BG92" s="955"/>
      <c r="BH92" s="955"/>
      <c r="BI92" s="955"/>
      <c r="BJ92" s="955"/>
      <c r="BK92" s="955"/>
      <c r="BL92" s="955"/>
      <c r="BM92" s="955"/>
      <c r="BN92" s="955"/>
      <c r="BO92" s="955"/>
      <c r="BP92" s="955"/>
      <c r="BQ92" s="955"/>
      <c r="BR92" s="955"/>
      <c r="BS92" s="955"/>
      <c r="BT92" s="955"/>
      <c r="BU92" s="955"/>
      <c r="BV92" s="955"/>
      <c r="BW92" s="955"/>
      <c r="BX92" s="955"/>
      <c r="BY92" s="955"/>
      <c r="BZ92" s="955"/>
      <c r="CA92" s="955"/>
      <c r="CB92" s="955"/>
      <c r="CC92" s="955"/>
      <c r="CD92" s="955"/>
      <c r="CE92" s="955"/>
      <c r="CF92" s="955"/>
      <c r="CG92" s="955"/>
      <c r="CH92" s="955"/>
      <c r="CI92" s="955"/>
      <c r="CJ92" s="955"/>
      <c r="CK92" s="955"/>
      <c r="CL92" s="955"/>
      <c r="CM92" s="955"/>
      <c r="CN92" s="955"/>
      <c r="CO92" s="955"/>
      <c r="CP92" s="955"/>
      <c r="CQ92" s="955"/>
      <c r="CR92" s="955"/>
      <c r="CS92" s="955"/>
      <c r="CT92" s="955"/>
      <c r="CU92" s="955"/>
      <c r="CV92" s="955"/>
      <c r="CW92" s="955"/>
      <c r="CX92" s="955"/>
      <c r="CY92" s="382"/>
      <c r="CZ92" s="375"/>
      <c r="DA92" s="375"/>
      <c r="DB92" s="375"/>
    </row>
    <row r="93" spans="3:106">
      <c r="C93" s="22"/>
      <c r="D93" s="22"/>
      <c r="E93" s="22"/>
      <c r="G93" s="955"/>
      <c r="H93" s="955"/>
      <c r="I93" s="955"/>
      <c r="J93" s="955"/>
      <c r="K93" s="955"/>
      <c r="L93" s="955"/>
      <c r="M93" s="955"/>
      <c r="N93" s="955"/>
      <c r="O93" s="955"/>
      <c r="P93" s="955"/>
      <c r="Q93" s="955"/>
      <c r="R93" s="955"/>
      <c r="S93" s="955"/>
      <c r="T93" s="955"/>
      <c r="U93" s="955"/>
      <c r="V93" s="955"/>
      <c r="W93" s="955"/>
      <c r="X93" s="955"/>
      <c r="Y93" s="955"/>
      <c r="Z93" s="955"/>
      <c r="AA93" s="955"/>
      <c r="AB93" s="955"/>
      <c r="AC93" s="955"/>
      <c r="AD93" s="955"/>
      <c r="AE93" s="955"/>
      <c r="AF93" s="955"/>
      <c r="AG93" s="955"/>
      <c r="AH93" s="955"/>
      <c r="AI93" s="955"/>
      <c r="AJ93" s="955"/>
      <c r="AK93" s="955"/>
      <c r="AL93" s="955"/>
      <c r="AM93" s="955"/>
      <c r="AN93" s="955"/>
      <c r="AO93" s="955"/>
      <c r="AP93" s="955"/>
      <c r="AQ93" s="955"/>
      <c r="AR93" s="955"/>
      <c r="AS93" s="955"/>
      <c r="AT93" s="955"/>
      <c r="AU93" s="955"/>
      <c r="AV93" s="955"/>
      <c r="AW93" s="955"/>
      <c r="AX93" s="955"/>
      <c r="AY93" s="955"/>
      <c r="AZ93" s="955"/>
      <c r="BA93" s="955"/>
      <c r="BB93" s="955"/>
      <c r="BC93" s="955"/>
      <c r="BD93" s="955"/>
      <c r="BE93" s="955"/>
      <c r="BF93" s="955"/>
      <c r="BG93" s="955"/>
      <c r="BH93" s="955"/>
      <c r="BI93" s="955"/>
      <c r="BJ93" s="955"/>
      <c r="BK93" s="955"/>
      <c r="BL93" s="955"/>
      <c r="BM93" s="955"/>
      <c r="BN93" s="955"/>
      <c r="BO93" s="955"/>
      <c r="BP93" s="955"/>
      <c r="BQ93" s="955"/>
      <c r="BR93" s="955"/>
      <c r="BS93" s="955"/>
      <c r="BT93" s="955"/>
      <c r="BU93" s="955"/>
      <c r="BV93" s="955"/>
      <c r="BW93" s="955"/>
      <c r="BX93" s="955"/>
      <c r="BY93" s="955"/>
      <c r="BZ93" s="955"/>
      <c r="CA93" s="955"/>
      <c r="CB93" s="955"/>
      <c r="CC93" s="955"/>
      <c r="CD93" s="955"/>
      <c r="CE93" s="955"/>
      <c r="CF93" s="955"/>
      <c r="CG93" s="955"/>
      <c r="CH93" s="955"/>
      <c r="CI93" s="955"/>
      <c r="CJ93" s="955"/>
      <c r="CK93" s="955"/>
      <c r="CL93" s="955"/>
      <c r="CM93" s="955"/>
      <c r="CN93" s="955"/>
      <c r="CO93" s="955"/>
      <c r="CP93" s="955"/>
      <c r="CQ93" s="955"/>
      <c r="CR93" s="955"/>
      <c r="CS93" s="955"/>
      <c r="CT93" s="955"/>
      <c r="CU93" s="955"/>
      <c r="CV93" s="955"/>
      <c r="CW93" s="955"/>
      <c r="CX93" s="955"/>
      <c r="CY93" s="382"/>
      <c r="CZ93" s="375"/>
      <c r="DA93" s="375"/>
      <c r="DB93" s="375"/>
    </row>
    <row r="94" spans="3:106">
      <c r="C94" s="22"/>
      <c r="D94" s="22"/>
      <c r="E94" s="22"/>
      <c r="G94" s="955"/>
      <c r="H94" s="955"/>
      <c r="I94" s="955"/>
      <c r="J94" s="955"/>
      <c r="K94" s="955"/>
      <c r="L94" s="955"/>
      <c r="M94" s="955"/>
      <c r="N94" s="955"/>
      <c r="O94" s="955"/>
      <c r="P94" s="955"/>
      <c r="Q94" s="955"/>
      <c r="R94" s="955"/>
      <c r="S94" s="955"/>
      <c r="T94" s="955"/>
      <c r="U94" s="955"/>
      <c r="V94" s="955"/>
      <c r="W94" s="955"/>
      <c r="X94" s="955"/>
      <c r="Y94" s="955"/>
      <c r="Z94" s="955"/>
      <c r="AA94" s="955"/>
      <c r="AB94" s="955"/>
      <c r="AC94" s="955"/>
      <c r="AD94" s="955"/>
      <c r="AE94" s="955"/>
      <c r="AF94" s="955"/>
      <c r="AG94" s="955"/>
      <c r="AH94" s="955"/>
      <c r="AI94" s="955"/>
      <c r="AJ94" s="955"/>
      <c r="AK94" s="955"/>
      <c r="AL94" s="955"/>
      <c r="AM94" s="955"/>
      <c r="AN94" s="955"/>
      <c r="AO94" s="955"/>
      <c r="AP94" s="955"/>
      <c r="AQ94" s="955"/>
      <c r="AR94" s="955"/>
      <c r="AS94" s="955"/>
      <c r="AT94" s="955"/>
      <c r="AU94" s="955"/>
      <c r="AV94" s="955"/>
      <c r="AW94" s="955"/>
      <c r="AX94" s="955"/>
      <c r="AY94" s="955"/>
      <c r="AZ94" s="955"/>
      <c r="BA94" s="955"/>
      <c r="BB94" s="955"/>
      <c r="BC94" s="955"/>
      <c r="BD94" s="955"/>
      <c r="BE94" s="955"/>
      <c r="BF94" s="955"/>
      <c r="BG94" s="955"/>
      <c r="BH94" s="955"/>
      <c r="BI94" s="955"/>
      <c r="BJ94" s="955"/>
      <c r="BK94" s="955"/>
      <c r="BL94" s="955"/>
      <c r="BM94" s="955"/>
      <c r="BN94" s="955"/>
      <c r="BO94" s="955"/>
      <c r="BP94" s="955"/>
      <c r="BQ94" s="955"/>
      <c r="BR94" s="955"/>
      <c r="BS94" s="955"/>
      <c r="BT94" s="955"/>
      <c r="BU94" s="955"/>
      <c r="BV94" s="955"/>
      <c r="BW94" s="955"/>
      <c r="BX94" s="955"/>
      <c r="BY94" s="955"/>
      <c r="BZ94" s="955"/>
      <c r="CA94" s="955"/>
      <c r="CB94" s="955"/>
      <c r="CC94" s="955"/>
      <c r="CD94" s="955"/>
      <c r="CE94" s="955"/>
      <c r="CF94" s="955"/>
      <c r="CG94" s="955"/>
      <c r="CH94" s="955"/>
      <c r="CI94" s="955"/>
      <c r="CJ94" s="955"/>
      <c r="CK94" s="955"/>
      <c r="CL94" s="955"/>
      <c r="CM94" s="955"/>
      <c r="CN94" s="955"/>
      <c r="CO94" s="955"/>
      <c r="CP94" s="955"/>
      <c r="CQ94" s="955"/>
      <c r="CR94" s="955"/>
      <c r="CS94" s="955"/>
      <c r="CT94" s="955"/>
      <c r="CU94" s="955"/>
      <c r="CV94" s="955"/>
      <c r="CW94" s="955"/>
      <c r="CX94" s="955"/>
      <c r="CY94" s="382"/>
      <c r="CZ94" s="375"/>
      <c r="DA94" s="375"/>
      <c r="DB94" s="375"/>
    </row>
    <row r="95" spans="3:106">
      <c r="C95" s="22"/>
      <c r="D95" s="22"/>
      <c r="E95" s="22"/>
      <c r="G95" s="955"/>
      <c r="H95" s="955"/>
      <c r="I95" s="955"/>
      <c r="J95" s="955"/>
      <c r="K95" s="955"/>
      <c r="L95" s="955"/>
      <c r="M95" s="955"/>
      <c r="N95" s="955"/>
      <c r="O95" s="955"/>
      <c r="P95" s="955"/>
      <c r="Q95" s="955"/>
      <c r="R95" s="955"/>
      <c r="S95" s="955"/>
      <c r="T95" s="955"/>
      <c r="U95" s="955"/>
      <c r="V95" s="955"/>
      <c r="W95" s="955"/>
      <c r="X95" s="955"/>
      <c r="Y95" s="955"/>
      <c r="Z95" s="955"/>
      <c r="AA95" s="955"/>
      <c r="AB95" s="955"/>
      <c r="AC95" s="955"/>
      <c r="AD95" s="955"/>
      <c r="AE95" s="955"/>
      <c r="AF95" s="955"/>
      <c r="AG95" s="955"/>
      <c r="AH95" s="955"/>
      <c r="AI95" s="955"/>
      <c r="AJ95" s="955"/>
      <c r="AK95" s="955"/>
      <c r="AL95" s="955"/>
      <c r="AM95" s="955"/>
      <c r="AN95" s="955"/>
      <c r="AO95" s="955"/>
      <c r="AP95" s="955"/>
      <c r="AQ95" s="955"/>
      <c r="AR95" s="955"/>
      <c r="AS95" s="955"/>
      <c r="AT95" s="955"/>
      <c r="AU95" s="955"/>
      <c r="AV95" s="955"/>
      <c r="AW95" s="955"/>
      <c r="AX95" s="955"/>
      <c r="AY95" s="955"/>
      <c r="AZ95" s="955"/>
      <c r="BA95" s="955"/>
      <c r="BB95" s="955"/>
      <c r="BC95" s="955"/>
      <c r="BD95" s="955"/>
      <c r="BE95" s="955"/>
      <c r="BF95" s="955"/>
      <c r="BG95" s="955"/>
      <c r="BH95" s="955"/>
      <c r="BI95" s="955"/>
      <c r="BJ95" s="955"/>
      <c r="BK95" s="955"/>
      <c r="BL95" s="955"/>
      <c r="BM95" s="955"/>
      <c r="BN95" s="955"/>
      <c r="BO95" s="955"/>
      <c r="BP95" s="955"/>
      <c r="BQ95" s="955"/>
      <c r="BR95" s="955"/>
      <c r="BS95" s="955"/>
      <c r="BT95" s="955"/>
      <c r="BU95" s="955"/>
      <c r="BV95" s="955"/>
      <c r="BW95" s="955"/>
      <c r="BX95" s="955"/>
      <c r="BY95" s="955"/>
      <c r="BZ95" s="955"/>
      <c r="CA95" s="955"/>
      <c r="CB95" s="955"/>
      <c r="CC95" s="955"/>
      <c r="CD95" s="955"/>
      <c r="CE95" s="955"/>
      <c r="CF95" s="955"/>
      <c r="CG95" s="955"/>
      <c r="CH95" s="955"/>
      <c r="CI95" s="955"/>
      <c r="CJ95" s="955"/>
      <c r="CK95" s="955"/>
      <c r="CL95" s="955"/>
      <c r="CM95" s="955"/>
      <c r="CN95" s="955"/>
      <c r="CO95" s="955"/>
      <c r="CP95" s="955"/>
      <c r="CQ95" s="955"/>
      <c r="CR95" s="955"/>
      <c r="CS95" s="955"/>
      <c r="CT95" s="955"/>
      <c r="CU95" s="955"/>
      <c r="CV95" s="955"/>
      <c r="CW95" s="955"/>
      <c r="CX95" s="955"/>
      <c r="CY95" s="382"/>
      <c r="CZ95" s="375"/>
      <c r="DA95" s="375"/>
      <c r="DB95" s="375"/>
    </row>
    <row r="96" spans="3:106">
      <c r="C96" s="22"/>
      <c r="D96" s="22"/>
      <c r="E96" s="22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  <c r="CH96" s="175"/>
      <c r="CI96" s="175"/>
      <c r="CJ96" s="175"/>
      <c r="CK96" s="175"/>
      <c r="CL96" s="175"/>
      <c r="CM96" s="175"/>
      <c r="CN96" s="175"/>
      <c r="CO96" s="175"/>
      <c r="CP96" s="175"/>
      <c r="CQ96" s="175"/>
      <c r="CR96" s="175"/>
      <c r="CS96" s="175"/>
      <c r="CT96" s="175"/>
      <c r="CU96" s="175"/>
      <c r="CV96" s="175"/>
      <c r="CW96" s="175"/>
      <c r="CX96" s="175"/>
    </row>
    <row r="97" spans="3:102">
      <c r="C97" s="22"/>
      <c r="D97" s="22"/>
      <c r="E97" s="22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</row>
  </sheetData>
  <phoneticPr fontId="0" type="noConversion"/>
  <conditionalFormatting sqref="A48 D48">
    <cfRule type="expression" dxfId="26" priority="3">
      <formula>$CY48="N"</formula>
    </cfRule>
  </conditionalFormatting>
  <pageMargins left="0.1" right="0.1" top="0.5" bottom="0.5" header="0.5" footer="0.5"/>
  <pageSetup paperSize="5" scale="67" orientation="landscape" blackAndWhite="1" r:id="rId1"/>
  <headerFooter alignWithMargins="0">
    <oddFooter>&amp;L&amp;Z&amp;F
&amp;D</oddFooter>
  </headerFooter>
  <customProperties>
    <customPr name="FPMExcelClientCellBasedFunctionStatus" r:id="rId2"/>
  </customProperties>
  <ignoredErrors>
    <ignoredError sqref="C9:C10 C7 C8 C20:C24 C11 C12 C13 C14 C15 C16 C17 C18 C19 C32:C34 C25 C26 C27 C28 C29 C31 C42:C43 C35 C36 C37 C38 C40 D33 D10 D34 D23:D24 F10 C4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DM155"/>
  <sheetViews>
    <sheetView zoomScale="90" zoomScaleNormal="90" workbookViewId="0">
      <pane xSplit="85" ySplit="6" topLeftCell="CK81" activePane="bottomRight" state="frozen"/>
      <selection pane="topRight" activeCell="CH1" sqref="CH1"/>
      <selection pane="bottomLeft" activeCell="A7" sqref="A7"/>
      <selection pane="bottomRight" activeCell="CT105" sqref="CT105"/>
    </sheetView>
  </sheetViews>
  <sheetFormatPr defaultRowHeight="12.75" outlineLevelCol="1"/>
  <cols>
    <col min="1" max="1" width="35.140625" customWidth="1"/>
    <col min="2" max="2" width="15.5703125" bestFit="1" customWidth="1"/>
    <col min="3" max="37" width="15.42578125" style="33" hidden="1" customWidth="1"/>
    <col min="38" max="49" width="12.140625" style="33" hidden="1" customWidth="1"/>
    <col min="50" max="52" width="15.42578125" style="33" hidden="1" customWidth="1"/>
    <col min="53" max="56" width="11.42578125" style="33" hidden="1" customWidth="1"/>
    <col min="57" max="61" width="11.42578125" style="449" hidden="1" customWidth="1"/>
    <col min="62" max="62" width="11.140625" style="449" hidden="1" customWidth="1"/>
    <col min="63" max="73" width="12.140625" style="449" hidden="1" customWidth="1"/>
    <col min="74" max="74" width="22.7109375" style="449" bestFit="1" customWidth="1"/>
    <col min="75" max="79" width="12.140625" style="449" hidden="1" customWidth="1" outlineLevel="1"/>
    <col min="80" max="80" width="17.140625" style="449" hidden="1" customWidth="1" outlineLevel="1"/>
    <col min="81" max="85" width="12.140625" style="449" hidden="1" customWidth="1" outlineLevel="1"/>
    <col min="86" max="86" width="15.42578125" style="449" customWidth="1" collapsed="1"/>
    <col min="87" max="98" width="15.42578125" style="449" customWidth="1"/>
    <col min="99" max="99" width="14.7109375" bestFit="1" customWidth="1"/>
    <col min="100" max="100" width="16.5703125" style="33" bestFit="1" customWidth="1"/>
    <col min="101" max="101" width="16.5703125" bestFit="1" customWidth="1"/>
    <col min="102" max="102" width="11.28515625" bestFit="1" customWidth="1"/>
    <col min="103" max="111" width="10.28515625" bestFit="1" customWidth="1"/>
    <col min="112" max="114" width="18.28515625" customWidth="1"/>
  </cols>
  <sheetData>
    <row r="1" spans="1:116" ht="15.75">
      <c r="A1" s="261">
        <v>12</v>
      </c>
      <c r="B1" s="29" t="s">
        <v>400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772"/>
      <c r="BF1" s="772"/>
      <c r="BG1" s="772"/>
      <c r="BH1" s="772"/>
      <c r="BI1" s="772"/>
      <c r="BJ1" s="772"/>
      <c r="BK1" s="772"/>
      <c r="BL1" s="772"/>
      <c r="BM1" s="772"/>
      <c r="BN1" s="772"/>
      <c r="BO1" s="772"/>
      <c r="BP1" s="772"/>
      <c r="BQ1" s="772"/>
      <c r="BR1" s="772"/>
      <c r="BS1" s="772"/>
      <c r="BT1" s="772"/>
      <c r="BU1" s="772"/>
      <c r="BV1" s="772"/>
      <c r="BW1" s="772"/>
      <c r="BX1" s="772"/>
      <c r="BY1" s="772"/>
      <c r="BZ1" s="772"/>
      <c r="CA1" s="772"/>
      <c r="CB1" s="772"/>
      <c r="CC1" s="772"/>
      <c r="CD1" s="772"/>
      <c r="CE1" s="772"/>
      <c r="CF1" s="772"/>
      <c r="CG1" s="772"/>
      <c r="CH1" s="772"/>
      <c r="CI1" s="772"/>
      <c r="CJ1" s="772"/>
      <c r="CK1" s="772"/>
      <c r="CL1" s="772"/>
      <c r="CM1" s="772"/>
      <c r="CN1" s="772"/>
      <c r="CO1" s="772"/>
      <c r="CP1" s="772"/>
      <c r="CQ1" s="772"/>
      <c r="CR1" s="772"/>
      <c r="CS1" s="772"/>
      <c r="CT1" s="772"/>
      <c r="CU1" s="14"/>
    </row>
    <row r="2" spans="1:116" ht="15.75">
      <c r="A2" s="30"/>
      <c r="B2" s="30" t="s">
        <v>461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772"/>
      <c r="BF2" s="772"/>
      <c r="BG2" s="772"/>
      <c r="BH2" s="772"/>
      <c r="BI2" s="772"/>
      <c r="BJ2" s="772"/>
      <c r="BK2" s="772"/>
      <c r="BL2" s="772"/>
      <c r="BM2" s="772"/>
      <c r="BN2" s="772"/>
      <c r="BO2" s="772"/>
      <c r="BP2" s="772"/>
      <c r="BQ2" s="772"/>
      <c r="BR2" s="772"/>
      <c r="BS2" s="772"/>
      <c r="BT2" s="772"/>
      <c r="BU2" s="772"/>
      <c r="BV2" s="772"/>
      <c r="BW2" s="772"/>
      <c r="BX2" s="772"/>
      <c r="BY2" s="772"/>
      <c r="BZ2" s="772"/>
      <c r="CA2" s="772"/>
      <c r="CB2" s="772"/>
      <c r="CC2" s="772"/>
      <c r="CD2" s="772"/>
      <c r="CE2" s="772"/>
      <c r="CF2" s="772"/>
      <c r="CG2" s="772"/>
      <c r="CH2" s="772"/>
      <c r="CI2" s="772"/>
      <c r="CJ2" s="772"/>
      <c r="CK2" s="772"/>
      <c r="CL2" s="772"/>
      <c r="CM2" s="772"/>
      <c r="CN2" s="772"/>
      <c r="CO2" s="772"/>
      <c r="CP2" s="772"/>
      <c r="CQ2" s="772"/>
      <c r="CR2" s="772"/>
      <c r="CS2" s="772"/>
      <c r="CT2" s="772"/>
      <c r="CU2" s="14"/>
    </row>
    <row r="3" spans="1:116" ht="15.75">
      <c r="A3" s="296">
        <f ca="1">+Report!N26</f>
        <v>1.8453999999999999</v>
      </c>
      <c r="B3" s="29" t="s">
        <v>402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2"/>
      <c r="CK3" s="772"/>
      <c r="CL3" s="772"/>
      <c r="CM3" s="772"/>
      <c r="CN3" s="772"/>
      <c r="CO3" s="772"/>
      <c r="CP3" s="772"/>
      <c r="CQ3" s="772"/>
      <c r="CR3" s="772"/>
      <c r="CS3" s="772"/>
      <c r="CT3" s="772"/>
      <c r="CU3" s="14"/>
    </row>
    <row r="4" spans="1:116" ht="15.75">
      <c r="A4" s="23" t="s">
        <v>462</v>
      </c>
      <c r="B4" s="29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772"/>
      <c r="BF4" s="772"/>
      <c r="BG4" s="772"/>
      <c r="BH4" s="772"/>
      <c r="BI4" s="772"/>
      <c r="BJ4" s="772"/>
      <c r="BK4" s="772"/>
      <c r="BL4" s="772"/>
      <c r="BM4" s="772"/>
      <c r="BN4" s="772"/>
      <c r="BO4" s="772"/>
      <c r="BP4" s="772"/>
      <c r="BQ4" s="772"/>
      <c r="BR4" s="772"/>
      <c r="BS4" s="772"/>
      <c r="BT4" s="772"/>
      <c r="BU4" s="772"/>
      <c r="BV4" s="772"/>
      <c r="BW4" s="772"/>
      <c r="BX4" s="772"/>
      <c r="BY4" s="772"/>
      <c r="BZ4" s="772"/>
      <c r="CA4" s="772"/>
      <c r="CB4" s="772"/>
      <c r="CC4" s="772"/>
      <c r="CD4" s="772"/>
      <c r="CE4" s="772"/>
      <c r="CF4" s="772"/>
      <c r="CG4" s="772"/>
      <c r="CH4" s="772"/>
      <c r="CI4" s="772"/>
      <c r="CJ4" s="772"/>
      <c r="CK4" s="772"/>
      <c r="CL4" s="772"/>
      <c r="CM4" s="772"/>
      <c r="CN4" s="772"/>
      <c r="CO4" s="772"/>
      <c r="CP4" s="772"/>
      <c r="CQ4" s="772"/>
      <c r="CR4" s="772"/>
      <c r="CS4" s="772"/>
      <c r="CT4" s="772"/>
      <c r="CU4" s="737" t="str">
        <f>+Input!A4</f>
        <v>December 2024</v>
      </c>
    </row>
    <row r="5" spans="1:116" ht="15">
      <c r="A5" s="375"/>
      <c r="B5" s="735" t="s">
        <v>204</v>
      </c>
      <c r="C5" s="314" t="s">
        <v>2</v>
      </c>
      <c r="D5" s="314" t="s">
        <v>2</v>
      </c>
      <c r="E5" s="314" t="s">
        <v>2</v>
      </c>
      <c r="F5" s="314" t="s">
        <v>2</v>
      </c>
      <c r="G5" s="314" t="s">
        <v>2</v>
      </c>
      <c r="H5" s="314" t="s">
        <v>2</v>
      </c>
      <c r="I5" s="314" t="s">
        <v>2</v>
      </c>
      <c r="J5" s="314" t="s">
        <v>2</v>
      </c>
      <c r="K5" s="314" t="s">
        <v>2</v>
      </c>
      <c r="L5" s="314" t="s">
        <v>2</v>
      </c>
      <c r="M5" s="314" t="s">
        <v>2</v>
      </c>
      <c r="N5" s="314" t="s">
        <v>2</v>
      </c>
      <c r="O5" s="314" t="s">
        <v>2</v>
      </c>
      <c r="P5" s="314" t="s">
        <v>2</v>
      </c>
      <c r="Q5" s="314" t="s">
        <v>2</v>
      </c>
      <c r="R5" s="314" t="s">
        <v>2</v>
      </c>
      <c r="S5" s="314" t="s">
        <v>2</v>
      </c>
      <c r="T5" s="314" t="s">
        <v>2</v>
      </c>
      <c r="U5" s="314" t="s">
        <v>2</v>
      </c>
      <c r="V5" s="314" t="s">
        <v>2</v>
      </c>
      <c r="W5" s="314" t="s">
        <v>2</v>
      </c>
      <c r="X5" s="314" t="s">
        <v>2</v>
      </c>
      <c r="Y5" s="314" t="s">
        <v>2</v>
      </c>
      <c r="Z5" s="314" t="s">
        <v>2</v>
      </c>
      <c r="AA5" s="314" t="s">
        <v>2</v>
      </c>
      <c r="AB5" s="314" t="s">
        <v>2</v>
      </c>
      <c r="AC5" s="314" t="s">
        <v>2</v>
      </c>
      <c r="AD5" s="314" t="s">
        <v>2</v>
      </c>
      <c r="AE5" s="314" t="s">
        <v>2</v>
      </c>
      <c r="AF5" s="314" t="s">
        <v>2</v>
      </c>
      <c r="AG5" s="314" t="s">
        <v>2</v>
      </c>
      <c r="AH5" s="314" t="s">
        <v>2</v>
      </c>
      <c r="AI5" s="314" t="s">
        <v>2</v>
      </c>
      <c r="AJ5" s="314" t="s">
        <v>2</v>
      </c>
      <c r="AK5" s="314" t="s">
        <v>2</v>
      </c>
      <c r="AL5" s="314" t="s">
        <v>2</v>
      </c>
      <c r="AM5" s="314" t="s">
        <v>2</v>
      </c>
      <c r="AN5" s="314" t="s">
        <v>2</v>
      </c>
      <c r="AO5" s="314" t="s">
        <v>2</v>
      </c>
      <c r="AP5" s="314" t="s">
        <v>2</v>
      </c>
      <c r="AQ5" s="314" t="s">
        <v>2</v>
      </c>
      <c r="AR5" s="314" t="s">
        <v>2</v>
      </c>
      <c r="AS5" s="314" t="s">
        <v>2</v>
      </c>
      <c r="AT5" s="314" t="s">
        <v>2</v>
      </c>
      <c r="AU5" s="314" t="s">
        <v>2</v>
      </c>
      <c r="AV5" s="314" t="s">
        <v>2</v>
      </c>
      <c r="AW5" s="314" t="s">
        <v>2</v>
      </c>
      <c r="AX5" s="740" t="s">
        <v>2</v>
      </c>
      <c r="AY5" s="740" t="s">
        <v>2</v>
      </c>
      <c r="AZ5" s="740" t="s">
        <v>2</v>
      </c>
      <c r="BA5" s="740" t="s">
        <v>2</v>
      </c>
      <c r="BB5" s="740" t="s">
        <v>2</v>
      </c>
      <c r="BC5" s="740" t="s">
        <v>2</v>
      </c>
      <c r="BD5" s="740" t="s">
        <v>2</v>
      </c>
      <c r="BE5" s="773" t="s">
        <v>2</v>
      </c>
      <c r="BF5" s="773" t="s">
        <v>2</v>
      </c>
      <c r="BG5" s="773" t="s">
        <v>2</v>
      </c>
      <c r="BH5" s="773" t="s">
        <v>2</v>
      </c>
      <c r="BI5" s="773" t="s">
        <v>2</v>
      </c>
      <c r="BJ5" s="773" t="s">
        <v>2</v>
      </c>
      <c r="BK5" s="773" t="s">
        <v>2</v>
      </c>
      <c r="BL5" s="773" t="s">
        <v>2</v>
      </c>
      <c r="BM5" s="773" t="s">
        <v>2</v>
      </c>
      <c r="BN5" s="773" t="str">
        <f t="shared" ref="BN5:BV5" si="0">+BM5</f>
        <v>Actual</v>
      </c>
      <c r="BO5" s="773" t="str">
        <f t="shared" si="0"/>
        <v>Actual</v>
      </c>
      <c r="BP5" s="773" t="str">
        <f t="shared" si="0"/>
        <v>Actual</v>
      </c>
      <c r="BQ5" s="773" t="str">
        <f t="shared" si="0"/>
        <v>Actual</v>
      </c>
      <c r="BR5" s="773" t="str">
        <f t="shared" si="0"/>
        <v>Actual</v>
      </c>
      <c r="BS5" s="773" t="s">
        <v>2</v>
      </c>
      <c r="BT5" s="773" t="str">
        <f t="shared" si="0"/>
        <v>Actual</v>
      </c>
      <c r="BU5" s="773" t="str">
        <f t="shared" si="0"/>
        <v>Actual</v>
      </c>
      <c r="BV5" s="773" t="str">
        <f t="shared" si="0"/>
        <v>Actual</v>
      </c>
      <c r="BW5" s="773" t="s">
        <v>3</v>
      </c>
      <c r="BX5" s="773" t="s">
        <v>3</v>
      </c>
      <c r="BY5" s="773" t="s">
        <v>3</v>
      </c>
      <c r="BZ5" s="773" t="s">
        <v>3</v>
      </c>
      <c r="CA5" s="773" t="s">
        <v>3</v>
      </c>
      <c r="CB5" s="773" t="s">
        <v>3</v>
      </c>
      <c r="CC5" s="773" t="s">
        <v>3</v>
      </c>
      <c r="CD5" s="773" t="s">
        <v>3</v>
      </c>
      <c r="CE5" s="773" t="s">
        <v>3</v>
      </c>
      <c r="CF5" s="773" t="s">
        <v>3</v>
      </c>
      <c r="CG5" s="773" t="s">
        <v>3</v>
      </c>
      <c r="CH5" s="773" t="s">
        <v>3</v>
      </c>
      <c r="CI5" s="773" t="s">
        <v>3</v>
      </c>
      <c r="CJ5" s="773" t="s">
        <v>3</v>
      </c>
      <c r="CK5" s="773" t="s">
        <v>3</v>
      </c>
      <c r="CL5" s="773" t="s">
        <v>3</v>
      </c>
      <c r="CM5" s="773" t="s">
        <v>3</v>
      </c>
      <c r="CN5" s="773" t="s">
        <v>3</v>
      </c>
      <c r="CO5" s="773" t="s">
        <v>3</v>
      </c>
      <c r="CP5" s="773" t="s">
        <v>3</v>
      </c>
      <c r="CQ5" s="773" t="s">
        <v>3</v>
      </c>
      <c r="CR5" s="773" t="s">
        <v>3</v>
      </c>
      <c r="CS5" s="773" t="s">
        <v>3</v>
      </c>
      <c r="CT5" s="773" t="s">
        <v>3</v>
      </c>
      <c r="CU5" s="738" t="s">
        <v>463</v>
      </c>
    </row>
    <row r="6" spans="1:116" ht="15.75" thickBot="1">
      <c r="A6" s="375"/>
      <c r="B6" s="736" t="s">
        <v>222</v>
      </c>
      <c r="C6" s="421">
        <v>42736</v>
      </c>
      <c r="D6" s="421">
        <f t="shared" ref="D6:Z6" si="1">+C6+31</f>
        <v>42767</v>
      </c>
      <c r="E6" s="421">
        <f t="shared" si="1"/>
        <v>42798</v>
      </c>
      <c r="F6" s="421">
        <f t="shared" si="1"/>
        <v>42829</v>
      </c>
      <c r="G6" s="421">
        <f t="shared" si="1"/>
        <v>42860</v>
      </c>
      <c r="H6" s="421">
        <f t="shared" si="1"/>
        <v>42891</v>
      </c>
      <c r="I6" s="421">
        <f t="shared" si="1"/>
        <v>42922</v>
      </c>
      <c r="J6" s="421">
        <f t="shared" si="1"/>
        <v>42953</v>
      </c>
      <c r="K6" s="421">
        <f t="shared" si="1"/>
        <v>42984</v>
      </c>
      <c r="L6" s="421">
        <f t="shared" si="1"/>
        <v>43015</v>
      </c>
      <c r="M6" s="421">
        <f t="shared" si="1"/>
        <v>43046</v>
      </c>
      <c r="N6" s="421">
        <f t="shared" si="1"/>
        <v>43077</v>
      </c>
      <c r="O6" s="421">
        <f t="shared" si="1"/>
        <v>43108</v>
      </c>
      <c r="P6" s="421">
        <f t="shared" si="1"/>
        <v>43139</v>
      </c>
      <c r="Q6" s="421">
        <f t="shared" si="1"/>
        <v>43170</v>
      </c>
      <c r="R6" s="421">
        <f t="shared" si="1"/>
        <v>43201</v>
      </c>
      <c r="S6" s="421">
        <f t="shared" si="1"/>
        <v>43232</v>
      </c>
      <c r="T6" s="421">
        <f t="shared" si="1"/>
        <v>43263</v>
      </c>
      <c r="U6" s="421">
        <f t="shared" si="1"/>
        <v>43294</v>
      </c>
      <c r="V6" s="421">
        <f t="shared" si="1"/>
        <v>43325</v>
      </c>
      <c r="W6" s="421">
        <f t="shared" si="1"/>
        <v>43356</v>
      </c>
      <c r="X6" s="421">
        <f t="shared" si="1"/>
        <v>43387</v>
      </c>
      <c r="Y6" s="421">
        <f t="shared" si="1"/>
        <v>43418</v>
      </c>
      <c r="Z6" s="421">
        <f t="shared" si="1"/>
        <v>43449</v>
      </c>
      <c r="AA6" s="421">
        <f t="shared" ref="AA6" si="2">+Z6+31</f>
        <v>43480</v>
      </c>
      <c r="AB6" s="421">
        <f t="shared" ref="AB6" si="3">+AA6+31</f>
        <v>43511</v>
      </c>
      <c r="AC6" s="421">
        <f t="shared" ref="AC6" si="4">+AB6+31</f>
        <v>43542</v>
      </c>
      <c r="AD6" s="421">
        <f t="shared" ref="AD6" si="5">+AC6+31</f>
        <v>43573</v>
      </c>
      <c r="AE6" s="421">
        <f t="shared" ref="AE6" si="6">+AD6+31</f>
        <v>43604</v>
      </c>
      <c r="AF6" s="421">
        <f t="shared" ref="AF6" si="7">+AE6+31</f>
        <v>43635</v>
      </c>
      <c r="AG6" s="421">
        <f t="shared" ref="AG6" si="8">+AF6+31</f>
        <v>43666</v>
      </c>
      <c r="AH6" s="421">
        <f t="shared" ref="AH6" si="9">+AG6+31</f>
        <v>43697</v>
      </c>
      <c r="AI6" s="421">
        <f t="shared" ref="AI6" si="10">+AH6+31</f>
        <v>43728</v>
      </c>
      <c r="AJ6" s="421">
        <f t="shared" ref="AJ6" si="11">+AI6+31</f>
        <v>43759</v>
      </c>
      <c r="AK6" s="421">
        <f t="shared" ref="AK6" si="12">+AJ6+31</f>
        <v>43790</v>
      </c>
      <c r="AL6" s="421">
        <f t="shared" ref="AL6" si="13">+AK6+31</f>
        <v>43821</v>
      </c>
      <c r="AM6" s="421">
        <f t="shared" ref="AM6" si="14">+AL6+31</f>
        <v>43852</v>
      </c>
      <c r="AN6" s="421">
        <f t="shared" ref="AN6" si="15">+AM6+31</f>
        <v>43883</v>
      </c>
      <c r="AO6" s="421">
        <f t="shared" ref="AO6" si="16">+AN6+31</f>
        <v>43914</v>
      </c>
      <c r="AP6" s="421">
        <f t="shared" ref="AP6" si="17">+AO6+31</f>
        <v>43945</v>
      </c>
      <c r="AQ6" s="421">
        <f t="shared" ref="AQ6" si="18">+AP6+31</f>
        <v>43976</v>
      </c>
      <c r="AR6" s="421">
        <f t="shared" ref="AR6" si="19">+AQ6+31</f>
        <v>44007</v>
      </c>
      <c r="AS6" s="421">
        <f t="shared" ref="AS6" si="20">+AR6+31</f>
        <v>44038</v>
      </c>
      <c r="AT6" s="421">
        <f t="shared" ref="AT6" si="21">+AS6+31</f>
        <v>44069</v>
      </c>
      <c r="AU6" s="421">
        <f t="shared" ref="AU6" si="22">+AT6+31</f>
        <v>44100</v>
      </c>
      <c r="AV6" s="421">
        <f t="shared" ref="AV6" si="23">+AU6+31</f>
        <v>44131</v>
      </c>
      <c r="AW6" s="421">
        <f t="shared" ref="AW6" si="24">+AV6+31</f>
        <v>44162</v>
      </c>
      <c r="AX6" s="728">
        <f t="shared" ref="AX6" si="25">+AW6+31</f>
        <v>44193</v>
      </c>
      <c r="AY6" s="728">
        <f t="shared" ref="AY6:AZ6" si="26">+AX6+31</f>
        <v>44224</v>
      </c>
      <c r="AZ6" s="728">
        <f t="shared" si="26"/>
        <v>44255</v>
      </c>
      <c r="BA6" s="728">
        <f>+AZ6+30</f>
        <v>44285</v>
      </c>
      <c r="BB6" s="728">
        <f t="shared" ref="BB6" si="27">+BA6+31</f>
        <v>44316</v>
      </c>
      <c r="BC6" s="728">
        <f t="shared" ref="BC6" si="28">+BB6+31</f>
        <v>44347</v>
      </c>
      <c r="BD6" s="728">
        <f>+BC6+30</f>
        <v>44377</v>
      </c>
      <c r="BE6" s="774">
        <f t="shared" ref="BE6" si="29">+BD6+31</f>
        <v>44408</v>
      </c>
      <c r="BF6" s="774">
        <f t="shared" ref="BF6" si="30">+BE6+31</f>
        <v>44439</v>
      </c>
      <c r="BG6" s="774">
        <f>+BF6+30</f>
        <v>44469</v>
      </c>
      <c r="BH6" s="774">
        <f t="shared" ref="BH6" si="31">+BG6+31</f>
        <v>44500</v>
      </c>
      <c r="BI6" s="774">
        <f>+BH6+30</f>
        <v>44530</v>
      </c>
      <c r="BJ6" s="774">
        <f t="shared" ref="BJ6" si="32">+BI6+31</f>
        <v>44561</v>
      </c>
      <c r="BK6" s="774">
        <v>44592</v>
      </c>
      <c r="BL6" s="774">
        <v>44620</v>
      </c>
      <c r="BM6" s="774">
        <v>44651</v>
      </c>
      <c r="BN6" s="774">
        <v>44681</v>
      </c>
      <c r="BO6" s="774">
        <v>44712</v>
      </c>
      <c r="BP6" s="774">
        <v>44742</v>
      </c>
      <c r="BQ6" s="774">
        <v>44773</v>
      </c>
      <c r="BR6" s="774">
        <v>44804</v>
      </c>
      <c r="BS6" s="774">
        <v>44834</v>
      </c>
      <c r="BT6" s="774">
        <v>44865</v>
      </c>
      <c r="BU6" s="774">
        <v>44895</v>
      </c>
      <c r="BV6" s="774">
        <v>44926</v>
      </c>
      <c r="BW6" s="774">
        <v>44957</v>
      </c>
      <c r="BX6" s="774">
        <v>44985</v>
      </c>
      <c r="BY6" s="774">
        <v>45016</v>
      </c>
      <c r="BZ6" s="774">
        <v>45046</v>
      </c>
      <c r="CA6" s="774">
        <v>45077</v>
      </c>
      <c r="CB6" s="774">
        <v>45107</v>
      </c>
      <c r="CC6" s="774">
        <v>45138</v>
      </c>
      <c r="CD6" s="774">
        <v>45169</v>
      </c>
      <c r="CE6" s="774">
        <v>45199</v>
      </c>
      <c r="CF6" s="774">
        <v>45230</v>
      </c>
      <c r="CG6" s="774">
        <v>45260</v>
      </c>
      <c r="CH6" s="774">
        <v>45291</v>
      </c>
      <c r="CI6" s="774">
        <v>45322</v>
      </c>
      <c r="CJ6" s="774">
        <v>45350</v>
      </c>
      <c r="CK6" s="774">
        <v>45382</v>
      </c>
      <c r="CL6" s="774">
        <v>45412</v>
      </c>
      <c r="CM6" s="774">
        <v>45443</v>
      </c>
      <c r="CN6" s="774">
        <v>45473</v>
      </c>
      <c r="CO6" s="774">
        <v>45504</v>
      </c>
      <c r="CP6" s="774">
        <v>45535</v>
      </c>
      <c r="CQ6" s="774">
        <v>45565</v>
      </c>
      <c r="CR6" s="774">
        <v>45596</v>
      </c>
      <c r="CS6" s="774">
        <v>45626</v>
      </c>
      <c r="CT6" s="774">
        <v>45657</v>
      </c>
      <c r="CU6" s="739" t="s">
        <v>464</v>
      </c>
    </row>
    <row r="7" spans="1:116">
      <c r="A7" s="28" t="s">
        <v>465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  <c r="AP7" s="449"/>
      <c r="AQ7" s="449"/>
      <c r="AR7" s="449"/>
      <c r="AS7" s="449"/>
      <c r="AT7" s="449"/>
      <c r="AU7" s="449"/>
      <c r="AV7" s="449"/>
      <c r="AW7" s="449"/>
      <c r="AX7" s="449"/>
      <c r="CV7" s="449"/>
    </row>
    <row r="8" spans="1:116" ht="15.75">
      <c r="A8" s="2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/>
      <c r="AO8" s="449"/>
      <c r="AP8" s="449"/>
      <c r="AQ8" s="449"/>
      <c r="AR8" s="449"/>
      <c r="AS8" s="449"/>
      <c r="AT8" s="449"/>
      <c r="AU8" s="449"/>
      <c r="AV8" s="449"/>
      <c r="AW8" s="449"/>
      <c r="AX8" s="449"/>
      <c r="CV8" s="449"/>
    </row>
    <row r="9" spans="1:116">
      <c r="A9" s="13" t="s">
        <v>466</v>
      </c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/>
      <c r="AO9" s="449"/>
      <c r="AP9" s="449"/>
      <c r="AQ9" s="449"/>
      <c r="AR9" s="449"/>
      <c r="AS9" s="449"/>
      <c r="AT9" s="449"/>
      <c r="AU9" s="449"/>
      <c r="AV9" s="449"/>
      <c r="AW9" s="449"/>
      <c r="AX9" s="449"/>
      <c r="AY9" s="449"/>
      <c r="AZ9" s="449"/>
      <c r="BA9" s="449"/>
      <c r="BB9" s="449"/>
      <c r="BC9" s="449"/>
      <c r="BD9" s="449"/>
      <c r="CU9" s="375"/>
      <c r="CV9" s="449"/>
      <c r="CW9" s="421" t="s">
        <v>1233</v>
      </c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</row>
    <row r="10" spans="1:116">
      <c r="A10" s="616" t="s">
        <v>467</v>
      </c>
      <c r="B10" s="260">
        <f ca="1">SUM(OFFSET(BW10:CI10,0,$A$1-1))/13</f>
        <v>3319121.5923076924</v>
      </c>
      <c r="C10" s="347">
        <v>1516479.3960599999</v>
      </c>
      <c r="D10" s="347">
        <v>1522482.59812</v>
      </c>
      <c r="E10" s="347">
        <v>1532923.7282799999</v>
      </c>
      <c r="F10" s="347">
        <v>1538485.7622700001</v>
      </c>
      <c r="G10" s="347">
        <v>1544475.81485</v>
      </c>
      <c r="H10" s="347">
        <v>1550986.0935799999</v>
      </c>
      <c r="I10" s="347">
        <v>1558211.3684700001</v>
      </c>
      <c r="J10" s="347">
        <v>1568715.7838200002</v>
      </c>
      <c r="K10" s="347">
        <v>1583973.7129200001</v>
      </c>
      <c r="L10" s="347">
        <v>1594889.40692</v>
      </c>
      <c r="M10" s="347">
        <v>1602746.9758200003</v>
      </c>
      <c r="N10" s="347">
        <v>1613151.6469700001</v>
      </c>
      <c r="O10" s="410">
        <v>1626036.6806799998</v>
      </c>
      <c r="P10" s="410">
        <v>1633022.50082</v>
      </c>
      <c r="Q10" s="410">
        <v>1644964.51902</v>
      </c>
      <c r="R10" s="410">
        <v>1652084.33185</v>
      </c>
      <c r="S10" s="410">
        <v>1668298.5418</v>
      </c>
      <c r="T10" s="410">
        <v>1675825.4123499999</v>
      </c>
      <c r="U10" s="410">
        <v>1684329.0998600002</v>
      </c>
      <c r="V10" s="410">
        <v>1694202.0364999999</v>
      </c>
      <c r="W10" s="410">
        <v>1701086.99468</v>
      </c>
      <c r="X10" s="410">
        <v>1712322.8655000001</v>
      </c>
      <c r="Y10" s="410">
        <v>1738754.2584599999</v>
      </c>
      <c r="Z10" s="410">
        <v>1762065.90906</v>
      </c>
      <c r="AA10" s="410">
        <v>1774055.2858499999</v>
      </c>
      <c r="AB10" s="410">
        <v>1792772.51712</v>
      </c>
      <c r="AC10" s="410">
        <v>1809184.9008500001</v>
      </c>
      <c r="AD10" s="410">
        <v>1821273.9876299999</v>
      </c>
      <c r="AE10" s="410">
        <v>1834439.00239</v>
      </c>
      <c r="AF10" s="410">
        <v>1850083.69731</v>
      </c>
      <c r="AG10" s="410">
        <v>1862268.7733399998</v>
      </c>
      <c r="AH10" s="410">
        <v>1870726.0528199999</v>
      </c>
      <c r="AI10" s="410">
        <v>1889758.3285300001</v>
      </c>
      <c r="AJ10" s="410">
        <v>1900765.04259</v>
      </c>
      <c r="AK10" s="410">
        <v>1924455.1345200001</v>
      </c>
      <c r="AL10" s="410">
        <v>1940875.5429699998</v>
      </c>
      <c r="AM10" s="410">
        <v>1950239.5700700001</v>
      </c>
      <c r="AN10" s="410">
        <v>1964551.3654700001</v>
      </c>
      <c r="AO10" s="410">
        <v>1982872.32278</v>
      </c>
      <c r="AP10" s="410">
        <v>1996012.2223</v>
      </c>
      <c r="AQ10" s="410">
        <v>2008227.86421</v>
      </c>
      <c r="AR10" s="410">
        <v>2022803.4492200001</v>
      </c>
      <c r="AS10" s="410">
        <v>2033865.6456100002</v>
      </c>
      <c r="AT10" s="410">
        <v>2053556.69197</v>
      </c>
      <c r="AU10" s="410">
        <v>2069622.9344300001</v>
      </c>
      <c r="AV10" s="410">
        <v>2147906.9921900001</v>
      </c>
      <c r="AW10" s="410">
        <v>2168569.5812599999</v>
      </c>
      <c r="AX10" s="410">
        <v>2190266.0963099999</v>
      </c>
      <c r="AY10" s="410">
        <v>2210640.8616399998</v>
      </c>
      <c r="AZ10" s="410">
        <v>2218263.1992799998</v>
      </c>
      <c r="BA10" s="410">
        <v>2237535.2581700003</v>
      </c>
      <c r="BB10" s="410">
        <v>2312458.6691000001</v>
      </c>
      <c r="BC10" s="410">
        <v>2326859.5079699997</v>
      </c>
      <c r="BD10" s="410">
        <v>2339306.6069899998</v>
      </c>
      <c r="BE10" s="685">
        <v>2349282.6089499998</v>
      </c>
      <c r="BF10" s="685">
        <v>2360423.2762099998</v>
      </c>
      <c r="BG10" s="685">
        <v>2370466.1430699998</v>
      </c>
      <c r="BH10" s="685">
        <v>2381121.9106900003</v>
      </c>
      <c r="BI10" s="685">
        <v>2455392.2096199999</v>
      </c>
      <c r="BJ10" s="801">
        <v>2478715.9542</v>
      </c>
      <c r="BK10" s="801">
        <v>2490664.2849099999</v>
      </c>
      <c r="BL10" s="801">
        <v>2510368.1822299999</v>
      </c>
      <c r="BM10" s="801">
        <v>2520195.5334899998</v>
      </c>
      <c r="BN10" s="801">
        <v>2537843.1559300004</v>
      </c>
      <c r="BO10" s="801">
        <v>2558270.6101000002</v>
      </c>
      <c r="BP10" s="801">
        <v>2573891.0751799997</v>
      </c>
      <c r="BQ10" s="801">
        <v>2577548.3685099999</v>
      </c>
      <c r="BR10" s="801">
        <v>2593174.0702</v>
      </c>
      <c r="BS10" s="801">
        <v>2604597.7720699999</v>
      </c>
      <c r="BT10" s="801">
        <v>2660648.5707199997</v>
      </c>
      <c r="BU10" s="801">
        <v>2673300.8299000002</v>
      </c>
      <c r="BV10" s="801">
        <v>2680770.2977899997</v>
      </c>
      <c r="BW10" s="685">
        <v>2812837.6</v>
      </c>
      <c r="BX10" s="685">
        <v>2895376.3000000003</v>
      </c>
      <c r="BY10" s="685">
        <v>2926735.2</v>
      </c>
      <c r="BZ10" s="685">
        <v>2951481.7</v>
      </c>
      <c r="CA10" s="685">
        <v>3004923.2</v>
      </c>
      <c r="CB10" s="685">
        <v>3027935.3</v>
      </c>
      <c r="CC10" s="685">
        <v>3045681.8000000003</v>
      </c>
      <c r="CD10" s="685">
        <v>3061855.3000000003</v>
      </c>
      <c r="CE10" s="685">
        <v>3078836.5</v>
      </c>
      <c r="CF10" s="685">
        <v>3094622.2</v>
      </c>
      <c r="CG10" s="685">
        <v>3169383.9000000004</v>
      </c>
      <c r="CH10" s="685">
        <v>3202682.9000000004</v>
      </c>
      <c r="CI10" s="345">
        <v>3221648.4000000004</v>
      </c>
      <c r="CJ10" s="345">
        <v>3239062.9</v>
      </c>
      <c r="CK10" s="345">
        <v>3257810.6000000006</v>
      </c>
      <c r="CL10" s="345">
        <v>3275149.1</v>
      </c>
      <c r="CM10" s="345">
        <v>3293539.5</v>
      </c>
      <c r="CN10" s="345">
        <v>3314525.1</v>
      </c>
      <c r="CO10" s="345">
        <v>3332282.3000000003</v>
      </c>
      <c r="CP10" s="345">
        <v>3354069.3000000003</v>
      </c>
      <c r="CQ10" s="345">
        <v>3381144.3000000003</v>
      </c>
      <c r="CR10" s="345">
        <v>3399224.2</v>
      </c>
      <c r="CS10" s="345">
        <v>3417174.5</v>
      </c>
      <c r="CT10" s="345">
        <v>3460267.6</v>
      </c>
      <c r="CU10" s="697">
        <f>SUM(CH10:CT10)/13</f>
        <v>3319121.5923076924</v>
      </c>
      <c r="CW10" s="33">
        <v>1040001</v>
      </c>
      <c r="CX10" s="184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</row>
    <row r="11" spans="1:116">
      <c r="A11" s="616" t="s">
        <v>468</v>
      </c>
      <c r="B11" s="260">
        <f t="shared" ref="B11:B16" ca="1" si="33">SUM(OFFSET(BW11:CI11,0,$A$1-1))/13</f>
        <v>1939.5999999999997</v>
      </c>
      <c r="C11" s="348">
        <v>1939.5515500000001</v>
      </c>
      <c r="D11" s="348">
        <v>1939.5515500000001</v>
      </c>
      <c r="E11" s="348">
        <v>1939.5515500000001</v>
      </c>
      <c r="F11" s="348">
        <v>1939.5515500000001</v>
      </c>
      <c r="G11" s="348">
        <v>1939.5515500000001</v>
      </c>
      <c r="H11" s="348">
        <v>1939.5515500000001</v>
      </c>
      <c r="I11" s="348">
        <v>1939.5515500000001</v>
      </c>
      <c r="J11" s="348">
        <v>1939.5515500000001</v>
      </c>
      <c r="K11" s="348">
        <v>1939.5515500000001</v>
      </c>
      <c r="L11" s="348">
        <v>1939.5515500000001</v>
      </c>
      <c r="M11" s="348">
        <v>1939.5515500000001</v>
      </c>
      <c r="N11" s="348">
        <v>1939.5515500000001</v>
      </c>
      <c r="O11" s="411">
        <v>1939.5515500000001</v>
      </c>
      <c r="P11" s="411">
        <v>1939.5515500000001</v>
      </c>
      <c r="Q11" s="411">
        <v>1939.5515500000001</v>
      </c>
      <c r="R11" s="411">
        <v>1939.5515500000001</v>
      </c>
      <c r="S11" s="411">
        <v>1939.5515500000001</v>
      </c>
      <c r="T11" s="411">
        <v>1939.5515500000001</v>
      </c>
      <c r="U11" s="411">
        <v>1939.5515500000001</v>
      </c>
      <c r="V11" s="411">
        <v>1939.5515500000001</v>
      </c>
      <c r="W11" s="411">
        <v>1939.5515500000001</v>
      </c>
      <c r="X11" s="411">
        <v>1939.5515500000001</v>
      </c>
      <c r="Y11" s="411">
        <v>1939.5515500000001</v>
      </c>
      <c r="Z11" s="411">
        <v>1939.5515500000001</v>
      </c>
      <c r="AA11" s="411">
        <v>1939.5515500000001</v>
      </c>
      <c r="AB11" s="411">
        <v>1939.5515500000001</v>
      </c>
      <c r="AC11" s="411">
        <v>1939.5515500000001</v>
      </c>
      <c r="AD11" s="411">
        <v>1939.5515500000001</v>
      </c>
      <c r="AE11" s="411">
        <v>1939.5515500000001</v>
      </c>
      <c r="AF11" s="411">
        <v>1939.5515500000001</v>
      </c>
      <c r="AG11" s="411">
        <v>1939.5515500000001</v>
      </c>
      <c r="AH11" s="411">
        <v>1939.5515500000001</v>
      </c>
      <c r="AI11" s="411">
        <v>1939.5515500000001</v>
      </c>
      <c r="AJ11" s="411">
        <v>1939.5515500000001</v>
      </c>
      <c r="AK11" s="411">
        <v>1939.5515500000001</v>
      </c>
      <c r="AL11" s="411">
        <v>1939.5515500000001</v>
      </c>
      <c r="AM11" s="411">
        <v>1939.5515500000001</v>
      </c>
      <c r="AN11" s="411">
        <v>1939.5515500000001</v>
      </c>
      <c r="AO11" s="411">
        <v>1939.5515500000001</v>
      </c>
      <c r="AP11" s="411">
        <v>1939.5515500000001</v>
      </c>
      <c r="AQ11" s="411">
        <v>1939.5515500000001</v>
      </c>
      <c r="AR11" s="411">
        <v>1939.5515500000001</v>
      </c>
      <c r="AS11" s="411">
        <v>1939.5515500000001</v>
      </c>
      <c r="AT11" s="411">
        <v>1939.5515500000001</v>
      </c>
      <c r="AU11" s="411">
        <v>1939.5515500000001</v>
      </c>
      <c r="AV11" s="411">
        <v>1939.5515500000001</v>
      </c>
      <c r="AW11" s="411">
        <v>1939.5515500000001</v>
      </c>
      <c r="AX11" s="411">
        <v>1939.5515500000001</v>
      </c>
      <c r="AY11" s="411">
        <v>1939.5515500000001</v>
      </c>
      <c r="AZ11" s="411">
        <v>1939.5515500000001</v>
      </c>
      <c r="BA11" s="411">
        <v>1939.5515500000001</v>
      </c>
      <c r="BB11" s="411">
        <v>1939.5515500000001</v>
      </c>
      <c r="BC11" s="411">
        <v>1939.5515500000001</v>
      </c>
      <c r="BD11" s="411">
        <v>1939.5515500000001</v>
      </c>
      <c r="BE11" s="587">
        <v>1939.5515500000001</v>
      </c>
      <c r="BF11" s="587">
        <v>1939.5515500000001</v>
      </c>
      <c r="BG11" s="587">
        <v>1939.5515500000001</v>
      </c>
      <c r="BH11" s="587">
        <v>1939.5515500000001</v>
      </c>
      <c r="BI11" s="587">
        <v>1939.5515500000001</v>
      </c>
      <c r="BJ11" s="587">
        <v>1939.5515500000001</v>
      </c>
      <c r="BK11" s="587">
        <v>1939.5515500000001</v>
      </c>
      <c r="BL11" s="587">
        <v>1939.5515500000001</v>
      </c>
      <c r="BM11" s="587">
        <v>1939.5515500000001</v>
      </c>
      <c r="BN11" s="587">
        <v>1939.5515500000001</v>
      </c>
      <c r="BO11" s="587">
        <v>1939.5515500000001</v>
      </c>
      <c r="BP11" s="587">
        <v>1939.5515500000001</v>
      </c>
      <c r="BQ11" s="587">
        <v>1939.5515500000001</v>
      </c>
      <c r="BR11" s="587">
        <v>1939.5515500000001</v>
      </c>
      <c r="BS11" s="587">
        <v>1939.5515500000001</v>
      </c>
      <c r="BT11" s="587">
        <v>1939.5515500000001</v>
      </c>
      <c r="BU11" s="587">
        <v>1939.5515500000001</v>
      </c>
      <c r="BV11" s="587">
        <v>1939.5515500000001</v>
      </c>
      <c r="BW11" s="587">
        <v>1939.6</v>
      </c>
      <c r="BX11" s="587">
        <v>1939.6</v>
      </c>
      <c r="BY11" s="587">
        <v>1939.6</v>
      </c>
      <c r="BZ11" s="587">
        <v>1939.6</v>
      </c>
      <c r="CA11" s="587">
        <v>1939.6</v>
      </c>
      <c r="CB11" s="587">
        <v>1939.6</v>
      </c>
      <c r="CC11" s="587">
        <v>1939.6</v>
      </c>
      <c r="CD11" s="587">
        <v>1939.6</v>
      </c>
      <c r="CE11" s="587">
        <v>1939.6</v>
      </c>
      <c r="CF11" s="587">
        <v>1939.6</v>
      </c>
      <c r="CG11" s="587">
        <v>1939.6</v>
      </c>
      <c r="CH11" s="345">
        <v>1939.6</v>
      </c>
      <c r="CI11" s="1090">
        <v>1939.6</v>
      </c>
      <c r="CJ11" s="345">
        <v>1939.6</v>
      </c>
      <c r="CK11" s="345">
        <v>1939.6</v>
      </c>
      <c r="CL11" s="345">
        <v>1939.6</v>
      </c>
      <c r="CM11" s="345">
        <v>1939.6</v>
      </c>
      <c r="CN11" s="345">
        <v>1939.6</v>
      </c>
      <c r="CO11" s="345">
        <v>1939.6</v>
      </c>
      <c r="CP11" s="345">
        <v>1939.6</v>
      </c>
      <c r="CQ11" s="345">
        <v>1939.6</v>
      </c>
      <c r="CR11" s="345">
        <v>1939.6</v>
      </c>
      <c r="CS11" s="345">
        <v>1939.6</v>
      </c>
      <c r="CT11" s="345">
        <v>1939.6</v>
      </c>
      <c r="CU11" s="698">
        <f t="shared" ref="CU11:CU16" si="34">SUM(CH11:CT11)/13</f>
        <v>1939.5999999999997</v>
      </c>
      <c r="CV11" s="1059"/>
      <c r="CW11" s="33" t="str">
        <f>IF(CW9=CW10,"","9999")</f>
        <v>9999</v>
      </c>
      <c r="CX11" s="184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</row>
    <row r="12" spans="1:116">
      <c r="A12" s="616" t="s">
        <v>190</v>
      </c>
      <c r="B12" s="318">
        <f t="shared" ca="1" si="33"/>
        <v>135611.36153846153</v>
      </c>
      <c r="C12" s="348">
        <v>23589.092920000003</v>
      </c>
      <c r="D12" s="348">
        <v>25860.519969999998</v>
      </c>
      <c r="E12" s="348">
        <v>22431.305519999998</v>
      </c>
      <c r="F12" s="348">
        <v>19601.49555</v>
      </c>
      <c r="G12" s="348">
        <v>22896.68088</v>
      </c>
      <c r="H12" s="348">
        <v>23021.023920000003</v>
      </c>
      <c r="I12" s="348">
        <v>24466.916819999999</v>
      </c>
      <c r="J12" s="348">
        <v>26444.168329999997</v>
      </c>
      <c r="K12" s="348">
        <v>19059.484760000003</v>
      </c>
      <c r="L12" s="348">
        <v>18962.145</v>
      </c>
      <c r="M12" s="348">
        <v>20898.478719999999</v>
      </c>
      <c r="N12" s="348">
        <v>22182.235109999998</v>
      </c>
      <c r="O12" s="411">
        <v>18556.747960000001</v>
      </c>
      <c r="P12" s="411">
        <v>20715.951399999998</v>
      </c>
      <c r="Q12" s="411">
        <v>22686.371660000001</v>
      </c>
      <c r="R12" s="411">
        <v>24764.40857</v>
      </c>
      <c r="S12" s="411">
        <v>22852.997649999998</v>
      </c>
      <c r="T12" s="411">
        <v>25749.403039999997</v>
      </c>
      <c r="U12" s="411">
        <v>27787.37155</v>
      </c>
      <c r="V12" s="411">
        <v>32937.378980000001</v>
      </c>
      <c r="W12" s="411">
        <v>42024.779399999999</v>
      </c>
      <c r="X12" s="411">
        <v>49273.45001</v>
      </c>
      <c r="Y12" s="411">
        <v>40575.117020000005</v>
      </c>
      <c r="Z12" s="411">
        <v>32694.18089</v>
      </c>
      <c r="AA12" s="411">
        <v>37233.262219999997</v>
      </c>
      <c r="AB12" s="411">
        <v>30935.389950000001</v>
      </c>
      <c r="AC12" s="411">
        <v>31118.917460000001</v>
      </c>
      <c r="AD12" s="411">
        <v>32041.115710000002</v>
      </c>
      <c r="AE12" s="411">
        <v>37503.290119999998</v>
      </c>
      <c r="AF12" s="411">
        <v>39013.136270000003</v>
      </c>
      <c r="AG12" s="411">
        <v>43393.05083</v>
      </c>
      <c r="AH12" s="411">
        <v>55128.154759999998</v>
      </c>
      <c r="AI12" s="411">
        <v>55798.695200000002</v>
      </c>
      <c r="AJ12" s="411">
        <v>62985.742700000003</v>
      </c>
      <c r="AK12" s="411">
        <v>59495.069459999999</v>
      </c>
      <c r="AL12" s="411">
        <v>71222.206430000006</v>
      </c>
      <c r="AM12" s="411">
        <v>87383.269209999999</v>
      </c>
      <c r="AN12" s="411">
        <v>89788.572590000011</v>
      </c>
      <c r="AO12" s="411">
        <v>92714.028870000009</v>
      </c>
      <c r="AP12" s="411">
        <v>105186.28393000001</v>
      </c>
      <c r="AQ12" s="411">
        <v>119487.89845000001</v>
      </c>
      <c r="AR12" s="411">
        <v>129123.89542</v>
      </c>
      <c r="AS12" s="411">
        <v>142981.95392</v>
      </c>
      <c r="AT12" s="411">
        <v>160185.91000999999</v>
      </c>
      <c r="AU12" s="411">
        <v>169862.75434000001</v>
      </c>
      <c r="AV12" s="411">
        <v>123028.33882999999</v>
      </c>
      <c r="AW12" s="411">
        <v>131449.52866000001</v>
      </c>
      <c r="AX12" s="411">
        <v>140807.87794999999</v>
      </c>
      <c r="AY12" s="411">
        <v>142689.49903000001</v>
      </c>
      <c r="AZ12" s="411">
        <v>158270.83991000001</v>
      </c>
      <c r="BA12" s="411">
        <v>168655.14324999999</v>
      </c>
      <c r="BB12" s="411">
        <v>116700.53018999999</v>
      </c>
      <c r="BC12" s="411">
        <v>118593.70979000001</v>
      </c>
      <c r="BD12" s="411">
        <v>130442.94962</v>
      </c>
      <c r="BE12" s="587">
        <v>145786.05718999999</v>
      </c>
      <c r="BF12" s="587">
        <v>159472.17224000001</v>
      </c>
      <c r="BG12" s="587">
        <v>174423.90746000002</v>
      </c>
      <c r="BH12" s="587">
        <v>191413.44262000002</v>
      </c>
      <c r="BI12" s="587">
        <v>142092.42580000003</v>
      </c>
      <c r="BJ12" s="587">
        <v>147483.84961</v>
      </c>
      <c r="BK12" s="587">
        <v>158111.22904000001</v>
      </c>
      <c r="BL12" s="587">
        <v>162199.57815000002</v>
      </c>
      <c r="BM12" s="587">
        <v>174470.93997000001</v>
      </c>
      <c r="BN12" s="587">
        <v>184225.6269</v>
      </c>
      <c r="BO12" s="587">
        <v>188333.22303999998</v>
      </c>
      <c r="BP12" s="587">
        <v>201983.44096000001</v>
      </c>
      <c r="BQ12" s="587">
        <v>212538.81599</v>
      </c>
      <c r="BR12" s="587">
        <v>225280.63212999998</v>
      </c>
      <c r="BS12" s="587">
        <v>235379.56007000001</v>
      </c>
      <c r="BT12" s="587">
        <v>200850.23599000002</v>
      </c>
      <c r="BU12" s="587">
        <v>210666.56054000001</v>
      </c>
      <c r="BV12" s="587">
        <v>246108.95169999998</v>
      </c>
      <c r="BW12" s="587">
        <v>139895.4</v>
      </c>
      <c r="BX12" s="587">
        <v>119553.9</v>
      </c>
      <c r="BY12" s="587">
        <v>118095</v>
      </c>
      <c r="BZ12" s="587">
        <v>138120.20000000001</v>
      </c>
      <c r="CA12" s="587">
        <v>110979.9</v>
      </c>
      <c r="CB12" s="587">
        <v>116583.6</v>
      </c>
      <c r="CC12" s="587">
        <v>127626</v>
      </c>
      <c r="CD12" s="587">
        <v>138177.9</v>
      </c>
      <c r="CE12" s="587">
        <v>145799.79999999999</v>
      </c>
      <c r="CF12" s="587">
        <v>152661.70000000001</v>
      </c>
      <c r="CG12" s="587">
        <v>98595.9</v>
      </c>
      <c r="CH12" s="345">
        <v>85626.4</v>
      </c>
      <c r="CI12" s="1090">
        <v>89005.3</v>
      </c>
      <c r="CJ12" s="345">
        <v>95015.4</v>
      </c>
      <c r="CK12" s="345">
        <v>99829.2</v>
      </c>
      <c r="CL12" s="345">
        <v>113844.1</v>
      </c>
      <c r="CM12" s="345">
        <v>128282.8</v>
      </c>
      <c r="CN12" s="345">
        <v>142994.9</v>
      </c>
      <c r="CO12" s="345">
        <v>155462.1</v>
      </c>
      <c r="CP12" s="345">
        <v>163942.79999999999</v>
      </c>
      <c r="CQ12" s="345">
        <v>164911.5</v>
      </c>
      <c r="CR12" s="345">
        <v>174576.9</v>
      </c>
      <c r="CS12" s="345">
        <v>184889.60000000001</v>
      </c>
      <c r="CT12" s="345">
        <v>164566.70000000001</v>
      </c>
      <c r="CU12" s="698">
        <f t="shared" si="34"/>
        <v>135611.36153846153</v>
      </c>
      <c r="CV12" s="1059"/>
      <c r="CW12" s="33"/>
      <c r="CX12" s="184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</row>
    <row r="13" spans="1:116">
      <c r="A13" s="616" t="s">
        <v>469</v>
      </c>
      <c r="B13" s="262">
        <f t="shared" ca="1" si="33"/>
        <v>5031.9000000000005</v>
      </c>
      <c r="C13" s="349">
        <v>5031.8972400000002</v>
      </c>
      <c r="D13" s="349">
        <v>5031.8972400000002</v>
      </c>
      <c r="E13" s="349">
        <v>5031.8972400000002</v>
      </c>
      <c r="F13" s="349">
        <v>5031.8972400000002</v>
      </c>
      <c r="G13" s="349">
        <v>5031.8972400000002</v>
      </c>
      <c r="H13" s="349">
        <v>5031.8972400000002</v>
      </c>
      <c r="I13" s="349">
        <v>5031.8972400000002</v>
      </c>
      <c r="J13" s="349">
        <v>5031.8972400000002</v>
      </c>
      <c r="K13" s="349">
        <v>5031.8972400000002</v>
      </c>
      <c r="L13" s="349">
        <v>5031.8972400000002</v>
      </c>
      <c r="M13" s="349">
        <v>5031.8972400000002</v>
      </c>
      <c r="N13" s="349">
        <v>5031.8972400000002</v>
      </c>
      <c r="O13" s="412">
        <v>5031.8972400000002</v>
      </c>
      <c r="P13" s="412">
        <v>5031.8972400000002</v>
      </c>
      <c r="Q13" s="412">
        <v>5031.8972400000002</v>
      </c>
      <c r="R13" s="412">
        <v>5031.8972400000002</v>
      </c>
      <c r="S13" s="412">
        <v>5031.8972400000002</v>
      </c>
      <c r="T13" s="412">
        <v>5031.8972400000002</v>
      </c>
      <c r="U13" s="412">
        <v>5031.8972400000002</v>
      </c>
      <c r="V13" s="412">
        <v>5031.8972400000002</v>
      </c>
      <c r="W13" s="412">
        <v>5031.8972400000002</v>
      </c>
      <c r="X13" s="412">
        <v>5031.8972400000002</v>
      </c>
      <c r="Y13" s="412">
        <v>5031.8972400000002</v>
      </c>
      <c r="Z13" s="412">
        <v>5031.8972400000002</v>
      </c>
      <c r="AA13" s="412">
        <v>5031.8972400000002</v>
      </c>
      <c r="AB13" s="412">
        <v>5031.8972400000002</v>
      </c>
      <c r="AC13" s="412">
        <v>5031.8972400000002</v>
      </c>
      <c r="AD13" s="412">
        <v>5031.8972400000002</v>
      </c>
      <c r="AE13" s="412">
        <v>5031.8972400000002</v>
      </c>
      <c r="AF13" s="412">
        <v>5031.8972400000002</v>
      </c>
      <c r="AG13" s="412">
        <v>5031.8972400000002</v>
      </c>
      <c r="AH13" s="412">
        <v>5031.8972400000002</v>
      </c>
      <c r="AI13" s="412">
        <v>5031.8972400000002</v>
      </c>
      <c r="AJ13" s="412">
        <v>5031.8972400000002</v>
      </c>
      <c r="AK13" s="412">
        <v>5031.8972400000002</v>
      </c>
      <c r="AL13" s="412">
        <v>5031.8972400000002</v>
      </c>
      <c r="AM13" s="412">
        <v>5031.8972400000002</v>
      </c>
      <c r="AN13" s="412">
        <v>5031.8972400000002</v>
      </c>
      <c r="AO13" s="412">
        <v>5031.8972400000002</v>
      </c>
      <c r="AP13" s="412">
        <v>5031.8972400000002</v>
      </c>
      <c r="AQ13" s="412">
        <v>5031.8972400000002</v>
      </c>
      <c r="AR13" s="412">
        <v>5031.8972400000002</v>
      </c>
      <c r="AS13" s="412">
        <v>5031.8972400000002</v>
      </c>
      <c r="AT13" s="412">
        <v>5031.8972400000002</v>
      </c>
      <c r="AU13" s="412">
        <v>5031.8972400000002</v>
      </c>
      <c r="AV13" s="412">
        <v>5031.8972400000002</v>
      </c>
      <c r="AW13" s="412">
        <v>5031.8972400000002</v>
      </c>
      <c r="AX13" s="412">
        <v>5031.8972400000002</v>
      </c>
      <c r="AY13" s="412">
        <v>5031.8972400000002</v>
      </c>
      <c r="AZ13" s="412">
        <v>5031.8972400000002</v>
      </c>
      <c r="BA13" s="412">
        <v>5031.8972400000002</v>
      </c>
      <c r="BB13" s="412">
        <v>5031.8972400000002</v>
      </c>
      <c r="BC13" s="412">
        <v>5031.8972400000002</v>
      </c>
      <c r="BD13" s="412">
        <v>5031.8972400000002</v>
      </c>
      <c r="BE13" s="680">
        <v>5031.8972400000002</v>
      </c>
      <c r="BF13" s="680">
        <v>5031.8972400000002</v>
      </c>
      <c r="BG13" s="680">
        <v>5031.8972400000002</v>
      </c>
      <c r="BH13" s="680">
        <v>5031.8972400000002</v>
      </c>
      <c r="BI13" s="680">
        <v>5031.8972400000002</v>
      </c>
      <c r="BJ13" s="680">
        <v>5031.8972400000002</v>
      </c>
      <c r="BK13" s="680">
        <v>5031.8972400000002</v>
      </c>
      <c r="BL13" s="680">
        <v>5031.8972400000002</v>
      </c>
      <c r="BM13" s="680">
        <v>5031.8972400000002</v>
      </c>
      <c r="BN13" s="680">
        <v>5031.8972400000002</v>
      </c>
      <c r="BO13" s="680">
        <v>5031.8972400000002</v>
      </c>
      <c r="BP13" s="680">
        <v>5031.8972400000002</v>
      </c>
      <c r="BQ13" s="680">
        <v>5031.8972400000002</v>
      </c>
      <c r="BR13" s="680">
        <v>5031.8972400000002</v>
      </c>
      <c r="BS13" s="680">
        <v>5031.8972400000002</v>
      </c>
      <c r="BT13" s="680">
        <v>5031.8972400000002</v>
      </c>
      <c r="BU13" s="680">
        <v>5031.8972400000002</v>
      </c>
      <c r="BV13" s="680">
        <v>5031.8972400000002</v>
      </c>
      <c r="BW13" s="680">
        <v>5031.8999999999996</v>
      </c>
      <c r="BX13" s="680">
        <v>5031.8999999999996</v>
      </c>
      <c r="BY13" s="680">
        <v>5031.8999999999996</v>
      </c>
      <c r="BZ13" s="680">
        <v>5031.8999999999996</v>
      </c>
      <c r="CA13" s="680">
        <v>5031.8999999999996</v>
      </c>
      <c r="CB13" s="680">
        <v>5031.8999999999996</v>
      </c>
      <c r="CC13" s="680">
        <v>5031.8999999999996</v>
      </c>
      <c r="CD13" s="680">
        <v>5031.8999999999996</v>
      </c>
      <c r="CE13" s="680">
        <v>5031.8999999999996</v>
      </c>
      <c r="CF13" s="680">
        <v>5031.8999999999996</v>
      </c>
      <c r="CG13" s="680">
        <v>5031.8999999999996</v>
      </c>
      <c r="CH13" s="1058">
        <v>5031.8999999999996</v>
      </c>
      <c r="CI13" s="1091">
        <v>5031.8999999999996</v>
      </c>
      <c r="CJ13" s="1058">
        <v>5031.8999999999996</v>
      </c>
      <c r="CK13" s="1058">
        <v>5031.8999999999996</v>
      </c>
      <c r="CL13" s="1058">
        <v>5031.8999999999996</v>
      </c>
      <c r="CM13" s="1058">
        <v>5031.8999999999996</v>
      </c>
      <c r="CN13" s="1058">
        <v>5031.8999999999996</v>
      </c>
      <c r="CO13" s="1058">
        <v>5031.8999999999996</v>
      </c>
      <c r="CP13" s="1058">
        <v>5031.8999999999996</v>
      </c>
      <c r="CQ13" s="1058">
        <v>5031.8999999999996</v>
      </c>
      <c r="CR13" s="1058">
        <v>5031.8999999999996</v>
      </c>
      <c r="CS13" s="1058">
        <v>5031.8999999999996</v>
      </c>
      <c r="CT13" s="1058">
        <v>5031.8999999999996</v>
      </c>
      <c r="CU13" s="699">
        <f t="shared" si="34"/>
        <v>5031.9000000000005</v>
      </c>
      <c r="CV13" s="1059"/>
      <c r="CW13" s="33"/>
      <c r="CX13" s="184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</row>
    <row r="14" spans="1:116">
      <c r="A14" s="598" t="s">
        <v>470</v>
      </c>
      <c r="B14" s="260">
        <f t="shared" ca="1" si="33"/>
        <v>3461704.4538461538</v>
      </c>
      <c r="C14" s="79">
        <f t="shared" ref="C14:N14" si="35">SUM(C10:C13)</f>
        <v>1547039.93777</v>
      </c>
      <c r="D14" s="79">
        <f t="shared" si="35"/>
        <v>1555314.5668800001</v>
      </c>
      <c r="E14" s="79">
        <f t="shared" si="35"/>
        <v>1562326.4825899999</v>
      </c>
      <c r="F14" s="79">
        <f t="shared" si="35"/>
        <v>1565058.7066100002</v>
      </c>
      <c r="G14" s="79">
        <f t="shared" si="35"/>
        <v>1574343.9445200001</v>
      </c>
      <c r="H14" s="79">
        <f t="shared" si="35"/>
        <v>1580978.56629</v>
      </c>
      <c r="I14" s="79">
        <f t="shared" si="35"/>
        <v>1589649.7340800001</v>
      </c>
      <c r="J14" s="79">
        <f t="shared" si="35"/>
        <v>1602131.4009400003</v>
      </c>
      <c r="K14" s="79">
        <f t="shared" si="35"/>
        <v>1610004.64647</v>
      </c>
      <c r="L14" s="79">
        <f t="shared" si="35"/>
        <v>1620823.0007100001</v>
      </c>
      <c r="M14" s="79">
        <f t="shared" si="35"/>
        <v>1630616.9033300004</v>
      </c>
      <c r="N14" s="79">
        <f t="shared" si="35"/>
        <v>1642305.3308700002</v>
      </c>
      <c r="O14" s="79">
        <f t="shared" ref="O14:Z14" si="36">SUM(O10:O13)</f>
        <v>1651564.8774299999</v>
      </c>
      <c r="P14" s="79">
        <f t="shared" si="36"/>
        <v>1660709.9010099999</v>
      </c>
      <c r="Q14" s="79">
        <f t="shared" si="36"/>
        <v>1674622.33947</v>
      </c>
      <c r="R14" s="79">
        <f t="shared" si="36"/>
        <v>1683820.18921</v>
      </c>
      <c r="S14" s="79">
        <f t="shared" si="36"/>
        <v>1698122.9882400001</v>
      </c>
      <c r="T14" s="79">
        <f t="shared" si="36"/>
        <v>1708546.2641799999</v>
      </c>
      <c r="U14" s="79">
        <f t="shared" si="36"/>
        <v>1719087.9202000003</v>
      </c>
      <c r="V14" s="79">
        <f t="shared" si="36"/>
        <v>1734110.86427</v>
      </c>
      <c r="W14" s="79">
        <f t="shared" si="36"/>
        <v>1750083.2228699999</v>
      </c>
      <c r="X14" s="79">
        <f t="shared" si="36"/>
        <v>1768567.7643000002</v>
      </c>
      <c r="Y14" s="79">
        <f t="shared" si="36"/>
        <v>1786300.82427</v>
      </c>
      <c r="Z14" s="79">
        <f t="shared" si="36"/>
        <v>1801731.53874</v>
      </c>
      <c r="AA14" s="79">
        <f t="shared" ref="AA14:AL14" si="37">SUM(AA10:AA13)</f>
        <v>1818259.9968599998</v>
      </c>
      <c r="AB14" s="79">
        <f t="shared" si="37"/>
        <v>1830679.35586</v>
      </c>
      <c r="AC14" s="79">
        <f t="shared" si="37"/>
        <v>1847275.2671000001</v>
      </c>
      <c r="AD14" s="79">
        <f t="shared" si="37"/>
        <v>1860286.55213</v>
      </c>
      <c r="AE14" s="79">
        <f t="shared" si="37"/>
        <v>1878913.7413000001</v>
      </c>
      <c r="AF14" s="79">
        <f t="shared" si="37"/>
        <v>1896068.2823699999</v>
      </c>
      <c r="AG14" s="79">
        <f t="shared" si="37"/>
        <v>1912633.27296</v>
      </c>
      <c r="AH14" s="79">
        <f t="shared" si="37"/>
        <v>1932825.65637</v>
      </c>
      <c r="AI14" s="79">
        <f t="shared" si="37"/>
        <v>1952528.4725200001</v>
      </c>
      <c r="AJ14" s="79">
        <f t="shared" si="37"/>
        <v>1970722.2340800001</v>
      </c>
      <c r="AK14" s="79">
        <f t="shared" si="37"/>
        <v>1990921.65277</v>
      </c>
      <c r="AL14" s="79">
        <f t="shared" si="37"/>
        <v>2019069.1981899999</v>
      </c>
      <c r="AM14" s="79">
        <f t="shared" ref="AM14:AR14" si="38">SUM(AM10:AM13)</f>
        <v>2044594.2880700002</v>
      </c>
      <c r="AN14" s="79">
        <f t="shared" si="38"/>
        <v>2061311.3868500001</v>
      </c>
      <c r="AO14" s="79">
        <f t="shared" si="38"/>
        <v>2082557.8004400001</v>
      </c>
      <c r="AP14" s="79">
        <f t="shared" si="38"/>
        <v>2108169.9550199998</v>
      </c>
      <c r="AQ14" s="79">
        <f t="shared" si="38"/>
        <v>2134687.2114499998</v>
      </c>
      <c r="AR14" s="79">
        <f t="shared" si="38"/>
        <v>2158898.7934300001</v>
      </c>
      <c r="AS14" s="79">
        <f t="shared" ref="AS14:AY14" si="39">SUM(AS10:AS13)</f>
        <v>2183819.0483200001</v>
      </c>
      <c r="AT14" s="79">
        <f t="shared" si="39"/>
        <v>2220714.0507699996</v>
      </c>
      <c r="AU14" s="79">
        <f t="shared" si="39"/>
        <v>2246457.1375600002</v>
      </c>
      <c r="AV14" s="79">
        <f t="shared" si="39"/>
        <v>2277906.7798099997</v>
      </c>
      <c r="AW14" s="79">
        <f t="shared" si="39"/>
        <v>2306990.5587099995</v>
      </c>
      <c r="AX14" s="79">
        <f t="shared" si="39"/>
        <v>2338045.4230499999</v>
      </c>
      <c r="AY14" s="79">
        <f t="shared" si="39"/>
        <v>2360301.8094599997</v>
      </c>
      <c r="AZ14" s="79">
        <f t="shared" ref="AZ14:BJ14" si="40">SUM(AZ10:AZ13)</f>
        <v>2383505.4879799997</v>
      </c>
      <c r="BA14" s="79">
        <f t="shared" si="40"/>
        <v>2413161.8502100003</v>
      </c>
      <c r="BB14" s="79">
        <f t="shared" si="40"/>
        <v>2436130.6480799997</v>
      </c>
      <c r="BC14" s="79">
        <f t="shared" si="40"/>
        <v>2452424.6665499997</v>
      </c>
      <c r="BD14" s="79">
        <f t="shared" si="40"/>
        <v>2476721.0053999997</v>
      </c>
      <c r="BE14" s="686">
        <f t="shared" si="40"/>
        <v>2502040.1149299997</v>
      </c>
      <c r="BF14" s="686">
        <f t="shared" si="40"/>
        <v>2526866.8972399998</v>
      </c>
      <c r="BG14" s="686">
        <f t="shared" si="40"/>
        <v>2551861.4993199995</v>
      </c>
      <c r="BH14" s="686">
        <f t="shared" si="40"/>
        <v>2579506.8021</v>
      </c>
      <c r="BI14" s="686">
        <f t="shared" si="40"/>
        <v>2604456.0842099995</v>
      </c>
      <c r="BJ14" s="686">
        <f t="shared" si="40"/>
        <v>2633171.2525999998</v>
      </c>
      <c r="BK14" s="686">
        <f t="shared" ref="BK14:BV14" si="41">SUM(BK10:BK13)</f>
        <v>2655746.9627399999</v>
      </c>
      <c r="BL14" s="686">
        <f t="shared" si="41"/>
        <v>2679539.2091699997</v>
      </c>
      <c r="BM14" s="686">
        <f t="shared" si="41"/>
        <v>2701637.9222499998</v>
      </c>
      <c r="BN14" s="686">
        <f t="shared" si="41"/>
        <v>2729040.2316200002</v>
      </c>
      <c r="BO14" s="686">
        <f t="shared" si="41"/>
        <v>2753575.2819300001</v>
      </c>
      <c r="BP14" s="686">
        <f t="shared" si="41"/>
        <v>2782845.9649299993</v>
      </c>
      <c r="BQ14" s="686">
        <f t="shared" si="41"/>
        <v>2797058.6332899998</v>
      </c>
      <c r="BR14" s="686">
        <f t="shared" si="41"/>
        <v>2825426.1511199996</v>
      </c>
      <c r="BS14" s="686">
        <f t="shared" si="41"/>
        <v>2846948.7809299999</v>
      </c>
      <c r="BT14" s="686">
        <f t="shared" si="41"/>
        <v>2868470.2554999995</v>
      </c>
      <c r="BU14" s="686">
        <f t="shared" si="41"/>
        <v>2890938.83923</v>
      </c>
      <c r="BV14" s="686">
        <f t="shared" si="41"/>
        <v>2933850.6982799997</v>
      </c>
      <c r="BW14" s="686">
        <f t="shared" ref="BW14:CG14" si="42">SUM(BW10:BW13)</f>
        <v>2959704.5</v>
      </c>
      <c r="BX14" s="686">
        <f t="shared" si="42"/>
        <v>3021901.7</v>
      </c>
      <c r="BY14" s="686">
        <f t="shared" si="42"/>
        <v>3051801.7</v>
      </c>
      <c r="BZ14" s="686">
        <f t="shared" si="42"/>
        <v>3096573.4000000004</v>
      </c>
      <c r="CA14" s="686">
        <f t="shared" si="42"/>
        <v>3122874.6</v>
      </c>
      <c r="CB14" s="686">
        <f t="shared" si="42"/>
        <v>3151490.4</v>
      </c>
      <c r="CC14" s="686">
        <f t="shared" si="42"/>
        <v>3180279.3000000003</v>
      </c>
      <c r="CD14" s="686">
        <f t="shared" si="42"/>
        <v>3207004.7</v>
      </c>
      <c r="CE14" s="686">
        <f t="shared" si="42"/>
        <v>3231607.8</v>
      </c>
      <c r="CF14" s="686">
        <f t="shared" si="42"/>
        <v>3254255.4000000004</v>
      </c>
      <c r="CG14" s="686">
        <f t="shared" si="42"/>
        <v>3274951.3000000003</v>
      </c>
      <c r="CH14" s="686">
        <f>SUM(CH10:CH13)</f>
        <v>3295280.8000000003</v>
      </c>
      <c r="CI14" s="686">
        <f t="shared" ref="CI14" si="43">SUM(CI10:CI13)</f>
        <v>3317625.2</v>
      </c>
      <c r="CJ14" s="686">
        <f t="shared" ref="CJ14:CT14" si="44">SUM(CJ10:CJ13)</f>
        <v>3341049.8</v>
      </c>
      <c r="CK14" s="686">
        <f t="shared" si="44"/>
        <v>3364611.3000000007</v>
      </c>
      <c r="CL14" s="686">
        <f t="shared" si="44"/>
        <v>3395964.7</v>
      </c>
      <c r="CM14" s="686">
        <f t="shared" si="44"/>
        <v>3428793.8</v>
      </c>
      <c r="CN14" s="686">
        <f t="shared" si="44"/>
        <v>3464491.5</v>
      </c>
      <c r="CO14" s="686">
        <f t="shared" si="44"/>
        <v>3494715.9000000004</v>
      </c>
      <c r="CP14" s="686">
        <f t="shared" si="44"/>
        <v>3524983.6</v>
      </c>
      <c r="CQ14" s="686">
        <f t="shared" si="44"/>
        <v>3553027.3000000003</v>
      </c>
      <c r="CR14" s="686">
        <f t="shared" si="44"/>
        <v>3580772.6</v>
      </c>
      <c r="CS14" s="686">
        <f t="shared" si="44"/>
        <v>3609035.6</v>
      </c>
      <c r="CT14" s="686">
        <f t="shared" si="44"/>
        <v>3631805.8000000003</v>
      </c>
      <c r="CU14" s="698">
        <f t="shared" si="34"/>
        <v>3461704.4538461538</v>
      </c>
      <c r="CW14" s="33"/>
      <c r="CX14" s="184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</row>
    <row r="15" spans="1:116">
      <c r="A15" s="616" t="s">
        <v>471</v>
      </c>
      <c r="B15" s="262">
        <f t="shared" ca="1" si="33"/>
        <v>-923335.28461538453</v>
      </c>
      <c r="C15" s="349">
        <v>-694592.30956000008</v>
      </c>
      <c r="D15" s="349">
        <v>-697588.47759999987</v>
      </c>
      <c r="E15" s="349">
        <v>-698719.32773999998</v>
      </c>
      <c r="F15" s="349">
        <v>-697644.22645999992</v>
      </c>
      <c r="G15" s="349">
        <v>-700445.57195000001</v>
      </c>
      <c r="H15" s="349">
        <v>-703019.45264000015</v>
      </c>
      <c r="I15" s="349">
        <v>-705812.23461000004</v>
      </c>
      <c r="J15" s="349">
        <v>-708424.44625000004</v>
      </c>
      <c r="K15" s="349">
        <v>-711243.34077999997</v>
      </c>
      <c r="L15" s="349">
        <v>-713977.76049999997</v>
      </c>
      <c r="M15" s="349">
        <v>-716670.55470999994</v>
      </c>
      <c r="N15" s="349">
        <v>-719063.08770000003</v>
      </c>
      <c r="O15" s="349">
        <v>-722524.05842999998</v>
      </c>
      <c r="P15" s="349">
        <v>-725240.92523000005</v>
      </c>
      <c r="Q15" s="349">
        <v>-728378.98065000004</v>
      </c>
      <c r="R15" s="412">
        <v>-731975.24098</v>
      </c>
      <c r="S15" s="412">
        <v>-735409.20021000004</v>
      </c>
      <c r="T15" s="412">
        <v>-738272.05023000005</v>
      </c>
      <c r="U15" s="412">
        <v>-742118.98193000001</v>
      </c>
      <c r="V15" s="412">
        <v>-745626.92359999986</v>
      </c>
      <c r="W15" s="412">
        <v>-748882.24586000002</v>
      </c>
      <c r="X15" s="412">
        <v>-751684.46262000001</v>
      </c>
      <c r="Y15" s="412">
        <v>-755466.39902000001</v>
      </c>
      <c r="Z15" s="412">
        <v>-758129.24977000011</v>
      </c>
      <c r="AA15" s="412">
        <v>-760427.69818999991</v>
      </c>
      <c r="AB15" s="412">
        <v>-762641.73822000006</v>
      </c>
      <c r="AC15" s="412">
        <v>-765354.78642999998</v>
      </c>
      <c r="AD15" s="412">
        <v>-767752.14535000001</v>
      </c>
      <c r="AE15" s="412">
        <v>-769711.85453000001</v>
      </c>
      <c r="AF15" s="412">
        <v>-770920.02195000008</v>
      </c>
      <c r="AG15" s="412">
        <v>-772946.63339000009</v>
      </c>
      <c r="AH15" s="412">
        <v>-775402.83401999995</v>
      </c>
      <c r="AI15" s="412">
        <v>-778136.92920000001</v>
      </c>
      <c r="AJ15" s="412">
        <v>-780280.56389999995</v>
      </c>
      <c r="AK15" s="412">
        <v>-783184.96276000002</v>
      </c>
      <c r="AL15" s="412">
        <v>-784450.41515000002</v>
      </c>
      <c r="AM15" s="412">
        <v>-792431.4029300001</v>
      </c>
      <c r="AN15" s="412">
        <v>-788885.87992999994</v>
      </c>
      <c r="AO15" s="412">
        <v>-791623.00071000005</v>
      </c>
      <c r="AP15" s="412">
        <v>-794409.43769000005</v>
      </c>
      <c r="AQ15" s="412">
        <v>-797443.21300999995</v>
      </c>
      <c r="AR15" s="412">
        <v>-800239.97668000008</v>
      </c>
      <c r="AS15" s="412">
        <v>-802710.54394999996</v>
      </c>
      <c r="AT15" s="412">
        <v>-805792.91047</v>
      </c>
      <c r="AU15" s="412">
        <v>-808642.1054</v>
      </c>
      <c r="AV15" s="412">
        <v>-811709.59298000007</v>
      </c>
      <c r="AW15" s="412">
        <v>-814911.56380999996</v>
      </c>
      <c r="AX15" s="412">
        <v>-814871.25658000004</v>
      </c>
      <c r="AY15" s="412">
        <v>-819800.75636999996</v>
      </c>
      <c r="AZ15" s="412">
        <v>-819721.29556000012</v>
      </c>
      <c r="BA15" s="412">
        <v>-823257.64730999991</v>
      </c>
      <c r="BB15" s="412">
        <v>-826598.42756999994</v>
      </c>
      <c r="BC15" s="412">
        <v>-830025.61285999999</v>
      </c>
      <c r="BD15" s="412">
        <v>-832905.90847999998</v>
      </c>
      <c r="BE15" s="680">
        <v>-835760.94222000008</v>
      </c>
      <c r="BF15" s="680">
        <v>-839632.93908000004</v>
      </c>
      <c r="BG15" s="680">
        <v>-842707.3200500001</v>
      </c>
      <c r="BH15" s="680">
        <v>-844274.21498000005</v>
      </c>
      <c r="BI15" s="680">
        <v>-845995.66951000004</v>
      </c>
      <c r="BJ15" s="680">
        <v>-854647.54587999999</v>
      </c>
      <c r="BK15" s="680">
        <v>-858077.48505000002</v>
      </c>
      <c r="BL15" s="680">
        <v>-862162.13824999996</v>
      </c>
      <c r="BM15" s="680">
        <v>-860289.80027000001</v>
      </c>
      <c r="BN15" s="680">
        <v>-863273.22218000004</v>
      </c>
      <c r="BO15" s="680">
        <v>-867290.80287999997</v>
      </c>
      <c r="BP15" s="680">
        <v>-865064.18667000008</v>
      </c>
      <c r="BQ15" s="680">
        <v>-866906.07411000005</v>
      </c>
      <c r="BR15" s="680">
        <v>-870668.67174999998</v>
      </c>
      <c r="BS15" s="680">
        <v>-870244.76711000002</v>
      </c>
      <c r="BT15" s="680">
        <v>-874586.28633999999</v>
      </c>
      <c r="BU15" s="680">
        <v>-878812.78233000007</v>
      </c>
      <c r="BV15" s="680">
        <v>-881239.46013999998</v>
      </c>
      <c r="BW15" s="680">
        <v>-876648.29999999993</v>
      </c>
      <c r="BX15" s="680">
        <v>-877046.89999999991</v>
      </c>
      <c r="BY15" s="680">
        <v>-874143.39999999991</v>
      </c>
      <c r="BZ15" s="680">
        <v>-877026.59999999986</v>
      </c>
      <c r="CA15" s="680">
        <v>-880454.39999999991</v>
      </c>
      <c r="CB15" s="680">
        <v>-880155.7</v>
      </c>
      <c r="CC15" s="680">
        <v>-884117.89999999991</v>
      </c>
      <c r="CD15" s="680">
        <v>-888136.2</v>
      </c>
      <c r="CE15" s="680">
        <v>-889747.99999999988</v>
      </c>
      <c r="CF15" s="680">
        <v>-893878.29999999993</v>
      </c>
      <c r="CG15" s="680">
        <v>-898065.79999999993</v>
      </c>
      <c r="CH15" s="680">
        <v>-894044.49999999988</v>
      </c>
      <c r="CI15" s="680">
        <v>-898905.39999999991</v>
      </c>
      <c r="CJ15" s="680">
        <v>-903779.29999999993</v>
      </c>
      <c r="CK15" s="680">
        <v>-908547.99999999988</v>
      </c>
      <c r="CL15" s="680">
        <v>-913481.39999999991</v>
      </c>
      <c r="CM15" s="680">
        <v>-918318.09999999986</v>
      </c>
      <c r="CN15" s="680">
        <v>-923193.99999999988</v>
      </c>
      <c r="CO15" s="680">
        <v>-928309.49999999988</v>
      </c>
      <c r="CP15" s="680">
        <v>-933210.59999999986</v>
      </c>
      <c r="CQ15" s="680">
        <v>-937602.49999999988</v>
      </c>
      <c r="CR15" s="680">
        <v>-942911.7</v>
      </c>
      <c r="CS15" s="680">
        <v>-948299.79999999993</v>
      </c>
      <c r="CT15" s="680">
        <v>-952753.89999999991</v>
      </c>
      <c r="CU15" s="699">
        <f t="shared" si="34"/>
        <v>-923335.28461538453</v>
      </c>
      <c r="CW15" s="33"/>
      <c r="CX15" s="184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</row>
    <row r="16" spans="1:116">
      <c r="A16" s="598" t="s">
        <v>472</v>
      </c>
      <c r="B16" s="260">
        <f t="shared" ca="1" si="33"/>
        <v>2538369.1692307699</v>
      </c>
      <c r="C16" s="79">
        <f t="shared" ref="C16:N16" si="45">SUM(C14:C15)</f>
        <v>852447.62820999988</v>
      </c>
      <c r="D16" s="79">
        <f t="shared" si="45"/>
        <v>857726.08928000019</v>
      </c>
      <c r="E16" s="79">
        <f t="shared" si="45"/>
        <v>863607.15484999993</v>
      </c>
      <c r="F16" s="79">
        <f t="shared" si="45"/>
        <v>867414.48015000031</v>
      </c>
      <c r="G16" s="79">
        <f t="shared" si="45"/>
        <v>873898.37257000012</v>
      </c>
      <c r="H16" s="79">
        <f t="shared" si="45"/>
        <v>877959.11364999984</v>
      </c>
      <c r="I16" s="79">
        <f t="shared" si="45"/>
        <v>883837.49947000004</v>
      </c>
      <c r="J16" s="79">
        <f t="shared" si="45"/>
        <v>893706.95469000028</v>
      </c>
      <c r="K16" s="79">
        <f t="shared" si="45"/>
        <v>898761.30569000007</v>
      </c>
      <c r="L16" s="79">
        <f t="shared" si="45"/>
        <v>906845.24021000008</v>
      </c>
      <c r="M16" s="79">
        <f t="shared" si="45"/>
        <v>913946.34862000041</v>
      </c>
      <c r="N16" s="79">
        <f t="shared" si="45"/>
        <v>923242.24317000015</v>
      </c>
      <c r="O16" s="79">
        <f t="shared" ref="O16:Z16" si="46">SUM(O14:O15)</f>
        <v>929040.8189999999</v>
      </c>
      <c r="P16" s="79">
        <f t="shared" si="46"/>
        <v>935468.97577999986</v>
      </c>
      <c r="Q16" s="79">
        <f t="shared" si="46"/>
        <v>946243.35881999996</v>
      </c>
      <c r="R16" s="79">
        <f t="shared" si="46"/>
        <v>951844.94822999998</v>
      </c>
      <c r="S16" s="79">
        <f t="shared" si="46"/>
        <v>962713.78803000005</v>
      </c>
      <c r="T16" s="79">
        <f t="shared" si="46"/>
        <v>970274.21394999989</v>
      </c>
      <c r="U16" s="79">
        <f t="shared" si="46"/>
        <v>976968.93827000028</v>
      </c>
      <c r="V16" s="79">
        <f t="shared" si="46"/>
        <v>988483.94067000016</v>
      </c>
      <c r="W16" s="79">
        <f t="shared" si="46"/>
        <v>1001200.9770099999</v>
      </c>
      <c r="X16" s="79">
        <f t="shared" si="46"/>
        <v>1016883.3016800001</v>
      </c>
      <c r="Y16" s="79">
        <f t="shared" si="46"/>
        <v>1030834.42525</v>
      </c>
      <c r="Z16" s="79">
        <f t="shared" si="46"/>
        <v>1043602.2889699999</v>
      </c>
      <c r="AA16" s="79">
        <f t="shared" ref="AA16:AL16" si="47">SUM(AA14:AA15)</f>
        <v>1057832.2986699999</v>
      </c>
      <c r="AB16" s="79">
        <f t="shared" si="47"/>
        <v>1068037.6176399998</v>
      </c>
      <c r="AC16" s="79">
        <f t="shared" si="47"/>
        <v>1081920.48067</v>
      </c>
      <c r="AD16" s="79">
        <f t="shared" si="47"/>
        <v>1092534.4067799998</v>
      </c>
      <c r="AE16" s="79">
        <f t="shared" si="47"/>
        <v>1109201.8867700002</v>
      </c>
      <c r="AF16" s="79">
        <f t="shared" si="47"/>
        <v>1125148.2604199997</v>
      </c>
      <c r="AG16" s="79">
        <f t="shared" si="47"/>
        <v>1139686.6395699999</v>
      </c>
      <c r="AH16" s="79">
        <f t="shared" si="47"/>
        <v>1157422.82235</v>
      </c>
      <c r="AI16" s="79">
        <f t="shared" si="47"/>
        <v>1174391.5433200002</v>
      </c>
      <c r="AJ16" s="79">
        <f t="shared" si="47"/>
        <v>1190441.6701800001</v>
      </c>
      <c r="AK16" s="79">
        <f t="shared" si="47"/>
        <v>1207736.69001</v>
      </c>
      <c r="AL16" s="79">
        <f t="shared" si="47"/>
        <v>1234618.7830399999</v>
      </c>
      <c r="AM16" s="79">
        <f t="shared" ref="AM16:AR16" si="48">SUM(AM14:AM15)</f>
        <v>1252162.8851400001</v>
      </c>
      <c r="AN16" s="79">
        <f t="shared" si="48"/>
        <v>1272425.5069200001</v>
      </c>
      <c r="AO16" s="79">
        <f t="shared" si="48"/>
        <v>1290934.7997300001</v>
      </c>
      <c r="AP16" s="79">
        <f t="shared" si="48"/>
        <v>1313760.5173299997</v>
      </c>
      <c r="AQ16" s="79">
        <f t="shared" si="48"/>
        <v>1337243.9984399998</v>
      </c>
      <c r="AR16" s="79">
        <f t="shared" si="48"/>
        <v>1358658.81675</v>
      </c>
      <c r="AS16" s="79">
        <f t="shared" ref="AS16:AY16" si="49">SUM(AS14:AS15)</f>
        <v>1381108.5043700002</v>
      </c>
      <c r="AT16" s="79">
        <f t="shared" si="49"/>
        <v>1414921.1402999996</v>
      </c>
      <c r="AU16" s="79">
        <f t="shared" si="49"/>
        <v>1437815.0321600002</v>
      </c>
      <c r="AV16" s="79">
        <f t="shared" si="49"/>
        <v>1466197.1868299996</v>
      </c>
      <c r="AW16" s="79">
        <f t="shared" si="49"/>
        <v>1492078.9948999996</v>
      </c>
      <c r="AX16" s="79">
        <f t="shared" si="49"/>
        <v>1523174.1664699998</v>
      </c>
      <c r="AY16" s="79">
        <f t="shared" si="49"/>
        <v>1540501.0530899996</v>
      </c>
      <c r="AZ16" s="79">
        <f t="shared" ref="AZ16:BJ16" si="50">SUM(AZ14:AZ15)</f>
        <v>1563784.1924199997</v>
      </c>
      <c r="BA16" s="79">
        <f t="shared" si="50"/>
        <v>1589904.2029000004</v>
      </c>
      <c r="BB16" s="79">
        <f t="shared" si="50"/>
        <v>1609532.2205099999</v>
      </c>
      <c r="BC16" s="79">
        <f t="shared" si="50"/>
        <v>1622399.0536899997</v>
      </c>
      <c r="BD16" s="79">
        <f t="shared" si="50"/>
        <v>1643815.0969199997</v>
      </c>
      <c r="BE16" s="686">
        <f t="shared" si="50"/>
        <v>1666279.1727099996</v>
      </c>
      <c r="BF16" s="686">
        <f t="shared" si="50"/>
        <v>1687233.9581599999</v>
      </c>
      <c r="BG16" s="686">
        <f t="shared" si="50"/>
        <v>1709154.1792699993</v>
      </c>
      <c r="BH16" s="686">
        <f t="shared" si="50"/>
        <v>1735232.5871199998</v>
      </c>
      <c r="BI16" s="686">
        <f t="shared" si="50"/>
        <v>1758460.4146999996</v>
      </c>
      <c r="BJ16" s="686">
        <f t="shared" si="50"/>
        <v>1778523.7067199997</v>
      </c>
      <c r="BK16" s="686">
        <f t="shared" ref="BK16:BV16" si="51">SUM(BK14:BK15)</f>
        <v>1797669.4776899999</v>
      </c>
      <c r="BL16" s="686">
        <f t="shared" si="51"/>
        <v>1817377.0709199999</v>
      </c>
      <c r="BM16" s="686">
        <f t="shared" si="51"/>
        <v>1841348.1219799998</v>
      </c>
      <c r="BN16" s="686">
        <f t="shared" si="51"/>
        <v>1865767.0094400002</v>
      </c>
      <c r="BO16" s="686">
        <f t="shared" si="51"/>
        <v>1886284.4790500002</v>
      </c>
      <c r="BP16" s="686">
        <f t="shared" si="51"/>
        <v>1917781.7782599991</v>
      </c>
      <c r="BQ16" s="686">
        <f t="shared" si="51"/>
        <v>1930152.5591799999</v>
      </c>
      <c r="BR16" s="686">
        <f t="shared" si="51"/>
        <v>1954757.4793699996</v>
      </c>
      <c r="BS16" s="686">
        <f t="shared" si="51"/>
        <v>1976704.01382</v>
      </c>
      <c r="BT16" s="686">
        <f t="shared" si="51"/>
        <v>1993883.9691599994</v>
      </c>
      <c r="BU16" s="686">
        <f t="shared" si="51"/>
        <v>2012126.0569</v>
      </c>
      <c r="BV16" s="686">
        <f t="shared" si="51"/>
        <v>2052611.2381399996</v>
      </c>
      <c r="BW16" s="686">
        <f t="shared" ref="BW16:CH16" si="52">SUM(BW14:BW15)</f>
        <v>2083056.2000000002</v>
      </c>
      <c r="BX16" s="686">
        <f t="shared" si="52"/>
        <v>2144854.8000000003</v>
      </c>
      <c r="BY16" s="686">
        <f t="shared" si="52"/>
        <v>2177658.3000000003</v>
      </c>
      <c r="BZ16" s="686">
        <f t="shared" si="52"/>
        <v>2219546.8000000007</v>
      </c>
      <c r="CA16" s="686">
        <f t="shared" si="52"/>
        <v>2242420.2000000002</v>
      </c>
      <c r="CB16" s="686">
        <f t="shared" si="52"/>
        <v>2271334.7000000002</v>
      </c>
      <c r="CC16" s="686">
        <f t="shared" si="52"/>
        <v>2296161.4000000004</v>
      </c>
      <c r="CD16" s="686">
        <f t="shared" si="52"/>
        <v>2318868.5</v>
      </c>
      <c r="CE16" s="686">
        <f t="shared" si="52"/>
        <v>2341859.7999999998</v>
      </c>
      <c r="CF16" s="686">
        <f t="shared" si="52"/>
        <v>2360377.1000000006</v>
      </c>
      <c r="CG16" s="686">
        <f t="shared" si="52"/>
        <v>2376885.5000000005</v>
      </c>
      <c r="CH16" s="686">
        <f t="shared" si="52"/>
        <v>2401236.3000000003</v>
      </c>
      <c r="CI16" s="686">
        <f t="shared" ref="CI16" si="53">SUM(CI14:CI15)</f>
        <v>2418719.8000000003</v>
      </c>
      <c r="CJ16" s="686">
        <f t="shared" ref="CJ16:CT16" si="54">SUM(CJ14:CJ15)</f>
        <v>2437270.5</v>
      </c>
      <c r="CK16" s="686">
        <f t="shared" si="54"/>
        <v>2456063.3000000007</v>
      </c>
      <c r="CL16" s="686">
        <f t="shared" si="54"/>
        <v>2482483.3000000003</v>
      </c>
      <c r="CM16" s="686">
        <f t="shared" si="54"/>
        <v>2510475.7000000002</v>
      </c>
      <c r="CN16" s="686">
        <f t="shared" si="54"/>
        <v>2541297.5</v>
      </c>
      <c r="CO16" s="686">
        <f t="shared" si="54"/>
        <v>2566406.4000000004</v>
      </c>
      <c r="CP16" s="686">
        <f t="shared" si="54"/>
        <v>2591773</v>
      </c>
      <c r="CQ16" s="686">
        <f t="shared" si="54"/>
        <v>2615424.8000000003</v>
      </c>
      <c r="CR16" s="686">
        <f t="shared" si="54"/>
        <v>2637860.9000000004</v>
      </c>
      <c r="CS16" s="686">
        <f t="shared" si="54"/>
        <v>2660735.8000000003</v>
      </c>
      <c r="CT16" s="686">
        <f t="shared" si="54"/>
        <v>2679051.9000000004</v>
      </c>
      <c r="CU16" s="698">
        <f t="shared" si="34"/>
        <v>2538369.1692307699</v>
      </c>
      <c r="CW16" s="33"/>
      <c r="CX16" s="184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</row>
    <row r="17" spans="1:116">
      <c r="A17" s="598"/>
      <c r="B17" s="260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686"/>
      <c r="BF17" s="686"/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686"/>
      <c r="BU17" s="686"/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686"/>
      <c r="CK17" s="686"/>
      <c r="CL17" s="686"/>
      <c r="CM17" s="686"/>
      <c r="CN17" s="686"/>
      <c r="CO17" s="686"/>
      <c r="CP17" s="686"/>
      <c r="CQ17" s="686"/>
      <c r="CR17" s="686"/>
      <c r="CS17" s="686"/>
      <c r="CT17" s="686"/>
      <c r="CU17" s="698"/>
      <c r="CW17" s="33"/>
      <c r="CX17" s="184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</row>
    <row r="18" spans="1:116">
      <c r="A18" s="616" t="s">
        <v>473</v>
      </c>
      <c r="B18" s="260">
        <f t="shared" ref="B18:B21" ca="1" si="55">SUM(OFFSET(BW18:CI18,0,$A$1-1))/13</f>
        <v>1248.8846153846155</v>
      </c>
      <c r="C18" s="348">
        <v>2030.34005</v>
      </c>
      <c r="D18" s="348">
        <v>1185.82446</v>
      </c>
      <c r="E18" s="348">
        <v>1472.99361</v>
      </c>
      <c r="F18" s="348">
        <v>1619.9621599999998</v>
      </c>
      <c r="G18" s="348">
        <v>1068.5400500000001</v>
      </c>
      <c r="H18" s="348">
        <v>915.17888000000005</v>
      </c>
      <c r="I18" s="348">
        <v>1208.4352699999999</v>
      </c>
      <c r="J18" s="348">
        <v>564.15692000000001</v>
      </c>
      <c r="K18" s="348">
        <v>862.12744999999995</v>
      </c>
      <c r="L18" s="348">
        <v>1107.73821</v>
      </c>
      <c r="M18" s="348">
        <v>1166.60979</v>
      </c>
      <c r="N18" s="348">
        <v>1715.6787099999999</v>
      </c>
      <c r="O18" s="411">
        <v>2142.9444600000002</v>
      </c>
      <c r="P18" s="411">
        <v>1123.29252</v>
      </c>
      <c r="Q18" s="411">
        <v>1235.8950199999999</v>
      </c>
      <c r="R18" s="411">
        <v>1742.17374</v>
      </c>
      <c r="S18" s="411">
        <v>1049.7999199999999</v>
      </c>
      <c r="T18" s="411">
        <v>1272.4601100000002</v>
      </c>
      <c r="U18" s="411">
        <v>1562.0039400000001</v>
      </c>
      <c r="V18" s="411">
        <v>760.63626999999997</v>
      </c>
      <c r="W18" s="411">
        <v>935.10873000000004</v>
      </c>
      <c r="X18" s="411">
        <v>1188.78576</v>
      </c>
      <c r="Y18" s="411">
        <v>777.88049000000001</v>
      </c>
      <c r="Z18" s="411">
        <v>1195.21766</v>
      </c>
      <c r="AA18" s="411">
        <v>1451.86625</v>
      </c>
      <c r="AB18" s="411">
        <v>823.64361999999994</v>
      </c>
      <c r="AC18" s="411">
        <v>1284.7723600000002</v>
      </c>
      <c r="AD18" s="411">
        <v>1701.8793799999999</v>
      </c>
      <c r="AE18" s="411">
        <v>1022.39748</v>
      </c>
      <c r="AF18" s="411">
        <v>1256.9318000000001</v>
      </c>
      <c r="AG18" s="411">
        <v>1595.8619199999998</v>
      </c>
      <c r="AH18" s="411">
        <v>1079.8651299999999</v>
      </c>
      <c r="AI18" s="411">
        <v>1299.02946</v>
      </c>
      <c r="AJ18" s="411">
        <v>1496.62032</v>
      </c>
      <c r="AK18" s="411">
        <v>673.25096999999994</v>
      </c>
      <c r="AL18" s="411">
        <v>902.04340999999999</v>
      </c>
      <c r="AM18" s="411">
        <v>1028.3160500000001</v>
      </c>
      <c r="AN18" s="411">
        <v>832.64310999999998</v>
      </c>
      <c r="AO18" s="411">
        <v>926.54253000000006</v>
      </c>
      <c r="AP18" s="411">
        <v>1260.9897699999999</v>
      </c>
      <c r="AQ18" s="411">
        <v>1026.2549300000001</v>
      </c>
      <c r="AR18" s="411">
        <v>1250.5963700000002</v>
      </c>
      <c r="AS18" s="411">
        <v>1439.03629</v>
      </c>
      <c r="AT18" s="411">
        <v>781.25278000000003</v>
      </c>
      <c r="AU18" s="411">
        <v>1020.48308</v>
      </c>
      <c r="AV18" s="411">
        <v>1371.2764999999999</v>
      </c>
      <c r="AW18" s="411">
        <v>841.29766000000006</v>
      </c>
      <c r="AX18" s="411">
        <v>1208.3459700000001</v>
      </c>
      <c r="AY18" s="411">
        <v>1542.4809399999999</v>
      </c>
      <c r="AZ18" s="411">
        <v>1003.46887</v>
      </c>
      <c r="BA18" s="411">
        <v>1278.8301899999999</v>
      </c>
      <c r="BB18" s="411">
        <v>612.94316000000003</v>
      </c>
      <c r="BC18" s="411">
        <v>1003.45624</v>
      </c>
      <c r="BD18" s="411">
        <v>1274.9468200000001</v>
      </c>
      <c r="BE18" s="587">
        <v>1549.0675700000002</v>
      </c>
      <c r="BF18" s="587">
        <v>892.66068999999993</v>
      </c>
      <c r="BG18" s="587">
        <v>1188.4883400000001</v>
      </c>
      <c r="BH18" s="587">
        <v>1502.23612</v>
      </c>
      <c r="BI18" s="587">
        <v>868.33180000000004</v>
      </c>
      <c r="BJ18" s="587">
        <v>1027.7767200000001</v>
      </c>
      <c r="BK18" s="587">
        <v>1172.7731200000001</v>
      </c>
      <c r="BL18" s="587">
        <v>679.78675999999996</v>
      </c>
      <c r="BM18" s="587">
        <v>1153.4104499999999</v>
      </c>
      <c r="BN18" s="587">
        <v>538.84781999999996</v>
      </c>
      <c r="BO18" s="587">
        <v>814.85322999999994</v>
      </c>
      <c r="BP18" s="587">
        <v>1037.8276000000001</v>
      </c>
      <c r="BQ18" s="587">
        <v>1474.4403300000001</v>
      </c>
      <c r="BR18" s="587">
        <v>1006.0719200000001</v>
      </c>
      <c r="BS18" s="587">
        <v>1343.62769</v>
      </c>
      <c r="BT18" s="587">
        <v>532.97133999999994</v>
      </c>
      <c r="BU18" s="587">
        <v>833.07556999999997</v>
      </c>
      <c r="BV18" s="587">
        <v>846.20452</v>
      </c>
      <c r="BW18" s="587">
        <v>1677.2</v>
      </c>
      <c r="BX18" s="587">
        <v>742.7</v>
      </c>
      <c r="BY18" s="587">
        <v>965.4</v>
      </c>
      <c r="BZ18" s="587">
        <v>1317</v>
      </c>
      <c r="CA18" s="587">
        <v>943</v>
      </c>
      <c r="CB18" s="587">
        <v>1252.5</v>
      </c>
      <c r="CC18" s="587">
        <v>1588.8</v>
      </c>
      <c r="CD18" s="587">
        <v>923.8</v>
      </c>
      <c r="CE18" s="587">
        <v>1248</v>
      </c>
      <c r="CF18" s="587">
        <v>1569.6</v>
      </c>
      <c r="CG18" s="587">
        <v>958.1</v>
      </c>
      <c r="CH18" s="345">
        <v>1524.7</v>
      </c>
      <c r="CI18" s="1090">
        <v>1677.2</v>
      </c>
      <c r="CJ18" s="345">
        <v>742.7</v>
      </c>
      <c r="CK18" s="345">
        <v>965.4</v>
      </c>
      <c r="CL18" s="345">
        <v>1317</v>
      </c>
      <c r="CM18" s="345">
        <v>943</v>
      </c>
      <c r="CN18" s="345">
        <v>1252.5</v>
      </c>
      <c r="CO18" s="345">
        <v>1588.8</v>
      </c>
      <c r="CP18" s="345">
        <v>923.8</v>
      </c>
      <c r="CQ18" s="345">
        <v>1248</v>
      </c>
      <c r="CR18" s="345">
        <v>1569.6</v>
      </c>
      <c r="CS18" s="345">
        <v>958.1</v>
      </c>
      <c r="CT18" s="345">
        <v>1524.7</v>
      </c>
      <c r="CU18" s="698">
        <f t="shared" ref="CU18:CU21" si="56">SUM(CH18:CT18)/13</f>
        <v>1248.8846153846155</v>
      </c>
      <c r="CV18" s="1059"/>
      <c r="CW18" s="33"/>
      <c r="CX18" s="184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</row>
    <row r="19" spans="1:116">
      <c r="A19" s="616" t="s">
        <v>474</v>
      </c>
      <c r="B19" s="260">
        <f t="shared" ca="1" si="55"/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O19" s="411">
        <v>0</v>
      </c>
      <c r="P19" s="411">
        <v>0</v>
      </c>
      <c r="Q19" s="411">
        <v>0</v>
      </c>
      <c r="R19" s="411">
        <v>0</v>
      </c>
      <c r="S19" s="411">
        <v>0</v>
      </c>
      <c r="T19" s="411">
        <v>0</v>
      </c>
      <c r="U19" s="411">
        <v>0</v>
      </c>
      <c r="V19" s="411">
        <v>0</v>
      </c>
      <c r="W19" s="411">
        <v>0</v>
      </c>
      <c r="X19" s="411">
        <v>0</v>
      </c>
      <c r="Y19" s="411">
        <v>0</v>
      </c>
      <c r="Z19" s="411">
        <v>0</v>
      </c>
      <c r="AA19" s="411">
        <v>0</v>
      </c>
      <c r="AB19" s="411">
        <v>0</v>
      </c>
      <c r="AC19" s="411">
        <v>0</v>
      </c>
      <c r="AD19" s="411">
        <v>0</v>
      </c>
      <c r="AE19" s="411">
        <v>0</v>
      </c>
      <c r="AF19" s="411">
        <v>0</v>
      </c>
      <c r="AG19" s="411">
        <v>0</v>
      </c>
      <c r="AH19" s="411">
        <v>0</v>
      </c>
      <c r="AI19" s="411">
        <v>0</v>
      </c>
      <c r="AJ19" s="411">
        <v>0</v>
      </c>
      <c r="AK19" s="411">
        <v>0</v>
      </c>
      <c r="AL19" s="411">
        <v>0</v>
      </c>
      <c r="AM19" s="411">
        <v>0</v>
      </c>
      <c r="AN19" s="411">
        <v>0</v>
      </c>
      <c r="AO19" s="411">
        <v>0</v>
      </c>
      <c r="AP19" s="411">
        <v>0</v>
      </c>
      <c r="AQ19" s="411">
        <v>0</v>
      </c>
      <c r="AR19" s="411">
        <v>0</v>
      </c>
      <c r="AS19" s="411">
        <v>0</v>
      </c>
      <c r="AT19" s="411">
        <v>0</v>
      </c>
      <c r="AU19" s="411">
        <v>0</v>
      </c>
      <c r="AV19" s="411">
        <v>0</v>
      </c>
      <c r="AW19" s="411">
        <v>0</v>
      </c>
      <c r="AX19" s="411">
        <v>0</v>
      </c>
      <c r="AY19" s="411">
        <v>0</v>
      </c>
      <c r="AZ19" s="411">
        <v>0</v>
      </c>
      <c r="BA19" s="411">
        <v>0</v>
      </c>
      <c r="BB19" s="411">
        <v>0</v>
      </c>
      <c r="BC19" s="411">
        <v>0</v>
      </c>
      <c r="BD19" s="411">
        <v>0</v>
      </c>
      <c r="BE19" s="587">
        <v>0</v>
      </c>
      <c r="BF19" s="587">
        <v>0</v>
      </c>
      <c r="BG19" s="587">
        <v>0</v>
      </c>
      <c r="BH19" s="587">
        <v>0</v>
      </c>
      <c r="BI19" s="587">
        <v>0</v>
      </c>
      <c r="BJ19" s="587">
        <v>0</v>
      </c>
      <c r="BK19" s="587">
        <v>0</v>
      </c>
      <c r="BL19" s="587">
        <v>0</v>
      </c>
      <c r="BM19" s="587">
        <v>0</v>
      </c>
      <c r="BN19" s="587">
        <v>0</v>
      </c>
      <c r="BO19" s="587">
        <v>0</v>
      </c>
      <c r="BP19" s="587">
        <v>0</v>
      </c>
      <c r="BQ19" s="587">
        <v>0</v>
      </c>
      <c r="BR19" s="587">
        <v>0</v>
      </c>
      <c r="BS19" s="587">
        <v>0</v>
      </c>
      <c r="BT19" s="587">
        <v>0</v>
      </c>
      <c r="BU19" s="587">
        <v>0</v>
      </c>
      <c r="BV19" s="587">
        <v>0</v>
      </c>
      <c r="BW19" s="587">
        <v>0</v>
      </c>
      <c r="BX19" s="587">
        <v>0</v>
      </c>
      <c r="BY19" s="587">
        <v>0</v>
      </c>
      <c r="BZ19" s="587">
        <v>0</v>
      </c>
      <c r="CA19" s="587">
        <v>0</v>
      </c>
      <c r="CB19" s="587">
        <v>0</v>
      </c>
      <c r="CC19" s="587">
        <v>0</v>
      </c>
      <c r="CD19" s="587">
        <v>0</v>
      </c>
      <c r="CE19" s="587">
        <v>0</v>
      </c>
      <c r="CF19" s="587">
        <v>0</v>
      </c>
      <c r="CG19" s="587">
        <v>0</v>
      </c>
      <c r="CH19" s="587">
        <v>0</v>
      </c>
      <c r="CI19" s="587">
        <v>0</v>
      </c>
      <c r="CJ19" s="587">
        <v>0</v>
      </c>
      <c r="CK19" s="587">
        <v>0</v>
      </c>
      <c r="CL19" s="587">
        <v>0</v>
      </c>
      <c r="CM19" s="587">
        <v>0</v>
      </c>
      <c r="CN19" s="587">
        <v>0</v>
      </c>
      <c r="CO19" s="587">
        <v>0</v>
      </c>
      <c r="CP19" s="587">
        <v>0</v>
      </c>
      <c r="CQ19" s="587">
        <v>0</v>
      </c>
      <c r="CR19" s="587">
        <v>0</v>
      </c>
      <c r="CS19" s="587">
        <v>0</v>
      </c>
      <c r="CT19" s="587">
        <v>0</v>
      </c>
      <c r="CU19" s="698">
        <f t="shared" si="56"/>
        <v>0</v>
      </c>
      <c r="CW19" s="33"/>
      <c r="CX19" s="184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</row>
    <row r="20" spans="1:116">
      <c r="A20" s="616" t="s">
        <v>475</v>
      </c>
      <c r="B20" s="262">
        <f t="shared" ca="1" si="55"/>
        <v>0</v>
      </c>
      <c r="C20" s="349">
        <v>0</v>
      </c>
      <c r="D20" s="349">
        <v>0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412">
        <v>0</v>
      </c>
      <c r="P20" s="412">
        <v>0</v>
      </c>
      <c r="Q20" s="412">
        <v>0</v>
      </c>
      <c r="R20" s="412">
        <v>0</v>
      </c>
      <c r="S20" s="412">
        <v>0</v>
      </c>
      <c r="T20" s="412">
        <v>0</v>
      </c>
      <c r="U20" s="412">
        <v>0</v>
      </c>
      <c r="V20" s="412">
        <v>0</v>
      </c>
      <c r="W20" s="412">
        <v>0</v>
      </c>
      <c r="X20" s="412">
        <v>0</v>
      </c>
      <c r="Y20" s="412">
        <v>0</v>
      </c>
      <c r="Z20" s="412">
        <v>0</v>
      </c>
      <c r="AA20" s="412">
        <v>0</v>
      </c>
      <c r="AB20" s="412">
        <v>0</v>
      </c>
      <c r="AC20" s="412">
        <v>0</v>
      </c>
      <c r="AD20" s="412">
        <v>0</v>
      </c>
      <c r="AE20" s="412">
        <v>0</v>
      </c>
      <c r="AF20" s="412">
        <v>0</v>
      </c>
      <c r="AG20" s="412">
        <v>0</v>
      </c>
      <c r="AH20" s="412">
        <v>0</v>
      </c>
      <c r="AI20" s="412">
        <v>0</v>
      </c>
      <c r="AJ20" s="412">
        <v>0</v>
      </c>
      <c r="AK20" s="412">
        <v>0</v>
      </c>
      <c r="AL20" s="412">
        <v>0</v>
      </c>
      <c r="AM20" s="412">
        <v>0</v>
      </c>
      <c r="AN20" s="412">
        <v>0</v>
      </c>
      <c r="AO20" s="412">
        <v>0</v>
      </c>
      <c r="AP20" s="412">
        <v>0</v>
      </c>
      <c r="AQ20" s="412">
        <v>0</v>
      </c>
      <c r="AR20" s="412">
        <v>0</v>
      </c>
      <c r="AS20" s="412">
        <v>0</v>
      </c>
      <c r="AT20" s="412">
        <v>0</v>
      </c>
      <c r="AU20" s="412">
        <v>0</v>
      </c>
      <c r="AV20" s="412">
        <v>0</v>
      </c>
      <c r="AW20" s="412">
        <v>0</v>
      </c>
      <c r="AX20" s="412">
        <v>0</v>
      </c>
      <c r="AY20" s="412">
        <v>0</v>
      </c>
      <c r="AZ20" s="412">
        <v>0</v>
      </c>
      <c r="BA20" s="412">
        <v>0</v>
      </c>
      <c r="BB20" s="412">
        <v>0</v>
      </c>
      <c r="BC20" s="412">
        <v>0</v>
      </c>
      <c r="BD20" s="412">
        <v>0</v>
      </c>
      <c r="BE20" s="680">
        <v>0</v>
      </c>
      <c r="BF20" s="680">
        <v>0</v>
      </c>
      <c r="BG20" s="680">
        <v>0</v>
      </c>
      <c r="BH20" s="680">
        <v>0</v>
      </c>
      <c r="BI20" s="680">
        <v>0</v>
      </c>
      <c r="BJ20" s="680">
        <v>0</v>
      </c>
      <c r="BK20" s="680">
        <v>0</v>
      </c>
      <c r="BL20" s="680">
        <v>0</v>
      </c>
      <c r="BM20" s="680">
        <v>0</v>
      </c>
      <c r="BN20" s="680">
        <v>0</v>
      </c>
      <c r="BO20" s="680">
        <v>0</v>
      </c>
      <c r="BP20" s="680">
        <v>0</v>
      </c>
      <c r="BQ20" s="680">
        <v>0</v>
      </c>
      <c r="BR20" s="680">
        <v>0</v>
      </c>
      <c r="BS20" s="680">
        <v>0</v>
      </c>
      <c r="BT20" s="680">
        <v>0</v>
      </c>
      <c r="BU20" s="680">
        <v>0</v>
      </c>
      <c r="BV20" s="680">
        <v>0</v>
      </c>
      <c r="BW20" s="680">
        <v>0</v>
      </c>
      <c r="BX20" s="680">
        <v>0</v>
      </c>
      <c r="BY20" s="680">
        <v>0</v>
      </c>
      <c r="BZ20" s="680">
        <v>0</v>
      </c>
      <c r="CA20" s="680">
        <v>0</v>
      </c>
      <c r="CB20" s="680">
        <v>0</v>
      </c>
      <c r="CC20" s="680">
        <v>0</v>
      </c>
      <c r="CD20" s="680">
        <v>0</v>
      </c>
      <c r="CE20" s="680">
        <v>0</v>
      </c>
      <c r="CF20" s="680">
        <v>0</v>
      </c>
      <c r="CG20" s="680">
        <v>0</v>
      </c>
      <c r="CH20" s="680">
        <v>0</v>
      </c>
      <c r="CI20" s="680">
        <v>0</v>
      </c>
      <c r="CJ20" s="680">
        <v>0</v>
      </c>
      <c r="CK20" s="680">
        <v>0</v>
      </c>
      <c r="CL20" s="680">
        <v>0</v>
      </c>
      <c r="CM20" s="680">
        <v>0</v>
      </c>
      <c r="CN20" s="680">
        <v>0</v>
      </c>
      <c r="CO20" s="680">
        <v>0</v>
      </c>
      <c r="CP20" s="680">
        <v>0</v>
      </c>
      <c r="CQ20" s="680">
        <v>0</v>
      </c>
      <c r="CR20" s="680">
        <v>0</v>
      </c>
      <c r="CS20" s="680">
        <v>0</v>
      </c>
      <c r="CT20" s="680">
        <v>0</v>
      </c>
      <c r="CU20" s="699">
        <f t="shared" si="56"/>
        <v>0</v>
      </c>
      <c r="CW20" s="33"/>
      <c r="CX20" s="184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</row>
    <row r="21" spans="1:116">
      <c r="A21" s="598" t="s">
        <v>476</v>
      </c>
      <c r="B21" s="260">
        <f t="shared" ca="1" si="55"/>
        <v>1248.8846153846155</v>
      </c>
      <c r="C21" s="79">
        <f t="shared" ref="C21:N21" si="57">SUM(C18:C20)</f>
        <v>2030.34005</v>
      </c>
      <c r="D21" s="79">
        <f t="shared" si="57"/>
        <v>1185.82446</v>
      </c>
      <c r="E21" s="79">
        <f t="shared" si="57"/>
        <v>1472.99361</v>
      </c>
      <c r="F21" s="79">
        <f t="shared" si="57"/>
        <v>1619.9621599999998</v>
      </c>
      <c r="G21" s="79">
        <f t="shared" si="57"/>
        <v>1068.5400500000001</v>
      </c>
      <c r="H21" s="79">
        <f t="shared" si="57"/>
        <v>915.17888000000005</v>
      </c>
      <c r="I21" s="79">
        <f t="shared" si="57"/>
        <v>1208.4352699999999</v>
      </c>
      <c r="J21" s="79">
        <f t="shared" si="57"/>
        <v>564.15692000000001</v>
      </c>
      <c r="K21" s="79">
        <f t="shared" si="57"/>
        <v>862.12744999999995</v>
      </c>
      <c r="L21" s="79">
        <f t="shared" si="57"/>
        <v>1107.73821</v>
      </c>
      <c r="M21" s="79">
        <f t="shared" si="57"/>
        <v>1166.60979</v>
      </c>
      <c r="N21" s="79">
        <f t="shared" si="57"/>
        <v>1715.6787099999999</v>
      </c>
      <c r="O21" s="79">
        <f t="shared" ref="O21:Z21" si="58">SUM(O18:O20)</f>
        <v>2142.9444600000002</v>
      </c>
      <c r="P21" s="79">
        <f t="shared" si="58"/>
        <v>1123.29252</v>
      </c>
      <c r="Q21" s="79">
        <f t="shared" si="58"/>
        <v>1235.8950199999999</v>
      </c>
      <c r="R21" s="79">
        <f t="shared" si="58"/>
        <v>1742.17374</v>
      </c>
      <c r="S21" s="79">
        <f t="shared" si="58"/>
        <v>1049.7999199999999</v>
      </c>
      <c r="T21" s="79">
        <f t="shared" si="58"/>
        <v>1272.4601100000002</v>
      </c>
      <c r="U21" s="79">
        <f t="shared" si="58"/>
        <v>1562.0039400000001</v>
      </c>
      <c r="V21" s="79">
        <f t="shared" si="58"/>
        <v>760.63626999999997</v>
      </c>
      <c r="W21" s="79">
        <f t="shared" si="58"/>
        <v>935.10873000000004</v>
      </c>
      <c r="X21" s="79">
        <f t="shared" si="58"/>
        <v>1188.78576</v>
      </c>
      <c r="Y21" s="79">
        <f t="shared" si="58"/>
        <v>777.88049000000001</v>
      </c>
      <c r="Z21" s="79">
        <f t="shared" si="58"/>
        <v>1195.21766</v>
      </c>
      <c r="AA21" s="79">
        <f t="shared" ref="AA21:AL21" si="59">SUM(AA18:AA20)</f>
        <v>1451.86625</v>
      </c>
      <c r="AB21" s="79">
        <f t="shared" si="59"/>
        <v>823.64361999999994</v>
      </c>
      <c r="AC21" s="79">
        <f t="shared" si="59"/>
        <v>1284.7723600000002</v>
      </c>
      <c r="AD21" s="79">
        <f t="shared" si="59"/>
        <v>1701.8793799999999</v>
      </c>
      <c r="AE21" s="79">
        <f t="shared" si="59"/>
        <v>1022.39748</v>
      </c>
      <c r="AF21" s="79">
        <f t="shared" si="59"/>
        <v>1256.9318000000001</v>
      </c>
      <c r="AG21" s="79">
        <f t="shared" si="59"/>
        <v>1595.8619199999998</v>
      </c>
      <c r="AH21" s="79">
        <f t="shared" si="59"/>
        <v>1079.8651299999999</v>
      </c>
      <c r="AI21" s="79">
        <f t="shared" si="59"/>
        <v>1299.02946</v>
      </c>
      <c r="AJ21" s="79">
        <f t="shared" si="59"/>
        <v>1496.62032</v>
      </c>
      <c r="AK21" s="79">
        <f t="shared" si="59"/>
        <v>673.25096999999994</v>
      </c>
      <c r="AL21" s="79">
        <f t="shared" si="59"/>
        <v>902.04340999999999</v>
      </c>
      <c r="AM21" s="79">
        <f t="shared" ref="AM21:AR21" si="60">SUM(AM18:AM20)</f>
        <v>1028.3160500000001</v>
      </c>
      <c r="AN21" s="79">
        <f t="shared" si="60"/>
        <v>832.64310999999998</v>
      </c>
      <c r="AO21" s="79">
        <f t="shared" si="60"/>
        <v>926.54253000000006</v>
      </c>
      <c r="AP21" s="79">
        <f t="shared" si="60"/>
        <v>1260.9897699999999</v>
      </c>
      <c r="AQ21" s="79">
        <f t="shared" si="60"/>
        <v>1026.2549300000001</v>
      </c>
      <c r="AR21" s="79">
        <f t="shared" si="60"/>
        <v>1250.5963700000002</v>
      </c>
      <c r="AS21" s="79">
        <f t="shared" ref="AS21:AY21" si="61">SUM(AS18:AS20)</f>
        <v>1439.03629</v>
      </c>
      <c r="AT21" s="79">
        <f t="shared" si="61"/>
        <v>781.25278000000003</v>
      </c>
      <c r="AU21" s="79">
        <f t="shared" si="61"/>
        <v>1020.48308</v>
      </c>
      <c r="AV21" s="79">
        <f t="shared" si="61"/>
        <v>1371.2764999999999</v>
      </c>
      <c r="AW21" s="79">
        <f t="shared" si="61"/>
        <v>841.29766000000006</v>
      </c>
      <c r="AX21" s="79">
        <f t="shared" si="61"/>
        <v>1208.3459700000001</v>
      </c>
      <c r="AY21" s="79">
        <f t="shared" si="61"/>
        <v>1542.4809399999999</v>
      </c>
      <c r="AZ21" s="79">
        <f t="shared" ref="AZ21:BJ21" si="62">SUM(AZ18:AZ20)</f>
        <v>1003.46887</v>
      </c>
      <c r="BA21" s="79">
        <f t="shared" si="62"/>
        <v>1278.8301899999999</v>
      </c>
      <c r="BB21" s="79">
        <f t="shared" si="62"/>
        <v>612.94316000000003</v>
      </c>
      <c r="BC21" s="79">
        <f t="shared" si="62"/>
        <v>1003.45624</v>
      </c>
      <c r="BD21" s="79">
        <f t="shared" si="62"/>
        <v>1274.9468200000001</v>
      </c>
      <c r="BE21" s="686">
        <f t="shared" si="62"/>
        <v>1549.0675700000002</v>
      </c>
      <c r="BF21" s="686">
        <f t="shared" si="62"/>
        <v>892.66068999999993</v>
      </c>
      <c r="BG21" s="686">
        <f t="shared" si="62"/>
        <v>1188.4883400000001</v>
      </c>
      <c r="BH21" s="686">
        <f t="shared" si="62"/>
        <v>1502.23612</v>
      </c>
      <c r="BI21" s="686">
        <f t="shared" si="62"/>
        <v>868.33180000000004</v>
      </c>
      <c r="BJ21" s="686">
        <f t="shared" si="62"/>
        <v>1027.7767200000001</v>
      </c>
      <c r="BK21" s="686">
        <f t="shared" ref="BK21:BV21" si="63">SUM(BK18:BK20)</f>
        <v>1172.7731200000001</v>
      </c>
      <c r="BL21" s="686">
        <f t="shared" si="63"/>
        <v>679.78675999999996</v>
      </c>
      <c r="BM21" s="686">
        <f t="shared" si="63"/>
        <v>1153.4104499999999</v>
      </c>
      <c r="BN21" s="686">
        <f t="shared" si="63"/>
        <v>538.84781999999996</v>
      </c>
      <c r="BO21" s="686">
        <f t="shared" si="63"/>
        <v>814.85322999999994</v>
      </c>
      <c r="BP21" s="686">
        <f t="shared" si="63"/>
        <v>1037.8276000000001</v>
      </c>
      <c r="BQ21" s="686">
        <f t="shared" si="63"/>
        <v>1474.4403300000001</v>
      </c>
      <c r="BR21" s="686">
        <f t="shared" si="63"/>
        <v>1006.0719200000001</v>
      </c>
      <c r="BS21" s="686">
        <f t="shared" si="63"/>
        <v>1343.62769</v>
      </c>
      <c r="BT21" s="686">
        <f t="shared" si="63"/>
        <v>532.97133999999994</v>
      </c>
      <c r="BU21" s="686">
        <f t="shared" si="63"/>
        <v>833.07556999999997</v>
      </c>
      <c r="BV21" s="686">
        <f t="shared" si="63"/>
        <v>846.20452</v>
      </c>
      <c r="BW21" s="686">
        <f t="shared" ref="BW21:CH21" si="64">SUM(BW18:BW20)</f>
        <v>1677.2</v>
      </c>
      <c r="BX21" s="686">
        <f t="shared" si="64"/>
        <v>742.7</v>
      </c>
      <c r="BY21" s="686">
        <f t="shared" si="64"/>
        <v>965.4</v>
      </c>
      <c r="BZ21" s="686">
        <f t="shared" si="64"/>
        <v>1317</v>
      </c>
      <c r="CA21" s="686">
        <f t="shared" si="64"/>
        <v>943</v>
      </c>
      <c r="CB21" s="686">
        <f t="shared" si="64"/>
        <v>1252.5</v>
      </c>
      <c r="CC21" s="686">
        <f t="shared" si="64"/>
        <v>1588.8</v>
      </c>
      <c r="CD21" s="686">
        <f t="shared" si="64"/>
        <v>923.8</v>
      </c>
      <c r="CE21" s="686">
        <f t="shared" si="64"/>
        <v>1248</v>
      </c>
      <c r="CF21" s="686">
        <f t="shared" si="64"/>
        <v>1569.6</v>
      </c>
      <c r="CG21" s="686">
        <f t="shared" si="64"/>
        <v>958.1</v>
      </c>
      <c r="CH21" s="686">
        <f t="shared" si="64"/>
        <v>1524.7</v>
      </c>
      <c r="CI21" s="686">
        <f t="shared" ref="CI21" si="65">SUM(CI18:CI20)</f>
        <v>1677.2</v>
      </c>
      <c r="CJ21" s="686">
        <f t="shared" ref="CJ21:CT21" si="66">SUM(CJ18:CJ20)</f>
        <v>742.7</v>
      </c>
      <c r="CK21" s="686">
        <f t="shared" si="66"/>
        <v>965.4</v>
      </c>
      <c r="CL21" s="686">
        <f t="shared" si="66"/>
        <v>1317</v>
      </c>
      <c r="CM21" s="686">
        <f t="shared" si="66"/>
        <v>943</v>
      </c>
      <c r="CN21" s="686">
        <f t="shared" si="66"/>
        <v>1252.5</v>
      </c>
      <c r="CO21" s="686">
        <f t="shared" si="66"/>
        <v>1588.8</v>
      </c>
      <c r="CP21" s="686">
        <f t="shared" si="66"/>
        <v>923.8</v>
      </c>
      <c r="CQ21" s="686">
        <f t="shared" si="66"/>
        <v>1248</v>
      </c>
      <c r="CR21" s="686">
        <f t="shared" si="66"/>
        <v>1569.6</v>
      </c>
      <c r="CS21" s="686">
        <f t="shared" si="66"/>
        <v>958.1</v>
      </c>
      <c r="CT21" s="686">
        <f t="shared" si="66"/>
        <v>1524.7</v>
      </c>
      <c r="CU21" s="698">
        <f t="shared" si="56"/>
        <v>1248.8846153846155</v>
      </c>
      <c r="CW21" s="33"/>
      <c r="CX21" s="184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</row>
    <row r="22" spans="1:116">
      <c r="A22" s="27"/>
      <c r="B22" s="260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686"/>
      <c r="BF22" s="686"/>
      <c r="BG22" s="686"/>
      <c r="BH22" s="686"/>
      <c r="BI22" s="686"/>
      <c r="BJ22" s="686"/>
      <c r="BK22" s="686"/>
      <c r="BL22" s="686"/>
      <c r="BM22" s="686"/>
      <c r="BN22" s="686"/>
      <c r="BO22" s="686"/>
      <c r="BP22" s="686"/>
      <c r="BQ22" s="686"/>
      <c r="BR22" s="686"/>
      <c r="BS22" s="686"/>
      <c r="BT22" s="686"/>
      <c r="BU22" s="686"/>
      <c r="BV22" s="686"/>
      <c r="BW22" s="686"/>
      <c r="BX22" s="686"/>
      <c r="BY22" s="686"/>
      <c r="BZ22" s="686"/>
      <c r="CA22" s="686"/>
      <c r="CB22" s="686"/>
      <c r="CC22" s="686"/>
      <c r="CD22" s="686"/>
      <c r="CE22" s="686"/>
      <c r="CF22" s="686"/>
      <c r="CG22" s="686"/>
      <c r="CH22" s="686"/>
      <c r="CI22" s="686"/>
      <c r="CJ22" s="686"/>
      <c r="CK22" s="686"/>
      <c r="CL22" s="686"/>
      <c r="CM22" s="686"/>
      <c r="CN22" s="686"/>
      <c r="CO22" s="686"/>
      <c r="CP22" s="686"/>
      <c r="CQ22" s="686"/>
      <c r="CR22" s="686"/>
      <c r="CS22" s="686"/>
      <c r="CT22" s="686"/>
      <c r="CU22" s="698"/>
      <c r="CW22" s="33"/>
      <c r="CX22" s="184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</row>
    <row r="23" spans="1:116">
      <c r="A23" s="13" t="s">
        <v>477</v>
      </c>
      <c r="B23" s="260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686"/>
      <c r="BF23" s="686"/>
      <c r="BG23" s="686"/>
      <c r="BH23" s="686"/>
      <c r="BI23" s="686"/>
      <c r="BJ23" s="686"/>
      <c r="BK23" s="686"/>
      <c r="BL23" s="686"/>
      <c r="BM23" s="686"/>
      <c r="BN23" s="686"/>
      <c r="BO23" s="686"/>
      <c r="BP23" s="686"/>
      <c r="BQ23" s="686"/>
      <c r="BR23" s="686"/>
      <c r="BS23" s="686"/>
      <c r="BT23" s="686"/>
      <c r="BU23" s="686"/>
      <c r="BV23" s="686"/>
      <c r="BW23" s="686"/>
      <c r="BX23" s="686"/>
      <c r="BY23" s="686"/>
      <c r="BZ23" s="686"/>
      <c r="CA23" s="686"/>
      <c r="CB23" s="686"/>
      <c r="CC23" s="686"/>
      <c r="CD23" s="686"/>
      <c r="CE23" s="686"/>
      <c r="CF23" s="686"/>
      <c r="CG23" s="686"/>
      <c r="CH23" s="686"/>
      <c r="CI23" s="686"/>
      <c r="CJ23" s="686"/>
      <c r="CK23" s="686"/>
      <c r="CL23" s="686"/>
      <c r="CM23" s="686"/>
      <c r="CN23" s="686"/>
      <c r="CO23" s="686"/>
      <c r="CP23" s="686"/>
      <c r="CQ23" s="686"/>
      <c r="CR23" s="686"/>
      <c r="CS23" s="686"/>
      <c r="CT23" s="686"/>
      <c r="CU23" s="698"/>
      <c r="CW23" s="33"/>
      <c r="CX23" s="184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</row>
    <row r="24" spans="1:116">
      <c r="A24" s="616" t="s">
        <v>478</v>
      </c>
      <c r="B24" s="260">
        <f t="shared" ref="B24:B40" ca="1" si="67">SUM(OFFSET(BW24:CI24,0,$A$1-1))/13</f>
        <v>1000</v>
      </c>
      <c r="C24" s="350">
        <v>-1311.8254899999999</v>
      </c>
      <c r="D24" s="350">
        <v>7683.0090700000001</v>
      </c>
      <c r="E24" s="350">
        <v>5527.9843600000004</v>
      </c>
      <c r="F24" s="350">
        <v>10732.318499999999</v>
      </c>
      <c r="G24" s="350">
        <v>13109.00223</v>
      </c>
      <c r="H24" s="350">
        <v>7235.2193799999995</v>
      </c>
      <c r="I24" s="350">
        <v>9454.7994099999996</v>
      </c>
      <c r="J24" s="350">
        <v>3982.9443300000003</v>
      </c>
      <c r="K24" s="350">
        <v>9295.5920700000006</v>
      </c>
      <c r="L24" s="350">
        <v>9556.7676699999993</v>
      </c>
      <c r="M24" s="350">
        <v>9285.5061000000005</v>
      </c>
      <c r="N24" s="350">
        <v>9677.3490099999999</v>
      </c>
      <c r="O24" s="413">
        <v>7688.52376</v>
      </c>
      <c r="P24" s="413">
        <v>10910.22869</v>
      </c>
      <c r="Q24" s="413">
        <v>8678.5849899999994</v>
      </c>
      <c r="R24" s="413">
        <v>7205.1813400000001</v>
      </c>
      <c r="S24" s="413">
        <v>9524.5121199999994</v>
      </c>
      <c r="T24" s="413">
        <v>8981.6409999999996</v>
      </c>
      <c r="U24" s="413">
        <v>8637.22163</v>
      </c>
      <c r="V24" s="413">
        <v>9145.0041000000001</v>
      </c>
      <c r="W24" s="413">
        <v>9419.2051999999985</v>
      </c>
      <c r="X24" s="413">
        <v>8961.32834</v>
      </c>
      <c r="Y24" s="413">
        <v>8984.9199200000003</v>
      </c>
      <c r="Z24" s="413">
        <v>8481.8151899999993</v>
      </c>
      <c r="AA24" s="413">
        <v>9183.2239499999996</v>
      </c>
      <c r="AB24" s="413">
        <v>8750.163050000001</v>
      </c>
      <c r="AC24" s="413">
        <v>8471.5416300000015</v>
      </c>
      <c r="AD24" s="413">
        <v>8031.7285499999998</v>
      </c>
      <c r="AE24" s="413">
        <v>8438.4384800000007</v>
      </c>
      <c r="AF24" s="413">
        <v>8121.36625</v>
      </c>
      <c r="AG24" s="413">
        <v>7908.7163</v>
      </c>
      <c r="AH24" s="413">
        <v>8508.869279999999</v>
      </c>
      <c r="AI24" s="413">
        <v>8534.6572899999992</v>
      </c>
      <c r="AJ24" s="413">
        <v>7780.8382499999998</v>
      </c>
      <c r="AK24" s="413">
        <v>8085.6366500000004</v>
      </c>
      <c r="AL24" s="413">
        <v>8303.8692900000005</v>
      </c>
      <c r="AM24" s="413">
        <v>7302.5158499999998</v>
      </c>
      <c r="AN24" s="413">
        <v>8287.9159299999992</v>
      </c>
      <c r="AO24" s="413">
        <v>7325.8216299999995</v>
      </c>
      <c r="AP24" s="413">
        <v>8579.0919200000008</v>
      </c>
      <c r="AQ24" s="413">
        <v>7939.8649500000001</v>
      </c>
      <c r="AR24" s="413">
        <v>9217.2904699999999</v>
      </c>
      <c r="AS24" s="413">
        <v>8748.9912899999999</v>
      </c>
      <c r="AT24" s="413">
        <v>9091.1896799999995</v>
      </c>
      <c r="AU24" s="413">
        <v>8693.9527699999999</v>
      </c>
      <c r="AV24" s="413">
        <v>7909.4248299999999</v>
      </c>
      <c r="AW24" s="413">
        <v>-2329.2906499999999</v>
      </c>
      <c r="AX24" s="413">
        <v>0</v>
      </c>
      <c r="AY24" s="413">
        <v>-2689.7489300000002</v>
      </c>
      <c r="AZ24" s="413">
        <v>-3162.0561400000001</v>
      </c>
      <c r="BA24" s="413">
        <v>-11401.52347</v>
      </c>
      <c r="BB24" s="413">
        <v>-5509.3533399999997</v>
      </c>
      <c r="BC24" s="413">
        <v>-6460.9939800000002</v>
      </c>
      <c r="BD24" s="413">
        <v>-6949.0251900000003</v>
      </c>
      <c r="BE24" s="586">
        <v>-7398.45363</v>
      </c>
      <c r="BF24" s="586">
        <v>-8227.6177100000004</v>
      </c>
      <c r="BG24" s="586">
        <v>-7765.8545400000003</v>
      </c>
      <c r="BH24" s="586">
        <v>-7470.3617300000005</v>
      </c>
      <c r="BI24" s="586">
        <v>-7735.3893499999995</v>
      </c>
      <c r="BJ24" s="586">
        <v>2104.29709</v>
      </c>
      <c r="BK24" s="586">
        <v>2421.36841</v>
      </c>
      <c r="BL24" s="586">
        <v>2914.0834199999999</v>
      </c>
      <c r="BM24" s="586">
        <v>2916.9857900000002</v>
      </c>
      <c r="BN24" s="586">
        <v>3086.2512999999999</v>
      </c>
      <c r="BO24" s="586">
        <v>3094.2603399999998</v>
      </c>
      <c r="BP24" s="586">
        <v>3178.44407</v>
      </c>
      <c r="BQ24" s="586">
        <v>3526.5861299999997</v>
      </c>
      <c r="BR24" s="586">
        <v>3591.6478399999996</v>
      </c>
      <c r="BS24" s="586">
        <v>3683.8454400000001</v>
      </c>
      <c r="BT24" s="586">
        <v>4119.3302000000003</v>
      </c>
      <c r="BU24" s="586">
        <v>3693.1476899999998</v>
      </c>
      <c r="BV24" s="586">
        <v>3398.83122</v>
      </c>
      <c r="BW24" s="586">
        <v>1000</v>
      </c>
      <c r="BX24" s="586">
        <v>1000</v>
      </c>
      <c r="BY24" s="586">
        <v>1000</v>
      </c>
      <c r="BZ24" s="586">
        <v>1000</v>
      </c>
      <c r="CA24" s="586">
        <v>1000</v>
      </c>
      <c r="CB24" s="586">
        <v>1000</v>
      </c>
      <c r="CC24" s="586">
        <v>1000</v>
      </c>
      <c r="CD24" s="586">
        <v>1000</v>
      </c>
      <c r="CE24" s="586">
        <v>1000</v>
      </c>
      <c r="CF24" s="586">
        <v>1000</v>
      </c>
      <c r="CG24" s="586">
        <v>1000</v>
      </c>
      <c r="CH24" s="803">
        <v>1000</v>
      </c>
      <c r="CI24" s="1092">
        <v>1000</v>
      </c>
      <c r="CJ24" s="803">
        <v>1000</v>
      </c>
      <c r="CK24" s="803">
        <v>1000</v>
      </c>
      <c r="CL24" s="803">
        <v>1000</v>
      </c>
      <c r="CM24" s="803">
        <v>1000</v>
      </c>
      <c r="CN24" s="803">
        <v>1000</v>
      </c>
      <c r="CO24" s="803">
        <v>1000</v>
      </c>
      <c r="CP24" s="803">
        <v>1000</v>
      </c>
      <c r="CQ24" s="803">
        <v>1000</v>
      </c>
      <c r="CR24" s="803">
        <v>1000</v>
      </c>
      <c r="CS24" s="803">
        <v>1000</v>
      </c>
      <c r="CT24" s="803">
        <v>1000</v>
      </c>
      <c r="CU24" s="698">
        <f t="shared" ref="CU24:CU40" si="68">SUM(CH24:CT24)/13</f>
        <v>1000</v>
      </c>
      <c r="CV24" s="1059"/>
      <c r="CW24" s="33"/>
      <c r="CX24" s="184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</row>
    <row r="25" spans="1:116">
      <c r="A25" s="616" t="s">
        <v>479</v>
      </c>
      <c r="B25" s="260">
        <f t="shared" ca="1" si="67"/>
        <v>0</v>
      </c>
      <c r="C25" s="350">
        <v>0</v>
      </c>
      <c r="D25" s="350">
        <v>0</v>
      </c>
      <c r="E25" s="350">
        <v>0</v>
      </c>
      <c r="F25" s="350">
        <v>0</v>
      </c>
      <c r="G25" s="350">
        <v>0</v>
      </c>
      <c r="H25" s="350">
        <v>0</v>
      </c>
      <c r="I25" s="350">
        <v>0</v>
      </c>
      <c r="J25" s="350">
        <v>0</v>
      </c>
      <c r="K25" s="350">
        <v>0</v>
      </c>
      <c r="L25" s="350">
        <v>0</v>
      </c>
      <c r="M25" s="350">
        <v>0</v>
      </c>
      <c r="N25" s="350">
        <v>0</v>
      </c>
      <c r="O25" s="413">
        <v>0</v>
      </c>
      <c r="P25" s="413">
        <v>0</v>
      </c>
      <c r="Q25" s="413">
        <v>0</v>
      </c>
      <c r="R25" s="413">
        <v>0</v>
      </c>
      <c r="S25" s="413">
        <v>0</v>
      </c>
      <c r="T25" s="413">
        <v>0</v>
      </c>
      <c r="U25" s="413">
        <v>0</v>
      </c>
      <c r="V25" s="413">
        <v>0</v>
      </c>
      <c r="W25" s="413">
        <v>0</v>
      </c>
      <c r="X25" s="413">
        <v>0</v>
      </c>
      <c r="Y25" s="413">
        <v>0</v>
      </c>
      <c r="Z25" s="413">
        <v>0</v>
      </c>
      <c r="AA25" s="413">
        <v>0</v>
      </c>
      <c r="AB25" s="413">
        <v>0</v>
      </c>
      <c r="AC25" s="413">
        <v>0</v>
      </c>
      <c r="AD25" s="413">
        <v>0</v>
      </c>
      <c r="AE25" s="413">
        <v>0</v>
      </c>
      <c r="AF25" s="413">
        <v>0</v>
      </c>
      <c r="AG25" s="413">
        <v>0</v>
      </c>
      <c r="AH25" s="413">
        <v>0</v>
      </c>
      <c r="AI25" s="413">
        <v>0</v>
      </c>
      <c r="AJ25" s="413">
        <v>0</v>
      </c>
      <c r="AK25" s="413">
        <v>0</v>
      </c>
      <c r="AL25" s="413">
        <v>0</v>
      </c>
      <c r="AM25" s="413">
        <v>0</v>
      </c>
      <c r="AN25" s="413">
        <v>0</v>
      </c>
      <c r="AO25" s="413">
        <v>0</v>
      </c>
      <c r="AP25" s="413">
        <v>0</v>
      </c>
      <c r="AQ25" s="413">
        <v>0</v>
      </c>
      <c r="AR25" s="413">
        <v>0</v>
      </c>
      <c r="AS25" s="413">
        <v>0</v>
      </c>
      <c r="AT25" s="413">
        <v>0</v>
      </c>
      <c r="AU25" s="413">
        <v>0</v>
      </c>
      <c r="AV25" s="413">
        <v>0</v>
      </c>
      <c r="AW25" s="413">
        <v>0</v>
      </c>
      <c r="AX25" s="413">
        <v>0</v>
      </c>
      <c r="AY25" s="413">
        <v>0</v>
      </c>
      <c r="AZ25" s="413">
        <v>0</v>
      </c>
      <c r="BA25" s="413">
        <v>0</v>
      </c>
      <c r="BB25" s="413">
        <v>0</v>
      </c>
      <c r="BC25" s="413">
        <v>0</v>
      </c>
      <c r="BD25" s="413">
        <v>0</v>
      </c>
      <c r="BE25" s="586">
        <v>0</v>
      </c>
      <c r="BF25" s="586">
        <v>0</v>
      </c>
      <c r="BG25" s="586">
        <v>0</v>
      </c>
      <c r="BH25" s="586">
        <v>0</v>
      </c>
      <c r="BI25" s="586">
        <v>0</v>
      </c>
      <c r="BJ25" s="586">
        <v>0</v>
      </c>
      <c r="BK25" s="586">
        <v>0</v>
      </c>
      <c r="BL25" s="586">
        <v>0</v>
      </c>
      <c r="BM25" s="586">
        <v>0</v>
      </c>
      <c r="BN25" s="586">
        <v>0</v>
      </c>
      <c r="BO25" s="586">
        <v>0</v>
      </c>
      <c r="BP25" s="586">
        <v>0</v>
      </c>
      <c r="BQ25" s="586">
        <v>0</v>
      </c>
      <c r="BR25" s="586">
        <v>0</v>
      </c>
      <c r="BS25" s="586">
        <v>0</v>
      </c>
      <c r="BT25" s="586">
        <v>0</v>
      </c>
      <c r="BU25" s="586">
        <v>0</v>
      </c>
      <c r="BV25" s="586">
        <v>0</v>
      </c>
      <c r="BW25" s="586">
        <v>0</v>
      </c>
      <c r="BX25" s="586">
        <v>0</v>
      </c>
      <c r="BY25" s="586">
        <v>0</v>
      </c>
      <c r="BZ25" s="586">
        <v>0</v>
      </c>
      <c r="CA25" s="586">
        <v>0</v>
      </c>
      <c r="CB25" s="586">
        <v>0</v>
      </c>
      <c r="CC25" s="586">
        <v>0</v>
      </c>
      <c r="CD25" s="586">
        <v>0</v>
      </c>
      <c r="CE25" s="586">
        <v>0</v>
      </c>
      <c r="CF25" s="586">
        <v>0</v>
      </c>
      <c r="CG25" s="586">
        <v>0</v>
      </c>
      <c r="CH25" s="803">
        <v>0</v>
      </c>
      <c r="CI25" s="1092">
        <v>0</v>
      </c>
      <c r="CJ25" s="803">
        <v>0</v>
      </c>
      <c r="CK25" s="803">
        <v>0</v>
      </c>
      <c r="CL25" s="803">
        <v>0</v>
      </c>
      <c r="CM25" s="803">
        <v>0</v>
      </c>
      <c r="CN25" s="803">
        <v>0</v>
      </c>
      <c r="CO25" s="803">
        <v>0</v>
      </c>
      <c r="CP25" s="803">
        <v>0</v>
      </c>
      <c r="CQ25" s="803">
        <v>0</v>
      </c>
      <c r="CR25" s="803">
        <v>0</v>
      </c>
      <c r="CS25" s="803">
        <v>0</v>
      </c>
      <c r="CT25" s="803">
        <v>0</v>
      </c>
      <c r="CU25" s="698">
        <f t="shared" si="68"/>
        <v>0</v>
      </c>
      <c r="CV25" s="1059"/>
      <c r="CW25" s="33"/>
      <c r="CX25" s="184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</row>
    <row r="26" spans="1:116">
      <c r="A26" s="616" t="s">
        <v>480</v>
      </c>
      <c r="B26" s="260">
        <f t="shared" ca="1" si="67"/>
        <v>25</v>
      </c>
      <c r="C26" s="350">
        <v>25</v>
      </c>
      <c r="D26" s="350">
        <v>25</v>
      </c>
      <c r="E26" s="350">
        <v>25</v>
      </c>
      <c r="F26" s="350">
        <v>25</v>
      </c>
      <c r="G26" s="350">
        <v>25</v>
      </c>
      <c r="H26" s="350">
        <v>25</v>
      </c>
      <c r="I26" s="350">
        <v>25</v>
      </c>
      <c r="J26" s="350">
        <v>25</v>
      </c>
      <c r="K26" s="350">
        <v>25</v>
      </c>
      <c r="L26" s="350">
        <v>25</v>
      </c>
      <c r="M26" s="350">
        <v>25</v>
      </c>
      <c r="N26" s="350">
        <v>25</v>
      </c>
      <c r="O26" s="413">
        <v>25</v>
      </c>
      <c r="P26" s="413">
        <v>25</v>
      </c>
      <c r="Q26" s="413">
        <v>25</v>
      </c>
      <c r="R26" s="413">
        <v>25</v>
      </c>
      <c r="S26" s="413">
        <v>25</v>
      </c>
      <c r="T26" s="413">
        <v>25</v>
      </c>
      <c r="U26" s="413">
        <v>25</v>
      </c>
      <c r="V26" s="413">
        <v>25</v>
      </c>
      <c r="W26" s="413">
        <v>25</v>
      </c>
      <c r="X26" s="413">
        <v>25</v>
      </c>
      <c r="Y26" s="413">
        <v>25</v>
      </c>
      <c r="Z26" s="413">
        <v>25</v>
      </c>
      <c r="AA26" s="413">
        <v>25</v>
      </c>
      <c r="AB26" s="413">
        <v>25</v>
      </c>
      <c r="AC26" s="413">
        <v>25</v>
      </c>
      <c r="AD26" s="413">
        <v>25</v>
      </c>
      <c r="AE26" s="413">
        <v>25</v>
      </c>
      <c r="AF26" s="413">
        <v>25</v>
      </c>
      <c r="AG26" s="413">
        <v>25</v>
      </c>
      <c r="AH26" s="413">
        <v>25</v>
      </c>
      <c r="AI26" s="413">
        <v>25</v>
      </c>
      <c r="AJ26" s="413">
        <v>25</v>
      </c>
      <c r="AK26" s="413">
        <v>25</v>
      </c>
      <c r="AL26" s="413">
        <v>25</v>
      </c>
      <c r="AM26" s="413">
        <v>25</v>
      </c>
      <c r="AN26" s="413">
        <v>25</v>
      </c>
      <c r="AO26" s="413">
        <v>25</v>
      </c>
      <c r="AP26" s="413">
        <v>25</v>
      </c>
      <c r="AQ26" s="413">
        <v>25</v>
      </c>
      <c r="AR26" s="413">
        <v>25</v>
      </c>
      <c r="AS26" s="413">
        <v>25</v>
      </c>
      <c r="AT26" s="413">
        <v>25</v>
      </c>
      <c r="AU26" s="413">
        <v>25</v>
      </c>
      <c r="AV26" s="413">
        <v>25</v>
      </c>
      <c r="AW26" s="413">
        <v>25</v>
      </c>
      <c r="AX26" s="413">
        <v>25</v>
      </c>
      <c r="AY26" s="413">
        <v>25</v>
      </c>
      <c r="AZ26" s="413">
        <v>25</v>
      </c>
      <c r="BA26" s="413">
        <v>25</v>
      </c>
      <c r="BB26" s="413">
        <v>25</v>
      </c>
      <c r="BC26" s="413">
        <v>25</v>
      </c>
      <c r="BD26" s="413">
        <v>25</v>
      </c>
      <c r="BE26" s="586">
        <v>25</v>
      </c>
      <c r="BF26" s="586">
        <v>25</v>
      </c>
      <c r="BG26" s="586">
        <v>25</v>
      </c>
      <c r="BH26" s="586">
        <v>25</v>
      </c>
      <c r="BI26" s="586">
        <v>25</v>
      </c>
      <c r="BJ26" s="586">
        <v>25</v>
      </c>
      <c r="BK26" s="586">
        <v>25</v>
      </c>
      <c r="BL26" s="586">
        <v>25</v>
      </c>
      <c r="BM26" s="586">
        <v>25</v>
      </c>
      <c r="BN26" s="586">
        <v>25</v>
      </c>
      <c r="BO26" s="586">
        <v>25</v>
      </c>
      <c r="BP26" s="586">
        <v>25</v>
      </c>
      <c r="BQ26" s="586">
        <v>25</v>
      </c>
      <c r="BR26" s="586">
        <v>25</v>
      </c>
      <c r="BS26" s="586">
        <v>25</v>
      </c>
      <c r="BT26" s="586">
        <v>25</v>
      </c>
      <c r="BU26" s="586">
        <v>25</v>
      </c>
      <c r="BV26" s="586">
        <v>25</v>
      </c>
      <c r="BW26" s="586">
        <v>25</v>
      </c>
      <c r="BX26" s="586">
        <v>25</v>
      </c>
      <c r="BY26" s="586">
        <v>25</v>
      </c>
      <c r="BZ26" s="586">
        <v>25</v>
      </c>
      <c r="CA26" s="586">
        <v>25</v>
      </c>
      <c r="CB26" s="586">
        <v>25</v>
      </c>
      <c r="CC26" s="586">
        <v>25</v>
      </c>
      <c r="CD26" s="586">
        <v>25</v>
      </c>
      <c r="CE26" s="586">
        <v>25</v>
      </c>
      <c r="CF26" s="586">
        <v>25</v>
      </c>
      <c r="CG26" s="586">
        <v>25</v>
      </c>
      <c r="CH26" s="803">
        <v>25</v>
      </c>
      <c r="CI26" s="1092">
        <v>25</v>
      </c>
      <c r="CJ26" s="803">
        <v>25</v>
      </c>
      <c r="CK26" s="803">
        <v>25</v>
      </c>
      <c r="CL26" s="803">
        <v>25</v>
      </c>
      <c r="CM26" s="803">
        <v>25</v>
      </c>
      <c r="CN26" s="803">
        <v>25</v>
      </c>
      <c r="CO26" s="803">
        <v>25</v>
      </c>
      <c r="CP26" s="803">
        <v>25</v>
      </c>
      <c r="CQ26" s="803">
        <v>25</v>
      </c>
      <c r="CR26" s="803">
        <v>25</v>
      </c>
      <c r="CS26" s="803">
        <v>25</v>
      </c>
      <c r="CT26" s="803">
        <v>25</v>
      </c>
      <c r="CU26" s="698">
        <f t="shared" si="68"/>
        <v>25</v>
      </c>
      <c r="CV26" s="1059"/>
      <c r="CW26" s="33"/>
      <c r="CX26" s="184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</row>
    <row r="27" spans="1:116">
      <c r="A27" s="616" t="s">
        <v>481</v>
      </c>
      <c r="B27" s="260">
        <f t="shared" ca="1" si="67"/>
        <v>3</v>
      </c>
      <c r="C27" s="350">
        <v>2.95</v>
      </c>
      <c r="D27" s="350">
        <v>2.95</v>
      </c>
      <c r="E27" s="350">
        <v>2.95</v>
      </c>
      <c r="F27" s="350">
        <v>2.95</v>
      </c>
      <c r="G27" s="350">
        <v>2.95</v>
      </c>
      <c r="H27" s="350">
        <v>2.95</v>
      </c>
      <c r="I27" s="350">
        <v>2.95</v>
      </c>
      <c r="J27" s="350">
        <v>2.95</v>
      </c>
      <c r="K27" s="350">
        <v>2.95</v>
      </c>
      <c r="L27" s="350">
        <v>2.95</v>
      </c>
      <c r="M27" s="350">
        <v>2.95</v>
      </c>
      <c r="N27" s="350">
        <v>2.95</v>
      </c>
      <c r="O27" s="413">
        <v>2.95</v>
      </c>
      <c r="P27" s="413">
        <v>2.95</v>
      </c>
      <c r="Q27" s="413">
        <v>2.95</v>
      </c>
      <c r="R27" s="413">
        <v>2.95</v>
      </c>
      <c r="S27" s="413">
        <v>2.95</v>
      </c>
      <c r="T27" s="413">
        <v>2.95</v>
      </c>
      <c r="U27" s="413">
        <v>2.95</v>
      </c>
      <c r="V27" s="413">
        <v>2.95</v>
      </c>
      <c r="W27" s="413">
        <v>2.95</v>
      </c>
      <c r="X27" s="413">
        <v>2.95</v>
      </c>
      <c r="Y27" s="413">
        <v>2.95</v>
      </c>
      <c r="Z27" s="413">
        <v>2.95</v>
      </c>
      <c r="AA27" s="413">
        <v>2.95</v>
      </c>
      <c r="AB27" s="413">
        <v>2.95</v>
      </c>
      <c r="AC27" s="413">
        <v>2.95</v>
      </c>
      <c r="AD27" s="413">
        <v>2.95</v>
      </c>
      <c r="AE27" s="413">
        <v>2.95</v>
      </c>
      <c r="AF27" s="413">
        <v>2.95</v>
      </c>
      <c r="AG27" s="413">
        <v>2.95</v>
      </c>
      <c r="AH27" s="413">
        <v>2.95</v>
      </c>
      <c r="AI27" s="413">
        <v>2.95</v>
      </c>
      <c r="AJ27" s="413">
        <v>2.95</v>
      </c>
      <c r="AK27" s="413">
        <v>2.95</v>
      </c>
      <c r="AL27" s="413">
        <v>2.95</v>
      </c>
      <c r="AM27" s="413">
        <v>2.95</v>
      </c>
      <c r="AN27" s="413">
        <v>2.95</v>
      </c>
      <c r="AO27" s="413">
        <v>2.95</v>
      </c>
      <c r="AP27" s="413">
        <v>2.95</v>
      </c>
      <c r="AQ27" s="413">
        <v>2.95</v>
      </c>
      <c r="AR27" s="413">
        <v>2.95</v>
      </c>
      <c r="AS27" s="413">
        <v>2.95</v>
      </c>
      <c r="AT27" s="413">
        <v>2.95</v>
      </c>
      <c r="AU27" s="413">
        <v>2.95</v>
      </c>
      <c r="AV27" s="413">
        <v>2.95</v>
      </c>
      <c r="AW27" s="413">
        <v>2.95</v>
      </c>
      <c r="AX27" s="413">
        <v>2.95</v>
      </c>
      <c r="AY27" s="413">
        <v>2.95</v>
      </c>
      <c r="AZ27" s="413">
        <v>2.95</v>
      </c>
      <c r="BA27" s="413">
        <v>2.95</v>
      </c>
      <c r="BB27" s="413">
        <v>2.95</v>
      </c>
      <c r="BC27" s="413">
        <v>2.95</v>
      </c>
      <c r="BD27" s="413">
        <v>2.95</v>
      </c>
      <c r="BE27" s="586">
        <v>2.95</v>
      </c>
      <c r="BF27" s="586">
        <v>2.95</v>
      </c>
      <c r="BG27" s="586">
        <v>2.95</v>
      </c>
      <c r="BH27" s="586">
        <v>2.95</v>
      </c>
      <c r="BI27" s="586">
        <v>2.95</v>
      </c>
      <c r="BJ27" s="586">
        <v>2.95</v>
      </c>
      <c r="BK27" s="586">
        <v>2.95</v>
      </c>
      <c r="BL27" s="586">
        <v>2.95</v>
      </c>
      <c r="BM27" s="586">
        <v>2.95</v>
      </c>
      <c r="BN27" s="586">
        <v>2.95</v>
      </c>
      <c r="BO27" s="586">
        <v>2.95</v>
      </c>
      <c r="BP27" s="586">
        <v>2.95</v>
      </c>
      <c r="BQ27" s="586">
        <v>2.95</v>
      </c>
      <c r="BR27" s="586">
        <v>2.95</v>
      </c>
      <c r="BS27" s="586">
        <v>2.95</v>
      </c>
      <c r="BT27" s="586">
        <v>2.95</v>
      </c>
      <c r="BU27" s="586">
        <v>2.95</v>
      </c>
      <c r="BV27" s="586">
        <v>2.95</v>
      </c>
      <c r="BW27" s="586">
        <v>3</v>
      </c>
      <c r="BX27" s="586">
        <v>3</v>
      </c>
      <c r="BY27" s="586">
        <v>3</v>
      </c>
      <c r="BZ27" s="586">
        <v>3</v>
      </c>
      <c r="CA27" s="586">
        <v>3</v>
      </c>
      <c r="CB27" s="586">
        <v>3</v>
      </c>
      <c r="CC27" s="586">
        <v>3</v>
      </c>
      <c r="CD27" s="586">
        <v>3</v>
      </c>
      <c r="CE27" s="586">
        <v>3</v>
      </c>
      <c r="CF27" s="586">
        <v>3</v>
      </c>
      <c r="CG27" s="586">
        <v>3</v>
      </c>
      <c r="CH27" s="586">
        <v>3</v>
      </c>
      <c r="CI27" s="586">
        <v>3</v>
      </c>
      <c r="CJ27" s="586">
        <v>3</v>
      </c>
      <c r="CK27" s="586">
        <v>3</v>
      </c>
      <c r="CL27" s="586">
        <v>3</v>
      </c>
      <c r="CM27" s="586">
        <v>3</v>
      </c>
      <c r="CN27" s="586">
        <v>3</v>
      </c>
      <c r="CO27" s="586">
        <v>3</v>
      </c>
      <c r="CP27" s="586">
        <v>3</v>
      </c>
      <c r="CQ27" s="586">
        <v>3</v>
      </c>
      <c r="CR27" s="586">
        <v>3</v>
      </c>
      <c r="CS27" s="586">
        <v>3</v>
      </c>
      <c r="CT27" s="586">
        <v>3</v>
      </c>
      <c r="CU27" s="698">
        <f t="shared" si="68"/>
        <v>3</v>
      </c>
      <c r="CW27" s="33"/>
      <c r="CX27" s="184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</row>
    <row r="28" spans="1:116">
      <c r="A28" s="616" t="s">
        <v>482</v>
      </c>
      <c r="B28" s="260">
        <f t="shared" ca="1" si="67"/>
        <v>0</v>
      </c>
      <c r="C28" s="350">
        <v>0</v>
      </c>
      <c r="D28" s="350">
        <v>0</v>
      </c>
      <c r="E28" s="350">
        <v>0</v>
      </c>
      <c r="F28" s="350">
        <v>0</v>
      </c>
      <c r="G28" s="350">
        <v>0</v>
      </c>
      <c r="H28" s="350">
        <v>0</v>
      </c>
      <c r="I28" s="350">
        <v>0</v>
      </c>
      <c r="J28" s="350">
        <v>0</v>
      </c>
      <c r="K28" s="350">
        <v>0</v>
      </c>
      <c r="L28" s="350">
        <v>0</v>
      </c>
      <c r="M28" s="350">
        <v>0</v>
      </c>
      <c r="N28" s="350">
        <v>0</v>
      </c>
      <c r="O28" s="413">
        <v>0</v>
      </c>
      <c r="P28" s="413">
        <v>0</v>
      </c>
      <c r="Q28" s="413">
        <v>0</v>
      </c>
      <c r="R28" s="413">
        <v>0</v>
      </c>
      <c r="S28" s="413">
        <v>0</v>
      </c>
      <c r="T28" s="413">
        <v>0</v>
      </c>
      <c r="U28" s="413">
        <v>0</v>
      </c>
      <c r="V28" s="413">
        <v>0</v>
      </c>
      <c r="W28" s="413">
        <v>0</v>
      </c>
      <c r="X28" s="413">
        <v>0</v>
      </c>
      <c r="Y28" s="413">
        <v>0</v>
      </c>
      <c r="Z28" s="413">
        <v>0</v>
      </c>
      <c r="AA28" s="413">
        <v>0</v>
      </c>
      <c r="AB28" s="413">
        <v>0</v>
      </c>
      <c r="AC28" s="413">
        <v>0</v>
      </c>
      <c r="AD28" s="413">
        <v>0</v>
      </c>
      <c r="AE28" s="413">
        <v>0</v>
      </c>
      <c r="AF28" s="413">
        <v>0</v>
      </c>
      <c r="AG28" s="413">
        <v>0</v>
      </c>
      <c r="AH28" s="413">
        <v>0</v>
      </c>
      <c r="AI28" s="413">
        <v>0</v>
      </c>
      <c r="AJ28" s="413">
        <v>0</v>
      </c>
      <c r="AK28" s="413">
        <v>0</v>
      </c>
      <c r="AL28" s="413">
        <v>0</v>
      </c>
      <c r="AM28" s="413">
        <v>0</v>
      </c>
      <c r="AN28" s="413">
        <v>0</v>
      </c>
      <c r="AO28" s="413">
        <v>0</v>
      </c>
      <c r="AP28" s="413">
        <v>0</v>
      </c>
      <c r="AQ28" s="413">
        <v>0</v>
      </c>
      <c r="AR28" s="413">
        <v>0</v>
      </c>
      <c r="AS28" s="413">
        <v>0</v>
      </c>
      <c r="AT28" s="413">
        <v>0</v>
      </c>
      <c r="AU28" s="413">
        <v>0</v>
      </c>
      <c r="AV28" s="413">
        <v>0</v>
      </c>
      <c r="AW28" s="413">
        <v>0</v>
      </c>
      <c r="AX28" s="413">
        <v>0</v>
      </c>
      <c r="AY28" s="413">
        <v>0</v>
      </c>
      <c r="AZ28" s="413">
        <v>0</v>
      </c>
      <c r="BA28" s="413">
        <v>0</v>
      </c>
      <c r="BB28" s="413">
        <v>0</v>
      </c>
      <c r="BC28" s="413">
        <v>0</v>
      </c>
      <c r="BD28" s="413">
        <v>0</v>
      </c>
      <c r="BE28" s="586">
        <v>0</v>
      </c>
      <c r="BF28" s="586">
        <v>0</v>
      </c>
      <c r="BG28" s="586">
        <v>0</v>
      </c>
      <c r="BH28" s="586">
        <v>0</v>
      </c>
      <c r="BI28" s="586">
        <v>0</v>
      </c>
      <c r="BJ28" s="586">
        <v>0</v>
      </c>
      <c r="BK28" s="586">
        <v>0</v>
      </c>
      <c r="BL28" s="586">
        <v>0</v>
      </c>
      <c r="BM28" s="586">
        <v>0</v>
      </c>
      <c r="BN28" s="586">
        <v>0</v>
      </c>
      <c r="BO28" s="586">
        <v>0</v>
      </c>
      <c r="BP28" s="586">
        <v>0</v>
      </c>
      <c r="BQ28" s="586">
        <v>0</v>
      </c>
      <c r="BR28" s="586">
        <v>0</v>
      </c>
      <c r="BS28" s="586">
        <v>0</v>
      </c>
      <c r="BT28" s="586">
        <v>0</v>
      </c>
      <c r="BU28" s="586">
        <v>0</v>
      </c>
      <c r="BV28" s="586">
        <v>0</v>
      </c>
      <c r="BW28" s="586">
        <v>0</v>
      </c>
      <c r="BX28" s="586">
        <v>0</v>
      </c>
      <c r="BY28" s="586">
        <v>0</v>
      </c>
      <c r="BZ28" s="586">
        <v>0</v>
      </c>
      <c r="CA28" s="586">
        <v>0</v>
      </c>
      <c r="CB28" s="586">
        <v>0</v>
      </c>
      <c r="CC28" s="586">
        <v>0</v>
      </c>
      <c r="CD28" s="586">
        <v>0</v>
      </c>
      <c r="CE28" s="586">
        <v>0</v>
      </c>
      <c r="CF28" s="586">
        <v>0</v>
      </c>
      <c r="CG28" s="586">
        <v>0</v>
      </c>
      <c r="CH28" s="586">
        <v>0</v>
      </c>
      <c r="CI28" s="586">
        <v>0</v>
      </c>
      <c r="CJ28" s="586">
        <v>0</v>
      </c>
      <c r="CK28" s="586">
        <v>0</v>
      </c>
      <c r="CL28" s="586">
        <v>0</v>
      </c>
      <c r="CM28" s="586">
        <v>0</v>
      </c>
      <c r="CN28" s="586">
        <v>0</v>
      </c>
      <c r="CO28" s="586">
        <v>0</v>
      </c>
      <c r="CP28" s="586">
        <v>0</v>
      </c>
      <c r="CQ28" s="586">
        <v>0</v>
      </c>
      <c r="CR28" s="586">
        <v>0</v>
      </c>
      <c r="CS28" s="586">
        <v>0</v>
      </c>
      <c r="CT28" s="586">
        <v>0</v>
      </c>
      <c r="CU28" s="698">
        <f t="shared" si="68"/>
        <v>0</v>
      </c>
      <c r="CW28" s="33"/>
      <c r="CX28" s="184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</row>
    <row r="29" spans="1:116">
      <c r="A29" s="616" t="s">
        <v>483</v>
      </c>
      <c r="B29" s="260">
        <f t="shared" ca="1" si="67"/>
        <v>38620</v>
      </c>
      <c r="C29" s="350">
        <v>29988.88334</v>
      </c>
      <c r="D29" s="350">
        <v>30496.22898</v>
      </c>
      <c r="E29" s="350">
        <v>25425.34894</v>
      </c>
      <c r="F29" s="350">
        <v>29266.124250000001</v>
      </c>
      <c r="G29" s="350">
        <v>26763.987870000001</v>
      </c>
      <c r="H29" s="350">
        <v>23778.38897</v>
      </c>
      <c r="I29" s="350">
        <v>24866.772410000001</v>
      </c>
      <c r="J29" s="350">
        <v>19382.73099</v>
      </c>
      <c r="K29" s="350">
        <v>26222.13406</v>
      </c>
      <c r="L29" s="350">
        <v>21363.062819999999</v>
      </c>
      <c r="M29" s="350">
        <v>23526.603070000001</v>
      </c>
      <c r="N29" s="350">
        <v>29589.589309999999</v>
      </c>
      <c r="O29" s="413">
        <v>39142.637479999998</v>
      </c>
      <c r="P29" s="413">
        <v>33520.126620000003</v>
      </c>
      <c r="Q29" s="413">
        <v>28369.965609999999</v>
      </c>
      <c r="R29" s="413">
        <v>30347.437300000001</v>
      </c>
      <c r="S29" s="413">
        <v>26461.489610000001</v>
      </c>
      <c r="T29" s="413">
        <v>26323.048569999999</v>
      </c>
      <c r="U29" s="413">
        <v>27677.789359999999</v>
      </c>
      <c r="V29" s="413">
        <v>22422.804370000002</v>
      </c>
      <c r="W29" s="413">
        <v>26981.163199999999</v>
      </c>
      <c r="X29" s="413">
        <v>25315.728010000003</v>
      </c>
      <c r="Y29" s="413">
        <v>24158.601609999998</v>
      </c>
      <c r="Z29" s="413">
        <v>29542.589260000001</v>
      </c>
      <c r="AA29" s="413">
        <v>32582.158719999999</v>
      </c>
      <c r="AB29" s="413">
        <v>32195.81365</v>
      </c>
      <c r="AC29" s="413">
        <v>29074.433710000001</v>
      </c>
      <c r="AD29" s="413">
        <v>27185.46384</v>
      </c>
      <c r="AE29" s="413">
        <v>25642.351340000001</v>
      </c>
      <c r="AF29" s="413">
        <v>23881.225350000001</v>
      </c>
      <c r="AG29" s="413">
        <v>21407.37066</v>
      </c>
      <c r="AH29" s="413">
        <v>20163.176579999999</v>
      </c>
      <c r="AI29" s="413">
        <v>23570.156899999998</v>
      </c>
      <c r="AJ29" s="413">
        <v>20921.762350000001</v>
      </c>
      <c r="AK29" s="413">
        <v>25051.047790000001</v>
      </c>
      <c r="AL29" s="413">
        <v>28445.71646</v>
      </c>
      <c r="AM29" s="413">
        <v>33690.965270000001</v>
      </c>
      <c r="AN29" s="413">
        <v>31434.966370000002</v>
      </c>
      <c r="AO29" s="413">
        <v>28960.246870000003</v>
      </c>
      <c r="AP29" s="413">
        <v>25442.43147</v>
      </c>
      <c r="AQ29" s="413">
        <v>24859.606969999997</v>
      </c>
      <c r="AR29" s="413">
        <v>24328.61275</v>
      </c>
      <c r="AS29" s="413">
        <v>22554.22565</v>
      </c>
      <c r="AT29" s="413">
        <v>22331.643629999999</v>
      </c>
      <c r="AU29" s="413">
        <v>23076.572399999997</v>
      </c>
      <c r="AV29" s="413">
        <v>21627.94054</v>
      </c>
      <c r="AW29" s="413">
        <v>25437.275010000001</v>
      </c>
      <c r="AX29" s="413">
        <v>29061.274129999998</v>
      </c>
      <c r="AY29" s="413">
        <v>41434.704340000004</v>
      </c>
      <c r="AZ29" s="413">
        <v>43191.845930000003</v>
      </c>
      <c r="BA29" s="413">
        <v>37311.112030000004</v>
      </c>
      <c r="BB29" s="413">
        <v>33050.040489999999</v>
      </c>
      <c r="BC29" s="413">
        <v>31383.89314</v>
      </c>
      <c r="BD29" s="413">
        <v>28707.721799999999</v>
      </c>
      <c r="BE29" s="586">
        <v>28842.32962</v>
      </c>
      <c r="BF29" s="586">
        <v>27207.266440000003</v>
      </c>
      <c r="BG29" s="586">
        <v>28836.682519999998</v>
      </c>
      <c r="BH29" s="586">
        <v>30680.668960000003</v>
      </c>
      <c r="BI29" s="586">
        <v>29358.886930000001</v>
      </c>
      <c r="BJ29" s="586">
        <v>34889.403490000004</v>
      </c>
      <c r="BK29" s="586">
        <v>46802.983999999997</v>
      </c>
      <c r="BL29" s="586">
        <v>51862.174679999996</v>
      </c>
      <c r="BM29" s="586">
        <v>42268.944790000001</v>
      </c>
      <c r="BN29" s="586">
        <v>40632.814960000003</v>
      </c>
      <c r="BO29" s="586">
        <v>41650.049290000003</v>
      </c>
      <c r="BP29" s="586">
        <v>37929.803</v>
      </c>
      <c r="BQ29" s="586">
        <v>40669.428009999996</v>
      </c>
      <c r="BR29" s="586">
        <v>36887.532149999999</v>
      </c>
      <c r="BS29" s="586">
        <v>36611.247779999998</v>
      </c>
      <c r="BT29" s="586">
        <v>34676.257579999998</v>
      </c>
      <c r="BU29" s="586">
        <v>32838.622920000002</v>
      </c>
      <c r="BV29" s="586">
        <v>37678.297049999994</v>
      </c>
      <c r="BW29" s="586">
        <v>45420</v>
      </c>
      <c r="BX29" s="586">
        <v>49020</v>
      </c>
      <c r="BY29" s="586">
        <v>41020</v>
      </c>
      <c r="BZ29" s="586">
        <v>38320</v>
      </c>
      <c r="CA29" s="586">
        <v>37720</v>
      </c>
      <c r="CB29" s="586">
        <v>34220</v>
      </c>
      <c r="CC29" s="586">
        <v>35720</v>
      </c>
      <c r="CD29" s="586">
        <v>33020</v>
      </c>
      <c r="CE29" s="586">
        <v>33520</v>
      </c>
      <c r="CF29" s="586">
        <v>33820</v>
      </c>
      <c r="CG29" s="586">
        <v>32320</v>
      </c>
      <c r="CH29" s="803">
        <v>37820</v>
      </c>
      <c r="CI29" s="1092">
        <v>46720</v>
      </c>
      <c r="CJ29" s="803">
        <v>50320</v>
      </c>
      <c r="CK29" s="803">
        <v>42120</v>
      </c>
      <c r="CL29" s="803">
        <v>39420</v>
      </c>
      <c r="CM29" s="803">
        <v>38720</v>
      </c>
      <c r="CN29" s="803">
        <v>35120</v>
      </c>
      <c r="CO29" s="803">
        <v>36620</v>
      </c>
      <c r="CP29" s="803">
        <v>33820</v>
      </c>
      <c r="CQ29" s="803">
        <v>34420</v>
      </c>
      <c r="CR29" s="803">
        <v>34720</v>
      </c>
      <c r="CS29" s="803">
        <v>33320</v>
      </c>
      <c r="CT29" s="803">
        <v>38920</v>
      </c>
      <c r="CU29" s="698">
        <f t="shared" si="68"/>
        <v>38620</v>
      </c>
      <c r="CV29" s="1059"/>
      <c r="CW29" s="33"/>
      <c r="CX29" s="184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</row>
    <row r="30" spans="1:116">
      <c r="A30" s="616" t="s">
        <v>484</v>
      </c>
      <c r="B30" s="260">
        <f t="shared" ca="1" si="67"/>
        <v>737.36153846153843</v>
      </c>
      <c r="C30" s="350">
        <v>6087.6171100000001</v>
      </c>
      <c r="D30" s="350">
        <v>6172.0228299999999</v>
      </c>
      <c r="E30" s="350">
        <v>6196.4625900000001</v>
      </c>
      <c r="F30" s="350">
        <v>5795.7047199999997</v>
      </c>
      <c r="G30" s="350">
        <v>6018.7200700000003</v>
      </c>
      <c r="H30" s="350">
        <v>5669.4922200000001</v>
      </c>
      <c r="I30" s="350">
        <v>5125.17749</v>
      </c>
      <c r="J30" s="350">
        <v>4739.0860700000003</v>
      </c>
      <c r="K30" s="350">
        <v>4631.8351600000005</v>
      </c>
      <c r="L30" s="350">
        <v>4457.6022999999996</v>
      </c>
      <c r="M30" s="350">
        <v>4244.8139900000006</v>
      </c>
      <c r="N30" s="350">
        <v>4383.6045899999999</v>
      </c>
      <c r="O30" s="413">
        <v>4161.4626699999999</v>
      </c>
      <c r="P30" s="413">
        <v>3979.33142</v>
      </c>
      <c r="Q30" s="413">
        <v>3806.1103499999999</v>
      </c>
      <c r="R30" s="413">
        <v>3613.90427</v>
      </c>
      <c r="S30" s="413">
        <v>3896.2269700000002</v>
      </c>
      <c r="T30" s="413">
        <v>3557.2132700000002</v>
      </c>
      <c r="U30" s="413">
        <v>3186.2670899999998</v>
      </c>
      <c r="V30" s="413">
        <v>3210.9202</v>
      </c>
      <c r="W30" s="413">
        <v>2980.0737799999997</v>
      </c>
      <c r="X30" s="413">
        <v>2806.9069399999998</v>
      </c>
      <c r="Y30" s="413">
        <v>2450.8917700000002</v>
      </c>
      <c r="Z30" s="413">
        <v>2653.97253</v>
      </c>
      <c r="AA30" s="413">
        <v>2331.8029900000001</v>
      </c>
      <c r="AB30" s="413">
        <v>2227.5472999999997</v>
      </c>
      <c r="AC30" s="413">
        <v>1943.3202099999999</v>
      </c>
      <c r="AD30" s="413">
        <v>1737.12609</v>
      </c>
      <c r="AE30" s="413">
        <v>1704.7474099999999</v>
      </c>
      <c r="AF30" s="413">
        <v>1711.3189399999999</v>
      </c>
      <c r="AG30" s="413">
        <v>1624.2636399999999</v>
      </c>
      <c r="AH30" s="413">
        <v>1471.1828500000001</v>
      </c>
      <c r="AI30" s="413">
        <v>1369.29252</v>
      </c>
      <c r="AJ30" s="413">
        <v>1167.1250400000001</v>
      </c>
      <c r="AK30" s="413">
        <v>1141.3553400000001</v>
      </c>
      <c r="AL30" s="413">
        <v>1394.5312200000001</v>
      </c>
      <c r="AM30" s="413">
        <v>1189.5704900000001</v>
      </c>
      <c r="AN30" s="413">
        <v>1177.1706399999998</v>
      </c>
      <c r="AO30" s="413">
        <v>1427.78595</v>
      </c>
      <c r="AP30" s="413">
        <v>1303.7188999999998</v>
      </c>
      <c r="AQ30" s="413">
        <v>1513.5950700000001</v>
      </c>
      <c r="AR30" s="413">
        <v>1657.45327</v>
      </c>
      <c r="AS30" s="413">
        <v>1666.52377</v>
      </c>
      <c r="AT30" s="413">
        <v>1315.23272</v>
      </c>
      <c r="AU30" s="413">
        <v>1134.16428</v>
      </c>
      <c r="AV30" s="413">
        <v>513.32558000000006</v>
      </c>
      <c r="AW30" s="413">
        <v>1398.2170900000001</v>
      </c>
      <c r="AX30" s="413">
        <v>621.52270999999996</v>
      </c>
      <c r="AY30" s="413">
        <v>258.84895</v>
      </c>
      <c r="AZ30" s="413">
        <v>339.72192999999999</v>
      </c>
      <c r="BA30" s="413">
        <v>248.66470000000001</v>
      </c>
      <c r="BB30" s="413">
        <v>380.07317</v>
      </c>
      <c r="BC30" s="413">
        <v>367.84702000000004</v>
      </c>
      <c r="BD30" s="413">
        <v>311.07601</v>
      </c>
      <c r="BE30" s="586">
        <v>413.51828999999998</v>
      </c>
      <c r="BF30" s="586">
        <v>490.88663000000003</v>
      </c>
      <c r="BG30" s="586">
        <v>621.24131999999997</v>
      </c>
      <c r="BH30" s="586">
        <v>403.06855999999999</v>
      </c>
      <c r="BI30" s="586">
        <v>425.06536</v>
      </c>
      <c r="BJ30" s="586">
        <v>4473.6198099999992</v>
      </c>
      <c r="BK30" s="586">
        <v>334.65398999999996</v>
      </c>
      <c r="BL30" s="586">
        <v>639.10868999999991</v>
      </c>
      <c r="BM30" s="586">
        <v>446.41818999999998</v>
      </c>
      <c r="BN30" s="586">
        <v>467.66415999999998</v>
      </c>
      <c r="BO30" s="586">
        <v>549.19646</v>
      </c>
      <c r="BP30" s="586">
        <v>1602.8360500000001</v>
      </c>
      <c r="BQ30" s="586">
        <v>3601.35707</v>
      </c>
      <c r="BR30" s="586">
        <v>706.08162000000004</v>
      </c>
      <c r="BS30" s="586">
        <v>2131.3829999999998</v>
      </c>
      <c r="BT30" s="586">
        <v>1460.70973</v>
      </c>
      <c r="BU30" s="586">
        <v>2753.1477200000004</v>
      </c>
      <c r="BV30" s="586">
        <v>1528.4873799999998</v>
      </c>
      <c r="BW30" s="586">
        <v>419.7</v>
      </c>
      <c r="BX30" s="586">
        <v>627.5</v>
      </c>
      <c r="BY30" s="586">
        <v>531.19999999999982</v>
      </c>
      <c r="BZ30" s="586">
        <v>661</v>
      </c>
      <c r="CA30" s="586">
        <v>746.19999999999982</v>
      </c>
      <c r="CB30" s="586">
        <v>818</v>
      </c>
      <c r="CC30" s="586">
        <v>2063.8000000000002</v>
      </c>
      <c r="CD30" s="586">
        <v>751.69999999999982</v>
      </c>
      <c r="CE30" s="586">
        <v>738.69999999999982</v>
      </c>
      <c r="CF30" s="586">
        <v>456.89999999999964</v>
      </c>
      <c r="CG30" s="586">
        <v>759.19999999999982</v>
      </c>
      <c r="CH30" s="586">
        <v>578.60000000000036</v>
      </c>
      <c r="CI30" s="586">
        <v>422.80000000000018</v>
      </c>
      <c r="CJ30" s="586">
        <v>642.19999999999982</v>
      </c>
      <c r="CK30" s="586">
        <v>524.5</v>
      </c>
      <c r="CL30" s="586">
        <v>627.30000000000018</v>
      </c>
      <c r="CM30" s="586">
        <v>695.60000000000036</v>
      </c>
      <c r="CN30" s="586">
        <v>749</v>
      </c>
      <c r="CO30" s="586">
        <v>2113.4999999999991</v>
      </c>
      <c r="CP30" s="586">
        <v>782</v>
      </c>
      <c r="CQ30" s="586">
        <v>712.19999999999982</v>
      </c>
      <c r="CR30" s="586">
        <v>464.69999999999982</v>
      </c>
      <c r="CS30" s="586">
        <v>690.89999999999964</v>
      </c>
      <c r="CT30" s="586">
        <v>582.39999999999964</v>
      </c>
      <c r="CU30" s="698">
        <f t="shared" si="68"/>
        <v>737.36153846153843</v>
      </c>
      <c r="CW30" s="33"/>
      <c r="CX30" s="184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</row>
    <row r="31" spans="1:116" ht="15">
      <c r="A31" s="616" t="s">
        <v>485</v>
      </c>
      <c r="B31" s="260">
        <f t="shared" ca="1" si="67"/>
        <v>-560.08461538461552</v>
      </c>
      <c r="C31" s="351">
        <v>-207.04419000000001</v>
      </c>
      <c r="D31" s="351">
        <v>-288.99347999999998</v>
      </c>
      <c r="E31" s="351">
        <v>-453.04740999999996</v>
      </c>
      <c r="F31" s="351">
        <v>-288.87128999999999</v>
      </c>
      <c r="G31" s="351">
        <v>-310.80003999999997</v>
      </c>
      <c r="H31" s="351">
        <v>-222.27127999999999</v>
      </c>
      <c r="I31" s="351">
        <v>-283.59184000000005</v>
      </c>
      <c r="J31" s="351">
        <v>-271.50496000000004</v>
      </c>
      <c r="K31" s="351">
        <v>-260.75554</v>
      </c>
      <c r="L31" s="351">
        <v>-259.62815000000001</v>
      </c>
      <c r="M31" s="351">
        <v>-275.75657000000001</v>
      </c>
      <c r="N31" s="351">
        <v>-302.18698999999998</v>
      </c>
      <c r="O31" s="414">
        <v>-382.59059999999999</v>
      </c>
      <c r="P31" s="414">
        <v>-281.09752000000003</v>
      </c>
      <c r="Q31" s="414">
        <v>-251.70170000000002</v>
      </c>
      <c r="R31" s="414">
        <v>-213.84951999999998</v>
      </c>
      <c r="S31" s="414">
        <v>-201.88492000000002</v>
      </c>
      <c r="T31" s="414">
        <v>-195.49482</v>
      </c>
      <c r="U31" s="414">
        <v>-201.99557999999999</v>
      </c>
      <c r="V31" s="414">
        <v>-221.12253000000001</v>
      </c>
      <c r="W31" s="414">
        <v>-220.73206999999999</v>
      </c>
      <c r="X31" s="414">
        <v>-205.02083999999999</v>
      </c>
      <c r="Y31" s="414">
        <v>-208.15711999999999</v>
      </c>
      <c r="Z31" s="414">
        <v>-248.77445</v>
      </c>
      <c r="AA31" s="414">
        <v>-268.02341999999999</v>
      </c>
      <c r="AB31" s="414">
        <v>-261.91167000000002</v>
      </c>
      <c r="AC31" s="414">
        <v>-260.67527999999999</v>
      </c>
      <c r="AD31" s="414">
        <v>-260.92232999999999</v>
      </c>
      <c r="AE31" s="414">
        <v>-252.48989</v>
      </c>
      <c r="AF31" s="414">
        <v>-230.23067</v>
      </c>
      <c r="AG31" s="414">
        <v>-41.51567</v>
      </c>
      <c r="AH31" s="414">
        <v>-32.340849999999996</v>
      </c>
      <c r="AI31" s="414">
        <v>1.25783</v>
      </c>
      <c r="AJ31" s="414">
        <v>-14.3606</v>
      </c>
      <c r="AK31" s="414">
        <v>-32.95722</v>
      </c>
      <c r="AL31" s="414">
        <v>-36.809249999999999</v>
      </c>
      <c r="AM31" s="414">
        <v>-59.079529999999998</v>
      </c>
      <c r="AN31" s="414">
        <v>-25.68627</v>
      </c>
      <c r="AO31" s="414">
        <v>-207.87317999999999</v>
      </c>
      <c r="AP31" s="414">
        <v>-452.78482000000002</v>
      </c>
      <c r="AQ31" s="414">
        <v>-804.53057999999999</v>
      </c>
      <c r="AR31" s="414">
        <v>-1102.6375600000001</v>
      </c>
      <c r="AS31" s="414">
        <v>-1311.63338</v>
      </c>
      <c r="AT31" s="414">
        <v>-1549.8083799999999</v>
      </c>
      <c r="AU31" s="414">
        <v>-1725.01656</v>
      </c>
      <c r="AV31" s="414">
        <v>-1516.63996</v>
      </c>
      <c r="AW31" s="414">
        <v>-1648.0353700000001</v>
      </c>
      <c r="AX31" s="414">
        <v>-1047.18869</v>
      </c>
      <c r="AY31" s="414">
        <v>-1240.2019599999999</v>
      </c>
      <c r="AZ31" s="414">
        <v>-1410.58762</v>
      </c>
      <c r="BA31" s="414">
        <v>-1088.1991</v>
      </c>
      <c r="BB31" s="414">
        <v>-1175.9852800000001</v>
      </c>
      <c r="BC31" s="414">
        <v>-1250.5653600000001</v>
      </c>
      <c r="BD31" s="414">
        <v>-1225.4410800000001</v>
      </c>
      <c r="BE31" s="687">
        <v>-1256.98207</v>
      </c>
      <c r="BF31" s="687">
        <v>-1305.7005200000001</v>
      </c>
      <c r="BG31" s="687">
        <v>-1353.8476000000001</v>
      </c>
      <c r="BH31" s="687">
        <v>-1419.7396799999999</v>
      </c>
      <c r="BI31" s="687">
        <v>-1392.4896299999998</v>
      </c>
      <c r="BJ31" s="687">
        <v>-1399.5217299999999</v>
      </c>
      <c r="BK31" s="687">
        <v>-1454.3242</v>
      </c>
      <c r="BL31" s="687">
        <v>-1452.66841</v>
      </c>
      <c r="BM31" s="687">
        <v>-1468.6395500000001</v>
      </c>
      <c r="BN31" s="687">
        <v>-1385.69353</v>
      </c>
      <c r="BO31" s="687">
        <v>-1400.06124</v>
      </c>
      <c r="BP31" s="687">
        <v>-1421.2813600000002</v>
      </c>
      <c r="BQ31" s="687">
        <v>-1418.4673700000001</v>
      </c>
      <c r="BR31" s="687">
        <v>-1499.4611299999999</v>
      </c>
      <c r="BS31" s="687">
        <v>-1499.7898300000002</v>
      </c>
      <c r="BT31" s="687">
        <v>-1499.66741</v>
      </c>
      <c r="BU31" s="687">
        <v>-1403.5660500000001</v>
      </c>
      <c r="BV31" s="687">
        <v>-888.66498999999999</v>
      </c>
      <c r="BW31" s="687">
        <v>-1100.6999999999998</v>
      </c>
      <c r="BX31" s="687">
        <v>-1052</v>
      </c>
      <c r="BY31" s="687">
        <v>-1004.6999999999998</v>
      </c>
      <c r="BZ31" s="687">
        <v>-958.59999999999991</v>
      </c>
      <c r="CA31" s="687">
        <v>-913.8</v>
      </c>
      <c r="CB31" s="687">
        <v>-870.09999999999991</v>
      </c>
      <c r="CC31" s="687">
        <v>-827.69999999999982</v>
      </c>
      <c r="CD31" s="687">
        <v>-786.39999999999986</v>
      </c>
      <c r="CE31" s="687">
        <v>-746.19999999999982</v>
      </c>
      <c r="CF31" s="687">
        <v>-707</v>
      </c>
      <c r="CG31" s="687">
        <v>-668.89999999999986</v>
      </c>
      <c r="CH31" s="687">
        <v>-631.79999999999995</v>
      </c>
      <c r="CI31" s="687">
        <v>-578.09999999999991</v>
      </c>
      <c r="CJ31" s="687">
        <v>-573.9</v>
      </c>
      <c r="CK31" s="687">
        <v>-569.70000000000005</v>
      </c>
      <c r="CL31" s="687">
        <v>-565.29999999999995</v>
      </c>
      <c r="CM31" s="687">
        <v>-561</v>
      </c>
      <c r="CN31" s="687">
        <v>-556.6</v>
      </c>
      <c r="CO31" s="687">
        <v>-552.20000000000005</v>
      </c>
      <c r="CP31" s="687">
        <v>-547.6</v>
      </c>
      <c r="CQ31" s="687">
        <v>-543.1</v>
      </c>
      <c r="CR31" s="687">
        <v>-538.5</v>
      </c>
      <c r="CS31" s="687">
        <v>-534</v>
      </c>
      <c r="CT31" s="687">
        <v>-529.29999999999995</v>
      </c>
      <c r="CU31" s="698">
        <f t="shared" si="68"/>
        <v>-560.08461538461552</v>
      </c>
      <c r="CW31" s="33"/>
      <c r="CX31" s="184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</row>
    <row r="32" spans="1:116">
      <c r="A32" s="616" t="s">
        <v>486</v>
      </c>
      <c r="B32" s="260">
        <f t="shared" ca="1" si="67"/>
        <v>10135.300000000001</v>
      </c>
      <c r="C32" s="350">
        <v>0</v>
      </c>
      <c r="D32" s="350">
        <v>0</v>
      </c>
      <c r="E32" s="350">
        <v>0</v>
      </c>
      <c r="F32" s="350">
        <v>0</v>
      </c>
      <c r="G32" s="350">
        <v>0</v>
      </c>
      <c r="H32" s="350">
        <v>0</v>
      </c>
      <c r="I32" s="350">
        <v>0</v>
      </c>
      <c r="J32" s="350">
        <v>0</v>
      </c>
      <c r="K32" s="350">
        <v>0</v>
      </c>
      <c r="L32" s="350">
        <v>0</v>
      </c>
      <c r="M32" s="350">
        <v>0</v>
      </c>
      <c r="N32" s="350">
        <v>0</v>
      </c>
      <c r="O32" s="413">
        <v>0</v>
      </c>
      <c r="P32" s="413">
        <v>0</v>
      </c>
      <c r="Q32" s="413">
        <v>0</v>
      </c>
      <c r="R32" s="413">
        <v>0</v>
      </c>
      <c r="S32" s="413">
        <v>0</v>
      </c>
      <c r="T32" s="413">
        <v>0</v>
      </c>
      <c r="U32" s="413">
        <v>0</v>
      </c>
      <c r="V32" s="413">
        <v>0</v>
      </c>
      <c r="W32" s="413">
        <v>0</v>
      </c>
      <c r="X32" s="413">
        <v>0</v>
      </c>
      <c r="Y32" s="413">
        <v>0</v>
      </c>
      <c r="Z32" s="413">
        <v>0</v>
      </c>
      <c r="AA32" s="413">
        <v>0</v>
      </c>
      <c r="AB32" s="413">
        <v>0</v>
      </c>
      <c r="AC32" s="413">
        <v>0</v>
      </c>
      <c r="AD32" s="413">
        <v>0</v>
      </c>
      <c r="AE32" s="413">
        <v>0</v>
      </c>
      <c r="AF32" s="413">
        <v>0</v>
      </c>
      <c r="AG32" s="413">
        <v>0</v>
      </c>
      <c r="AH32" s="413">
        <v>0</v>
      </c>
      <c r="AI32" s="413">
        <v>0</v>
      </c>
      <c r="AJ32" s="413">
        <v>0</v>
      </c>
      <c r="AK32" s="413">
        <v>0</v>
      </c>
      <c r="AL32" s="413">
        <v>0</v>
      </c>
      <c r="AM32" s="413">
        <v>0</v>
      </c>
      <c r="AN32" s="413">
        <v>0</v>
      </c>
      <c r="AO32" s="413">
        <v>0</v>
      </c>
      <c r="AP32" s="413">
        <v>0</v>
      </c>
      <c r="AQ32" s="413">
        <v>0</v>
      </c>
      <c r="AR32" s="413">
        <v>0</v>
      </c>
      <c r="AS32" s="413">
        <v>0</v>
      </c>
      <c r="AT32" s="413">
        <v>0</v>
      </c>
      <c r="AU32" s="413">
        <v>0</v>
      </c>
      <c r="AV32" s="413">
        <v>0</v>
      </c>
      <c r="AW32" s="413">
        <v>9532.7538199999999</v>
      </c>
      <c r="AX32" s="413">
        <v>9933.65949</v>
      </c>
      <c r="AY32" s="413">
        <v>10459.212380000001</v>
      </c>
      <c r="AZ32" s="413">
        <v>9618.3033200000009</v>
      </c>
      <c r="BA32" s="413">
        <v>10315.787269999999</v>
      </c>
      <c r="BB32" s="413">
        <v>9943.2950999999994</v>
      </c>
      <c r="BC32" s="413">
        <v>10267.36</v>
      </c>
      <c r="BD32" s="413">
        <v>9828.8352899999991</v>
      </c>
      <c r="BE32" s="586">
        <v>9719.8535900000006</v>
      </c>
      <c r="BF32" s="586">
        <v>10043.801519999999</v>
      </c>
      <c r="BG32" s="586">
        <v>9672.4492899999987</v>
      </c>
      <c r="BH32" s="586">
        <v>9146.8085800000008</v>
      </c>
      <c r="BI32" s="586">
        <v>9368.7775999999994</v>
      </c>
      <c r="BJ32" s="586">
        <v>9985.2147299999997</v>
      </c>
      <c r="BK32" s="586">
        <v>8951.9654800000008</v>
      </c>
      <c r="BL32" s="586">
        <v>10205.36274</v>
      </c>
      <c r="BM32" s="586">
        <v>10528.065710000001</v>
      </c>
      <c r="BN32" s="586">
        <v>9956.7176400000008</v>
      </c>
      <c r="BO32" s="586">
        <v>10337.559310000001</v>
      </c>
      <c r="BP32" s="586">
        <v>9979.1676400000015</v>
      </c>
      <c r="BQ32" s="586">
        <v>9678.8863599999986</v>
      </c>
      <c r="BR32" s="586">
        <v>10135.31781</v>
      </c>
      <c r="BS32" s="586">
        <v>9639.0074199999999</v>
      </c>
      <c r="BT32" s="586">
        <v>9123.3623000000007</v>
      </c>
      <c r="BU32" s="586">
        <v>9579.0745900000002</v>
      </c>
      <c r="BV32" s="586">
        <v>9393.6656600000006</v>
      </c>
      <c r="BW32" s="586">
        <v>10135.299999999999</v>
      </c>
      <c r="BX32" s="586">
        <v>10135.299999999999</v>
      </c>
      <c r="BY32" s="586">
        <v>10135.299999999999</v>
      </c>
      <c r="BZ32" s="586">
        <v>10135.299999999999</v>
      </c>
      <c r="CA32" s="586">
        <v>10135.299999999999</v>
      </c>
      <c r="CB32" s="586">
        <v>10135.299999999999</v>
      </c>
      <c r="CC32" s="586">
        <v>10135.299999999999</v>
      </c>
      <c r="CD32" s="586">
        <v>10135.299999999999</v>
      </c>
      <c r="CE32" s="586">
        <v>10135.299999999999</v>
      </c>
      <c r="CF32" s="586">
        <v>10135.299999999999</v>
      </c>
      <c r="CG32" s="586">
        <v>10135.299999999999</v>
      </c>
      <c r="CH32" s="803">
        <v>10135.299999999999</v>
      </c>
      <c r="CI32" s="1092">
        <v>10135.299999999999</v>
      </c>
      <c r="CJ32" s="803">
        <v>10135.299999999999</v>
      </c>
      <c r="CK32" s="803">
        <v>10135.299999999999</v>
      </c>
      <c r="CL32" s="803">
        <v>10135.299999999999</v>
      </c>
      <c r="CM32" s="803">
        <v>10135.299999999999</v>
      </c>
      <c r="CN32" s="803">
        <v>10135.299999999999</v>
      </c>
      <c r="CO32" s="803">
        <v>10135.299999999999</v>
      </c>
      <c r="CP32" s="803">
        <v>10135.299999999999</v>
      </c>
      <c r="CQ32" s="803">
        <v>10135.299999999999</v>
      </c>
      <c r="CR32" s="803">
        <v>10135.299999999999</v>
      </c>
      <c r="CS32" s="803">
        <v>10135.299999999999</v>
      </c>
      <c r="CT32" s="803">
        <v>10135.299999999999</v>
      </c>
      <c r="CU32" s="698">
        <f t="shared" si="68"/>
        <v>10135.300000000001</v>
      </c>
      <c r="CV32" s="1059"/>
      <c r="CW32" s="33"/>
      <c r="CX32" s="184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</row>
    <row r="33" spans="1:116">
      <c r="A33" s="616" t="s">
        <v>487</v>
      </c>
      <c r="B33" s="260">
        <f t="shared" ca="1" si="67"/>
        <v>3816.900000000001</v>
      </c>
      <c r="C33" s="350">
        <v>619.80268999999998</v>
      </c>
      <c r="D33" s="350">
        <v>634.64260999999999</v>
      </c>
      <c r="E33" s="350">
        <v>939.79313999999999</v>
      </c>
      <c r="F33" s="350">
        <v>408.07337999999999</v>
      </c>
      <c r="G33" s="350">
        <v>1572.72947</v>
      </c>
      <c r="H33" s="350">
        <v>1404.36923</v>
      </c>
      <c r="I33" s="350">
        <v>1100.67823</v>
      </c>
      <c r="J33" s="350">
        <v>20878.471289999998</v>
      </c>
      <c r="K33" s="350">
        <v>5018.4910999999993</v>
      </c>
      <c r="L33" s="350">
        <v>1025.1634899999999</v>
      </c>
      <c r="M33" s="350">
        <v>435.68347</v>
      </c>
      <c r="N33" s="350">
        <v>1710.0338100000001</v>
      </c>
      <c r="O33" s="413">
        <v>3492.4702200000002</v>
      </c>
      <c r="P33" s="413">
        <v>2241.7507500000002</v>
      </c>
      <c r="Q33" s="413">
        <v>890.00284999999997</v>
      </c>
      <c r="R33" s="413">
        <v>318.54793000000001</v>
      </c>
      <c r="S33" s="413">
        <v>1161.3851100000002</v>
      </c>
      <c r="T33" s="413">
        <v>3415.4628199999997</v>
      </c>
      <c r="U33" s="413">
        <v>2333.7491400000004</v>
      </c>
      <c r="V33" s="413">
        <v>1768.84213</v>
      </c>
      <c r="W33" s="413">
        <v>3627.74386</v>
      </c>
      <c r="X33" s="413">
        <v>5204.9230700000007</v>
      </c>
      <c r="Y33" s="413">
        <v>4402.6377199999997</v>
      </c>
      <c r="Z33" s="413">
        <v>713.31309999999996</v>
      </c>
      <c r="AA33" s="413">
        <v>3029.00092</v>
      </c>
      <c r="AB33" s="413">
        <v>922.45672000000002</v>
      </c>
      <c r="AC33" s="413">
        <v>2538.9434300000003</v>
      </c>
      <c r="AD33" s="413">
        <v>985.41375000000005</v>
      </c>
      <c r="AE33" s="413">
        <v>2162.6116400000001</v>
      </c>
      <c r="AF33" s="413">
        <v>793.87063999999998</v>
      </c>
      <c r="AG33" s="413">
        <v>899.72450000000003</v>
      </c>
      <c r="AH33" s="413">
        <v>1123.6444899999999</v>
      </c>
      <c r="AI33" s="413">
        <v>3093.5126700000001</v>
      </c>
      <c r="AJ33" s="413">
        <v>2962.53656</v>
      </c>
      <c r="AK33" s="413">
        <v>790.71066000000008</v>
      </c>
      <c r="AL33" s="413">
        <v>1028.39149</v>
      </c>
      <c r="AM33" s="413">
        <v>1617.2676200000001</v>
      </c>
      <c r="AN33" s="413">
        <v>615.54357999999991</v>
      </c>
      <c r="AO33" s="413">
        <v>1051.8504499999999</v>
      </c>
      <c r="AP33" s="413">
        <v>320.40886999999998</v>
      </c>
      <c r="AQ33" s="413">
        <v>925.31073000000004</v>
      </c>
      <c r="AR33" s="413">
        <v>964.79186000000004</v>
      </c>
      <c r="AS33" s="413">
        <v>1181.4413999999999</v>
      </c>
      <c r="AT33" s="413">
        <v>941.5471</v>
      </c>
      <c r="AU33" s="413">
        <v>485.40080999999998</v>
      </c>
      <c r="AV33" s="413">
        <v>651.19672000000003</v>
      </c>
      <c r="AW33" s="413">
        <v>498.78246999999999</v>
      </c>
      <c r="AX33" s="413">
        <v>692.22036000000003</v>
      </c>
      <c r="AY33" s="413">
        <v>445.12609999999995</v>
      </c>
      <c r="AZ33" s="413">
        <v>585.52635999999995</v>
      </c>
      <c r="BA33" s="413">
        <v>1317.4557</v>
      </c>
      <c r="BB33" s="413">
        <v>1448.72</v>
      </c>
      <c r="BC33" s="413">
        <v>797.51106000000004</v>
      </c>
      <c r="BD33" s="413">
        <v>2124.0678199999998</v>
      </c>
      <c r="BE33" s="586">
        <v>2972.5672799999998</v>
      </c>
      <c r="BF33" s="586">
        <v>2620.58151</v>
      </c>
      <c r="BG33" s="586">
        <v>1434.04691</v>
      </c>
      <c r="BH33" s="586">
        <v>1871.28954</v>
      </c>
      <c r="BI33" s="586">
        <v>906.42084999999997</v>
      </c>
      <c r="BJ33" s="586">
        <v>828.79310999999996</v>
      </c>
      <c r="BK33" s="586">
        <v>1924.0427500000001</v>
      </c>
      <c r="BL33" s="586">
        <v>1004.31377</v>
      </c>
      <c r="BM33" s="586">
        <v>2367.83097</v>
      </c>
      <c r="BN33" s="586">
        <v>1594.4240199999999</v>
      </c>
      <c r="BO33" s="586">
        <v>5390.5550400000002</v>
      </c>
      <c r="BP33" s="586">
        <v>7130.6475700000001</v>
      </c>
      <c r="BQ33" s="586">
        <v>4630.4276399999999</v>
      </c>
      <c r="BR33" s="586">
        <v>5402.5178599999999</v>
      </c>
      <c r="BS33" s="586">
        <v>4004.2515899999999</v>
      </c>
      <c r="BT33" s="586">
        <v>2491.0508599999998</v>
      </c>
      <c r="BU33" s="586">
        <v>1993.2344800000001</v>
      </c>
      <c r="BV33" s="586">
        <v>3816.94281</v>
      </c>
      <c r="BW33" s="586">
        <v>3816.8999999999996</v>
      </c>
      <c r="BX33" s="586">
        <v>3816.8999999999996</v>
      </c>
      <c r="BY33" s="586">
        <v>3816.8999999999996</v>
      </c>
      <c r="BZ33" s="586">
        <v>3816.8999999999996</v>
      </c>
      <c r="CA33" s="586">
        <v>3816.8999999999996</v>
      </c>
      <c r="CB33" s="586">
        <v>3816.8999999999996</v>
      </c>
      <c r="CC33" s="586">
        <v>3816.8999999999996</v>
      </c>
      <c r="CD33" s="586">
        <v>3816.8999999999996</v>
      </c>
      <c r="CE33" s="586">
        <v>3816.8999999999996</v>
      </c>
      <c r="CF33" s="586">
        <v>3816.8999999999996</v>
      </c>
      <c r="CG33" s="586">
        <v>3816.8999999999996</v>
      </c>
      <c r="CH33" s="803">
        <v>3816.8999999999996</v>
      </c>
      <c r="CI33" s="1092">
        <v>3816.8999999999996</v>
      </c>
      <c r="CJ33" s="803">
        <v>3816.8999999999996</v>
      </c>
      <c r="CK33" s="803">
        <v>3816.8999999999996</v>
      </c>
      <c r="CL33" s="803">
        <v>3816.8999999999996</v>
      </c>
      <c r="CM33" s="803">
        <v>3816.8999999999996</v>
      </c>
      <c r="CN33" s="803">
        <v>3816.8999999999996</v>
      </c>
      <c r="CO33" s="803">
        <v>3816.8999999999996</v>
      </c>
      <c r="CP33" s="803">
        <v>3816.8999999999996</v>
      </c>
      <c r="CQ33" s="803">
        <v>3816.8999999999996</v>
      </c>
      <c r="CR33" s="803">
        <v>3816.8999999999996</v>
      </c>
      <c r="CS33" s="803">
        <v>3816.8999999999996</v>
      </c>
      <c r="CT33" s="803">
        <v>3816.8999999999996</v>
      </c>
      <c r="CU33" s="698">
        <f t="shared" si="68"/>
        <v>3816.900000000001</v>
      </c>
      <c r="CW33" s="33"/>
      <c r="CX33" s="184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</row>
    <row r="34" spans="1:116">
      <c r="A34" s="616" t="s">
        <v>488</v>
      </c>
      <c r="B34" s="260">
        <f t="shared" ca="1" si="67"/>
        <v>413.69999999999987</v>
      </c>
      <c r="C34" s="350">
        <v>332.84199000000001</v>
      </c>
      <c r="D34" s="350">
        <v>441.10059000000001</v>
      </c>
      <c r="E34" s="350">
        <v>276.58972999999997</v>
      </c>
      <c r="F34" s="350">
        <v>326.1728</v>
      </c>
      <c r="G34" s="350">
        <v>326.1728</v>
      </c>
      <c r="H34" s="350">
        <v>467.07808</v>
      </c>
      <c r="I34" s="350">
        <v>344.97122999999999</v>
      </c>
      <c r="J34" s="350">
        <v>354.48354999999998</v>
      </c>
      <c r="K34" s="350">
        <v>-2.3700000000000001E-3</v>
      </c>
      <c r="L34" s="350">
        <v>-2.3700000000000001E-3</v>
      </c>
      <c r="M34" s="350">
        <v>-2.3700000000000001E-3</v>
      </c>
      <c r="N34" s="350">
        <v>-2.3700000000000001E-3</v>
      </c>
      <c r="O34" s="413">
        <v>-2.3700000000000001E-3</v>
      </c>
      <c r="P34" s="413">
        <v>-2.3700000000000001E-3</v>
      </c>
      <c r="Q34" s="413">
        <v>-2.3700000000000001E-3</v>
      </c>
      <c r="R34" s="413">
        <v>-2.3700000000000001E-3</v>
      </c>
      <c r="S34" s="413">
        <v>-2.3700000000000001E-3</v>
      </c>
      <c r="T34" s="413">
        <v>-2.3700000000000001E-3</v>
      </c>
      <c r="U34" s="413">
        <v>0</v>
      </c>
      <c r="V34" s="413">
        <v>0</v>
      </c>
      <c r="W34" s="413">
        <v>0</v>
      </c>
      <c r="X34" s="413">
        <v>0</v>
      </c>
      <c r="Y34" s="413">
        <v>0</v>
      </c>
      <c r="Z34" s="413">
        <v>0</v>
      </c>
      <c r="AA34" s="413">
        <v>0</v>
      </c>
      <c r="AB34" s="413">
        <v>0</v>
      </c>
      <c r="AC34" s="413">
        <v>0</v>
      </c>
      <c r="AD34" s="413">
        <v>0</v>
      </c>
      <c r="AE34" s="413">
        <v>0</v>
      </c>
      <c r="AF34" s="413">
        <v>0</v>
      </c>
      <c r="AG34" s="413">
        <v>0</v>
      </c>
      <c r="AH34" s="413">
        <v>0</v>
      </c>
      <c r="AI34" s="413">
        <v>0</v>
      </c>
      <c r="AJ34" s="413">
        <v>0</v>
      </c>
      <c r="AK34" s="413">
        <v>0</v>
      </c>
      <c r="AL34" s="413">
        <v>0</v>
      </c>
      <c r="AM34" s="413">
        <v>0</v>
      </c>
      <c r="AN34" s="413">
        <v>0</v>
      </c>
      <c r="AO34" s="413">
        <v>0</v>
      </c>
      <c r="AP34" s="413">
        <v>0</v>
      </c>
      <c r="AQ34" s="413">
        <v>0</v>
      </c>
      <c r="AR34" s="413">
        <v>0</v>
      </c>
      <c r="AS34" s="413">
        <v>0</v>
      </c>
      <c r="AT34" s="413">
        <v>0</v>
      </c>
      <c r="AU34" s="413">
        <v>0</v>
      </c>
      <c r="AV34" s="413">
        <v>0</v>
      </c>
      <c r="AW34" s="413">
        <v>0</v>
      </c>
      <c r="AX34" s="413">
        <v>0</v>
      </c>
      <c r="AY34" s="413">
        <v>0</v>
      </c>
      <c r="AZ34" s="413">
        <v>0</v>
      </c>
      <c r="BA34" s="413">
        <v>0</v>
      </c>
      <c r="BB34" s="413">
        <v>0</v>
      </c>
      <c r="BC34" s="413">
        <v>0</v>
      </c>
      <c r="BD34" s="413">
        <v>0</v>
      </c>
      <c r="BE34" s="586">
        <v>0</v>
      </c>
      <c r="BF34" s="586">
        <v>0</v>
      </c>
      <c r="BG34" s="586">
        <v>0</v>
      </c>
      <c r="BH34" s="586">
        <v>0</v>
      </c>
      <c r="BI34" s="586">
        <v>995.77774999999997</v>
      </c>
      <c r="BJ34" s="586">
        <v>864.73208999999997</v>
      </c>
      <c r="BK34" s="586">
        <v>891.56741</v>
      </c>
      <c r="BL34" s="586">
        <v>785.93759999999997</v>
      </c>
      <c r="BM34" s="586">
        <v>566.42501000000004</v>
      </c>
      <c r="BN34" s="586">
        <v>566.42501000000004</v>
      </c>
      <c r="BO34" s="586">
        <v>566.42501000000004</v>
      </c>
      <c r="BP34" s="586">
        <v>708.42912999999999</v>
      </c>
      <c r="BQ34" s="586">
        <v>708.42912999999999</v>
      </c>
      <c r="BR34" s="586">
        <v>703.62182999999993</v>
      </c>
      <c r="BS34" s="586">
        <v>769.73397999999997</v>
      </c>
      <c r="BT34" s="586">
        <v>933.79704000000004</v>
      </c>
      <c r="BU34" s="586">
        <v>959.43250999999998</v>
      </c>
      <c r="BV34" s="586">
        <v>413.68946999999997</v>
      </c>
      <c r="BW34" s="586">
        <v>413.7</v>
      </c>
      <c r="BX34" s="586">
        <v>413.7</v>
      </c>
      <c r="BY34" s="586">
        <v>413.7</v>
      </c>
      <c r="BZ34" s="586">
        <v>413.7</v>
      </c>
      <c r="CA34" s="586">
        <v>413.7</v>
      </c>
      <c r="CB34" s="586">
        <v>413.7</v>
      </c>
      <c r="CC34" s="586">
        <v>413.7</v>
      </c>
      <c r="CD34" s="586">
        <v>413.7</v>
      </c>
      <c r="CE34" s="586">
        <v>413.7</v>
      </c>
      <c r="CF34" s="586">
        <v>413.7</v>
      </c>
      <c r="CG34" s="586">
        <v>413.7</v>
      </c>
      <c r="CH34" s="803">
        <v>413.7</v>
      </c>
      <c r="CI34" s="1092">
        <v>413.7</v>
      </c>
      <c r="CJ34" s="803">
        <v>413.7</v>
      </c>
      <c r="CK34" s="803">
        <v>413.7</v>
      </c>
      <c r="CL34" s="803">
        <v>413.7</v>
      </c>
      <c r="CM34" s="803">
        <v>413.7</v>
      </c>
      <c r="CN34" s="803">
        <v>413.7</v>
      </c>
      <c r="CO34" s="803">
        <v>413.7</v>
      </c>
      <c r="CP34" s="803">
        <v>413.7</v>
      </c>
      <c r="CQ34" s="803">
        <v>413.7</v>
      </c>
      <c r="CR34" s="803">
        <v>413.7</v>
      </c>
      <c r="CS34" s="803">
        <v>413.7</v>
      </c>
      <c r="CT34" s="803">
        <v>413.7</v>
      </c>
      <c r="CU34" s="698">
        <f t="shared" si="68"/>
        <v>413.69999999999987</v>
      </c>
      <c r="CW34" s="33"/>
      <c r="CX34" s="184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</row>
    <row r="35" spans="1:116">
      <c r="A35" s="616" t="s">
        <v>489</v>
      </c>
      <c r="B35" s="260">
        <f t="shared" ca="1" si="67"/>
        <v>4100</v>
      </c>
      <c r="C35" s="350">
        <v>1858.85581</v>
      </c>
      <c r="D35" s="350">
        <v>1904.81791</v>
      </c>
      <c r="E35" s="350">
        <v>1988.6876599999998</v>
      </c>
      <c r="F35" s="350">
        <v>1926.6388700000002</v>
      </c>
      <c r="G35" s="350">
        <v>2100.7299199999998</v>
      </c>
      <c r="H35" s="350">
        <v>2046.6683600000001</v>
      </c>
      <c r="I35" s="350">
        <v>2071.0376799999999</v>
      </c>
      <c r="J35" s="350">
        <v>2016.8184199999998</v>
      </c>
      <c r="K35" s="350">
        <v>2131.6477999999997</v>
      </c>
      <c r="L35" s="350">
        <v>2042.21668</v>
      </c>
      <c r="M35" s="350">
        <v>1900.58482</v>
      </c>
      <c r="N35" s="350">
        <v>1887.6953899999999</v>
      </c>
      <c r="O35" s="413">
        <v>2070.9976499999998</v>
      </c>
      <c r="P35" s="413">
        <v>2149.8761099999997</v>
      </c>
      <c r="Q35" s="413">
        <v>2006.6903200000002</v>
      </c>
      <c r="R35" s="413">
        <v>1972.0976699999999</v>
      </c>
      <c r="S35" s="413">
        <v>2190.1771699999999</v>
      </c>
      <c r="T35" s="413">
        <v>2163.4520299999999</v>
      </c>
      <c r="U35" s="413">
        <v>2125.5768499999999</v>
      </c>
      <c r="V35" s="413">
        <v>2476.3780499999998</v>
      </c>
      <c r="W35" s="413">
        <v>2741.2183300000002</v>
      </c>
      <c r="X35" s="413">
        <v>2360.1098500000003</v>
      </c>
      <c r="Y35" s="413">
        <v>2172.17722</v>
      </c>
      <c r="Z35" s="413">
        <v>2073.1301000000003</v>
      </c>
      <c r="AA35" s="413">
        <v>2183.6043300000001</v>
      </c>
      <c r="AB35" s="413">
        <v>2363.7887900000001</v>
      </c>
      <c r="AC35" s="413">
        <v>2385.5491000000002</v>
      </c>
      <c r="AD35" s="413">
        <v>2474.7155499999999</v>
      </c>
      <c r="AE35" s="413">
        <v>2512.81936</v>
      </c>
      <c r="AF35" s="413">
        <v>2780.05456</v>
      </c>
      <c r="AG35" s="413">
        <v>2687.2378199999998</v>
      </c>
      <c r="AH35" s="413">
        <v>2783.1900099999998</v>
      </c>
      <c r="AI35" s="413">
        <v>2571.7018800000001</v>
      </c>
      <c r="AJ35" s="413">
        <v>2738.6709500000002</v>
      </c>
      <c r="AK35" s="413">
        <v>2709.3845899999997</v>
      </c>
      <c r="AL35" s="413">
        <v>2401.2287299999998</v>
      </c>
      <c r="AM35" s="413">
        <v>2400.7927300000001</v>
      </c>
      <c r="AN35" s="413">
        <v>2617.7897499999999</v>
      </c>
      <c r="AO35" s="413">
        <v>2444.4091699999999</v>
      </c>
      <c r="AP35" s="413">
        <v>2661.1590499999998</v>
      </c>
      <c r="AQ35" s="413">
        <v>2807.18921</v>
      </c>
      <c r="AR35" s="413">
        <v>2832.0857400000004</v>
      </c>
      <c r="AS35" s="413">
        <v>2649.7683700000002</v>
      </c>
      <c r="AT35" s="413">
        <v>2895.9602999999997</v>
      </c>
      <c r="AU35" s="413">
        <v>2763.2782499999998</v>
      </c>
      <c r="AV35" s="413">
        <v>3044.5369999999998</v>
      </c>
      <c r="AW35" s="413">
        <v>2851.20361</v>
      </c>
      <c r="AX35" s="413">
        <v>2998.3360899999998</v>
      </c>
      <c r="AY35" s="413">
        <v>3185.9684300000004</v>
      </c>
      <c r="AZ35" s="413">
        <v>3089.8690299999998</v>
      </c>
      <c r="BA35" s="413">
        <v>3262.0091499999999</v>
      </c>
      <c r="BB35" s="413">
        <v>3750.2274900000002</v>
      </c>
      <c r="BC35" s="413">
        <v>3835.2547999999997</v>
      </c>
      <c r="BD35" s="413">
        <v>4186.3105500000001</v>
      </c>
      <c r="BE35" s="586">
        <v>3842.9464500000004</v>
      </c>
      <c r="BF35" s="586">
        <v>4056.1723500000003</v>
      </c>
      <c r="BG35" s="586">
        <v>4544.3318499999996</v>
      </c>
      <c r="BH35" s="586">
        <v>4167.0122599999995</v>
      </c>
      <c r="BI35" s="586">
        <v>4010.6269900000002</v>
      </c>
      <c r="BJ35" s="586">
        <v>2635.0119900000004</v>
      </c>
      <c r="BK35" s="586">
        <v>3634.1590200000001</v>
      </c>
      <c r="BL35" s="586">
        <v>3462.77367</v>
      </c>
      <c r="BM35" s="586">
        <v>3847.4987900000001</v>
      </c>
      <c r="BN35" s="586">
        <v>4272.2143399999995</v>
      </c>
      <c r="BO35" s="586">
        <v>4533.2977300000002</v>
      </c>
      <c r="BP35" s="586">
        <v>4553.4972500000003</v>
      </c>
      <c r="BQ35" s="586">
        <v>4636.4796299999998</v>
      </c>
      <c r="BR35" s="586">
        <v>4527.0092999999997</v>
      </c>
      <c r="BS35" s="586">
        <v>5185.6639400000004</v>
      </c>
      <c r="BT35" s="586">
        <v>6167.0613200000007</v>
      </c>
      <c r="BU35" s="586">
        <v>6268.2998899999993</v>
      </c>
      <c r="BV35" s="586">
        <v>4817.1544800000001</v>
      </c>
      <c r="BW35" s="586">
        <v>4100</v>
      </c>
      <c r="BX35" s="586">
        <v>4100</v>
      </c>
      <c r="BY35" s="586">
        <v>4100</v>
      </c>
      <c r="BZ35" s="586">
        <v>4100</v>
      </c>
      <c r="CA35" s="586">
        <v>4100</v>
      </c>
      <c r="CB35" s="586">
        <v>4100</v>
      </c>
      <c r="CC35" s="586">
        <v>4100</v>
      </c>
      <c r="CD35" s="586">
        <v>4100</v>
      </c>
      <c r="CE35" s="586">
        <v>4100</v>
      </c>
      <c r="CF35" s="586">
        <v>4100</v>
      </c>
      <c r="CG35" s="586">
        <v>4100</v>
      </c>
      <c r="CH35" s="803">
        <v>4100</v>
      </c>
      <c r="CI35" s="1092">
        <v>4100</v>
      </c>
      <c r="CJ35" s="803">
        <v>4100</v>
      </c>
      <c r="CK35" s="803">
        <v>4100</v>
      </c>
      <c r="CL35" s="803">
        <v>4100</v>
      </c>
      <c r="CM35" s="803">
        <v>4100</v>
      </c>
      <c r="CN35" s="803">
        <v>4100</v>
      </c>
      <c r="CO35" s="803">
        <v>4100</v>
      </c>
      <c r="CP35" s="803">
        <v>4100</v>
      </c>
      <c r="CQ35" s="803">
        <v>4100</v>
      </c>
      <c r="CR35" s="803">
        <v>4100</v>
      </c>
      <c r="CS35" s="803">
        <v>4100</v>
      </c>
      <c r="CT35" s="803">
        <v>4100</v>
      </c>
      <c r="CU35" s="698">
        <f t="shared" si="68"/>
        <v>4100</v>
      </c>
      <c r="CV35" s="1059"/>
      <c r="CW35" s="33"/>
      <c r="CX35" s="184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</row>
    <row r="36" spans="1:116">
      <c r="A36" s="616" t="s">
        <v>490</v>
      </c>
      <c r="B36" s="260">
        <f t="shared" ca="1" si="67"/>
        <v>0</v>
      </c>
      <c r="C36" s="350">
        <v>0</v>
      </c>
      <c r="D36" s="350">
        <v>0</v>
      </c>
      <c r="E36" s="350">
        <v>0</v>
      </c>
      <c r="F36" s="350">
        <v>0</v>
      </c>
      <c r="G36" s="350">
        <v>0</v>
      </c>
      <c r="H36" s="350">
        <v>0</v>
      </c>
      <c r="I36" s="350">
        <v>0</v>
      </c>
      <c r="J36" s="350">
        <v>0</v>
      </c>
      <c r="K36" s="350">
        <v>0</v>
      </c>
      <c r="L36" s="350">
        <v>0</v>
      </c>
      <c r="M36" s="350">
        <v>0</v>
      </c>
      <c r="N36" s="350">
        <v>0</v>
      </c>
      <c r="O36" s="413">
        <v>0</v>
      </c>
      <c r="P36" s="413">
        <v>0</v>
      </c>
      <c r="Q36" s="413">
        <v>0</v>
      </c>
      <c r="R36" s="413">
        <v>0</v>
      </c>
      <c r="S36" s="413">
        <v>0</v>
      </c>
      <c r="T36" s="413">
        <v>0</v>
      </c>
      <c r="U36" s="413">
        <v>0</v>
      </c>
      <c r="V36" s="413">
        <v>0</v>
      </c>
      <c r="W36" s="413">
        <v>0</v>
      </c>
      <c r="X36" s="413">
        <v>0</v>
      </c>
      <c r="Y36" s="413">
        <v>0</v>
      </c>
      <c r="Z36" s="413">
        <v>0</v>
      </c>
      <c r="AA36" s="413">
        <v>0</v>
      </c>
      <c r="AB36" s="413">
        <v>0</v>
      </c>
      <c r="AC36" s="413">
        <v>0</v>
      </c>
      <c r="AD36" s="413">
        <v>0</v>
      </c>
      <c r="AE36" s="413">
        <v>0</v>
      </c>
      <c r="AF36" s="413">
        <v>0</v>
      </c>
      <c r="AG36" s="413">
        <v>0</v>
      </c>
      <c r="AH36" s="413">
        <v>0</v>
      </c>
      <c r="AI36" s="413">
        <v>0</v>
      </c>
      <c r="AJ36" s="413">
        <v>0</v>
      </c>
      <c r="AK36" s="413">
        <v>0</v>
      </c>
      <c r="AL36" s="413">
        <v>0</v>
      </c>
      <c r="AM36" s="413">
        <v>0</v>
      </c>
      <c r="AN36" s="413">
        <v>0</v>
      </c>
      <c r="AO36" s="413">
        <v>0</v>
      </c>
      <c r="AP36" s="413">
        <v>0</v>
      </c>
      <c r="AQ36" s="413">
        <v>0</v>
      </c>
      <c r="AR36" s="413">
        <v>0</v>
      </c>
      <c r="AS36" s="413">
        <v>0</v>
      </c>
      <c r="AT36" s="413">
        <v>0</v>
      </c>
      <c r="AU36" s="413">
        <v>0</v>
      </c>
      <c r="AV36" s="413">
        <v>0</v>
      </c>
      <c r="AW36" s="413">
        <v>0</v>
      </c>
      <c r="AX36" s="413">
        <v>0</v>
      </c>
      <c r="AY36" s="413">
        <v>0</v>
      </c>
      <c r="AZ36" s="413">
        <v>0</v>
      </c>
      <c r="BA36" s="413">
        <v>0</v>
      </c>
      <c r="BB36" s="413">
        <v>0</v>
      </c>
      <c r="BC36" s="413">
        <v>0</v>
      </c>
      <c r="BD36" s="413">
        <v>0</v>
      </c>
      <c r="BE36" s="586">
        <v>0</v>
      </c>
      <c r="BF36" s="586">
        <v>0</v>
      </c>
      <c r="BG36" s="586">
        <v>0</v>
      </c>
      <c r="BH36" s="586">
        <v>0</v>
      </c>
      <c r="BI36" s="586">
        <v>0</v>
      </c>
      <c r="BJ36" s="586">
        <v>0</v>
      </c>
      <c r="BK36" s="586">
        <v>0</v>
      </c>
      <c r="BL36" s="586">
        <v>0</v>
      </c>
      <c r="BM36" s="586">
        <v>0</v>
      </c>
      <c r="BN36" s="586">
        <v>0</v>
      </c>
      <c r="BO36" s="586">
        <v>0</v>
      </c>
      <c r="BP36" s="586">
        <v>0</v>
      </c>
      <c r="BQ36" s="586">
        <v>0</v>
      </c>
      <c r="BR36" s="586">
        <v>0</v>
      </c>
      <c r="BS36" s="586">
        <v>0</v>
      </c>
      <c r="BT36" s="586">
        <v>0</v>
      </c>
      <c r="BU36" s="586">
        <v>0</v>
      </c>
      <c r="BV36" s="586">
        <v>0</v>
      </c>
      <c r="BW36" s="586">
        <v>0</v>
      </c>
      <c r="BX36" s="586">
        <v>0</v>
      </c>
      <c r="BY36" s="586">
        <v>0</v>
      </c>
      <c r="BZ36" s="586">
        <v>0</v>
      </c>
      <c r="CA36" s="586">
        <v>0</v>
      </c>
      <c r="CB36" s="586">
        <v>0</v>
      </c>
      <c r="CC36" s="586">
        <v>0</v>
      </c>
      <c r="CD36" s="586">
        <v>0</v>
      </c>
      <c r="CE36" s="586">
        <v>0</v>
      </c>
      <c r="CF36" s="586">
        <v>0</v>
      </c>
      <c r="CG36" s="586">
        <v>0</v>
      </c>
      <c r="CH36" s="586">
        <v>0</v>
      </c>
      <c r="CI36" s="586">
        <v>0</v>
      </c>
      <c r="CJ36" s="586">
        <v>0</v>
      </c>
      <c r="CK36" s="586">
        <v>0</v>
      </c>
      <c r="CL36" s="586">
        <v>0</v>
      </c>
      <c r="CM36" s="586">
        <v>0</v>
      </c>
      <c r="CN36" s="586">
        <v>0</v>
      </c>
      <c r="CO36" s="586">
        <v>0</v>
      </c>
      <c r="CP36" s="586">
        <v>0</v>
      </c>
      <c r="CQ36" s="586">
        <v>0</v>
      </c>
      <c r="CR36" s="586">
        <v>0</v>
      </c>
      <c r="CS36" s="586">
        <v>0</v>
      </c>
      <c r="CT36" s="586">
        <v>0</v>
      </c>
      <c r="CU36" s="698">
        <f t="shared" si="68"/>
        <v>0</v>
      </c>
      <c r="CW36" s="33"/>
      <c r="CX36" s="184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</row>
    <row r="37" spans="1:116">
      <c r="A37" s="616" t="s">
        <v>491</v>
      </c>
      <c r="B37" s="260">
        <f t="shared" ca="1" si="67"/>
        <v>5165.084615384616</v>
      </c>
      <c r="C37" s="350">
        <v>2637.0799099999999</v>
      </c>
      <c r="D37" s="350">
        <v>2412.6867699999998</v>
      </c>
      <c r="E37" s="350">
        <v>2493.8299900000002</v>
      </c>
      <c r="F37" s="350">
        <v>2161.50191</v>
      </c>
      <c r="G37" s="350">
        <v>1938.41113</v>
      </c>
      <c r="H37" s="350">
        <v>1711.05675</v>
      </c>
      <c r="I37" s="350">
        <v>1533.56122</v>
      </c>
      <c r="J37" s="350">
        <v>1302.4572499999999</v>
      </c>
      <c r="K37" s="350">
        <v>1068.4173400000002</v>
      </c>
      <c r="L37" s="350">
        <v>814.98104000000001</v>
      </c>
      <c r="M37" s="350">
        <v>580.51129000000003</v>
      </c>
      <c r="N37" s="350">
        <v>1546.85229</v>
      </c>
      <c r="O37" s="413">
        <v>2611.1723900000002</v>
      </c>
      <c r="P37" s="413">
        <v>2661.3756800000001</v>
      </c>
      <c r="Q37" s="413">
        <v>2747.6321699999999</v>
      </c>
      <c r="R37" s="413">
        <v>2397.4975800000002</v>
      </c>
      <c r="S37" s="413">
        <v>2167.9458</v>
      </c>
      <c r="T37" s="413">
        <v>1836.9848</v>
      </c>
      <c r="U37" s="413">
        <v>1481.3093700000002</v>
      </c>
      <c r="V37" s="413">
        <v>1278.4829399999999</v>
      </c>
      <c r="W37" s="413">
        <v>1030.99389</v>
      </c>
      <c r="X37" s="413">
        <v>805.90486999999996</v>
      </c>
      <c r="Y37" s="413">
        <v>548.55631999999991</v>
      </c>
      <c r="Z37" s="413">
        <v>619.35390000000007</v>
      </c>
      <c r="AA37" s="413">
        <v>2100.32987</v>
      </c>
      <c r="AB37" s="413">
        <v>2804.7330200000001</v>
      </c>
      <c r="AC37" s="413">
        <v>2555.7909799999998</v>
      </c>
      <c r="AD37" s="413">
        <v>2236.0284300000003</v>
      </c>
      <c r="AE37" s="413">
        <v>1973.52477</v>
      </c>
      <c r="AF37" s="413">
        <v>1716.8366599999999</v>
      </c>
      <c r="AG37" s="413">
        <v>1570.5801899999999</v>
      </c>
      <c r="AH37" s="413">
        <v>1545.0938899999999</v>
      </c>
      <c r="AI37" s="413">
        <v>1550.6350400000001</v>
      </c>
      <c r="AJ37" s="413">
        <v>1228.4786200000001</v>
      </c>
      <c r="AK37" s="413">
        <v>967.25804000000005</v>
      </c>
      <c r="AL37" s="413">
        <v>1409.7787599999999</v>
      </c>
      <c r="AM37" s="413">
        <v>3557.4746299999997</v>
      </c>
      <c r="AN37" s="413">
        <v>3489.93318</v>
      </c>
      <c r="AO37" s="413">
        <v>3363.9924700000001</v>
      </c>
      <c r="AP37" s="413">
        <v>2969.9907599999997</v>
      </c>
      <c r="AQ37" s="413">
        <v>2639.3216299999999</v>
      </c>
      <c r="AR37" s="413">
        <v>2532.9717999999998</v>
      </c>
      <c r="AS37" s="413">
        <v>2080.12122</v>
      </c>
      <c r="AT37" s="413">
        <v>1822.0522900000001</v>
      </c>
      <c r="AU37" s="413">
        <v>1503.25596</v>
      </c>
      <c r="AV37" s="413">
        <v>1044.0214100000001</v>
      </c>
      <c r="AW37" s="413">
        <v>703.36581999999999</v>
      </c>
      <c r="AX37" s="413">
        <v>1156.9128000000001</v>
      </c>
      <c r="AY37" s="413">
        <v>3134.7263499999999</v>
      </c>
      <c r="AZ37" s="413">
        <v>3235.2801199999999</v>
      </c>
      <c r="BA37" s="413">
        <v>3057.3586099999998</v>
      </c>
      <c r="BB37" s="413">
        <v>2786.9159199999999</v>
      </c>
      <c r="BC37" s="413">
        <v>2369.6821</v>
      </c>
      <c r="BD37" s="413">
        <v>2210.4805899999997</v>
      </c>
      <c r="BE37" s="586">
        <v>4759.7897599999997</v>
      </c>
      <c r="BF37" s="586">
        <v>4377.5653300000004</v>
      </c>
      <c r="BG37" s="586">
        <v>3826.77277</v>
      </c>
      <c r="BH37" s="586">
        <v>3194.1755099999996</v>
      </c>
      <c r="BI37" s="586">
        <v>2743.1066800000003</v>
      </c>
      <c r="BJ37" s="586">
        <v>3413.03042</v>
      </c>
      <c r="BK37" s="586">
        <v>6193.2354699999996</v>
      </c>
      <c r="BL37" s="586">
        <v>6227.4814500000002</v>
      </c>
      <c r="BM37" s="586">
        <v>5022.5029500000001</v>
      </c>
      <c r="BN37" s="586">
        <v>4682.7540599999993</v>
      </c>
      <c r="BO37" s="586">
        <v>3907.1144800000002</v>
      </c>
      <c r="BP37" s="586">
        <v>3587.7756199999999</v>
      </c>
      <c r="BQ37" s="586">
        <v>7492.9475300000004</v>
      </c>
      <c r="BR37" s="586">
        <v>7172.5128099999993</v>
      </c>
      <c r="BS37" s="586">
        <v>5981.2952000000005</v>
      </c>
      <c r="BT37" s="586">
        <v>5185.9816600000004</v>
      </c>
      <c r="BU37" s="586">
        <v>4429.9679000000006</v>
      </c>
      <c r="BV37" s="586">
        <v>3955.6176399999999</v>
      </c>
      <c r="BW37" s="586">
        <v>4191.3999999999996</v>
      </c>
      <c r="BX37" s="586">
        <v>4159.2</v>
      </c>
      <c r="BY37" s="586">
        <v>2924.8</v>
      </c>
      <c r="BZ37" s="586">
        <v>2590</v>
      </c>
      <c r="CA37" s="586">
        <v>1666.1</v>
      </c>
      <c r="CB37" s="586">
        <v>7725.6</v>
      </c>
      <c r="CC37" s="586">
        <v>7425.2</v>
      </c>
      <c r="CD37" s="586">
        <v>6763.4</v>
      </c>
      <c r="CE37" s="586">
        <v>6058.7</v>
      </c>
      <c r="CF37" s="586">
        <v>5359</v>
      </c>
      <c r="CG37" s="586">
        <v>4704.3</v>
      </c>
      <c r="CH37" s="803">
        <v>3998</v>
      </c>
      <c r="CI37" s="1092">
        <v>4589.3</v>
      </c>
      <c r="CJ37" s="803">
        <v>4483.1000000000004</v>
      </c>
      <c r="CK37" s="803">
        <v>3181.9</v>
      </c>
      <c r="CL37" s="803">
        <v>2775.2</v>
      </c>
      <c r="CM37" s="803">
        <v>1780</v>
      </c>
      <c r="CN37" s="803">
        <v>8481.7999999999993</v>
      </c>
      <c r="CO37" s="803">
        <v>8116.1</v>
      </c>
      <c r="CP37" s="803">
        <v>7470</v>
      </c>
      <c r="CQ37" s="803">
        <v>6697.3</v>
      </c>
      <c r="CR37" s="803">
        <v>5930</v>
      </c>
      <c r="CS37" s="803">
        <v>5207.3</v>
      </c>
      <c r="CT37" s="803">
        <v>4436.1000000000004</v>
      </c>
      <c r="CU37" s="700">
        <f t="shared" si="68"/>
        <v>5165.084615384616</v>
      </c>
      <c r="CV37" s="1059"/>
      <c r="CW37" s="33"/>
      <c r="CX37" s="184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</row>
    <row r="38" spans="1:116">
      <c r="A38" s="616" t="s">
        <v>492</v>
      </c>
      <c r="B38" s="260">
        <f t="shared" ca="1" si="67"/>
        <v>19784.615384615383</v>
      </c>
      <c r="C38" s="352">
        <v>14793.90136</v>
      </c>
      <c r="D38" s="352">
        <v>14647.02475</v>
      </c>
      <c r="E38" s="352">
        <v>13891.25894</v>
      </c>
      <c r="F38" s="352">
        <v>13674.195830000001</v>
      </c>
      <c r="G38" s="352">
        <v>12482.27217</v>
      </c>
      <c r="H38" s="352">
        <v>11616.502460000002</v>
      </c>
      <c r="I38" s="352">
        <v>11103.855129999998</v>
      </c>
      <c r="J38" s="352">
        <v>11058.723689999999</v>
      </c>
      <c r="K38" s="352">
        <v>11559.348890000001</v>
      </c>
      <c r="L38" s="352">
        <v>11936.884789999998</v>
      </c>
      <c r="M38" s="352">
        <v>13068.461640000001</v>
      </c>
      <c r="N38" s="352">
        <v>14923.24071</v>
      </c>
      <c r="O38" s="415">
        <v>19709.78095</v>
      </c>
      <c r="P38" s="415">
        <v>17782.254499999999</v>
      </c>
      <c r="Q38" s="415">
        <v>15051.948460000001</v>
      </c>
      <c r="R38" s="415">
        <v>15420.493490000001</v>
      </c>
      <c r="S38" s="415">
        <v>13318.813340000001</v>
      </c>
      <c r="T38" s="415">
        <v>12093.90439</v>
      </c>
      <c r="U38" s="415">
        <v>11886.70873</v>
      </c>
      <c r="V38" s="415">
        <v>11640.14566</v>
      </c>
      <c r="W38" s="415">
        <v>11662.559230000001</v>
      </c>
      <c r="X38" s="415">
        <v>11825.160310000001</v>
      </c>
      <c r="Y38" s="415">
        <v>13201.89531</v>
      </c>
      <c r="Z38" s="415">
        <v>15400.69614</v>
      </c>
      <c r="AA38" s="415">
        <v>16928.492259999999</v>
      </c>
      <c r="AB38" s="415">
        <v>14775.235269999999</v>
      </c>
      <c r="AC38" s="415">
        <v>15319.771419999999</v>
      </c>
      <c r="AD38" s="415">
        <v>15017.36967</v>
      </c>
      <c r="AE38" s="415">
        <v>13805.728929999999</v>
      </c>
      <c r="AF38" s="415">
        <v>12437.552470000001</v>
      </c>
      <c r="AG38" s="415">
        <v>12103.067550000002</v>
      </c>
      <c r="AH38" s="415">
        <v>11409.97128</v>
      </c>
      <c r="AI38" s="415">
        <v>11774.779460000002</v>
      </c>
      <c r="AJ38" s="415">
        <v>11943.43881</v>
      </c>
      <c r="AK38" s="415">
        <v>14474.12564</v>
      </c>
      <c r="AL38" s="415">
        <v>15620.86781</v>
      </c>
      <c r="AM38" s="415">
        <v>16930.267980000001</v>
      </c>
      <c r="AN38" s="415">
        <v>16289.747710000001</v>
      </c>
      <c r="AO38" s="415">
        <v>14402.74877</v>
      </c>
      <c r="AP38" s="415">
        <v>13045.89567</v>
      </c>
      <c r="AQ38" s="415">
        <v>12219.947970000001</v>
      </c>
      <c r="AR38" s="415">
        <v>12196.21343</v>
      </c>
      <c r="AS38" s="413">
        <v>11554.755009999999</v>
      </c>
      <c r="AT38" s="413">
        <v>11615.52332</v>
      </c>
      <c r="AU38" s="413">
        <v>11591.304679999999</v>
      </c>
      <c r="AV38" s="413">
        <v>12294.438970000001</v>
      </c>
      <c r="AW38" s="413">
        <v>13578.59181</v>
      </c>
      <c r="AX38" s="413">
        <v>18296.16387</v>
      </c>
      <c r="AY38" s="413">
        <v>22112.605070000001</v>
      </c>
      <c r="AZ38" s="413">
        <v>18587.515509999997</v>
      </c>
      <c r="BA38" s="413">
        <v>19522.572199999999</v>
      </c>
      <c r="BB38" s="413">
        <v>19357.34979</v>
      </c>
      <c r="BC38" s="413">
        <v>17195.15754</v>
      </c>
      <c r="BD38" s="413">
        <v>16430.362300000001</v>
      </c>
      <c r="BE38" s="582">
        <v>16061.876699999999</v>
      </c>
      <c r="BF38" s="582">
        <v>15505.416999999999</v>
      </c>
      <c r="BG38" s="582">
        <v>16065.272199999999</v>
      </c>
      <c r="BH38" s="582">
        <v>16090.04326</v>
      </c>
      <c r="BI38" s="582">
        <v>17707.285210000002</v>
      </c>
      <c r="BJ38" s="582">
        <v>20933.310990000002</v>
      </c>
      <c r="BK38" s="582">
        <v>26483.953750000001</v>
      </c>
      <c r="BL38" s="582">
        <v>25252.832039999998</v>
      </c>
      <c r="BM38" s="582">
        <v>22032.305809999998</v>
      </c>
      <c r="BN38" s="582">
        <v>20486.81135</v>
      </c>
      <c r="BO38" s="582">
        <v>19034.18259</v>
      </c>
      <c r="BP38" s="582">
        <v>17118.975899999998</v>
      </c>
      <c r="BQ38" s="582">
        <v>16220.343490000001</v>
      </c>
      <c r="BR38" s="582">
        <v>17742.28645</v>
      </c>
      <c r="BS38" s="582">
        <v>16780.03011</v>
      </c>
      <c r="BT38" s="582">
        <v>19784.86536</v>
      </c>
      <c r="BU38" s="582">
        <v>17916.29279</v>
      </c>
      <c r="BV38" s="582">
        <v>20018.75834</v>
      </c>
      <c r="BW38" s="582">
        <v>24900</v>
      </c>
      <c r="BX38" s="582">
        <v>22300</v>
      </c>
      <c r="BY38" s="582">
        <v>21000</v>
      </c>
      <c r="BZ38" s="582">
        <v>20250</v>
      </c>
      <c r="CA38" s="582">
        <v>18400</v>
      </c>
      <c r="CB38" s="582">
        <v>17050</v>
      </c>
      <c r="CC38" s="582">
        <v>16375</v>
      </c>
      <c r="CD38" s="582">
        <v>16875</v>
      </c>
      <c r="CE38" s="582">
        <v>16675</v>
      </c>
      <c r="CF38" s="582">
        <v>18175</v>
      </c>
      <c r="CG38" s="582">
        <v>17900</v>
      </c>
      <c r="CH38" s="582">
        <v>20750</v>
      </c>
      <c r="CI38" s="582">
        <v>25500</v>
      </c>
      <c r="CJ38" s="582">
        <v>22900</v>
      </c>
      <c r="CK38" s="582">
        <v>21600</v>
      </c>
      <c r="CL38" s="582">
        <v>20750</v>
      </c>
      <c r="CM38" s="582">
        <v>18900</v>
      </c>
      <c r="CN38" s="582">
        <v>17450</v>
      </c>
      <c r="CO38" s="582">
        <v>16775</v>
      </c>
      <c r="CP38" s="582">
        <v>17275</v>
      </c>
      <c r="CQ38" s="582">
        <v>17075</v>
      </c>
      <c r="CR38" s="582">
        <v>18575</v>
      </c>
      <c r="CS38" s="582">
        <v>18400</v>
      </c>
      <c r="CT38" s="582">
        <v>21250</v>
      </c>
      <c r="CU38" s="698">
        <f t="shared" si="68"/>
        <v>19784.615384615383</v>
      </c>
      <c r="CW38" s="33"/>
      <c r="CX38" s="184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</row>
    <row r="39" spans="1:116">
      <c r="A39" s="616" t="s">
        <v>493</v>
      </c>
      <c r="B39" s="262">
        <f t="shared" ca="1" si="67"/>
        <v>0</v>
      </c>
      <c r="C39" s="353">
        <v>535.4</v>
      </c>
      <c r="D39" s="353">
        <v>31.52</v>
      </c>
      <c r="E39" s="353">
        <v>482.88</v>
      </c>
      <c r="F39" s="353">
        <v>538.84500000000003</v>
      </c>
      <c r="G39" s="353">
        <v>169.52500000000001</v>
      </c>
      <c r="H39" s="353">
        <v>88.275000000000006</v>
      </c>
      <c r="I39" s="353">
        <v>8.4499999999999993</v>
      </c>
      <c r="J39" s="353">
        <v>101.19499999999999</v>
      </c>
      <c r="K39" s="353">
        <v>79.745000000000005</v>
      </c>
      <c r="L39" s="353">
        <v>4.8</v>
      </c>
      <c r="M39" s="353">
        <v>7.23</v>
      </c>
      <c r="N39" s="353">
        <v>0</v>
      </c>
      <c r="O39" s="416">
        <v>77.894999999999996</v>
      </c>
      <c r="P39" s="416">
        <v>0</v>
      </c>
      <c r="Q39" s="416">
        <v>0</v>
      </c>
      <c r="R39" s="416">
        <v>2.04</v>
      </c>
      <c r="S39" s="416">
        <v>20.02</v>
      </c>
      <c r="T39" s="416">
        <v>15.33</v>
      </c>
      <c r="U39" s="416">
        <v>0</v>
      </c>
      <c r="V39" s="416">
        <v>3.5</v>
      </c>
      <c r="W39" s="416">
        <v>10.039999999999999</v>
      </c>
      <c r="X39" s="416">
        <v>14.65</v>
      </c>
      <c r="Y39" s="416">
        <v>0</v>
      </c>
      <c r="Z39" s="416">
        <v>0</v>
      </c>
      <c r="AA39" s="416">
        <v>0</v>
      </c>
      <c r="AB39" s="416">
        <v>0</v>
      </c>
      <c r="AC39" s="416">
        <v>0</v>
      </c>
      <c r="AD39" s="416">
        <v>0</v>
      </c>
      <c r="AE39" s="416">
        <v>0</v>
      </c>
      <c r="AF39" s="416">
        <v>0</v>
      </c>
      <c r="AG39" s="416">
        <v>0</v>
      </c>
      <c r="AH39" s="416">
        <v>0</v>
      </c>
      <c r="AI39" s="416">
        <v>0</v>
      </c>
      <c r="AJ39" s="416">
        <v>0</v>
      </c>
      <c r="AK39" s="416">
        <v>0</v>
      </c>
      <c r="AL39" s="416">
        <v>0</v>
      </c>
      <c r="AM39" s="416">
        <v>0</v>
      </c>
      <c r="AN39" s="416">
        <v>0</v>
      </c>
      <c r="AO39" s="416">
        <v>0</v>
      </c>
      <c r="AP39" s="416">
        <v>0</v>
      </c>
      <c r="AQ39" s="416">
        <v>0</v>
      </c>
      <c r="AR39" s="416">
        <v>0</v>
      </c>
      <c r="AS39" s="417">
        <v>0</v>
      </c>
      <c r="AT39" s="417">
        <v>0</v>
      </c>
      <c r="AU39" s="417">
        <v>0</v>
      </c>
      <c r="AV39" s="417">
        <v>0</v>
      </c>
      <c r="AW39" s="417">
        <v>0</v>
      </c>
      <c r="AX39" s="417">
        <v>0</v>
      </c>
      <c r="AY39" s="417">
        <v>0</v>
      </c>
      <c r="AZ39" s="417">
        <v>0</v>
      </c>
      <c r="BA39" s="417">
        <v>0</v>
      </c>
      <c r="BB39" s="417">
        <v>0</v>
      </c>
      <c r="BC39" s="417">
        <v>0</v>
      </c>
      <c r="BD39" s="417">
        <v>0</v>
      </c>
      <c r="BE39" s="688">
        <v>0</v>
      </c>
      <c r="BF39" s="688">
        <v>0</v>
      </c>
      <c r="BG39" s="688">
        <v>0</v>
      </c>
      <c r="BH39" s="688">
        <v>0</v>
      </c>
      <c r="BI39" s="688">
        <v>0</v>
      </c>
      <c r="BJ39" s="688">
        <v>0</v>
      </c>
      <c r="BK39" s="688">
        <v>0</v>
      </c>
      <c r="BL39" s="688">
        <v>0</v>
      </c>
      <c r="BM39" s="688">
        <v>0</v>
      </c>
      <c r="BN39" s="688">
        <v>0</v>
      </c>
      <c r="BO39" s="688">
        <v>0</v>
      </c>
      <c r="BP39" s="688">
        <v>0</v>
      </c>
      <c r="BQ39" s="688">
        <v>0</v>
      </c>
      <c r="BR39" s="688">
        <v>0</v>
      </c>
      <c r="BS39" s="688">
        <v>0</v>
      </c>
      <c r="BT39" s="688">
        <v>0</v>
      </c>
      <c r="BU39" s="688">
        <v>0</v>
      </c>
      <c r="BV39" s="688">
        <v>0</v>
      </c>
      <c r="BW39" s="688">
        <v>0</v>
      </c>
      <c r="BX39" s="688">
        <v>0</v>
      </c>
      <c r="BY39" s="688">
        <v>0</v>
      </c>
      <c r="BZ39" s="688">
        <v>0</v>
      </c>
      <c r="CA39" s="688">
        <v>0</v>
      </c>
      <c r="CB39" s="688">
        <v>0</v>
      </c>
      <c r="CC39" s="688">
        <v>0</v>
      </c>
      <c r="CD39" s="688">
        <v>0</v>
      </c>
      <c r="CE39" s="688">
        <v>0</v>
      </c>
      <c r="CF39" s="688">
        <v>0</v>
      </c>
      <c r="CG39" s="688">
        <v>0</v>
      </c>
      <c r="CH39" s="688">
        <v>0</v>
      </c>
      <c r="CI39" s="688">
        <v>0</v>
      </c>
      <c r="CJ39" s="688">
        <v>0</v>
      </c>
      <c r="CK39" s="688">
        <v>0</v>
      </c>
      <c r="CL39" s="688">
        <v>0</v>
      </c>
      <c r="CM39" s="688">
        <v>0</v>
      </c>
      <c r="CN39" s="688">
        <v>0</v>
      </c>
      <c r="CO39" s="688">
        <v>0</v>
      </c>
      <c r="CP39" s="688">
        <v>0</v>
      </c>
      <c r="CQ39" s="688">
        <v>0</v>
      </c>
      <c r="CR39" s="688">
        <v>0</v>
      </c>
      <c r="CS39" s="688">
        <v>0</v>
      </c>
      <c r="CT39" s="688">
        <v>0</v>
      </c>
      <c r="CU39" s="699">
        <f t="shared" si="68"/>
        <v>0</v>
      </c>
      <c r="CW39" s="33"/>
      <c r="CX39" s="184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</row>
    <row r="40" spans="1:116">
      <c r="A40" s="598" t="s">
        <v>494</v>
      </c>
      <c r="B40" s="318">
        <f t="shared" ca="1" si="67"/>
        <v>83240.876923076939</v>
      </c>
      <c r="C40" s="79">
        <f t="shared" ref="C40:AH40" si="69">SUM(C24:C39)</f>
        <v>55363.462529999997</v>
      </c>
      <c r="D40" s="79">
        <f t="shared" si="69"/>
        <v>64162.010029999998</v>
      </c>
      <c r="E40" s="79">
        <f t="shared" si="69"/>
        <v>56797.737939999999</v>
      </c>
      <c r="F40" s="79">
        <f t="shared" si="69"/>
        <v>64568.653969999999</v>
      </c>
      <c r="G40" s="79">
        <f t="shared" si="69"/>
        <v>64198.700619999996</v>
      </c>
      <c r="H40" s="79">
        <f t="shared" si="69"/>
        <v>53822.729170000006</v>
      </c>
      <c r="I40" s="79">
        <f t="shared" si="69"/>
        <v>55353.660960000001</v>
      </c>
      <c r="J40" s="79">
        <f t="shared" si="69"/>
        <v>63573.355629999998</v>
      </c>
      <c r="K40" s="79">
        <f t="shared" si="69"/>
        <v>59774.403510000004</v>
      </c>
      <c r="L40" s="79">
        <f t="shared" si="69"/>
        <v>50969.798269999992</v>
      </c>
      <c r="M40" s="79">
        <f t="shared" si="69"/>
        <v>52801.585440000017</v>
      </c>
      <c r="N40" s="79">
        <f t="shared" si="69"/>
        <v>63444.125749999999</v>
      </c>
      <c r="O40" s="79">
        <f t="shared" si="69"/>
        <v>78600.297149999999</v>
      </c>
      <c r="P40" s="79">
        <f t="shared" si="69"/>
        <v>72991.793879999997</v>
      </c>
      <c r="Q40" s="79">
        <f t="shared" si="69"/>
        <v>61327.180679999998</v>
      </c>
      <c r="R40" s="79">
        <f t="shared" si="69"/>
        <v>61091.297689999999</v>
      </c>
      <c r="S40" s="79">
        <f t="shared" si="69"/>
        <v>58566.63283000001</v>
      </c>
      <c r="T40" s="79">
        <f t="shared" si="69"/>
        <v>58219.489690000002</v>
      </c>
      <c r="U40" s="79">
        <f t="shared" si="69"/>
        <v>57154.576589999997</v>
      </c>
      <c r="V40" s="79">
        <f t="shared" si="69"/>
        <v>51752.904920000001</v>
      </c>
      <c r="W40" s="79">
        <f t="shared" si="69"/>
        <v>58260.21542</v>
      </c>
      <c r="X40" s="79">
        <f t="shared" si="69"/>
        <v>57117.640550000004</v>
      </c>
      <c r="Y40" s="79">
        <f t="shared" si="69"/>
        <v>55739.472749999994</v>
      </c>
      <c r="Z40" s="79">
        <f t="shared" si="69"/>
        <v>59264.045770000004</v>
      </c>
      <c r="AA40" s="79">
        <f t="shared" si="69"/>
        <v>68098.539619999996</v>
      </c>
      <c r="AB40" s="79">
        <f t="shared" si="69"/>
        <v>63805.776129999998</v>
      </c>
      <c r="AC40" s="79">
        <f t="shared" si="69"/>
        <v>62056.625199999995</v>
      </c>
      <c r="AD40" s="79">
        <f t="shared" si="69"/>
        <v>57434.873549999997</v>
      </c>
      <c r="AE40" s="79">
        <f t="shared" si="69"/>
        <v>56015.68204</v>
      </c>
      <c r="AF40" s="79">
        <f t="shared" si="69"/>
        <v>51239.944200000005</v>
      </c>
      <c r="AG40" s="79">
        <f t="shared" si="69"/>
        <v>48187.394990000001</v>
      </c>
      <c r="AH40" s="79">
        <f t="shared" si="69"/>
        <v>47000.737529999991</v>
      </c>
      <c r="AI40" s="79">
        <f t="shared" ref="AI40:BJ40" si="70">SUM(AI24:AI39)</f>
        <v>52493.94359000001</v>
      </c>
      <c r="AJ40" s="79">
        <f t="shared" si="70"/>
        <v>48756.439980000003</v>
      </c>
      <c r="AK40" s="79">
        <f t="shared" si="70"/>
        <v>53214.511490000004</v>
      </c>
      <c r="AL40" s="79">
        <f t="shared" si="70"/>
        <v>58595.524510000003</v>
      </c>
      <c r="AM40" s="79">
        <f t="shared" si="70"/>
        <v>66657.72503999999</v>
      </c>
      <c r="AN40" s="79">
        <f t="shared" si="70"/>
        <v>63915.330889999997</v>
      </c>
      <c r="AO40" s="79">
        <f t="shared" si="70"/>
        <v>58796.932129999994</v>
      </c>
      <c r="AP40" s="79">
        <f t="shared" si="70"/>
        <v>53897.861819999998</v>
      </c>
      <c r="AQ40" s="79">
        <f t="shared" si="70"/>
        <v>52128.255949999992</v>
      </c>
      <c r="AR40" s="79">
        <f t="shared" si="70"/>
        <v>52654.731759999995</v>
      </c>
      <c r="AS40" s="79">
        <f t="shared" si="70"/>
        <v>49152.143330000006</v>
      </c>
      <c r="AT40" s="79">
        <f t="shared" si="70"/>
        <v>48491.290659999999</v>
      </c>
      <c r="AU40" s="79">
        <f t="shared" si="70"/>
        <v>47550.862589999997</v>
      </c>
      <c r="AV40" s="79">
        <f t="shared" si="70"/>
        <v>45596.195090000001</v>
      </c>
      <c r="AW40" s="79">
        <f t="shared" si="70"/>
        <v>50050.81360999999</v>
      </c>
      <c r="AX40" s="79">
        <f t="shared" si="70"/>
        <v>61740.850760000001</v>
      </c>
      <c r="AY40" s="79">
        <f t="shared" si="70"/>
        <v>77129.190730000017</v>
      </c>
      <c r="AZ40" s="79">
        <f t="shared" si="70"/>
        <v>74103.368440000006</v>
      </c>
      <c r="BA40" s="79">
        <f t="shared" si="70"/>
        <v>62573.187090000007</v>
      </c>
      <c r="BB40" s="79">
        <f t="shared" si="70"/>
        <v>64059.233339999992</v>
      </c>
      <c r="BC40" s="79">
        <f t="shared" si="70"/>
        <v>58533.096319999997</v>
      </c>
      <c r="BD40" s="79">
        <f t="shared" si="70"/>
        <v>55652.338089999997</v>
      </c>
      <c r="BE40" s="686">
        <f t="shared" si="70"/>
        <v>57985.395990000005</v>
      </c>
      <c r="BF40" s="686">
        <f t="shared" si="70"/>
        <v>54796.322550000004</v>
      </c>
      <c r="BG40" s="686">
        <f t="shared" si="70"/>
        <v>55909.044719999998</v>
      </c>
      <c r="BH40" s="686">
        <f t="shared" si="70"/>
        <v>56690.915260000002</v>
      </c>
      <c r="BI40" s="686">
        <f t="shared" si="70"/>
        <v>56416.018389999997</v>
      </c>
      <c r="BJ40" s="686">
        <f t="shared" si="70"/>
        <v>78755.841990000001</v>
      </c>
      <c r="BK40" s="686">
        <f t="shared" ref="BK40:BV40" si="71">SUM(BK24:BK39)</f>
        <v>96211.556079999995</v>
      </c>
      <c r="BL40" s="686">
        <f t="shared" si="71"/>
        <v>100929.34964999999</v>
      </c>
      <c r="BM40" s="686">
        <f t="shared" si="71"/>
        <v>88556.288460000011</v>
      </c>
      <c r="BN40" s="686">
        <f t="shared" si="71"/>
        <v>84388.333310000002</v>
      </c>
      <c r="BO40" s="686">
        <f t="shared" si="71"/>
        <v>87690.529009999984</v>
      </c>
      <c r="BP40" s="686">
        <f t="shared" si="71"/>
        <v>84396.244869999995</v>
      </c>
      <c r="BQ40" s="686">
        <f t="shared" si="71"/>
        <v>89774.36761999999</v>
      </c>
      <c r="BR40" s="686">
        <f t="shared" si="71"/>
        <v>85397.016539999982</v>
      </c>
      <c r="BS40" s="686">
        <f t="shared" si="71"/>
        <v>83314.618629999983</v>
      </c>
      <c r="BT40" s="686">
        <f t="shared" si="71"/>
        <v>82470.698640000002</v>
      </c>
      <c r="BU40" s="686">
        <f t="shared" si="71"/>
        <v>79055.60444000001</v>
      </c>
      <c r="BV40" s="686">
        <f t="shared" si="71"/>
        <v>84160.729059999983</v>
      </c>
      <c r="BW40" s="686">
        <f t="shared" ref="BW40:CH40" si="72">SUM(BW24:BW39)</f>
        <v>93324.3</v>
      </c>
      <c r="BX40" s="686">
        <f t="shared" si="72"/>
        <v>94548.599999999991</v>
      </c>
      <c r="BY40" s="686">
        <f t="shared" si="72"/>
        <v>83965.200000000012</v>
      </c>
      <c r="BZ40" s="686">
        <f t="shared" si="72"/>
        <v>80356.299999999988</v>
      </c>
      <c r="CA40" s="686">
        <f t="shared" si="72"/>
        <v>77112.399999999994</v>
      </c>
      <c r="CB40" s="686">
        <f t="shared" si="72"/>
        <v>78437.399999999994</v>
      </c>
      <c r="CC40" s="686">
        <f t="shared" si="72"/>
        <v>80250.200000000012</v>
      </c>
      <c r="CD40" s="686">
        <f t="shared" si="72"/>
        <v>76117.599999999991</v>
      </c>
      <c r="CE40" s="686">
        <f t="shared" si="72"/>
        <v>75740.100000000006</v>
      </c>
      <c r="CF40" s="686">
        <f t="shared" si="72"/>
        <v>76597.799999999988</v>
      </c>
      <c r="CG40" s="686">
        <f t="shared" si="72"/>
        <v>74508.5</v>
      </c>
      <c r="CH40" s="686">
        <f t="shared" si="72"/>
        <v>82008.699999999983</v>
      </c>
      <c r="CI40" s="686">
        <f t="shared" ref="CI40" si="73">SUM(CI24:CI39)</f>
        <v>96147.900000000009</v>
      </c>
      <c r="CJ40" s="686">
        <f t="shared" ref="CJ40:CT40" si="74">SUM(CJ24:CJ39)</f>
        <v>97265.3</v>
      </c>
      <c r="CK40" s="686">
        <f t="shared" si="74"/>
        <v>86350.6</v>
      </c>
      <c r="CL40" s="686">
        <f t="shared" si="74"/>
        <v>82501.100000000006</v>
      </c>
      <c r="CM40" s="686">
        <f t="shared" si="74"/>
        <v>79028.5</v>
      </c>
      <c r="CN40" s="686">
        <f t="shared" si="74"/>
        <v>80738.099999999991</v>
      </c>
      <c r="CO40" s="686">
        <f t="shared" si="74"/>
        <v>82566.3</v>
      </c>
      <c r="CP40" s="686">
        <f t="shared" si="74"/>
        <v>78293.299999999988</v>
      </c>
      <c r="CQ40" s="686">
        <f t="shared" si="74"/>
        <v>77855.299999999988</v>
      </c>
      <c r="CR40" s="686">
        <f t="shared" si="74"/>
        <v>78645.100000000006</v>
      </c>
      <c r="CS40" s="686">
        <f t="shared" si="74"/>
        <v>76578.100000000006</v>
      </c>
      <c r="CT40" s="686">
        <f t="shared" si="74"/>
        <v>84153.099999999991</v>
      </c>
      <c r="CU40" s="700">
        <f t="shared" si="68"/>
        <v>83240.876923076939</v>
      </c>
      <c r="CW40" s="33"/>
      <c r="CX40" s="184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</row>
    <row r="41" spans="1:116">
      <c r="A41" s="27"/>
      <c r="B41" s="26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686"/>
      <c r="BF41" s="686"/>
      <c r="BG41" s="686"/>
      <c r="BH41" s="686"/>
      <c r="BI41" s="686"/>
      <c r="BJ41" s="686"/>
      <c r="BK41" s="686"/>
      <c r="BL41" s="686"/>
      <c r="BM41" s="686"/>
      <c r="BN41" s="686"/>
      <c r="BO41" s="686"/>
      <c r="BP41" s="686"/>
      <c r="BQ41" s="686"/>
      <c r="BR41" s="686"/>
      <c r="BS41" s="686"/>
      <c r="BT41" s="686"/>
      <c r="BU41" s="686"/>
      <c r="BV41" s="686"/>
      <c r="BW41" s="686"/>
      <c r="BX41" s="686"/>
      <c r="BY41" s="686"/>
      <c r="BZ41" s="686"/>
      <c r="CA41" s="686"/>
      <c r="CB41" s="686"/>
      <c r="CC41" s="686"/>
      <c r="CD41" s="686"/>
      <c r="CE41" s="686"/>
      <c r="CF41" s="686"/>
      <c r="CG41" s="686"/>
      <c r="CH41" s="686"/>
      <c r="CI41" s="686"/>
      <c r="CJ41" s="686"/>
      <c r="CK41" s="686"/>
      <c r="CL41" s="686"/>
      <c r="CM41" s="686"/>
      <c r="CN41" s="686"/>
      <c r="CO41" s="686"/>
      <c r="CP41" s="686"/>
      <c r="CQ41" s="686"/>
      <c r="CR41" s="686"/>
      <c r="CS41" s="686"/>
      <c r="CT41" s="686"/>
      <c r="CU41" s="698"/>
      <c r="CW41" s="33"/>
      <c r="CX41" s="184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</row>
    <row r="42" spans="1:116">
      <c r="A42" s="13" t="s">
        <v>495</v>
      </c>
      <c r="B42" s="260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98"/>
      <c r="CW42" s="33"/>
      <c r="CX42" s="184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</row>
    <row r="43" spans="1:116">
      <c r="A43" s="616" t="s">
        <v>496</v>
      </c>
      <c r="B43" s="260">
        <f t="shared" ref="B43:B53" ca="1" si="75">SUM(OFFSET(BW43:CI43,0,$A$1-1))/13</f>
        <v>0</v>
      </c>
      <c r="C43" s="348">
        <v>1135.33413</v>
      </c>
      <c r="D43" s="348">
        <v>1127.24026</v>
      </c>
      <c r="E43" s="348">
        <v>1119.1463899999999</v>
      </c>
      <c r="F43" s="348">
        <v>1111.05252</v>
      </c>
      <c r="G43" s="348">
        <v>1102.9586499999998</v>
      </c>
      <c r="H43" s="348">
        <v>1094.8647800000001</v>
      </c>
      <c r="I43" s="348">
        <v>1086.77091</v>
      </c>
      <c r="J43" s="348">
        <v>1078.67704</v>
      </c>
      <c r="K43" s="348">
        <v>1070.5831699999999</v>
      </c>
      <c r="L43" s="348">
        <v>1062.4893</v>
      </c>
      <c r="M43" s="348">
        <v>1054.39543</v>
      </c>
      <c r="N43" s="348">
        <v>1046.3015600000001</v>
      </c>
      <c r="O43" s="411">
        <v>1038.20769</v>
      </c>
      <c r="P43" s="411">
        <v>1030.11382</v>
      </c>
      <c r="Q43" s="411">
        <v>1067.87933</v>
      </c>
      <c r="R43" s="411">
        <v>1053.2341200000001</v>
      </c>
      <c r="S43" s="411">
        <v>1040.1659300000001</v>
      </c>
      <c r="T43" s="411">
        <v>1785.06277</v>
      </c>
      <c r="U43" s="411">
        <v>1787.67147</v>
      </c>
      <c r="V43" s="411">
        <v>1779.1369099999999</v>
      </c>
      <c r="W43" s="411">
        <v>1807.0138899999999</v>
      </c>
      <c r="X43" s="411">
        <v>2037.07448</v>
      </c>
      <c r="Y43" s="411">
        <v>2030.6094499999999</v>
      </c>
      <c r="Z43" s="411">
        <v>2027.97783</v>
      </c>
      <c r="AA43" s="411">
        <v>2020.07215</v>
      </c>
      <c r="AB43" s="411">
        <v>2012.1834799999999</v>
      </c>
      <c r="AC43" s="411">
        <v>2018.04828</v>
      </c>
      <c r="AD43" s="411">
        <v>2010.10456</v>
      </c>
      <c r="AE43" s="411">
        <v>2002.16084</v>
      </c>
      <c r="AF43" s="411">
        <v>1994.21712</v>
      </c>
      <c r="AG43" s="411">
        <v>2205.5789</v>
      </c>
      <c r="AH43" s="411">
        <v>2242.15967</v>
      </c>
      <c r="AI43" s="411">
        <v>2244.4437000000003</v>
      </c>
      <c r="AJ43" s="411">
        <v>2235.7572300000002</v>
      </c>
      <c r="AK43" s="411">
        <v>2227.0707599999996</v>
      </c>
      <c r="AL43" s="411">
        <v>2233.0608900000002</v>
      </c>
      <c r="AM43" s="411">
        <v>2224.3343199999999</v>
      </c>
      <c r="AN43" s="411">
        <v>2226.9272999999998</v>
      </c>
      <c r="AO43" s="411">
        <v>2222.0164199999999</v>
      </c>
      <c r="AP43" s="411">
        <v>2211.8215099999998</v>
      </c>
      <c r="AQ43" s="411">
        <v>2201.6266000000001</v>
      </c>
      <c r="AR43" s="411">
        <v>2191.4316899999999</v>
      </c>
      <c r="AS43" s="411">
        <v>2181.2367799999997</v>
      </c>
      <c r="AT43" s="411">
        <v>2171.04187</v>
      </c>
      <c r="AU43" s="411">
        <v>2160.8469599999999</v>
      </c>
      <c r="AV43" s="411">
        <v>2150.6520499999997</v>
      </c>
      <c r="AW43" s="411">
        <v>2140.45714</v>
      </c>
      <c r="AX43" s="411">
        <v>2130.2622299999998</v>
      </c>
      <c r="AY43" s="411">
        <v>2126.6312200000002</v>
      </c>
      <c r="AZ43" s="411">
        <v>2115.7154100000002</v>
      </c>
      <c r="BA43" s="411">
        <v>3962.9508900000001</v>
      </c>
      <c r="BB43" s="411">
        <v>4083.4283599999999</v>
      </c>
      <c r="BC43" s="411">
        <v>4214.9540700000007</v>
      </c>
      <c r="BD43" s="411">
        <v>4360.24496</v>
      </c>
      <c r="BE43" s="587">
        <v>4339.27621</v>
      </c>
      <c r="BF43" s="587">
        <v>4318.30746</v>
      </c>
      <c r="BG43" s="587">
        <v>4297.33871</v>
      </c>
      <c r="BH43" s="587">
        <v>4276.36996</v>
      </c>
      <c r="BI43" s="587">
        <v>4255.40121</v>
      </c>
      <c r="BJ43" s="587">
        <v>4248.9452799999999</v>
      </c>
      <c r="BK43" s="587">
        <v>4226.5231299999996</v>
      </c>
      <c r="BL43" s="587">
        <v>4204.3671599999998</v>
      </c>
      <c r="BM43" s="587">
        <v>4182.21119</v>
      </c>
      <c r="BN43" s="587">
        <v>4161.0365000000002</v>
      </c>
      <c r="BO43" s="587">
        <v>4138.7578700000004</v>
      </c>
      <c r="BP43" s="587">
        <v>4116.4792400000006</v>
      </c>
      <c r="BQ43" s="587">
        <v>4568.2277899999999</v>
      </c>
      <c r="BR43" s="587">
        <v>4607.0475999999999</v>
      </c>
      <c r="BS43" s="587">
        <v>4577.8456399999995</v>
      </c>
      <c r="BT43" s="587">
        <v>4562.2672300000004</v>
      </c>
      <c r="BU43" s="587">
        <v>4533.6203099999993</v>
      </c>
      <c r="BV43" s="587">
        <v>4543.2443700000003</v>
      </c>
      <c r="BW43" s="587">
        <v>0</v>
      </c>
      <c r="BX43" s="587">
        <v>0</v>
      </c>
      <c r="BY43" s="587">
        <v>0</v>
      </c>
      <c r="BZ43" s="587">
        <v>0</v>
      </c>
      <c r="CA43" s="587">
        <v>0</v>
      </c>
      <c r="CB43" s="587">
        <v>0</v>
      </c>
      <c r="CC43" s="587">
        <v>0</v>
      </c>
      <c r="CD43" s="587">
        <v>0</v>
      </c>
      <c r="CE43" s="587">
        <v>0</v>
      </c>
      <c r="CF43" s="587">
        <v>0</v>
      </c>
      <c r="CG43" s="587">
        <v>0</v>
      </c>
      <c r="CH43" s="345">
        <v>0</v>
      </c>
      <c r="CI43" s="1090">
        <v>0</v>
      </c>
      <c r="CJ43" s="587">
        <v>0</v>
      </c>
      <c r="CK43" s="587">
        <v>0</v>
      </c>
      <c r="CL43" s="587">
        <v>0</v>
      </c>
      <c r="CM43" s="587">
        <v>0</v>
      </c>
      <c r="CN43" s="587">
        <v>0</v>
      </c>
      <c r="CO43" s="587">
        <v>0</v>
      </c>
      <c r="CP43" s="587">
        <v>0</v>
      </c>
      <c r="CQ43" s="587">
        <v>0</v>
      </c>
      <c r="CR43" s="587">
        <v>0</v>
      </c>
      <c r="CS43" s="587">
        <v>0</v>
      </c>
      <c r="CT43" s="587">
        <v>0</v>
      </c>
      <c r="CU43" s="698">
        <f t="shared" ref="CU43:CU53" si="76">SUM(CH43:CT43)/13</f>
        <v>0</v>
      </c>
      <c r="CV43" s="1059"/>
      <c r="CW43" s="33"/>
      <c r="CX43" s="184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</row>
    <row r="44" spans="1:116">
      <c r="A44" s="616" t="s">
        <v>497</v>
      </c>
      <c r="B44" s="260">
        <f t="shared" ca="1" si="75"/>
        <v>68514.261538461549</v>
      </c>
      <c r="C44" s="348">
        <v>48216.61666</v>
      </c>
      <c r="D44" s="348">
        <v>46704.51627</v>
      </c>
      <c r="E44" s="348">
        <v>47090.265090000001</v>
      </c>
      <c r="F44" s="348">
        <v>47407.65726</v>
      </c>
      <c r="G44" s="348">
        <v>47433.163059999999</v>
      </c>
      <c r="H44" s="348">
        <v>47955.941989999999</v>
      </c>
      <c r="I44" s="348">
        <v>48144.508670000003</v>
      </c>
      <c r="J44" s="348">
        <v>48101.782039999998</v>
      </c>
      <c r="K44" s="348">
        <v>50081.276340000004</v>
      </c>
      <c r="L44" s="348">
        <v>50006.575429999997</v>
      </c>
      <c r="M44" s="348">
        <v>50110.54724</v>
      </c>
      <c r="N44" s="348">
        <v>48257.584149999995</v>
      </c>
      <c r="O44" s="411">
        <v>48838.259310000001</v>
      </c>
      <c r="P44" s="411">
        <v>48545.168709999998</v>
      </c>
      <c r="Q44" s="411">
        <v>49500.818460000002</v>
      </c>
      <c r="R44" s="411">
        <v>49805.606399999997</v>
      </c>
      <c r="S44" s="411">
        <v>50060.779259999996</v>
      </c>
      <c r="T44" s="411">
        <v>50103.163070000002</v>
      </c>
      <c r="U44" s="411">
        <v>50170.800889999999</v>
      </c>
      <c r="V44" s="411">
        <v>50206.779840000003</v>
      </c>
      <c r="W44" s="411">
        <v>51841.777099999999</v>
      </c>
      <c r="X44" s="411">
        <v>51915.224390000003</v>
      </c>
      <c r="Y44" s="411">
        <v>52443.29264</v>
      </c>
      <c r="Z44" s="411">
        <v>53579.534350000002</v>
      </c>
      <c r="AA44" s="411">
        <v>53810.178520000001</v>
      </c>
      <c r="AB44" s="411">
        <v>53025.245880000002</v>
      </c>
      <c r="AC44" s="411">
        <v>53554.50389</v>
      </c>
      <c r="AD44" s="411">
        <v>53675.832280000002</v>
      </c>
      <c r="AE44" s="411">
        <v>53712.964659999998</v>
      </c>
      <c r="AF44" s="411">
        <v>53733.761479999994</v>
      </c>
      <c r="AG44" s="411">
        <v>54023.538009999997</v>
      </c>
      <c r="AH44" s="411">
        <v>54120.208020000005</v>
      </c>
      <c r="AI44" s="411">
        <v>53966.607810000001</v>
      </c>
      <c r="AJ44" s="411">
        <v>54087.865170000005</v>
      </c>
      <c r="AK44" s="411">
        <v>54371.823479999999</v>
      </c>
      <c r="AL44" s="411">
        <v>54966.422409999999</v>
      </c>
      <c r="AM44" s="411">
        <v>55524.351119999999</v>
      </c>
      <c r="AN44" s="411">
        <v>54592.50808</v>
      </c>
      <c r="AO44" s="411">
        <v>54777.93939</v>
      </c>
      <c r="AP44" s="411">
        <v>55026.802189999995</v>
      </c>
      <c r="AQ44" s="411">
        <v>55161.969799999999</v>
      </c>
      <c r="AR44" s="411">
        <v>55446.318920000005</v>
      </c>
      <c r="AS44" s="411">
        <v>55534.916149999997</v>
      </c>
      <c r="AT44" s="411">
        <v>55479.405709999999</v>
      </c>
      <c r="AU44" s="411">
        <v>55670.420039999997</v>
      </c>
      <c r="AV44" s="411">
        <v>56074.141859999996</v>
      </c>
      <c r="AW44" s="411">
        <v>55851.066880000006</v>
      </c>
      <c r="AX44" s="411">
        <v>58693.568859999999</v>
      </c>
      <c r="AY44" s="411">
        <v>59351.200259999998</v>
      </c>
      <c r="AZ44" s="411">
        <v>59691.522689999998</v>
      </c>
      <c r="BA44" s="411">
        <v>57907.116580000002</v>
      </c>
      <c r="BB44" s="411">
        <v>58338.223229999996</v>
      </c>
      <c r="BC44" s="411">
        <v>58283.557430000001</v>
      </c>
      <c r="BD44" s="411">
        <v>58536.297549999996</v>
      </c>
      <c r="BE44" s="587">
        <v>58652.68002</v>
      </c>
      <c r="BF44" s="587">
        <v>58933.954409999998</v>
      </c>
      <c r="BG44" s="587">
        <v>59497.046470000001</v>
      </c>
      <c r="BH44" s="587">
        <v>58863.673240000004</v>
      </c>
      <c r="BI44" s="587">
        <v>59548.096990000005</v>
      </c>
      <c r="BJ44" s="587">
        <v>58824.206109999999</v>
      </c>
      <c r="BK44" s="587">
        <v>59182.826119999998</v>
      </c>
      <c r="BL44" s="587">
        <v>60411.84274</v>
      </c>
      <c r="BM44" s="587">
        <v>58537.919139999998</v>
      </c>
      <c r="BN44" s="587">
        <v>58883.217750000003</v>
      </c>
      <c r="BO44" s="587">
        <v>59124.026039999997</v>
      </c>
      <c r="BP44" s="587">
        <v>59227.864950000003</v>
      </c>
      <c r="BQ44" s="587">
        <v>59234.740399999995</v>
      </c>
      <c r="BR44" s="587">
        <v>58915.849070000004</v>
      </c>
      <c r="BS44" s="587">
        <v>59442.146409999994</v>
      </c>
      <c r="BT44" s="587">
        <v>59602.49613</v>
      </c>
      <c r="BU44" s="587">
        <v>59999.36606</v>
      </c>
      <c r="BV44" s="587">
        <v>62146.609060000003</v>
      </c>
      <c r="BW44" s="587">
        <v>66926.8</v>
      </c>
      <c r="BX44" s="587">
        <v>67418.799999999988</v>
      </c>
      <c r="BY44" s="587">
        <v>65678.699999999983</v>
      </c>
      <c r="BZ44" s="587">
        <v>66023.5</v>
      </c>
      <c r="CA44" s="587">
        <v>66250.599999999991</v>
      </c>
      <c r="CB44" s="587">
        <v>66615.099999999991</v>
      </c>
      <c r="CC44" s="587">
        <v>66778.399999999994</v>
      </c>
      <c r="CD44" s="587">
        <v>66890.2</v>
      </c>
      <c r="CE44" s="587">
        <v>67132</v>
      </c>
      <c r="CF44" s="587">
        <v>67233.099999999991</v>
      </c>
      <c r="CG44" s="587">
        <v>67424.5</v>
      </c>
      <c r="CH44" s="345">
        <v>67943.3</v>
      </c>
      <c r="CI44" s="1090">
        <v>68467.3</v>
      </c>
      <c r="CJ44" s="345">
        <v>68950.399999999994</v>
      </c>
      <c r="CK44" s="345">
        <v>67330.099999999991</v>
      </c>
      <c r="CL44" s="345">
        <v>67697.399999999994</v>
      </c>
      <c r="CM44" s="345">
        <v>67948.2</v>
      </c>
      <c r="CN44" s="345">
        <v>68276.400000000009</v>
      </c>
      <c r="CO44" s="345">
        <v>68476</v>
      </c>
      <c r="CP44" s="345">
        <v>68632.099999999991</v>
      </c>
      <c r="CQ44" s="345">
        <v>68910.900000000009</v>
      </c>
      <c r="CR44" s="345">
        <v>69050</v>
      </c>
      <c r="CS44" s="345">
        <v>69268.899999999994</v>
      </c>
      <c r="CT44" s="345">
        <v>69734.399999999994</v>
      </c>
      <c r="CU44" s="698">
        <f t="shared" si="76"/>
        <v>68514.261538461549</v>
      </c>
      <c r="CV44" s="1059"/>
      <c r="CW44" s="33"/>
      <c r="CX44" s="184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</row>
    <row r="45" spans="1:116">
      <c r="A45" s="616" t="s">
        <v>498</v>
      </c>
      <c r="B45" s="260">
        <f t="shared" ca="1" si="75"/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O45" s="411">
        <v>0</v>
      </c>
      <c r="P45" s="411">
        <v>0</v>
      </c>
      <c r="Q45" s="411">
        <v>0</v>
      </c>
      <c r="R45" s="411">
        <v>0</v>
      </c>
      <c r="S45" s="411">
        <v>0</v>
      </c>
      <c r="T45" s="411">
        <v>0</v>
      </c>
      <c r="U45" s="411">
        <v>0</v>
      </c>
      <c r="V45" s="411">
        <v>0</v>
      </c>
      <c r="W45" s="411">
        <v>0</v>
      </c>
      <c r="X45" s="411">
        <v>0</v>
      </c>
      <c r="Y45" s="411">
        <v>0</v>
      </c>
      <c r="Z45" s="411">
        <v>0</v>
      </c>
      <c r="AA45" s="411">
        <v>0</v>
      </c>
      <c r="AB45" s="411">
        <v>0</v>
      </c>
      <c r="AC45" s="411">
        <v>0</v>
      </c>
      <c r="AD45" s="411">
        <v>0</v>
      </c>
      <c r="AE45" s="411">
        <v>0</v>
      </c>
      <c r="AF45" s="411">
        <v>0</v>
      </c>
      <c r="AG45" s="411">
        <v>0</v>
      </c>
      <c r="AH45" s="411">
        <v>0</v>
      </c>
      <c r="AI45" s="411">
        <v>0</v>
      </c>
      <c r="AJ45" s="411">
        <v>0</v>
      </c>
      <c r="AK45" s="411">
        <v>0</v>
      </c>
      <c r="AL45" s="411">
        <v>0</v>
      </c>
      <c r="AM45" s="411">
        <v>0</v>
      </c>
      <c r="AN45" s="411">
        <v>0</v>
      </c>
      <c r="AO45" s="411">
        <v>0</v>
      </c>
      <c r="AP45" s="411">
        <v>0</v>
      </c>
      <c r="AQ45" s="411">
        <v>0</v>
      </c>
      <c r="AR45" s="411">
        <v>0</v>
      </c>
      <c r="AS45" s="411">
        <v>0</v>
      </c>
      <c r="AT45" s="411">
        <v>0</v>
      </c>
      <c r="AU45" s="411">
        <v>0</v>
      </c>
      <c r="AV45" s="411">
        <v>0.06</v>
      </c>
      <c r="AW45" s="411">
        <v>0</v>
      </c>
      <c r="AX45" s="411">
        <v>0</v>
      </c>
      <c r="AY45" s="411">
        <v>0</v>
      </c>
      <c r="AZ45" s="411">
        <v>0</v>
      </c>
      <c r="BA45" s="411">
        <v>0</v>
      </c>
      <c r="BB45" s="411">
        <v>0</v>
      </c>
      <c r="BC45" s="411">
        <v>0</v>
      </c>
      <c r="BD45" s="411">
        <v>0</v>
      </c>
      <c r="BE45" s="587">
        <v>0</v>
      </c>
      <c r="BF45" s="587">
        <v>0</v>
      </c>
      <c r="BG45" s="587">
        <v>0</v>
      </c>
      <c r="BH45" s="587">
        <v>0</v>
      </c>
      <c r="BI45" s="587">
        <v>0</v>
      </c>
      <c r="BJ45" s="587">
        <v>0</v>
      </c>
      <c r="BK45" s="587">
        <v>0</v>
      </c>
      <c r="BL45" s="587">
        <v>0</v>
      </c>
      <c r="BM45" s="587">
        <v>0</v>
      </c>
      <c r="BN45" s="587">
        <v>0</v>
      </c>
      <c r="BO45" s="587">
        <v>0</v>
      </c>
      <c r="BP45" s="587">
        <v>0</v>
      </c>
      <c r="BQ45" s="587">
        <v>0</v>
      </c>
      <c r="BR45" s="587">
        <v>0</v>
      </c>
      <c r="BS45" s="587">
        <v>0</v>
      </c>
      <c r="BT45" s="587">
        <v>0</v>
      </c>
      <c r="BU45" s="587">
        <v>0</v>
      </c>
      <c r="BV45" s="587">
        <v>0</v>
      </c>
      <c r="BW45" s="587">
        <v>0</v>
      </c>
      <c r="BX45" s="587">
        <v>0</v>
      </c>
      <c r="BY45" s="587">
        <v>0</v>
      </c>
      <c r="BZ45" s="587">
        <v>0</v>
      </c>
      <c r="CA45" s="587">
        <v>0</v>
      </c>
      <c r="CB45" s="587">
        <v>0</v>
      </c>
      <c r="CC45" s="587">
        <v>0</v>
      </c>
      <c r="CD45" s="587">
        <v>0</v>
      </c>
      <c r="CE45" s="587">
        <v>0</v>
      </c>
      <c r="CF45" s="587">
        <v>0</v>
      </c>
      <c r="CG45" s="587">
        <v>0</v>
      </c>
      <c r="CH45" s="587">
        <v>0</v>
      </c>
      <c r="CI45" s="587">
        <v>0</v>
      </c>
      <c r="CJ45" s="587">
        <v>0</v>
      </c>
      <c r="CK45" s="587">
        <v>0</v>
      </c>
      <c r="CL45" s="587">
        <v>0</v>
      </c>
      <c r="CM45" s="587">
        <v>0</v>
      </c>
      <c r="CN45" s="587">
        <v>0</v>
      </c>
      <c r="CO45" s="587">
        <v>0</v>
      </c>
      <c r="CP45" s="587">
        <v>0</v>
      </c>
      <c r="CQ45" s="587">
        <v>0</v>
      </c>
      <c r="CR45" s="587">
        <v>0</v>
      </c>
      <c r="CS45" s="587">
        <v>0</v>
      </c>
      <c r="CT45" s="587">
        <v>0</v>
      </c>
      <c r="CU45" s="698">
        <f t="shared" si="76"/>
        <v>0</v>
      </c>
      <c r="CW45" s="33"/>
      <c r="CX45" s="184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</row>
    <row r="46" spans="1:116">
      <c r="A46" s="616" t="s">
        <v>499</v>
      </c>
      <c r="B46" s="260">
        <f t="shared" ca="1" si="75"/>
        <v>55171.230769230766</v>
      </c>
      <c r="C46" s="352">
        <v>70830.252769999992</v>
      </c>
      <c r="D46" s="352">
        <v>70254.901520000014</v>
      </c>
      <c r="E46" s="352">
        <v>68535.840510000009</v>
      </c>
      <c r="F46" s="352">
        <v>68112.887950000004</v>
      </c>
      <c r="G46" s="352">
        <v>67688.72024000001</v>
      </c>
      <c r="H46" s="352">
        <v>68115.282019999999</v>
      </c>
      <c r="I46" s="352">
        <v>67731.605639999994</v>
      </c>
      <c r="J46" s="352">
        <v>67890.483330000003</v>
      </c>
      <c r="K46" s="352">
        <v>66962.067909999998</v>
      </c>
      <c r="L46" s="352">
        <v>66619.551349999994</v>
      </c>
      <c r="M46" s="352">
        <v>66264.137279999995</v>
      </c>
      <c r="N46" s="352">
        <v>64835.58266</v>
      </c>
      <c r="O46" s="415">
        <v>64933.396590000004</v>
      </c>
      <c r="P46" s="415">
        <v>65244.409619999999</v>
      </c>
      <c r="Q46" s="415">
        <v>59827.964010000003</v>
      </c>
      <c r="R46" s="415">
        <v>60105.970669999995</v>
      </c>
      <c r="S46" s="415">
        <v>60086.399309999993</v>
      </c>
      <c r="T46" s="415">
        <v>59622.403859999999</v>
      </c>
      <c r="U46" s="415">
        <v>59973.886749999998</v>
      </c>
      <c r="V46" s="415">
        <v>60632.430609999996</v>
      </c>
      <c r="W46" s="415">
        <v>53375.956300000005</v>
      </c>
      <c r="X46" s="415">
        <v>54283.035830000001</v>
      </c>
      <c r="Y46" s="415">
        <v>55830.138780000001</v>
      </c>
      <c r="Z46" s="415">
        <v>58277.144090000002</v>
      </c>
      <c r="AA46" s="415">
        <v>58080.181830000001</v>
      </c>
      <c r="AB46" s="415">
        <v>58864.521289999997</v>
      </c>
      <c r="AC46" s="415">
        <v>58624.363279999998</v>
      </c>
      <c r="AD46" s="415">
        <v>59133.599669999996</v>
      </c>
      <c r="AE46" s="415">
        <v>59790.011739999994</v>
      </c>
      <c r="AF46" s="415">
        <v>59988.540849999998</v>
      </c>
      <c r="AG46" s="415">
        <v>60019.876629999999</v>
      </c>
      <c r="AH46" s="415">
        <v>60424.509920000004</v>
      </c>
      <c r="AI46" s="415">
        <v>61106.555189999999</v>
      </c>
      <c r="AJ46" s="415">
        <v>61357.266819999997</v>
      </c>
      <c r="AK46" s="415">
        <v>62186.112700000005</v>
      </c>
      <c r="AL46" s="415">
        <v>54632.48934</v>
      </c>
      <c r="AM46" s="415">
        <v>54624.616520000003</v>
      </c>
      <c r="AN46" s="415">
        <v>54848.027120000006</v>
      </c>
      <c r="AO46" s="415">
        <v>54894.123350000002</v>
      </c>
      <c r="AP46" s="415">
        <v>55206.396160000004</v>
      </c>
      <c r="AQ46" s="415">
        <v>55954.289480000007</v>
      </c>
      <c r="AR46" s="413">
        <v>55732.483930000002</v>
      </c>
      <c r="AS46" s="413">
        <v>56163.926220000001</v>
      </c>
      <c r="AT46" s="413">
        <v>57439.180289999997</v>
      </c>
      <c r="AU46" s="413">
        <v>58517.494700000003</v>
      </c>
      <c r="AV46" s="413">
        <v>58105.062389999999</v>
      </c>
      <c r="AW46" s="413">
        <v>59291.394589999996</v>
      </c>
      <c r="AX46" s="413">
        <v>61848.501990000004</v>
      </c>
      <c r="AY46" s="413">
        <v>61431.951190000007</v>
      </c>
      <c r="AZ46" s="413">
        <v>62507.009010000009</v>
      </c>
      <c r="BA46" s="413">
        <v>62885.483009999996</v>
      </c>
      <c r="BB46" s="413">
        <v>62852.994260000007</v>
      </c>
      <c r="BC46" s="413">
        <v>64288.750349999995</v>
      </c>
      <c r="BD46" s="413">
        <v>64171.958269999996</v>
      </c>
      <c r="BE46" s="582">
        <v>65457.203960000006</v>
      </c>
      <c r="BF46" s="582">
        <v>65526.210789999997</v>
      </c>
      <c r="BG46" s="582">
        <v>63159.92985</v>
      </c>
      <c r="BH46" s="582">
        <v>63487.314690000007</v>
      </c>
      <c r="BI46" s="582">
        <v>64304.817139999999</v>
      </c>
      <c r="BJ46" s="582">
        <v>54783.441789999997</v>
      </c>
      <c r="BK46" s="582">
        <v>54802.484989999997</v>
      </c>
      <c r="BL46" s="582">
        <v>54476.854079999997</v>
      </c>
      <c r="BM46" s="582">
        <v>53656.083579999999</v>
      </c>
      <c r="BN46" s="582">
        <v>53893.433839999998</v>
      </c>
      <c r="BO46" s="582">
        <v>54557.734810000002</v>
      </c>
      <c r="BP46" s="582">
        <v>52421.864460000004</v>
      </c>
      <c r="BQ46" s="582">
        <v>52496.172849999995</v>
      </c>
      <c r="BR46" s="582">
        <v>52694.693240000001</v>
      </c>
      <c r="BS46" s="582">
        <v>52216.605019999995</v>
      </c>
      <c r="BT46" s="582">
        <v>51696.577039999996</v>
      </c>
      <c r="BU46" s="582">
        <v>51887.732459999999</v>
      </c>
      <c r="BV46" s="582">
        <v>59791.088340000002</v>
      </c>
      <c r="BW46" s="582">
        <v>54886.399999999994</v>
      </c>
      <c r="BX46" s="582">
        <v>54852.700000000004</v>
      </c>
      <c r="BY46" s="582">
        <v>54458.89999999998</v>
      </c>
      <c r="BZ46" s="582">
        <v>54674.399999999994</v>
      </c>
      <c r="CA46" s="582">
        <v>54884.5</v>
      </c>
      <c r="CB46" s="582">
        <v>53367.400000000009</v>
      </c>
      <c r="CC46" s="582">
        <v>53589.599999999999</v>
      </c>
      <c r="CD46" s="582">
        <v>53854.7</v>
      </c>
      <c r="CE46" s="582">
        <v>53675.8</v>
      </c>
      <c r="CF46" s="582">
        <v>54065.7</v>
      </c>
      <c r="CG46" s="582">
        <v>54333.4</v>
      </c>
      <c r="CH46" s="582">
        <v>59449.299999999988</v>
      </c>
      <c r="CI46" s="582">
        <v>55458.1</v>
      </c>
      <c r="CJ46" s="582">
        <v>55325.999999999993</v>
      </c>
      <c r="CK46" s="582">
        <v>54843.699999999983</v>
      </c>
      <c r="CL46" s="582">
        <v>54956.6</v>
      </c>
      <c r="CM46" s="582">
        <v>55084.299999999996</v>
      </c>
      <c r="CN46" s="582">
        <v>53518.299999999988</v>
      </c>
      <c r="CO46" s="582">
        <v>53695.600000000006</v>
      </c>
      <c r="CP46" s="582">
        <v>53917.300000000025</v>
      </c>
      <c r="CQ46" s="582">
        <v>53705.19999999999</v>
      </c>
      <c r="CR46" s="582">
        <v>54098.000000000007</v>
      </c>
      <c r="CS46" s="582">
        <v>54418.80000000001</v>
      </c>
      <c r="CT46" s="582">
        <v>58754.799999999996</v>
      </c>
      <c r="CU46" s="698">
        <f t="shared" si="76"/>
        <v>55171.230769230766</v>
      </c>
      <c r="CW46" s="33"/>
      <c r="CX46" s="184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</row>
    <row r="47" spans="1:116">
      <c r="A47" s="616" t="s">
        <v>500</v>
      </c>
      <c r="B47" s="260">
        <f t="shared" ca="1" si="75"/>
        <v>799.33076923076919</v>
      </c>
      <c r="C47" s="352"/>
      <c r="D47" s="352"/>
      <c r="E47" s="352"/>
      <c r="F47" s="352"/>
      <c r="G47" s="352"/>
      <c r="H47" s="352"/>
      <c r="I47" s="352">
        <v>0</v>
      </c>
      <c r="J47" s="352">
        <v>644.17999999999995</v>
      </c>
      <c r="K47" s="352">
        <v>1043.8399999999999</v>
      </c>
      <c r="L47" s="352">
        <v>2243.0770000000002</v>
      </c>
      <c r="M47" s="352">
        <v>2637.5909999999999</v>
      </c>
      <c r="N47" s="352">
        <v>2498.4279999999999</v>
      </c>
      <c r="O47" s="415">
        <v>1599.3420000000001</v>
      </c>
      <c r="P47" s="415">
        <v>1232.539</v>
      </c>
      <c r="Q47" s="415">
        <v>1526.2539999999999</v>
      </c>
      <c r="R47" s="415">
        <v>2526.5859999999998</v>
      </c>
      <c r="S47" s="415">
        <v>2276.018</v>
      </c>
      <c r="T47" s="415">
        <v>2209.5439999999999</v>
      </c>
      <c r="U47" s="415">
        <v>3301.2719999999999</v>
      </c>
      <c r="V47" s="415">
        <v>3838.4580000000001</v>
      </c>
      <c r="W47" s="415">
        <v>3615.23</v>
      </c>
      <c r="X47" s="415">
        <v>4659.576</v>
      </c>
      <c r="Y47" s="415">
        <v>4538.8100000000004</v>
      </c>
      <c r="Z47" s="415">
        <v>4327.5010000000002</v>
      </c>
      <c r="AA47" s="415">
        <v>3928.9780000000001</v>
      </c>
      <c r="AB47" s="415">
        <v>2604.221</v>
      </c>
      <c r="AC47" s="415">
        <v>1941.3720000000001</v>
      </c>
      <c r="AD47" s="415">
        <v>1695.605</v>
      </c>
      <c r="AE47" s="415">
        <v>1332.769</v>
      </c>
      <c r="AF47" s="415">
        <v>1894.2370000000001</v>
      </c>
      <c r="AG47" s="415">
        <v>2877.2060000000001</v>
      </c>
      <c r="AH47" s="415">
        <v>3118.9749999999999</v>
      </c>
      <c r="AI47" s="415">
        <v>2922.4319999999998</v>
      </c>
      <c r="AJ47" s="415">
        <v>3370.67</v>
      </c>
      <c r="AK47" s="415">
        <v>3465.7420000000002</v>
      </c>
      <c r="AL47" s="415">
        <v>3036.8220000000001</v>
      </c>
      <c r="AM47" s="415">
        <v>2633.6970000000001</v>
      </c>
      <c r="AN47" s="415">
        <v>1715.623</v>
      </c>
      <c r="AO47" s="415">
        <v>691.83600000000001</v>
      </c>
      <c r="AP47" s="415">
        <v>723.55700000000002</v>
      </c>
      <c r="AQ47" s="415">
        <v>748.01800000000003</v>
      </c>
      <c r="AR47" s="413">
        <v>833.63699999999994</v>
      </c>
      <c r="AS47" s="413">
        <v>867.66099999999994</v>
      </c>
      <c r="AT47" s="413">
        <v>1134.3910000000001</v>
      </c>
      <c r="AU47" s="413">
        <v>1694.7570000000001</v>
      </c>
      <c r="AV47" s="413">
        <v>2368.913</v>
      </c>
      <c r="AW47" s="413">
        <v>2272.665</v>
      </c>
      <c r="AX47" s="413">
        <v>1885.1020000000001</v>
      </c>
      <c r="AY47" s="413">
        <v>889.68399999999997</v>
      </c>
      <c r="AZ47" s="413">
        <v>650.52</v>
      </c>
      <c r="BA47" s="413">
        <v>483.07799999999997</v>
      </c>
      <c r="BB47" s="413">
        <v>194.67500000000001</v>
      </c>
      <c r="BC47" s="413">
        <v>88.787000000000006</v>
      </c>
      <c r="BD47" s="413">
        <v>5.1230000000000002</v>
      </c>
      <c r="BE47" s="582">
        <v>209.42</v>
      </c>
      <c r="BF47" s="582">
        <v>59.927</v>
      </c>
      <c r="BG47" s="582">
        <v>468.40600000000001</v>
      </c>
      <c r="BH47" s="582">
        <v>764.14599999999996</v>
      </c>
      <c r="BI47" s="582">
        <v>808.83299999999997</v>
      </c>
      <c r="BJ47" s="582">
        <v>601.75800000000004</v>
      </c>
      <c r="BK47" s="582">
        <v>0</v>
      </c>
      <c r="BL47" s="582">
        <v>0</v>
      </c>
      <c r="BM47" s="582">
        <v>0</v>
      </c>
      <c r="BN47" s="582">
        <v>0</v>
      </c>
      <c r="BO47" s="582">
        <v>0</v>
      </c>
      <c r="BP47" s="582">
        <v>0</v>
      </c>
      <c r="BQ47" s="582">
        <v>0</v>
      </c>
      <c r="BR47" s="582">
        <v>0</v>
      </c>
      <c r="BS47" s="582">
        <v>0</v>
      </c>
      <c r="BT47" s="582">
        <v>0</v>
      </c>
      <c r="BU47" s="582">
        <v>0</v>
      </c>
      <c r="BV47" s="582">
        <v>0</v>
      </c>
      <c r="BW47" s="582">
        <v>0</v>
      </c>
      <c r="BX47" s="582">
        <v>0</v>
      </c>
      <c r="BY47" s="582">
        <v>0</v>
      </c>
      <c r="BZ47" s="582">
        <v>0</v>
      </c>
      <c r="CA47" s="582">
        <v>0</v>
      </c>
      <c r="CB47" s="582">
        <v>0</v>
      </c>
      <c r="CC47" s="582">
        <v>0</v>
      </c>
      <c r="CD47" s="582">
        <v>177.1</v>
      </c>
      <c r="CE47" s="582">
        <v>816.6</v>
      </c>
      <c r="CF47" s="582">
        <v>1482.2</v>
      </c>
      <c r="CG47" s="582">
        <v>1950.8</v>
      </c>
      <c r="CH47" s="440">
        <v>1968.1</v>
      </c>
      <c r="CI47" s="582">
        <v>998</v>
      </c>
      <c r="CJ47" s="582">
        <v>312.5</v>
      </c>
      <c r="CK47" s="582">
        <v>0</v>
      </c>
      <c r="CL47" s="582">
        <v>0</v>
      </c>
      <c r="CM47" s="582">
        <v>0</v>
      </c>
      <c r="CN47" s="582">
        <v>48.8</v>
      </c>
      <c r="CO47" s="582">
        <v>369.4</v>
      </c>
      <c r="CP47" s="582">
        <v>818.9</v>
      </c>
      <c r="CQ47" s="582">
        <v>1189.3</v>
      </c>
      <c r="CR47" s="582">
        <v>1590.1</v>
      </c>
      <c r="CS47" s="582">
        <v>1747.4</v>
      </c>
      <c r="CT47" s="582">
        <v>1348.8</v>
      </c>
      <c r="CU47" s="698">
        <f t="shared" si="76"/>
        <v>799.33076923076919</v>
      </c>
      <c r="CV47" s="1059"/>
      <c r="CW47" s="33"/>
      <c r="CX47" s="184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</row>
    <row r="48" spans="1:116">
      <c r="A48" s="616" t="s">
        <v>501</v>
      </c>
      <c r="B48" s="260">
        <f t="shared" ca="1" si="75"/>
        <v>0</v>
      </c>
      <c r="C48" s="352"/>
      <c r="D48" s="352"/>
      <c r="E48" s="352"/>
      <c r="F48" s="352"/>
      <c r="G48" s="352"/>
      <c r="H48" s="352"/>
      <c r="I48" s="352">
        <v>0</v>
      </c>
      <c r="J48" s="352">
        <v>0</v>
      </c>
      <c r="K48" s="352">
        <v>20.891999999999999</v>
      </c>
      <c r="L48" s="352">
        <v>374.99400000000003</v>
      </c>
      <c r="M48" s="352">
        <v>691.18499999999995</v>
      </c>
      <c r="N48" s="352">
        <v>1030.5519999999999</v>
      </c>
      <c r="O48" s="415">
        <v>409.47899999999998</v>
      </c>
      <c r="P48" s="415">
        <v>0</v>
      </c>
      <c r="Q48" s="415">
        <v>0</v>
      </c>
      <c r="R48" s="415">
        <v>0</v>
      </c>
      <c r="S48" s="415">
        <v>0</v>
      </c>
      <c r="T48" s="415">
        <v>0</v>
      </c>
      <c r="U48" s="415">
        <v>0</v>
      </c>
      <c r="V48" s="415">
        <v>0</v>
      </c>
      <c r="W48" s="415">
        <v>0</v>
      </c>
      <c r="X48" s="415">
        <v>0</v>
      </c>
      <c r="Y48" s="415">
        <v>0</v>
      </c>
      <c r="Z48" s="415">
        <v>0</v>
      </c>
      <c r="AA48" s="415">
        <v>0</v>
      </c>
      <c r="AB48" s="415">
        <v>0</v>
      </c>
      <c r="AC48" s="415">
        <v>0</v>
      </c>
      <c r="AD48" s="415">
        <v>0</v>
      </c>
      <c r="AE48" s="415">
        <v>0</v>
      </c>
      <c r="AF48" s="415">
        <v>296.89600000000002</v>
      </c>
      <c r="AG48" s="415">
        <v>764.38</v>
      </c>
      <c r="AH48" s="415">
        <v>1275.1410000000001</v>
      </c>
      <c r="AI48" s="415">
        <v>1795.596</v>
      </c>
      <c r="AJ48" s="415">
        <v>2279.5509999999999</v>
      </c>
      <c r="AK48" s="415">
        <v>2772.7640000000001</v>
      </c>
      <c r="AL48" s="415">
        <v>3382.549</v>
      </c>
      <c r="AM48" s="415">
        <v>2748.2489999999998</v>
      </c>
      <c r="AN48" s="415">
        <v>2185.6979999999999</v>
      </c>
      <c r="AO48" s="415">
        <v>1786.204</v>
      </c>
      <c r="AP48" s="415">
        <v>1888.6959999999999</v>
      </c>
      <c r="AQ48" s="415">
        <v>2168.596</v>
      </c>
      <c r="AR48" s="413">
        <v>2473.6979999999999</v>
      </c>
      <c r="AS48" s="413">
        <v>2911.0990000000002</v>
      </c>
      <c r="AT48" s="413">
        <v>3383.4540000000002</v>
      </c>
      <c r="AU48" s="413">
        <v>3892.511</v>
      </c>
      <c r="AV48" s="413">
        <v>4349.6639999999998</v>
      </c>
      <c r="AW48" s="413">
        <v>4644.3119999999999</v>
      </c>
      <c r="AX48" s="413">
        <v>4581.2120000000004</v>
      </c>
      <c r="AY48" s="413">
        <v>3927.8789999999999</v>
      </c>
      <c r="AZ48" s="413">
        <v>3358.08</v>
      </c>
      <c r="BA48" s="413">
        <v>2895.96</v>
      </c>
      <c r="BB48" s="413">
        <v>2471.0880000000002</v>
      </c>
      <c r="BC48" s="413">
        <v>2144.0070000000001</v>
      </c>
      <c r="BD48" s="413">
        <v>1861.7829999999999</v>
      </c>
      <c r="BE48" s="582">
        <v>1609.829</v>
      </c>
      <c r="BF48" s="582">
        <v>1407.7550000000001</v>
      </c>
      <c r="BG48" s="582">
        <v>1200.758</v>
      </c>
      <c r="BH48" s="582">
        <v>1033.527</v>
      </c>
      <c r="BI48" s="582">
        <v>837.17</v>
      </c>
      <c r="BJ48" s="582">
        <v>563.79399999999998</v>
      </c>
      <c r="BK48" s="582">
        <v>359.09500000000003</v>
      </c>
      <c r="BL48" s="582">
        <v>131.72800000000001</v>
      </c>
      <c r="BM48" s="582">
        <v>4.6779999999999999</v>
      </c>
      <c r="BN48" s="582">
        <v>0</v>
      </c>
      <c r="BO48" s="582">
        <v>0</v>
      </c>
      <c r="BP48" s="582">
        <v>0</v>
      </c>
      <c r="BQ48" s="582">
        <v>0</v>
      </c>
      <c r="BR48" s="582">
        <v>0</v>
      </c>
      <c r="BS48" s="582">
        <v>318.93860999999998</v>
      </c>
      <c r="BT48" s="582">
        <v>426.78361000000001</v>
      </c>
      <c r="BU48" s="582">
        <v>525.66061000000002</v>
      </c>
      <c r="BV48" s="582">
        <v>845.04710999999998</v>
      </c>
      <c r="BW48" s="582">
        <v>361.8</v>
      </c>
      <c r="BX48" s="582">
        <v>0</v>
      </c>
      <c r="BY48" s="582">
        <v>0</v>
      </c>
      <c r="BZ48" s="582">
        <v>0</v>
      </c>
      <c r="CA48" s="582">
        <v>0</v>
      </c>
      <c r="CB48" s="582">
        <v>0</v>
      </c>
      <c r="CC48" s="582">
        <v>0</v>
      </c>
      <c r="CD48" s="582">
        <v>0</v>
      </c>
      <c r="CE48" s="582">
        <v>0</v>
      </c>
      <c r="CF48" s="582">
        <v>0</v>
      </c>
      <c r="CG48" s="582">
        <v>0</v>
      </c>
      <c r="CH48" s="582">
        <v>0</v>
      </c>
      <c r="CI48" s="582">
        <v>0</v>
      </c>
      <c r="CJ48" s="582">
        <v>0</v>
      </c>
      <c r="CK48" s="582">
        <v>0</v>
      </c>
      <c r="CL48" s="582">
        <v>0</v>
      </c>
      <c r="CM48" s="582">
        <v>0</v>
      </c>
      <c r="CN48" s="582">
        <v>0</v>
      </c>
      <c r="CO48" s="582">
        <v>0</v>
      </c>
      <c r="CP48" s="582">
        <v>0</v>
      </c>
      <c r="CQ48" s="582">
        <v>0</v>
      </c>
      <c r="CR48" s="582">
        <v>0</v>
      </c>
      <c r="CS48" s="582">
        <v>0</v>
      </c>
      <c r="CT48" s="582">
        <v>0</v>
      </c>
      <c r="CU48" s="698">
        <f t="shared" si="76"/>
        <v>0</v>
      </c>
      <c r="CW48" s="33"/>
      <c r="CX48" s="184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</row>
    <row r="49" spans="1:116">
      <c r="A49" s="616" t="s">
        <v>502</v>
      </c>
      <c r="B49" s="260">
        <f t="shared" ca="1" si="75"/>
        <v>0</v>
      </c>
      <c r="C49" s="348">
        <v>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0</v>
      </c>
      <c r="O49" s="411">
        <v>0</v>
      </c>
      <c r="P49" s="411">
        <v>0</v>
      </c>
      <c r="Q49" s="411">
        <v>0</v>
      </c>
      <c r="R49" s="411">
        <v>0</v>
      </c>
      <c r="S49" s="411">
        <v>0</v>
      </c>
      <c r="T49" s="411">
        <v>0</v>
      </c>
      <c r="U49" s="411">
        <v>0</v>
      </c>
      <c r="V49" s="411">
        <v>0</v>
      </c>
      <c r="W49" s="411">
        <v>0</v>
      </c>
      <c r="X49" s="411">
        <v>0</v>
      </c>
      <c r="Y49" s="411">
        <v>0</v>
      </c>
      <c r="Z49" s="411">
        <v>0</v>
      </c>
      <c r="AA49" s="411">
        <v>0</v>
      </c>
      <c r="AB49" s="411">
        <v>0</v>
      </c>
      <c r="AC49" s="411">
        <v>0</v>
      </c>
      <c r="AD49" s="411">
        <v>0</v>
      </c>
      <c r="AE49" s="411">
        <v>0</v>
      </c>
      <c r="AF49" s="411">
        <v>0</v>
      </c>
      <c r="AG49" s="411">
        <v>0</v>
      </c>
      <c r="AH49" s="411">
        <v>0</v>
      </c>
      <c r="AI49" s="411">
        <v>0</v>
      </c>
      <c r="AJ49" s="411">
        <v>0</v>
      </c>
      <c r="AK49" s="411">
        <v>0</v>
      </c>
      <c r="AL49" s="411">
        <v>0</v>
      </c>
      <c r="AM49" s="411">
        <v>0</v>
      </c>
      <c r="AN49" s="411">
        <v>0</v>
      </c>
      <c r="AO49" s="411">
        <v>0</v>
      </c>
      <c r="AP49" s="411">
        <v>0</v>
      </c>
      <c r="AQ49" s="411">
        <v>0</v>
      </c>
      <c r="AR49" s="411">
        <v>0</v>
      </c>
      <c r="AS49" s="411">
        <v>0</v>
      </c>
      <c r="AT49" s="411">
        <v>0</v>
      </c>
      <c r="AU49" s="411">
        <v>0</v>
      </c>
      <c r="AV49" s="411">
        <v>0</v>
      </c>
      <c r="AW49" s="411">
        <v>0</v>
      </c>
      <c r="AX49" s="411">
        <v>0</v>
      </c>
      <c r="AY49" s="411">
        <v>0</v>
      </c>
      <c r="AZ49" s="411">
        <v>0</v>
      </c>
      <c r="BA49" s="411">
        <v>0</v>
      </c>
      <c r="BB49" s="411">
        <v>0</v>
      </c>
      <c r="BC49" s="411">
        <v>0</v>
      </c>
      <c r="BD49" s="411">
        <v>0</v>
      </c>
      <c r="BE49" s="587">
        <v>0</v>
      </c>
      <c r="BF49" s="587">
        <v>0</v>
      </c>
      <c r="BG49" s="587">
        <v>0</v>
      </c>
      <c r="BH49" s="587">
        <v>0</v>
      </c>
      <c r="BI49" s="587">
        <v>0</v>
      </c>
      <c r="BJ49" s="587">
        <v>0</v>
      </c>
      <c r="BK49" s="587">
        <v>0</v>
      </c>
      <c r="BL49" s="587">
        <v>0</v>
      </c>
      <c r="BM49" s="587">
        <v>0</v>
      </c>
      <c r="BN49" s="587">
        <v>0</v>
      </c>
      <c r="BO49" s="587">
        <v>0</v>
      </c>
      <c r="BP49" s="587">
        <v>0</v>
      </c>
      <c r="BQ49" s="587">
        <v>0</v>
      </c>
      <c r="BR49" s="587">
        <v>0</v>
      </c>
      <c r="BS49" s="587">
        <v>0</v>
      </c>
      <c r="BT49" s="587">
        <v>0</v>
      </c>
      <c r="BU49" s="587">
        <v>0</v>
      </c>
      <c r="BV49" s="587">
        <v>0</v>
      </c>
      <c r="BW49" s="587">
        <v>0</v>
      </c>
      <c r="BX49" s="587">
        <v>0</v>
      </c>
      <c r="BY49" s="587">
        <v>0</v>
      </c>
      <c r="BZ49" s="587">
        <v>0</v>
      </c>
      <c r="CA49" s="587">
        <v>0</v>
      </c>
      <c r="CB49" s="587">
        <v>0</v>
      </c>
      <c r="CC49" s="587">
        <v>0</v>
      </c>
      <c r="CD49" s="587">
        <v>0</v>
      </c>
      <c r="CE49" s="587">
        <v>0</v>
      </c>
      <c r="CF49" s="587">
        <v>0</v>
      </c>
      <c r="CG49" s="587">
        <v>0</v>
      </c>
      <c r="CH49" s="587">
        <v>0</v>
      </c>
      <c r="CI49" s="587">
        <v>0</v>
      </c>
      <c r="CJ49" s="587">
        <v>0</v>
      </c>
      <c r="CK49" s="587">
        <v>0</v>
      </c>
      <c r="CL49" s="587">
        <v>0</v>
      </c>
      <c r="CM49" s="587">
        <v>0</v>
      </c>
      <c r="CN49" s="587">
        <v>0</v>
      </c>
      <c r="CO49" s="587">
        <v>0</v>
      </c>
      <c r="CP49" s="587">
        <v>0</v>
      </c>
      <c r="CQ49" s="587">
        <v>0</v>
      </c>
      <c r="CR49" s="587">
        <v>0</v>
      </c>
      <c r="CS49" s="587">
        <v>0</v>
      </c>
      <c r="CT49" s="587">
        <v>0</v>
      </c>
      <c r="CU49" s="698">
        <f t="shared" si="76"/>
        <v>0</v>
      </c>
      <c r="CW49" s="33"/>
      <c r="CX49" s="184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</row>
    <row r="50" spans="1:116">
      <c r="A50" s="616" t="s">
        <v>503</v>
      </c>
      <c r="B50" s="260">
        <f t="shared" ca="1" si="75"/>
        <v>2653.8076923076924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O50" s="411">
        <v>0</v>
      </c>
      <c r="P50" s="411">
        <v>0</v>
      </c>
      <c r="Q50" s="411">
        <v>0</v>
      </c>
      <c r="R50" s="411">
        <v>0</v>
      </c>
      <c r="S50" s="411">
        <v>0</v>
      </c>
      <c r="T50" s="411">
        <v>0</v>
      </c>
      <c r="U50" s="411">
        <v>0</v>
      </c>
      <c r="V50" s="411">
        <v>0</v>
      </c>
      <c r="W50" s="411">
        <v>0</v>
      </c>
      <c r="X50" s="411">
        <v>0</v>
      </c>
      <c r="Y50" s="411">
        <v>0</v>
      </c>
      <c r="Z50" s="411">
        <v>0</v>
      </c>
      <c r="AA50" s="411">
        <v>0</v>
      </c>
      <c r="AB50" s="411">
        <v>0</v>
      </c>
      <c r="AC50" s="411">
        <v>0</v>
      </c>
      <c r="AD50" s="411">
        <v>0</v>
      </c>
      <c r="AE50" s="411">
        <v>0</v>
      </c>
      <c r="AF50" s="411">
        <v>0</v>
      </c>
      <c r="AG50" s="411">
        <v>0</v>
      </c>
      <c r="AH50" s="411">
        <v>0</v>
      </c>
      <c r="AI50" s="411">
        <v>0</v>
      </c>
      <c r="AJ50" s="411">
        <v>0</v>
      </c>
      <c r="AK50" s="411">
        <v>0</v>
      </c>
      <c r="AL50" s="411">
        <v>0</v>
      </c>
      <c r="AM50" s="411">
        <v>0</v>
      </c>
      <c r="AN50" s="411">
        <v>0</v>
      </c>
      <c r="AO50" s="411">
        <v>0</v>
      </c>
      <c r="AP50" s="411">
        <v>0</v>
      </c>
      <c r="AQ50" s="411">
        <v>0</v>
      </c>
      <c r="AR50" s="411">
        <v>0</v>
      </c>
      <c r="AS50" s="411">
        <v>0</v>
      </c>
      <c r="AT50" s="411">
        <v>0</v>
      </c>
      <c r="AU50" s="411">
        <v>0</v>
      </c>
      <c r="AV50" s="411">
        <v>0</v>
      </c>
      <c r="AW50" s="411">
        <v>0</v>
      </c>
      <c r="AX50" s="411">
        <v>1230.44886</v>
      </c>
      <c r="AY50" s="411">
        <v>1224.81459</v>
      </c>
      <c r="AZ50" s="411">
        <v>1190.2958899999999</v>
      </c>
      <c r="BA50" s="411">
        <v>1155.32736</v>
      </c>
      <c r="BB50" s="411">
        <v>1120.31744</v>
      </c>
      <c r="BC50" s="411">
        <v>1093.98074</v>
      </c>
      <c r="BD50" s="411">
        <v>1058.6910399999999</v>
      </c>
      <c r="BE50" s="587">
        <v>1023.40134</v>
      </c>
      <c r="BF50" s="587">
        <v>988.11163999999997</v>
      </c>
      <c r="BG50" s="587">
        <v>952.82193999999993</v>
      </c>
      <c r="BH50" s="587">
        <v>917.53224</v>
      </c>
      <c r="BI50" s="587">
        <v>882.24253999999996</v>
      </c>
      <c r="BJ50" s="587">
        <v>846.95283999999992</v>
      </c>
      <c r="BK50" s="587">
        <v>811.66313999999988</v>
      </c>
      <c r="BL50" s="587">
        <v>776.37343999999996</v>
      </c>
      <c r="BM50" s="587">
        <v>741.08374000000003</v>
      </c>
      <c r="BN50" s="587">
        <v>705.79404</v>
      </c>
      <c r="BO50" s="587">
        <v>670.50433999999996</v>
      </c>
      <c r="BP50" s="587">
        <v>635.21463999999992</v>
      </c>
      <c r="BQ50" s="587">
        <v>599.92493999999999</v>
      </c>
      <c r="BR50" s="587">
        <v>564.63523999999995</v>
      </c>
      <c r="BS50" s="587">
        <v>529.34553999999991</v>
      </c>
      <c r="BT50" s="587">
        <v>494.05583999999999</v>
      </c>
      <c r="BU50" s="587">
        <v>458.76613999999995</v>
      </c>
      <c r="BV50" s="587">
        <v>423.47641999999996</v>
      </c>
      <c r="BW50" s="587">
        <v>388.2</v>
      </c>
      <c r="BX50" s="587">
        <v>352.9</v>
      </c>
      <c r="BY50" s="587">
        <v>317.60000000000002</v>
      </c>
      <c r="BZ50" s="587">
        <v>282.3</v>
      </c>
      <c r="CA50" s="587">
        <v>247</v>
      </c>
      <c r="CB50" s="587">
        <v>211.7</v>
      </c>
      <c r="CC50" s="587">
        <v>176.4</v>
      </c>
      <c r="CD50" s="587">
        <v>141.1</v>
      </c>
      <c r="CE50" s="587">
        <v>105.8</v>
      </c>
      <c r="CF50" s="587">
        <v>70.5</v>
      </c>
      <c r="CG50" s="587">
        <v>35.200000000000003</v>
      </c>
      <c r="CH50" s="345">
        <v>1570.5</v>
      </c>
      <c r="CI50" s="1090">
        <v>3247.8</v>
      </c>
      <c r="CJ50" s="345">
        <v>3157.6000000000004</v>
      </c>
      <c r="CK50" s="345">
        <v>3067.4</v>
      </c>
      <c r="CL50" s="345">
        <v>2977.1000000000004</v>
      </c>
      <c r="CM50" s="345">
        <v>2886.9</v>
      </c>
      <c r="CN50" s="345">
        <v>2796.7</v>
      </c>
      <c r="CO50" s="345">
        <v>2706.5</v>
      </c>
      <c r="CP50" s="345">
        <v>2616.3000000000002</v>
      </c>
      <c r="CQ50" s="345">
        <v>2526.1</v>
      </c>
      <c r="CR50" s="345">
        <v>2435.8000000000002</v>
      </c>
      <c r="CS50" s="345">
        <v>2345.6</v>
      </c>
      <c r="CT50" s="345">
        <v>2165.1999999999998</v>
      </c>
      <c r="CU50" s="698">
        <f t="shared" si="76"/>
        <v>2653.8076923076924</v>
      </c>
      <c r="CV50" s="1059"/>
      <c r="CW50" s="33"/>
      <c r="CX50" s="184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</row>
    <row r="51" spans="1:116">
      <c r="A51" s="616" t="s">
        <v>504</v>
      </c>
      <c r="B51" s="318">
        <f t="shared" ca="1" si="75"/>
        <v>0.10769230768626305</v>
      </c>
      <c r="C51" s="348">
        <v>-2642.3463999999999</v>
      </c>
      <c r="D51" s="348">
        <v>-5804.9904100000003</v>
      </c>
      <c r="E51" s="348">
        <v>-2294.8544100000004</v>
      </c>
      <c r="F51" s="348">
        <v>-3251.3334100000002</v>
      </c>
      <c r="G51" s="348">
        <v>-3259.4184100000002</v>
      </c>
      <c r="H51" s="348">
        <v>-2333.7824100000003</v>
      </c>
      <c r="I51" s="348">
        <v>-1140.35977</v>
      </c>
      <c r="J51" s="348">
        <v>62.853230000000003</v>
      </c>
      <c r="K51" s="348">
        <v>-1125.28477</v>
      </c>
      <c r="L51" s="348">
        <v>2293.4382300000002</v>
      </c>
      <c r="M51" s="348">
        <v>3505.8082300000001</v>
      </c>
      <c r="N51" s="348">
        <v>2834.6660699999998</v>
      </c>
      <c r="O51" s="411">
        <v>-2384.06493</v>
      </c>
      <c r="P51" s="411">
        <v>-8545.5559300000004</v>
      </c>
      <c r="Q51" s="411">
        <v>-5868.12093</v>
      </c>
      <c r="R51" s="411">
        <v>-9522.9779299999991</v>
      </c>
      <c r="S51" s="411">
        <v>-9400.2139299999999</v>
      </c>
      <c r="T51" s="411">
        <v>-9953.1939299999995</v>
      </c>
      <c r="U51" s="411">
        <v>-10094.4262</v>
      </c>
      <c r="V51" s="411">
        <v>-9688.2971999999991</v>
      </c>
      <c r="W51" s="411">
        <v>-10202.183199999999</v>
      </c>
      <c r="X51" s="411">
        <v>-7149.3702499999999</v>
      </c>
      <c r="Y51" s="411">
        <v>-834.98125000000005</v>
      </c>
      <c r="Z51" s="411">
        <v>2412.1773399999997</v>
      </c>
      <c r="AA51" s="411">
        <v>629.81018999999992</v>
      </c>
      <c r="AB51" s="411">
        <v>-2764.29981</v>
      </c>
      <c r="AC51" s="411">
        <v>-3806.5178100000003</v>
      </c>
      <c r="AD51" s="411">
        <v>-6734.3098099999997</v>
      </c>
      <c r="AE51" s="411">
        <v>-9153.0648099999999</v>
      </c>
      <c r="AF51" s="411">
        <v>-10301.39481</v>
      </c>
      <c r="AG51" s="411">
        <v>-10461.658810000001</v>
      </c>
      <c r="AH51" s="411">
        <v>-8902.0558099999998</v>
      </c>
      <c r="AI51" s="411">
        <v>-9455.8124700000008</v>
      </c>
      <c r="AJ51" s="411">
        <v>-6835.5414700000001</v>
      </c>
      <c r="AK51" s="411">
        <v>-4507.6064699999997</v>
      </c>
      <c r="AL51" s="411">
        <v>-5610.4994699999997</v>
      </c>
      <c r="AM51" s="411">
        <v>-9000.5974700000006</v>
      </c>
      <c r="AN51" s="411">
        <v>-12085.26064</v>
      </c>
      <c r="AO51" s="411">
        <v>-13315.27664</v>
      </c>
      <c r="AP51" s="411">
        <v>-13955.91264</v>
      </c>
      <c r="AQ51" s="411">
        <v>-13419.80364</v>
      </c>
      <c r="AR51" s="411">
        <v>-14069.898640000001</v>
      </c>
      <c r="AS51" s="411">
        <v>-13486.354640000001</v>
      </c>
      <c r="AT51" s="411">
        <v>-10977.932640000001</v>
      </c>
      <c r="AU51" s="411">
        <v>-10183.908800000001</v>
      </c>
      <c r="AV51" s="411">
        <v>-6168.0937999999996</v>
      </c>
      <c r="AW51" s="411">
        <v>-2672.3439900000003</v>
      </c>
      <c r="AX51" s="411">
        <v>-1887.38102</v>
      </c>
      <c r="AY51" s="411">
        <v>-5514.3590199999999</v>
      </c>
      <c r="AZ51" s="411">
        <v>-2984.17236</v>
      </c>
      <c r="BA51" s="411">
        <v>-1677.6023600000001</v>
      </c>
      <c r="BB51" s="411">
        <v>-5499.4693600000001</v>
      </c>
      <c r="BC51" s="411">
        <v>-5895.4843600000004</v>
      </c>
      <c r="BD51" s="411">
        <v>-5154.9673600000006</v>
      </c>
      <c r="BE51" s="587">
        <v>-5465.9473600000001</v>
      </c>
      <c r="BF51" s="587">
        <v>-4455.3223600000001</v>
      </c>
      <c r="BG51" s="587">
        <v>-2979.20154</v>
      </c>
      <c r="BH51" s="587">
        <v>4737.4064600000002</v>
      </c>
      <c r="BI51" s="587">
        <v>12530.13495</v>
      </c>
      <c r="BJ51" s="587">
        <v>12048.953949999999</v>
      </c>
      <c r="BK51" s="587">
        <v>7487.2629500000003</v>
      </c>
      <c r="BL51" s="587">
        <v>2120.7769399999997</v>
      </c>
      <c r="BM51" s="587">
        <v>2683.9515000000001</v>
      </c>
      <c r="BN51" s="587">
        <v>-1958.6478</v>
      </c>
      <c r="BO51" s="587">
        <v>-376.23379999999997</v>
      </c>
      <c r="BP51" s="587">
        <v>-676.00280000000009</v>
      </c>
      <c r="BQ51" s="587">
        <v>-1437.7038</v>
      </c>
      <c r="BR51" s="587">
        <v>-5007.8992500000004</v>
      </c>
      <c r="BS51" s="587">
        <v>-10208.06142</v>
      </c>
      <c r="BT51" s="587">
        <v>-13346.90742</v>
      </c>
      <c r="BU51" s="587">
        <v>-3400.04342</v>
      </c>
      <c r="BV51" s="587">
        <v>2081.8925800000002</v>
      </c>
      <c r="BW51" s="587">
        <v>2089.5</v>
      </c>
      <c r="BX51" s="587">
        <v>2097.1999999999971</v>
      </c>
      <c r="BY51" s="587">
        <v>1353.5</v>
      </c>
      <c r="BZ51" s="587">
        <v>616.09999999999127</v>
      </c>
      <c r="CA51" s="587">
        <v>297.79999999998836</v>
      </c>
      <c r="CB51" s="587">
        <v>0</v>
      </c>
      <c r="CC51" s="587">
        <v>9.9999999991268851E-2</v>
      </c>
      <c r="CD51" s="587">
        <v>9.9999999991268851E-2</v>
      </c>
      <c r="CE51" s="587">
        <v>9.9999999991268851E-2</v>
      </c>
      <c r="CF51" s="587">
        <v>9.9999999991268851E-2</v>
      </c>
      <c r="CG51" s="587">
        <v>0.19999999999708962</v>
      </c>
      <c r="CH51" s="345">
        <v>0.19999999999708962</v>
      </c>
      <c r="CI51" s="345">
        <v>0.19999999999708962</v>
      </c>
      <c r="CJ51" s="345">
        <v>0.19999999999708962</v>
      </c>
      <c r="CK51" s="345">
        <v>9.9999999991268851E-2</v>
      </c>
      <c r="CL51" s="345">
        <v>9.9999999991268851E-2</v>
      </c>
      <c r="CM51" s="345">
        <v>9.9999999991268851E-2</v>
      </c>
      <c r="CN51" s="345">
        <v>9.9999999991268851E-2</v>
      </c>
      <c r="CO51" s="345">
        <v>9.9999999991268851E-2</v>
      </c>
      <c r="CP51" s="345">
        <v>9.9999999991268851E-2</v>
      </c>
      <c r="CQ51" s="345">
        <v>9.9999999991268851E-2</v>
      </c>
      <c r="CR51" s="345">
        <v>9.9999999991268851E-2</v>
      </c>
      <c r="CS51" s="345">
        <v>0</v>
      </c>
      <c r="CT51" s="345">
        <v>0</v>
      </c>
      <c r="CU51" s="698">
        <f t="shared" si="76"/>
        <v>0.10769230768626305</v>
      </c>
      <c r="CV51" s="1059"/>
      <c r="CW51" s="33"/>
      <c r="CX51" s="184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</row>
    <row r="52" spans="1:116">
      <c r="A52" s="616" t="s">
        <v>505</v>
      </c>
      <c r="B52" s="262">
        <f t="shared" ca="1" si="75"/>
        <v>0</v>
      </c>
      <c r="C52" s="353">
        <v>56.05</v>
      </c>
      <c r="D52" s="353">
        <v>389.5</v>
      </c>
      <c r="E52" s="353">
        <v>4.2350000000000003</v>
      </c>
      <c r="F52" s="353">
        <v>0</v>
      </c>
      <c r="G52" s="353">
        <v>3.92</v>
      </c>
      <c r="H52" s="353">
        <v>22.28</v>
      </c>
      <c r="I52" s="353">
        <v>140.02500000000001</v>
      </c>
      <c r="J52" s="353">
        <v>4.68</v>
      </c>
      <c r="K52" s="353">
        <v>9.23</v>
      </c>
      <c r="L52" s="353">
        <v>138.22499999999999</v>
      </c>
      <c r="M52" s="353">
        <v>60.555</v>
      </c>
      <c r="N52" s="353">
        <v>181.065</v>
      </c>
      <c r="O52" s="416">
        <v>1.78</v>
      </c>
      <c r="P52" s="416">
        <v>113.125</v>
      </c>
      <c r="Q52" s="416">
        <v>32.645000000000003</v>
      </c>
      <c r="R52" s="416">
        <v>25.69</v>
      </c>
      <c r="S52" s="416">
        <v>0</v>
      </c>
      <c r="T52" s="416">
        <v>0.28000000000000003</v>
      </c>
      <c r="U52" s="416">
        <v>11.72</v>
      </c>
      <c r="V52" s="416">
        <v>0</v>
      </c>
      <c r="W52" s="416">
        <v>0</v>
      </c>
      <c r="X52" s="416">
        <v>0</v>
      </c>
      <c r="Y52" s="416">
        <v>0</v>
      </c>
      <c r="Z52" s="416">
        <v>0</v>
      </c>
      <c r="AA52" s="416">
        <v>0</v>
      </c>
      <c r="AB52" s="416">
        <v>0</v>
      </c>
      <c r="AC52" s="416">
        <v>0</v>
      </c>
      <c r="AD52" s="416">
        <v>0</v>
      </c>
      <c r="AE52" s="416">
        <v>0</v>
      </c>
      <c r="AF52" s="416">
        <v>0</v>
      </c>
      <c r="AG52" s="416">
        <v>0</v>
      </c>
      <c r="AH52" s="416">
        <v>0</v>
      </c>
      <c r="AI52" s="416">
        <v>0</v>
      </c>
      <c r="AJ52" s="416">
        <v>0</v>
      </c>
      <c r="AK52" s="416">
        <v>0</v>
      </c>
      <c r="AL52" s="416">
        <v>0</v>
      </c>
      <c r="AM52" s="416">
        <v>0</v>
      </c>
      <c r="AN52" s="416">
        <v>0</v>
      </c>
      <c r="AO52" s="416">
        <v>0</v>
      </c>
      <c r="AP52" s="416">
        <v>0</v>
      </c>
      <c r="AQ52" s="416">
        <v>0</v>
      </c>
      <c r="AR52" s="416">
        <v>0</v>
      </c>
      <c r="AS52" s="416">
        <v>0</v>
      </c>
      <c r="AT52" s="416">
        <v>0</v>
      </c>
      <c r="AU52" s="416">
        <v>0</v>
      </c>
      <c r="AV52" s="416">
        <v>0</v>
      </c>
      <c r="AW52" s="416">
        <v>0</v>
      </c>
      <c r="AX52" s="416">
        <v>0</v>
      </c>
      <c r="AY52" s="416">
        <v>0</v>
      </c>
      <c r="AZ52" s="416">
        <v>0</v>
      </c>
      <c r="BA52" s="416">
        <v>0</v>
      </c>
      <c r="BB52" s="416">
        <v>0</v>
      </c>
      <c r="BC52" s="416">
        <v>0</v>
      </c>
      <c r="BD52" s="416">
        <v>0</v>
      </c>
      <c r="BE52" s="688">
        <v>0</v>
      </c>
      <c r="BF52" s="688">
        <v>0</v>
      </c>
      <c r="BG52" s="688">
        <v>0</v>
      </c>
      <c r="BH52" s="688">
        <v>0</v>
      </c>
      <c r="BI52" s="688">
        <v>0</v>
      </c>
      <c r="BJ52" s="688">
        <v>0</v>
      </c>
      <c r="BK52" s="688">
        <v>0</v>
      </c>
      <c r="BL52" s="688">
        <v>0</v>
      </c>
      <c r="BM52" s="688">
        <v>0</v>
      </c>
      <c r="BN52" s="688">
        <v>0</v>
      </c>
      <c r="BO52" s="688">
        <v>0</v>
      </c>
      <c r="BP52" s="688">
        <v>0</v>
      </c>
      <c r="BQ52" s="688">
        <v>0</v>
      </c>
      <c r="BR52" s="688">
        <v>0</v>
      </c>
      <c r="BS52" s="688">
        <v>0</v>
      </c>
      <c r="BT52" s="688">
        <v>0</v>
      </c>
      <c r="BU52" s="688">
        <v>0</v>
      </c>
      <c r="BV52" s="688">
        <v>0</v>
      </c>
      <c r="BW52" s="688">
        <v>0</v>
      </c>
      <c r="BX52" s="688">
        <v>0</v>
      </c>
      <c r="BY52" s="688">
        <v>0</v>
      </c>
      <c r="BZ52" s="688">
        <v>0</v>
      </c>
      <c r="CA52" s="688">
        <v>0</v>
      </c>
      <c r="CB52" s="688">
        <v>0</v>
      </c>
      <c r="CC52" s="688">
        <v>0</v>
      </c>
      <c r="CD52" s="688">
        <v>0</v>
      </c>
      <c r="CE52" s="688">
        <v>0</v>
      </c>
      <c r="CF52" s="688">
        <v>0</v>
      </c>
      <c r="CG52" s="688">
        <v>0</v>
      </c>
      <c r="CH52" s="688">
        <v>0</v>
      </c>
      <c r="CI52" s="688">
        <v>0</v>
      </c>
      <c r="CJ52" s="688">
        <v>0</v>
      </c>
      <c r="CK52" s="688">
        <v>0</v>
      </c>
      <c r="CL52" s="688">
        <v>0</v>
      </c>
      <c r="CM52" s="688">
        <v>0</v>
      </c>
      <c r="CN52" s="688">
        <v>0</v>
      </c>
      <c r="CO52" s="688">
        <v>0</v>
      </c>
      <c r="CP52" s="688">
        <v>0</v>
      </c>
      <c r="CQ52" s="688">
        <v>0</v>
      </c>
      <c r="CR52" s="688">
        <v>0</v>
      </c>
      <c r="CS52" s="688">
        <v>0</v>
      </c>
      <c r="CT52" s="688">
        <v>0</v>
      </c>
      <c r="CU52" s="699">
        <f t="shared" si="76"/>
        <v>0</v>
      </c>
      <c r="CW52" s="33"/>
      <c r="CX52" s="184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</row>
    <row r="53" spans="1:116">
      <c r="A53" s="598" t="s">
        <v>506</v>
      </c>
      <c r="B53" s="260">
        <f t="shared" ca="1" si="75"/>
        <v>127138.73846153845</v>
      </c>
      <c r="C53" s="79">
        <f t="shared" ref="C53:N53" si="77">SUM(C43:C52)</f>
        <v>117595.90716</v>
      </c>
      <c r="D53" s="79">
        <f t="shared" si="77"/>
        <v>112671.16764000001</v>
      </c>
      <c r="E53" s="79">
        <f t="shared" si="77"/>
        <v>114454.63258000002</v>
      </c>
      <c r="F53" s="79">
        <f t="shared" si="77"/>
        <v>113380.26432</v>
      </c>
      <c r="G53" s="79">
        <f t="shared" si="77"/>
        <v>112969.34354</v>
      </c>
      <c r="H53" s="79">
        <f t="shared" si="77"/>
        <v>114854.58638000001</v>
      </c>
      <c r="I53" s="79">
        <f t="shared" si="77"/>
        <v>115962.55045</v>
      </c>
      <c r="J53" s="79">
        <f t="shared" si="77"/>
        <v>117782.65563999998</v>
      </c>
      <c r="K53" s="79">
        <f t="shared" si="77"/>
        <v>118062.60464999999</v>
      </c>
      <c r="L53" s="79">
        <f t="shared" si="77"/>
        <v>122738.35031000001</v>
      </c>
      <c r="M53" s="79">
        <f t="shared" si="77"/>
        <v>124324.21917999997</v>
      </c>
      <c r="N53" s="79">
        <f t="shared" si="77"/>
        <v>120684.17943999999</v>
      </c>
      <c r="O53" s="79">
        <f t="shared" ref="O53:Z53" si="78">SUM(O43:O52)</f>
        <v>114436.39966000002</v>
      </c>
      <c r="P53" s="79">
        <f t="shared" si="78"/>
        <v>107619.80021999999</v>
      </c>
      <c r="Q53" s="79">
        <f t="shared" si="78"/>
        <v>106087.43987</v>
      </c>
      <c r="R53" s="79">
        <f t="shared" si="78"/>
        <v>103994.10926</v>
      </c>
      <c r="S53" s="79">
        <f t="shared" si="78"/>
        <v>104063.14856999999</v>
      </c>
      <c r="T53" s="79">
        <f t="shared" si="78"/>
        <v>103767.25976999999</v>
      </c>
      <c r="U53" s="79">
        <f t="shared" si="78"/>
        <v>105150.92490999999</v>
      </c>
      <c r="V53" s="79">
        <f t="shared" si="78"/>
        <v>106768.50816</v>
      </c>
      <c r="W53" s="79">
        <f t="shared" si="78"/>
        <v>100437.79409</v>
      </c>
      <c r="X53" s="79">
        <f t="shared" si="78"/>
        <v>105745.54045</v>
      </c>
      <c r="Y53" s="79">
        <f t="shared" si="78"/>
        <v>114007.86962</v>
      </c>
      <c r="Z53" s="79">
        <f t="shared" si="78"/>
        <v>120624.33461000001</v>
      </c>
      <c r="AA53" s="79">
        <f t="shared" ref="AA53:AL53" si="79">SUM(AA43:AA52)</f>
        <v>118469.22069</v>
      </c>
      <c r="AB53" s="79">
        <f t="shared" si="79"/>
        <v>113741.87184000001</v>
      </c>
      <c r="AC53" s="79">
        <f t="shared" si="79"/>
        <v>112331.76964</v>
      </c>
      <c r="AD53" s="79">
        <f t="shared" si="79"/>
        <v>109780.8317</v>
      </c>
      <c r="AE53" s="79">
        <f t="shared" si="79"/>
        <v>107684.84142999999</v>
      </c>
      <c r="AF53" s="79">
        <f t="shared" si="79"/>
        <v>107606.25763999998</v>
      </c>
      <c r="AG53" s="79">
        <f t="shared" si="79"/>
        <v>109428.92073000001</v>
      </c>
      <c r="AH53" s="79">
        <f t="shared" si="79"/>
        <v>112278.93780000001</v>
      </c>
      <c r="AI53" s="79">
        <f t="shared" si="79"/>
        <v>112579.82223000001</v>
      </c>
      <c r="AJ53" s="79">
        <f t="shared" si="79"/>
        <v>116495.56875000002</v>
      </c>
      <c r="AK53" s="79">
        <f t="shared" si="79"/>
        <v>120515.90647</v>
      </c>
      <c r="AL53" s="79">
        <f t="shared" si="79"/>
        <v>112640.84417</v>
      </c>
      <c r="AM53" s="79">
        <f t="shared" ref="AM53:AR53" si="80">SUM(AM43:AM52)</f>
        <v>108754.65049</v>
      </c>
      <c r="AN53" s="79">
        <f t="shared" si="80"/>
        <v>103483.52286000003</v>
      </c>
      <c r="AO53" s="79">
        <f t="shared" si="80"/>
        <v>101056.84251999999</v>
      </c>
      <c r="AP53" s="79">
        <f t="shared" si="80"/>
        <v>101101.36022</v>
      </c>
      <c r="AQ53" s="79">
        <f t="shared" si="80"/>
        <v>102814.69624000002</v>
      </c>
      <c r="AR53" s="79">
        <f t="shared" si="80"/>
        <v>102607.67090000001</v>
      </c>
      <c r="AS53" s="79">
        <f t="shared" ref="AS53" si="81">SUM(AS43:AS52)</f>
        <v>104172.48450999999</v>
      </c>
      <c r="AT53" s="79">
        <f t="shared" ref="AT53:AY53" si="82">SUM(AT43:AT52)</f>
        <v>108629.54023</v>
      </c>
      <c r="AU53" s="79">
        <f t="shared" si="82"/>
        <v>111752.12089999999</v>
      </c>
      <c r="AV53" s="79">
        <f t="shared" si="82"/>
        <v>116880.39949999998</v>
      </c>
      <c r="AW53" s="79">
        <f t="shared" si="82"/>
        <v>121527.55162</v>
      </c>
      <c r="AX53" s="79">
        <f t="shared" si="82"/>
        <v>128481.71492000001</v>
      </c>
      <c r="AY53" s="79">
        <f t="shared" si="82"/>
        <v>123437.80124</v>
      </c>
      <c r="AZ53" s="79">
        <f t="shared" ref="AZ53:BJ53" si="83">SUM(AZ43:AZ52)</f>
        <v>126528.97064</v>
      </c>
      <c r="BA53" s="79">
        <f t="shared" si="83"/>
        <v>127612.31348</v>
      </c>
      <c r="BB53" s="79">
        <f t="shared" si="83"/>
        <v>123561.25693</v>
      </c>
      <c r="BC53" s="79">
        <f t="shared" si="83"/>
        <v>124218.55222999999</v>
      </c>
      <c r="BD53" s="79">
        <f t="shared" si="83"/>
        <v>124839.13046000001</v>
      </c>
      <c r="BE53" s="686">
        <f t="shared" si="83"/>
        <v>125825.86316999998</v>
      </c>
      <c r="BF53" s="686">
        <f t="shared" si="83"/>
        <v>126778.94393999998</v>
      </c>
      <c r="BG53" s="686">
        <f t="shared" si="83"/>
        <v>126597.09943</v>
      </c>
      <c r="BH53" s="686">
        <f t="shared" si="83"/>
        <v>134079.96959000002</v>
      </c>
      <c r="BI53" s="686">
        <f t="shared" si="83"/>
        <v>143166.69583000001</v>
      </c>
      <c r="BJ53" s="686">
        <f t="shared" si="83"/>
        <v>131918.05197</v>
      </c>
      <c r="BK53" s="686">
        <f t="shared" ref="BK53" si="84">SUM(BK43:BK52)</f>
        <v>126869.85533000001</v>
      </c>
      <c r="BL53" s="686">
        <f t="shared" ref="BL53:BV53" si="85">SUM(BL43:BL52)</f>
        <v>122121.94236</v>
      </c>
      <c r="BM53" s="686">
        <f t="shared" si="85"/>
        <v>119805.92714999999</v>
      </c>
      <c r="BN53" s="686">
        <f t="shared" si="85"/>
        <v>115684.83433</v>
      </c>
      <c r="BO53" s="686">
        <f t="shared" si="85"/>
        <v>118114.78925999999</v>
      </c>
      <c r="BP53" s="686">
        <f t="shared" si="85"/>
        <v>115725.42049000002</v>
      </c>
      <c r="BQ53" s="686">
        <f t="shared" si="85"/>
        <v>115461.36217999998</v>
      </c>
      <c r="BR53" s="686">
        <f t="shared" si="85"/>
        <v>111774.32590000001</v>
      </c>
      <c r="BS53" s="686">
        <f t="shared" si="85"/>
        <v>106876.81979999998</v>
      </c>
      <c r="BT53" s="686">
        <f t="shared" si="85"/>
        <v>103435.27242999998</v>
      </c>
      <c r="BU53" s="686">
        <f t="shared" si="85"/>
        <v>114005.10216000001</v>
      </c>
      <c r="BV53" s="686">
        <f t="shared" si="85"/>
        <v>129831.35788000001</v>
      </c>
      <c r="BW53" s="686">
        <f t="shared" ref="BW53:CH53" si="86">SUM(BW43:BW52)</f>
        <v>124652.7</v>
      </c>
      <c r="BX53" s="686">
        <f t="shared" si="86"/>
        <v>124721.59999999999</v>
      </c>
      <c r="BY53" s="686">
        <f t="shared" si="86"/>
        <v>121808.69999999997</v>
      </c>
      <c r="BZ53" s="686">
        <f t="shared" si="86"/>
        <v>121596.29999999999</v>
      </c>
      <c r="CA53" s="686">
        <f t="shared" si="86"/>
        <v>121679.89999999998</v>
      </c>
      <c r="CB53" s="686">
        <f t="shared" si="86"/>
        <v>120194.2</v>
      </c>
      <c r="CC53" s="686">
        <f t="shared" si="86"/>
        <v>120544.49999999999</v>
      </c>
      <c r="CD53" s="686">
        <f t="shared" si="86"/>
        <v>121063.2</v>
      </c>
      <c r="CE53" s="686">
        <f t="shared" si="86"/>
        <v>121730.3</v>
      </c>
      <c r="CF53" s="686">
        <f t="shared" si="86"/>
        <v>122851.59999999998</v>
      </c>
      <c r="CG53" s="686">
        <f t="shared" si="86"/>
        <v>123744.09999999999</v>
      </c>
      <c r="CH53" s="686">
        <f t="shared" si="86"/>
        <v>130931.4</v>
      </c>
      <c r="CI53" s="686">
        <f t="shared" ref="CI53" si="87">SUM(CI43:CI52)</f>
        <v>128171.4</v>
      </c>
      <c r="CJ53" s="686">
        <f t="shared" ref="CJ53:CT53" si="88">SUM(CJ43:CJ52)</f>
        <v>127746.7</v>
      </c>
      <c r="CK53" s="686">
        <f t="shared" si="88"/>
        <v>125241.29999999996</v>
      </c>
      <c r="CL53" s="686">
        <f t="shared" si="88"/>
        <v>125631.2</v>
      </c>
      <c r="CM53" s="686">
        <f t="shared" si="88"/>
        <v>125919.49999999999</v>
      </c>
      <c r="CN53" s="686">
        <f t="shared" si="88"/>
        <v>124640.29999999999</v>
      </c>
      <c r="CO53" s="686">
        <f t="shared" si="88"/>
        <v>125247.59999999999</v>
      </c>
      <c r="CP53" s="686">
        <f t="shared" si="88"/>
        <v>125984.70000000001</v>
      </c>
      <c r="CQ53" s="686">
        <f t="shared" si="88"/>
        <v>126331.6</v>
      </c>
      <c r="CR53" s="686">
        <f t="shared" si="88"/>
        <v>127174</v>
      </c>
      <c r="CS53" s="686">
        <f t="shared" si="88"/>
        <v>127780.70000000001</v>
      </c>
      <c r="CT53" s="686">
        <f t="shared" si="88"/>
        <v>132003.19999999998</v>
      </c>
      <c r="CU53" s="698">
        <f t="shared" si="76"/>
        <v>127138.73846153845</v>
      </c>
      <c r="CW53" s="33"/>
      <c r="CX53" s="184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</row>
    <row r="54" spans="1:116" s="42" customFormat="1">
      <c r="A54" s="598"/>
      <c r="B54" s="26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689"/>
      <c r="BF54" s="689"/>
      <c r="BG54" s="689"/>
      <c r="BH54" s="689"/>
      <c r="BI54" s="689"/>
      <c r="BJ54" s="689"/>
      <c r="BK54" s="689"/>
      <c r="BL54" s="689"/>
      <c r="BM54" s="689"/>
      <c r="BN54" s="689"/>
      <c r="BO54" s="689"/>
      <c r="BP54" s="689"/>
      <c r="BQ54" s="689"/>
      <c r="BR54" s="689"/>
      <c r="BS54" s="689"/>
      <c r="BT54" s="689"/>
      <c r="BU54" s="689"/>
      <c r="BV54" s="689"/>
      <c r="BW54" s="689"/>
      <c r="BX54" s="689"/>
      <c r="BY54" s="689"/>
      <c r="BZ54" s="689"/>
      <c r="CA54" s="689"/>
      <c r="CB54" s="689"/>
      <c r="CC54" s="689"/>
      <c r="CD54" s="689"/>
      <c r="CE54" s="689"/>
      <c r="CF54" s="689"/>
      <c r="CG54" s="689"/>
      <c r="CH54" s="689"/>
      <c r="CI54" s="689"/>
      <c r="CJ54" s="689"/>
      <c r="CK54" s="689"/>
      <c r="CL54" s="689"/>
      <c r="CM54" s="689"/>
      <c r="CN54" s="689"/>
      <c r="CO54" s="689"/>
      <c r="CP54" s="689"/>
      <c r="CQ54" s="689"/>
      <c r="CR54" s="689"/>
      <c r="CS54" s="689"/>
      <c r="CT54" s="689"/>
      <c r="CU54" s="698"/>
      <c r="CV54" s="33"/>
      <c r="CW54" s="33"/>
      <c r="CX54" s="184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</row>
    <row r="55" spans="1:116" ht="13.5" thickBot="1">
      <c r="A55" s="26" t="s">
        <v>507</v>
      </c>
      <c r="B55" s="435">
        <f ca="1">SUM(OFFSET(BW55:CI55,0,$A$1-1))/13</f>
        <v>2749997.6692307694</v>
      </c>
      <c r="C55" s="81">
        <f t="shared" ref="C55:AR55" si="89">C16+C21+C40+C53</f>
        <v>1027437.3379499998</v>
      </c>
      <c r="D55" s="81">
        <f t="shared" si="89"/>
        <v>1035745.0914100002</v>
      </c>
      <c r="E55" s="81">
        <f t="shared" si="89"/>
        <v>1036332.5189799999</v>
      </c>
      <c r="F55" s="81">
        <f t="shared" si="89"/>
        <v>1046983.3606000002</v>
      </c>
      <c r="G55" s="81">
        <f t="shared" si="89"/>
        <v>1052134.9567800001</v>
      </c>
      <c r="H55" s="81">
        <f t="shared" si="89"/>
        <v>1047551.6080799999</v>
      </c>
      <c r="I55" s="81">
        <f t="shared" si="89"/>
        <v>1056362.1461500002</v>
      </c>
      <c r="J55" s="81">
        <f t="shared" si="89"/>
        <v>1075627.1228800002</v>
      </c>
      <c r="K55" s="81">
        <f t="shared" si="89"/>
        <v>1077460.4413000001</v>
      </c>
      <c r="L55" s="81">
        <f t="shared" si="89"/>
        <v>1081661.1270000001</v>
      </c>
      <c r="M55" s="81">
        <f t="shared" si="89"/>
        <v>1092238.7630300005</v>
      </c>
      <c r="N55" s="81">
        <f t="shared" si="89"/>
        <v>1109086.2270700003</v>
      </c>
      <c r="O55" s="81">
        <f t="shared" si="89"/>
        <v>1124220.4602699999</v>
      </c>
      <c r="P55" s="81">
        <f t="shared" si="89"/>
        <v>1117203.8624</v>
      </c>
      <c r="Q55" s="81">
        <f t="shared" si="89"/>
        <v>1114893.87439</v>
      </c>
      <c r="R55" s="81">
        <f t="shared" si="89"/>
        <v>1118672.52892</v>
      </c>
      <c r="S55" s="81">
        <f t="shared" si="89"/>
        <v>1126393.3693500001</v>
      </c>
      <c r="T55" s="81">
        <f t="shared" si="89"/>
        <v>1133533.4235199997</v>
      </c>
      <c r="U55" s="81">
        <f t="shared" si="89"/>
        <v>1140836.4437100003</v>
      </c>
      <c r="V55" s="81">
        <f t="shared" si="89"/>
        <v>1147765.9900200001</v>
      </c>
      <c r="W55" s="81">
        <f t="shared" si="89"/>
        <v>1160834.0952499998</v>
      </c>
      <c r="X55" s="81">
        <f t="shared" si="89"/>
        <v>1180935.26844</v>
      </c>
      <c r="Y55" s="81">
        <f t="shared" si="89"/>
        <v>1201359.64811</v>
      </c>
      <c r="Z55" s="81">
        <f t="shared" si="89"/>
        <v>1224685.8870099999</v>
      </c>
      <c r="AA55" s="81">
        <f t="shared" si="89"/>
        <v>1245851.9252299999</v>
      </c>
      <c r="AB55" s="81">
        <f t="shared" si="89"/>
        <v>1246408.9092299996</v>
      </c>
      <c r="AC55" s="81">
        <f t="shared" si="89"/>
        <v>1257593.64787</v>
      </c>
      <c r="AD55" s="81">
        <f t="shared" si="89"/>
        <v>1261451.9914099998</v>
      </c>
      <c r="AE55" s="81">
        <f t="shared" si="89"/>
        <v>1273924.8077200004</v>
      </c>
      <c r="AF55" s="81">
        <f t="shared" si="89"/>
        <v>1285251.3940599996</v>
      </c>
      <c r="AG55" s="81">
        <f t="shared" si="89"/>
        <v>1298898.81721</v>
      </c>
      <c r="AH55" s="81">
        <f t="shared" si="89"/>
        <v>1317782.3628100001</v>
      </c>
      <c r="AI55" s="81">
        <f t="shared" si="89"/>
        <v>1340764.3386000004</v>
      </c>
      <c r="AJ55" s="81">
        <f t="shared" si="89"/>
        <v>1357190.2992300002</v>
      </c>
      <c r="AK55" s="81">
        <f t="shared" si="89"/>
        <v>1382140.3589399999</v>
      </c>
      <c r="AL55" s="81">
        <f t="shared" si="89"/>
        <v>1406757.1951299997</v>
      </c>
      <c r="AM55" s="81">
        <f t="shared" si="89"/>
        <v>1428603.57672</v>
      </c>
      <c r="AN55" s="81">
        <f t="shared" si="89"/>
        <v>1440657.0037800004</v>
      </c>
      <c r="AO55" s="81">
        <f t="shared" si="89"/>
        <v>1451715.1169100001</v>
      </c>
      <c r="AP55" s="81">
        <f t="shared" si="89"/>
        <v>1470020.7291399997</v>
      </c>
      <c r="AQ55" s="81">
        <f t="shared" si="89"/>
        <v>1493213.2055599997</v>
      </c>
      <c r="AR55" s="81">
        <f t="shared" si="89"/>
        <v>1515171.8157800001</v>
      </c>
      <c r="AS55" s="81">
        <v>1535872.1685000004</v>
      </c>
      <c r="AT55" s="81">
        <v>1572823.2239699995</v>
      </c>
      <c r="AU55" s="81">
        <v>1598138.4987300001</v>
      </c>
      <c r="AV55" s="81">
        <f t="shared" ref="AV55:BJ55" si="90">AV16+AV21+AV40+AV53</f>
        <v>1630045.0579199996</v>
      </c>
      <c r="AW55" s="81">
        <f t="shared" si="90"/>
        <v>1664498.6577899996</v>
      </c>
      <c r="AX55" s="81">
        <f t="shared" si="90"/>
        <v>1714605.0781199997</v>
      </c>
      <c r="AY55" s="81">
        <f t="shared" si="90"/>
        <v>1742610.5259999994</v>
      </c>
      <c r="AZ55" s="81">
        <f t="shared" si="90"/>
        <v>1765420.0003699998</v>
      </c>
      <c r="BA55" s="81">
        <f t="shared" si="90"/>
        <v>1781368.5336600002</v>
      </c>
      <c r="BB55" s="81">
        <f t="shared" si="90"/>
        <v>1797765.6539399999</v>
      </c>
      <c r="BC55" s="81">
        <f t="shared" si="90"/>
        <v>1806154.1584799998</v>
      </c>
      <c r="BD55" s="81">
        <f t="shared" si="90"/>
        <v>1825581.5122899995</v>
      </c>
      <c r="BE55" s="690">
        <f t="shared" si="90"/>
        <v>1851639.4994399997</v>
      </c>
      <c r="BF55" s="690">
        <f t="shared" si="90"/>
        <v>1869701.8853399998</v>
      </c>
      <c r="BG55" s="690">
        <f t="shared" si="90"/>
        <v>1892848.811759999</v>
      </c>
      <c r="BH55" s="690">
        <f t="shared" si="90"/>
        <v>1927505.7080899999</v>
      </c>
      <c r="BI55" s="690">
        <f t="shared" si="90"/>
        <v>1958911.4607199999</v>
      </c>
      <c r="BJ55" s="690">
        <f t="shared" si="90"/>
        <v>1990225.3773999996</v>
      </c>
      <c r="BK55" s="690">
        <f t="shared" ref="BK55" si="91">BK16+BK21+BK40+BK53</f>
        <v>2021923.6622199998</v>
      </c>
      <c r="BL55" s="690">
        <f t="shared" ref="BL55:BV55" si="92">BL16+BL21+BL40+BL53</f>
        <v>2041108.1496899999</v>
      </c>
      <c r="BM55" s="690">
        <f t="shared" si="92"/>
        <v>2050863.7480399997</v>
      </c>
      <c r="BN55" s="690">
        <f t="shared" si="92"/>
        <v>2066379.0249000001</v>
      </c>
      <c r="BO55" s="690">
        <f t="shared" si="92"/>
        <v>2092904.6505500001</v>
      </c>
      <c r="BP55" s="690">
        <f t="shared" si="92"/>
        <v>2118941.2712199991</v>
      </c>
      <c r="BQ55" s="690">
        <f t="shared" si="92"/>
        <v>2136862.7293099998</v>
      </c>
      <c r="BR55" s="690">
        <f t="shared" si="92"/>
        <v>2152934.8937299997</v>
      </c>
      <c r="BS55" s="690">
        <f t="shared" si="92"/>
        <v>2168239.0799400001</v>
      </c>
      <c r="BT55" s="690">
        <f t="shared" si="92"/>
        <v>2180322.9115699995</v>
      </c>
      <c r="BU55" s="690">
        <f t="shared" si="92"/>
        <v>2206019.8390699998</v>
      </c>
      <c r="BV55" s="690">
        <f t="shared" si="92"/>
        <v>2267449.5295999995</v>
      </c>
      <c r="BW55" s="690">
        <f t="shared" ref="BW55:CH55" si="93">BW16+BW21+BW40+BW53</f>
        <v>2302710.4000000004</v>
      </c>
      <c r="BX55" s="690">
        <f t="shared" si="93"/>
        <v>2364867.7000000007</v>
      </c>
      <c r="BY55" s="690">
        <f t="shared" si="93"/>
        <v>2384397.6000000006</v>
      </c>
      <c r="BZ55" s="690">
        <f t="shared" si="93"/>
        <v>2422816.4000000004</v>
      </c>
      <c r="CA55" s="690">
        <f t="shared" si="93"/>
        <v>2442155.5</v>
      </c>
      <c r="CB55" s="690">
        <f t="shared" si="93"/>
        <v>2471218.8000000003</v>
      </c>
      <c r="CC55" s="690">
        <f t="shared" si="93"/>
        <v>2498544.9000000004</v>
      </c>
      <c r="CD55" s="690">
        <f t="shared" si="93"/>
        <v>2516973.1</v>
      </c>
      <c r="CE55" s="690">
        <f t="shared" si="93"/>
        <v>2540578.1999999997</v>
      </c>
      <c r="CF55" s="690">
        <f t="shared" si="93"/>
        <v>2561396.1000000006</v>
      </c>
      <c r="CG55" s="690">
        <f t="shared" si="93"/>
        <v>2576096.2000000007</v>
      </c>
      <c r="CH55" s="690">
        <f t="shared" si="93"/>
        <v>2615701.1000000006</v>
      </c>
      <c r="CI55" s="690">
        <f t="shared" ref="CI55" si="94">CI16+CI21+CI40+CI53</f>
        <v>2644716.3000000003</v>
      </c>
      <c r="CJ55" s="690">
        <f t="shared" ref="CJ55:CT55" si="95">CJ16+CJ21+CJ40+CJ53</f>
        <v>2663025.2000000002</v>
      </c>
      <c r="CK55" s="690">
        <f t="shared" si="95"/>
        <v>2668620.6000000006</v>
      </c>
      <c r="CL55" s="690">
        <f t="shared" si="95"/>
        <v>2691932.6000000006</v>
      </c>
      <c r="CM55" s="690">
        <f t="shared" si="95"/>
        <v>2716366.7</v>
      </c>
      <c r="CN55" s="690">
        <f t="shared" si="95"/>
        <v>2747928.4</v>
      </c>
      <c r="CO55" s="690">
        <f t="shared" si="95"/>
        <v>2775809.1</v>
      </c>
      <c r="CP55" s="690">
        <f t="shared" si="95"/>
        <v>2796974.8</v>
      </c>
      <c r="CQ55" s="690">
        <f t="shared" si="95"/>
        <v>2820859.7</v>
      </c>
      <c r="CR55" s="690">
        <f t="shared" si="95"/>
        <v>2845249.6000000006</v>
      </c>
      <c r="CS55" s="690">
        <f t="shared" si="95"/>
        <v>2866052.7000000007</v>
      </c>
      <c r="CT55" s="690">
        <f t="shared" si="95"/>
        <v>2896732.9000000008</v>
      </c>
      <c r="CU55" s="701">
        <f t="shared" ref="CU55:CU56" si="96">SUM(CH55:CT55)/13</f>
        <v>2749997.6692307694</v>
      </c>
      <c r="CW55" s="33"/>
      <c r="CX55" s="184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</row>
    <row r="56" spans="1:116" ht="13.5" thickTop="1">
      <c r="A56" s="27"/>
      <c r="B56" s="260"/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-1448.5827899998985</v>
      </c>
      <c r="AH56" s="79">
        <v>-1457.6371899996884</v>
      </c>
      <c r="AI56" s="79">
        <v>-1466.0613999995403</v>
      </c>
      <c r="AJ56" s="79">
        <v>-1474.700769999763</v>
      </c>
      <c r="AK56" s="79">
        <v>-1482.741059999913</v>
      </c>
      <c r="AL56" s="79">
        <v>-1490.5048700005282</v>
      </c>
      <c r="AM56" s="79">
        <v>-1496.9232799999882</v>
      </c>
      <c r="AN56" s="79">
        <v>-1504.1962199998088</v>
      </c>
      <c r="AO56" s="79">
        <v>-1510.4830899995286</v>
      </c>
      <c r="AP56" s="79">
        <v>-1531.8708600003738</v>
      </c>
      <c r="AQ56" s="79">
        <v>-1552.8944399999455</v>
      </c>
      <c r="AR56" s="79">
        <v>-1574.2842199997976</v>
      </c>
      <c r="AS56" s="79">
        <v>-1595.7314999995288</v>
      </c>
      <c r="AT56" s="79">
        <v>-1616.5760300008114</v>
      </c>
      <c r="AU56" s="79">
        <v>-1637.2012699996121</v>
      </c>
      <c r="AV56" s="79">
        <v>-1662.9420800004154</v>
      </c>
      <c r="AW56" s="79">
        <v>-1689.0422100001015</v>
      </c>
      <c r="AX56" s="79">
        <v>802.27811999991536</v>
      </c>
      <c r="AY56" s="79">
        <v>-1739.4740000003949</v>
      </c>
      <c r="AZ56" s="79">
        <v>-1764.2996299997903</v>
      </c>
      <c r="BA56" s="79">
        <v>-1788.3663400001824</v>
      </c>
      <c r="BB56" s="79">
        <v>-1812.6460599997081</v>
      </c>
      <c r="BC56" s="79">
        <v>-1837.0415200004354</v>
      </c>
      <c r="BD56" s="79">
        <v>-1860.6877100002021</v>
      </c>
      <c r="BE56" s="686">
        <v>-1884.6005600001663</v>
      </c>
      <c r="BF56" s="686">
        <v>-1908.6146600001957</v>
      </c>
      <c r="BG56" s="686">
        <v>-1931.8882400006987</v>
      </c>
      <c r="BH56" s="686">
        <v>-1955.1919099998195</v>
      </c>
      <c r="BI56" s="686">
        <v>-1978.3392799999565</v>
      </c>
      <c r="BJ56" s="686">
        <v>-2001.3226000003051</v>
      </c>
      <c r="BK56" s="686">
        <v>-2023.737780000316</v>
      </c>
      <c r="BL56" s="686">
        <v>-2045.6503100006375</v>
      </c>
      <c r="BM56" s="686">
        <v>-1557.1519600006286</v>
      </c>
      <c r="BN56" s="686">
        <v>-1572.7751000002027</v>
      </c>
      <c r="BO56" s="686">
        <v>-1588.5494500002824</v>
      </c>
      <c r="BP56" s="686">
        <v>-1603.8287800010294</v>
      </c>
      <c r="BQ56" s="686">
        <v>0</v>
      </c>
      <c r="BR56" s="686">
        <v>-4.5</v>
      </c>
      <c r="BS56" s="686">
        <v>0</v>
      </c>
      <c r="BT56" s="686">
        <v>-35227.400000000373</v>
      </c>
      <c r="BU56" s="686">
        <v>102.59999999962747</v>
      </c>
      <c r="BV56" s="686">
        <v>103.09999999962747</v>
      </c>
      <c r="BW56" s="686">
        <v>104.20000000018626</v>
      </c>
      <c r="BX56" s="686">
        <v>106</v>
      </c>
      <c r="BY56" s="686">
        <v>108.60000000009313</v>
      </c>
      <c r="BZ56" s="686">
        <v>111.80000000074506</v>
      </c>
      <c r="CA56" s="686">
        <v>115.79999999981374</v>
      </c>
      <c r="CB56" s="686">
        <v>120.29999999981374</v>
      </c>
      <c r="CC56" s="686">
        <v>125.59999999962747</v>
      </c>
      <c r="CD56" s="686">
        <v>131.79999999981374</v>
      </c>
      <c r="CE56" s="686">
        <v>138.59999999962747</v>
      </c>
      <c r="CF56" s="686">
        <v>146.00000000046566</v>
      </c>
      <c r="CG56" s="686">
        <v>154.1999999997206</v>
      </c>
      <c r="CH56" s="686">
        <v>47.600000000093132</v>
      </c>
      <c r="CI56" s="686">
        <v>56.199999999720603</v>
      </c>
      <c r="CJ56" s="686">
        <v>65.600000000093132</v>
      </c>
      <c r="CK56" s="686">
        <v>75.600000000093132</v>
      </c>
      <c r="CL56" s="686">
        <v>86.40000000083819</v>
      </c>
      <c r="CM56" s="686">
        <v>98.000000000465661</v>
      </c>
      <c r="CN56" s="686">
        <v>110.39999999990687</v>
      </c>
      <c r="CO56" s="686">
        <v>123.39999999944121</v>
      </c>
      <c r="CP56" s="686">
        <v>137.20000000018626</v>
      </c>
      <c r="CQ56" s="686">
        <v>151.6999999997206</v>
      </c>
      <c r="CR56" s="686">
        <v>167.00000000046566</v>
      </c>
      <c r="CS56" s="686">
        <v>183.30000000074506</v>
      </c>
      <c r="CT56" s="686">
        <v>200.10000000055879</v>
      </c>
      <c r="CU56" s="702">
        <f t="shared" si="96"/>
        <v>115.57692307710218</v>
      </c>
      <c r="CW56" s="33"/>
      <c r="CX56" s="184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</row>
    <row r="57" spans="1:116">
      <c r="A57" s="28" t="s">
        <v>508</v>
      </c>
      <c r="B57" s="26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686"/>
      <c r="BF57" s="686"/>
      <c r="BG57" s="686"/>
      <c r="BH57" s="686"/>
      <c r="BI57" s="686"/>
      <c r="BJ57" s="686"/>
      <c r="BK57" s="686"/>
      <c r="BL57" s="686"/>
      <c r="BM57" s="686"/>
      <c r="BN57" s="686"/>
      <c r="BO57" s="686"/>
      <c r="BP57" s="686"/>
      <c r="BQ57" s="686"/>
      <c r="BR57" s="686"/>
      <c r="BS57" s="686"/>
      <c r="BT57" s="686"/>
      <c r="BU57" s="686"/>
      <c r="BV57" s="686"/>
      <c r="BW57" s="686"/>
      <c r="BX57" s="686"/>
      <c r="BY57" s="686"/>
      <c r="BZ57" s="686"/>
      <c r="CA57" s="686"/>
      <c r="CB57" s="686"/>
      <c r="CC57" s="686"/>
      <c r="CD57" s="686"/>
      <c r="CE57" s="686"/>
      <c r="CF57" s="686"/>
      <c r="CG57" s="686"/>
      <c r="CH57" s="686"/>
      <c r="CI57" s="686"/>
      <c r="CJ57" s="686"/>
      <c r="CK57" s="686"/>
      <c r="CL57" s="686"/>
      <c r="CM57" s="686"/>
      <c r="CN57" s="686"/>
      <c r="CO57" s="686"/>
      <c r="CP57" s="686"/>
      <c r="CQ57" s="686"/>
      <c r="CR57" s="686"/>
      <c r="CS57" s="686"/>
      <c r="CT57" s="686"/>
      <c r="CU57" s="698"/>
      <c r="CW57" s="33"/>
      <c r="CX57" s="184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</row>
    <row r="58" spans="1:116">
      <c r="A58" s="598"/>
      <c r="B58" s="26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686"/>
      <c r="BF58" s="686"/>
      <c r="BG58" s="686"/>
      <c r="BH58" s="686"/>
      <c r="BI58" s="686"/>
      <c r="BJ58" s="686"/>
      <c r="BK58" s="686"/>
      <c r="BL58" s="686"/>
      <c r="BM58" s="686"/>
      <c r="BN58" s="686"/>
      <c r="BO58" s="686"/>
      <c r="BP58" s="686"/>
      <c r="BQ58" s="686"/>
      <c r="BR58" s="686"/>
      <c r="BS58" s="686"/>
      <c r="BT58" s="686"/>
      <c r="BU58" s="686"/>
      <c r="BV58" s="686"/>
      <c r="BW58" s="686"/>
      <c r="BX58" s="686"/>
      <c r="BY58" s="686"/>
      <c r="BZ58" s="686"/>
      <c r="CA58" s="686"/>
      <c r="CB58" s="686"/>
      <c r="CC58" s="686"/>
      <c r="CD58" s="686"/>
      <c r="CE58" s="686"/>
      <c r="CF58" s="686"/>
      <c r="CG58" s="686"/>
      <c r="CH58" s="686"/>
      <c r="CI58" s="686"/>
      <c r="CJ58" s="686"/>
      <c r="CK58" s="686"/>
      <c r="CL58" s="686"/>
      <c r="CM58" s="686"/>
      <c r="CN58" s="686"/>
      <c r="CO58" s="686"/>
      <c r="CP58" s="686"/>
      <c r="CQ58" s="686"/>
      <c r="CR58" s="686"/>
      <c r="CS58" s="686"/>
      <c r="CT58" s="686"/>
      <c r="CU58" s="698"/>
      <c r="CW58" s="33"/>
      <c r="CX58" s="184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</row>
    <row r="59" spans="1:116">
      <c r="A59" s="616" t="s">
        <v>509</v>
      </c>
      <c r="B59" s="26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691"/>
      <c r="BF59" s="691"/>
      <c r="BG59" s="691"/>
      <c r="BH59" s="691"/>
      <c r="BI59" s="691"/>
      <c r="BJ59" s="691"/>
      <c r="BK59" s="691"/>
      <c r="BL59" s="691"/>
      <c r="BM59" s="691"/>
      <c r="BN59" s="691"/>
      <c r="BO59" s="691"/>
      <c r="BP59" s="691"/>
      <c r="BQ59" s="691"/>
      <c r="BR59" s="691"/>
      <c r="BS59" s="691"/>
      <c r="BT59" s="691"/>
      <c r="BU59" s="691"/>
      <c r="BV59" s="691"/>
      <c r="BW59" s="691"/>
      <c r="BX59" s="691"/>
      <c r="BY59" s="691"/>
      <c r="BZ59" s="691"/>
      <c r="CA59" s="691"/>
      <c r="CB59" s="691"/>
      <c r="CC59" s="691"/>
      <c r="CD59" s="691"/>
      <c r="CE59" s="691"/>
      <c r="CF59" s="691"/>
      <c r="CG59" s="691"/>
      <c r="CH59" s="691"/>
      <c r="CI59" s="691"/>
      <c r="CJ59" s="691"/>
      <c r="CK59" s="691"/>
      <c r="CL59" s="691"/>
      <c r="CM59" s="691"/>
      <c r="CN59" s="691"/>
      <c r="CO59" s="691"/>
      <c r="CP59" s="691"/>
      <c r="CQ59" s="691"/>
      <c r="CR59" s="691"/>
      <c r="CS59" s="691"/>
      <c r="CT59" s="691"/>
      <c r="CU59" s="698"/>
      <c r="CW59" s="33"/>
      <c r="CX59" s="184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</row>
    <row r="60" spans="1:116">
      <c r="A60" s="616" t="s">
        <v>510</v>
      </c>
      <c r="B60" s="260">
        <f t="shared" ref="B60:B63" ca="1" si="97">SUM(OFFSET(BW60:CI60,0,$A$1-1))/13</f>
        <v>1077857.7923076921</v>
      </c>
      <c r="C60" s="348">
        <v>235550.16919000002</v>
      </c>
      <c r="D60" s="348">
        <v>242550.16919000002</v>
      </c>
      <c r="E60" s="348">
        <v>242550.16919000002</v>
      </c>
      <c r="F60" s="348">
        <v>242550.16919000002</v>
      </c>
      <c r="G60" s="348">
        <v>258550.16919000002</v>
      </c>
      <c r="H60" s="348">
        <v>258550.16919000002</v>
      </c>
      <c r="I60" s="348">
        <v>258550.16919000002</v>
      </c>
      <c r="J60" s="348">
        <v>268550.16918999999</v>
      </c>
      <c r="K60" s="348">
        <v>268550.16918999999</v>
      </c>
      <c r="L60" s="348">
        <v>268550.16918999999</v>
      </c>
      <c r="M60" s="348">
        <v>275550.16918999999</v>
      </c>
      <c r="N60" s="348">
        <v>275550.16918999999</v>
      </c>
      <c r="O60" s="411">
        <v>275550.16918999999</v>
      </c>
      <c r="P60" s="411">
        <v>285550.16918999999</v>
      </c>
      <c r="Q60" s="411">
        <v>285550.16918999999</v>
      </c>
      <c r="R60" s="411">
        <v>285550.16918999999</v>
      </c>
      <c r="S60" s="411">
        <v>300550.16918999999</v>
      </c>
      <c r="T60" s="411">
        <v>300550.16918999999</v>
      </c>
      <c r="U60" s="411">
        <v>300550.16918999999</v>
      </c>
      <c r="V60" s="411">
        <v>310550.16918999999</v>
      </c>
      <c r="W60" s="411">
        <v>310550.16918999999</v>
      </c>
      <c r="X60" s="411">
        <v>310550.16918999999</v>
      </c>
      <c r="Y60" s="411">
        <v>320550.16918999999</v>
      </c>
      <c r="Z60" s="411">
        <v>320550.16918999999</v>
      </c>
      <c r="AA60" s="411">
        <v>320550.16918999999</v>
      </c>
      <c r="AB60" s="411">
        <v>355550.16918999999</v>
      </c>
      <c r="AC60" s="411">
        <v>355550.16918999999</v>
      </c>
      <c r="AD60" s="411">
        <v>355550.16918999999</v>
      </c>
      <c r="AE60" s="411">
        <v>390550.16918999999</v>
      </c>
      <c r="AF60" s="411">
        <v>390550.16918999999</v>
      </c>
      <c r="AG60" s="411">
        <v>390550.16918999999</v>
      </c>
      <c r="AH60" s="411">
        <v>390550.16918999999</v>
      </c>
      <c r="AI60" s="411">
        <v>415550.16918999999</v>
      </c>
      <c r="AJ60" s="411">
        <v>415550.16918999999</v>
      </c>
      <c r="AK60" s="411">
        <v>415550.16918999999</v>
      </c>
      <c r="AL60" s="411">
        <v>415550.16918999999</v>
      </c>
      <c r="AM60" s="411">
        <v>415550.16918999999</v>
      </c>
      <c r="AN60" s="411">
        <v>455550.16918999999</v>
      </c>
      <c r="AO60" s="411">
        <v>455550.16918999999</v>
      </c>
      <c r="AP60" s="411">
        <v>455550.16918999999</v>
      </c>
      <c r="AQ60" s="411">
        <v>485550.16918999999</v>
      </c>
      <c r="AR60" s="411">
        <v>485550.16918999999</v>
      </c>
      <c r="AS60" s="411">
        <v>485550.16918999999</v>
      </c>
      <c r="AT60" s="411">
        <v>530550.16919000004</v>
      </c>
      <c r="AU60" s="411">
        <v>530550.16919000004</v>
      </c>
      <c r="AV60" s="411">
        <v>530550.16919000004</v>
      </c>
      <c r="AW60" s="411">
        <v>545550.16919000004</v>
      </c>
      <c r="AX60" s="411">
        <v>545550.16919000004</v>
      </c>
      <c r="AY60" s="411">
        <v>545550.16919000004</v>
      </c>
      <c r="AZ60" s="411">
        <v>585550.16919000004</v>
      </c>
      <c r="BA60" s="411">
        <v>585550.16919000004</v>
      </c>
      <c r="BB60" s="411">
        <v>585550.16919000004</v>
      </c>
      <c r="BC60" s="411">
        <v>605550.16919000004</v>
      </c>
      <c r="BD60" s="411">
        <v>605550.16919000004</v>
      </c>
      <c r="BE60" s="587">
        <v>605550.16919000004</v>
      </c>
      <c r="BF60" s="587">
        <v>640550.16919000004</v>
      </c>
      <c r="BG60" s="587">
        <v>640550.16919000004</v>
      </c>
      <c r="BH60" s="587">
        <v>640550.16919000004</v>
      </c>
      <c r="BI60" s="587">
        <v>665550.16919000004</v>
      </c>
      <c r="BJ60" s="587">
        <v>665550.16919000004</v>
      </c>
      <c r="BK60" s="587">
        <v>665550.16919000004</v>
      </c>
      <c r="BL60" s="587">
        <v>740550.16919000004</v>
      </c>
      <c r="BM60" s="587">
        <v>740550.16919000004</v>
      </c>
      <c r="BN60" s="587">
        <v>740550.16919000004</v>
      </c>
      <c r="BO60" s="587">
        <v>770550.16919000004</v>
      </c>
      <c r="BP60" s="587">
        <v>770550.16919000004</v>
      </c>
      <c r="BQ60" s="587">
        <v>770550.16919000004</v>
      </c>
      <c r="BR60" s="587">
        <v>810550.16919000004</v>
      </c>
      <c r="BS60" s="587">
        <v>810550.16919000004</v>
      </c>
      <c r="BT60" s="587">
        <v>810550.16919000004</v>
      </c>
      <c r="BU60" s="587">
        <v>835550.16919000004</v>
      </c>
      <c r="BV60" s="587">
        <v>870550.16919000004</v>
      </c>
      <c r="BW60" s="587">
        <v>870550.10000000009</v>
      </c>
      <c r="BX60" s="587">
        <v>893050.10000000009</v>
      </c>
      <c r="BY60" s="587">
        <v>893050.10000000009</v>
      </c>
      <c r="BZ60" s="587">
        <v>893050.10000000009</v>
      </c>
      <c r="CA60" s="587">
        <v>918050.10000000009</v>
      </c>
      <c r="CB60" s="587">
        <v>918050.10000000009</v>
      </c>
      <c r="CC60" s="587">
        <v>918050.10000000009</v>
      </c>
      <c r="CD60" s="587">
        <v>948050.10000000009</v>
      </c>
      <c r="CE60" s="587">
        <v>948050.10000000009</v>
      </c>
      <c r="CF60" s="587">
        <v>948050.10000000009</v>
      </c>
      <c r="CG60" s="587">
        <v>1005550.1000000001</v>
      </c>
      <c r="CH60" s="587">
        <v>1005550.1000000001</v>
      </c>
      <c r="CI60" s="587">
        <v>1005550.1000000001</v>
      </c>
      <c r="CJ60" s="587">
        <v>1045550.1000000001</v>
      </c>
      <c r="CK60" s="587">
        <v>1045550.1000000001</v>
      </c>
      <c r="CL60" s="587">
        <v>1045550.1000000001</v>
      </c>
      <c r="CM60" s="587">
        <v>1080550.1000000001</v>
      </c>
      <c r="CN60" s="587">
        <v>1080550.1000000001</v>
      </c>
      <c r="CO60" s="587">
        <v>1080550.1000000001</v>
      </c>
      <c r="CP60" s="587">
        <v>1110550.1000000001</v>
      </c>
      <c r="CQ60" s="587">
        <v>1110550.1000000001</v>
      </c>
      <c r="CR60" s="587">
        <v>1110550.1000000001</v>
      </c>
      <c r="CS60" s="587">
        <v>1145550.1000000001</v>
      </c>
      <c r="CT60" s="587">
        <v>1145550.1000000001</v>
      </c>
      <c r="CU60" s="700">
        <f t="shared" ref="CU60:CU63" si="98">SUM(CH60:CT60)/13</f>
        <v>1077857.7923076921</v>
      </c>
      <c r="CW60" s="33"/>
      <c r="CX60" s="184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</row>
    <row r="61" spans="1:116">
      <c r="A61" s="616" t="s">
        <v>511</v>
      </c>
      <c r="B61" s="260">
        <f t="shared" ca="1" si="97"/>
        <v>113151.34601115368</v>
      </c>
      <c r="C61" s="348">
        <v>119639.98492999999</v>
      </c>
      <c r="D61" s="348">
        <v>115503.88343999999</v>
      </c>
      <c r="E61" s="348">
        <v>120040.67487</v>
      </c>
      <c r="F61" s="348">
        <v>123871.64290000001</v>
      </c>
      <c r="G61" s="348">
        <v>116300.72661</v>
      </c>
      <c r="H61" s="348">
        <v>118382.34568000001</v>
      </c>
      <c r="I61" s="348">
        <v>121141.22944</v>
      </c>
      <c r="J61" s="348">
        <v>111552.00487999999</v>
      </c>
      <c r="K61" s="348">
        <v>114259.92331</v>
      </c>
      <c r="L61" s="348">
        <v>116890.07322000001</v>
      </c>
      <c r="M61" s="348">
        <v>112995.99304</v>
      </c>
      <c r="N61" s="348">
        <v>118580.11211</v>
      </c>
      <c r="O61" s="411">
        <v>127882.21840000001</v>
      </c>
      <c r="P61" s="411">
        <v>118020.16909</v>
      </c>
      <c r="Q61" s="411">
        <v>119670.73780999999</v>
      </c>
      <c r="R61" s="411">
        <v>124975.63945</v>
      </c>
      <c r="S61" s="411">
        <v>112207.66015000001</v>
      </c>
      <c r="T61" s="411">
        <v>115304.03515</v>
      </c>
      <c r="U61" s="411">
        <v>118409.30535</v>
      </c>
      <c r="V61" s="411">
        <v>109851.96798999999</v>
      </c>
      <c r="W61" s="411">
        <v>113549.9185</v>
      </c>
      <c r="X61" s="411">
        <v>116353.19173000001</v>
      </c>
      <c r="Y61" s="411">
        <v>110539.73106000001</v>
      </c>
      <c r="Z61" s="411">
        <v>116033.08682</v>
      </c>
      <c r="AA61" s="411">
        <v>122651.03271</v>
      </c>
      <c r="AB61" s="411">
        <v>116699.20221</v>
      </c>
      <c r="AC61" s="411">
        <v>122195.25251999999</v>
      </c>
      <c r="AD61" s="411">
        <v>127422.18271000001</v>
      </c>
      <c r="AE61" s="411">
        <v>114024.68578</v>
      </c>
      <c r="AF61" s="411">
        <v>117789.85914999999</v>
      </c>
      <c r="AG61" s="411">
        <v>120848.67453</v>
      </c>
      <c r="AH61" s="411">
        <v>111115.29369000001</v>
      </c>
      <c r="AI61" s="411">
        <v>114799.15332000001</v>
      </c>
      <c r="AJ61" s="411">
        <v>118224.76241000001</v>
      </c>
      <c r="AK61" s="411">
        <v>112041.84311999999</v>
      </c>
      <c r="AL61" s="411">
        <v>116103.24680999998</v>
      </c>
      <c r="AM61" s="411">
        <v>123778.86442999999</v>
      </c>
      <c r="AN61" s="411">
        <v>117830.68035</v>
      </c>
      <c r="AO61" s="411">
        <v>122675.46353000001</v>
      </c>
      <c r="AP61" s="411">
        <v>126386.19180999999</v>
      </c>
      <c r="AQ61" s="411">
        <v>111533.67065</v>
      </c>
      <c r="AR61" s="411">
        <v>114743.46379000001</v>
      </c>
      <c r="AS61" s="411">
        <v>117839.59721000001</v>
      </c>
      <c r="AT61" s="411">
        <v>111068.55206</v>
      </c>
      <c r="AU61" s="411">
        <v>114483.90970999999</v>
      </c>
      <c r="AV61" s="411">
        <v>117430.78700999999</v>
      </c>
      <c r="AW61" s="411">
        <v>112251.37008999998</v>
      </c>
      <c r="AX61" s="411">
        <v>116870.93506999999</v>
      </c>
      <c r="AY61" s="411">
        <v>128266.4224</v>
      </c>
      <c r="AZ61" s="411">
        <v>123619.7215</v>
      </c>
      <c r="BA61" s="411">
        <v>131310.52197</v>
      </c>
      <c r="BB61" s="411">
        <v>111908.32908</v>
      </c>
      <c r="BC61" s="411">
        <v>117431.75122000002</v>
      </c>
      <c r="BD61" s="411">
        <v>122874.36940000001</v>
      </c>
      <c r="BE61" s="587">
        <v>127308.97186000001</v>
      </c>
      <c r="BF61" s="587">
        <v>113416.72528999999</v>
      </c>
      <c r="BG61" s="587">
        <v>118972.65316</v>
      </c>
      <c r="BH61" s="587">
        <v>124078.34031</v>
      </c>
      <c r="BI61" s="587">
        <v>115121.16907999999</v>
      </c>
      <c r="BJ61" s="587">
        <v>120983.76886999999</v>
      </c>
      <c r="BK61" s="587">
        <v>130771.70633</v>
      </c>
      <c r="BL61" s="587">
        <v>122850.96669</v>
      </c>
      <c r="BM61" s="587">
        <v>133757.59856000001</v>
      </c>
      <c r="BN61" s="587">
        <v>110923.73589</v>
      </c>
      <c r="BO61" s="587">
        <v>117179.0802</v>
      </c>
      <c r="BP61" s="587">
        <v>123837.64003</v>
      </c>
      <c r="BQ61" s="587">
        <v>128232.83838</v>
      </c>
      <c r="BR61" s="587">
        <v>113171.95388</v>
      </c>
      <c r="BS61" s="587">
        <v>120441.96230999999</v>
      </c>
      <c r="BT61" s="587">
        <v>109018.66183</v>
      </c>
      <c r="BU61" s="587">
        <v>114951.68089</v>
      </c>
      <c r="BV61" s="587">
        <v>121058.80081999999</v>
      </c>
      <c r="BW61" s="587">
        <v>130628.59999999998</v>
      </c>
      <c r="BX61" s="587">
        <v>122444.79999999999</v>
      </c>
      <c r="BY61" s="587">
        <v>133245.19999999998</v>
      </c>
      <c r="BZ61" s="587">
        <v>140249.39999999997</v>
      </c>
      <c r="CA61" s="587">
        <v>116529.5</v>
      </c>
      <c r="CB61" s="587">
        <v>123407.49999999999</v>
      </c>
      <c r="CC61" s="587">
        <v>127830.49999999997</v>
      </c>
      <c r="CD61" s="587">
        <v>112854.6</v>
      </c>
      <c r="CE61" s="587">
        <v>119116.89999999998</v>
      </c>
      <c r="CF61" s="587">
        <v>122310.49169154298</v>
      </c>
      <c r="CG61" s="587">
        <v>113209.22813335655</v>
      </c>
      <c r="CH61" s="587">
        <v>125794.15042864479</v>
      </c>
      <c r="CI61" s="587">
        <v>131272.12005828234</v>
      </c>
      <c r="CJ61" s="587">
        <v>114528.14886284544</v>
      </c>
      <c r="CK61" s="587">
        <v>117967.74574021419</v>
      </c>
      <c r="CL61" s="587">
        <v>120827.44389167297</v>
      </c>
      <c r="CM61" s="587">
        <v>108443.30670537718</v>
      </c>
      <c r="CN61" s="587">
        <v>108856.68543999035</v>
      </c>
      <c r="CO61" s="587">
        <v>109235.85409220975</v>
      </c>
      <c r="CP61" s="587">
        <v>105101.05377480843</v>
      </c>
      <c r="CQ61" s="587">
        <v>105435.05519061613</v>
      </c>
      <c r="CR61" s="587">
        <v>106067.01024586096</v>
      </c>
      <c r="CS61" s="587">
        <v>106887.4507855484</v>
      </c>
      <c r="CT61" s="587">
        <v>110551.47292892703</v>
      </c>
      <c r="CU61" s="698">
        <f t="shared" si="98"/>
        <v>113151.34601115368</v>
      </c>
      <c r="CW61" s="33"/>
      <c r="CX61" s="184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</row>
    <row r="62" spans="1:116">
      <c r="A62" s="616" t="s">
        <v>512</v>
      </c>
      <c r="B62" s="262">
        <f t="shared" ca="1" si="97"/>
        <v>0</v>
      </c>
      <c r="C62" s="349">
        <v>-804.67511000000002</v>
      </c>
      <c r="D62" s="349">
        <v>-782.84054000000003</v>
      </c>
      <c r="E62" s="349">
        <v>-761.00595999999996</v>
      </c>
      <c r="F62" s="349">
        <v>-739.17138999999997</v>
      </c>
      <c r="G62" s="349">
        <v>-717.33681999999999</v>
      </c>
      <c r="H62" s="349">
        <v>-695.50225</v>
      </c>
      <c r="I62" s="349">
        <v>-673.66767000000004</v>
      </c>
      <c r="J62" s="349">
        <v>-651.83309999999994</v>
      </c>
      <c r="K62" s="349">
        <v>-629.99853000000007</v>
      </c>
      <c r="L62" s="349">
        <v>-608.16395999999997</v>
      </c>
      <c r="M62" s="349">
        <v>-586.32938999999999</v>
      </c>
      <c r="N62" s="349">
        <v>-508.06084000000004</v>
      </c>
      <c r="O62" s="412">
        <v>-481.52343999999999</v>
      </c>
      <c r="P62" s="412">
        <v>-454.98603000000003</v>
      </c>
      <c r="Q62" s="412">
        <v>-428.44862999999998</v>
      </c>
      <c r="R62" s="412">
        <v>-401.91121999999996</v>
      </c>
      <c r="S62" s="412">
        <v>-387.61651000000001</v>
      </c>
      <c r="T62" s="412">
        <v>-385.56428999999997</v>
      </c>
      <c r="U62" s="412">
        <v>-383.51208000000003</v>
      </c>
      <c r="V62" s="412">
        <v>-381.45984000000004</v>
      </c>
      <c r="W62" s="412">
        <v>-379.40762000000001</v>
      </c>
      <c r="X62" s="412">
        <v>-377.35540000000003</v>
      </c>
      <c r="Y62" s="412">
        <v>-375.30318</v>
      </c>
      <c r="Z62" s="412">
        <v>-373.25094999999999</v>
      </c>
      <c r="AA62" s="412">
        <v>-371.19872999999995</v>
      </c>
      <c r="AB62" s="412">
        <v>-369.1465</v>
      </c>
      <c r="AC62" s="412">
        <v>-367.09429</v>
      </c>
      <c r="AD62" s="412">
        <v>-365.04207000000002</v>
      </c>
      <c r="AE62" s="412">
        <v>-362.98984999999999</v>
      </c>
      <c r="AF62" s="412">
        <v>-360.93761999999998</v>
      </c>
      <c r="AG62" s="412">
        <v>-358.8854</v>
      </c>
      <c r="AH62" s="412">
        <v>-356.83317999999997</v>
      </c>
      <c r="AI62" s="412">
        <v>-354.78096999999997</v>
      </c>
      <c r="AJ62" s="412">
        <v>-352.72874000000002</v>
      </c>
      <c r="AK62" s="412">
        <v>-350.67652000000004</v>
      </c>
      <c r="AL62" s="412">
        <v>-348.62430000000001</v>
      </c>
      <c r="AM62" s="412">
        <v>-346.57208000000003</v>
      </c>
      <c r="AN62" s="412">
        <v>-344.51984999999996</v>
      </c>
      <c r="AO62" s="412">
        <v>-342.46764000000002</v>
      </c>
      <c r="AP62" s="412">
        <v>-340.41541999999998</v>
      </c>
      <c r="AQ62" s="412">
        <v>-338.36320000000001</v>
      </c>
      <c r="AR62" s="412">
        <v>-336.31097</v>
      </c>
      <c r="AS62" s="412">
        <v>-334.25875000000002</v>
      </c>
      <c r="AT62" s="412">
        <v>-332.20653000000004</v>
      </c>
      <c r="AU62" s="412">
        <v>-330.15431999999998</v>
      </c>
      <c r="AV62" s="412">
        <v>-328.10209000000003</v>
      </c>
      <c r="AW62" s="412">
        <v>-326.04987</v>
      </c>
      <c r="AX62" s="412">
        <v>-323.99765000000002</v>
      </c>
      <c r="AY62" s="412">
        <v>-321.94542999999999</v>
      </c>
      <c r="AZ62" s="412">
        <v>-319.89320000000004</v>
      </c>
      <c r="BA62" s="412">
        <v>-317.84098999999998</v>
      </c>
      <c r="BB62" s="412">
        <v>-315.77598</v>
      </c>
      <c r="BC62" s="412">
        <v>-313.72376000000003</v>
      </c>
      <c r="BD62" s="412">
        <v>-311.67153000000002</v>
      </c>
      <c r="BE62" s="680">
        <v>-309.61930999999998</v>
      </c>
      <c r="BF62" s="680">
        <v>-307.56709000000001</v>
      </c>
      <c r="BG62" s="680">
        <v>-305.51488000000001</v>
      </c>
      <c r="BH62" s="680">
        <v>-303.46265</v>
      </c>
      <c r="BI62" s="680">
        <v>-301.41043000000002</v>
      </c>
      <c r="BJ62" s="680">
        <v>-299.35821000000004</v>
      </c>
      <c r="BK62" s="680">
        <v>-297.30599000000001</v>
      </c>
      <c r="BL62" s="680">
        <v>-295.25376</v>
      </c>
      <c r="BM62" s="680">
        <v>-293.20155</v>
      </c>
      <c r="BN62" s="680">
        <v>-291.14933000000002</v>
      </c>
      <c r="BO62" s="680">
        <v>-289.09710999999999</v>
      </c>
      <c r="BP62" s="680">
        <v>-287.04487999999998</v>
      </c>
      <c r="BQ62" s="680">
        <v>-284.99266</v>
      </c>
      <c r="BR62" s="680">
        <v>-282.94044000000002</v>
      </c>
      <c r="BS62" s="680">
        <v>-280.88822999999996</v>
      </c>
      <c r="BT62" s="680">
        <v>-278.83600000000001</v>
      </c>
      <c r="BU62" s="680">
        <v>-276.78378000000004</v>
      </c>
      <c r="BV62" s="680">
        <v>-274.73156</v>
      </c>
      <c r="BW62" s="680">
        <v>0</v>
      </c>
      <c r="BX62" s="680">
        <v>0</v>
      </c>
      <c r="BY62" s="680">
        <v>0</v>
      </c>
      <c r="BZ62" s="680">
        <v>0</v>
      </c>
      <c r="CA62" s="680">
        <v>0</v>
      </c>
      <c r="CB62" s="680">
        <v>0</v>
      </c>
      <c r="CC62" s="680">
        <v>0</v>
      </c>
      <c r="CD62" s="680">
        <v>0</v>
      </c>
      <c r="CE62" s="680">
        <v>0</v>
      </c>
      <c r="CF62" s="680">
        <v>0</v>
      </c>
      <c r="CG62" s="680">
        <v>0</v>
      </c>
      <c r="CH62" s="680">
        <v>0</v>
      </c>
      <c r="CI62" s="680">
        <v>0</v>
      </c>
      <c r="CJ62" s="680">
        <v>0</v>
      </c>
      <c r="CK62" s="680">
        <v>0</v>
      </c>
      <c r="CL62" s="680">
        <v>0</v>
      </c>
      <c r="CM62" s="680">
        <v>0</v>
      </c>
      <c r="CN62" s="680">
        <v>0</v>
      </c>
      <c r="CO62" s="680">
        <v>0</v>
      </c>
      <c r="CP62" s="680">
        <v>0</v>
      </c>
      <c r="CQ62" s="680">
        <v>0</v>
      </c>
      <c r="CR62" s="680">
        <v>0</v>
      </c>
      <c r="CS62" s="680">
        <v>0</v>
      </c>
      <c r="CT62" s="680">
        <v>0</v>
      </c>
      <c r="CU62" s="699">
        <f t="shared" si="98"/>
        <v>0</v>
      </c>
      <c r="CW62" s="33"/>
      <c r="CX62" s="184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</row>
    <row r="63" spans="1:116">
      <c r="A63" s="598" t="s">
        <v>513</v>
      </c>
      <c r="B63" s="260">
        <f t="shared" ca="1" si="97"/>
        <v>1191009.1383188462</v>
      </c>
      <c r="C63" s="79">
        <f t="shared" ref="C63:N63" si="99">SUM(C60:C62)</f>
        <v>354385.47901000001</v>
      </c>
      <c r="D63" s="79">
        <f t="shared" si="99"/>
        <v>357271.21208999999</v>
      </c>
      <c r="E63" s="79">
        <f t="shared" si="99"/>
        <v>361829.83810000005</v>
      </c>
      <c r="F63" s="79">
        <f t="shared" si="99"/>
        <v>365682.64070000005</v>
      </c>
      <c r="G63" s="79">
        <f t="shared" si="99"/>
        <v>374133.55897999997</v>
      </c>
      <c r="H63" s="79">
        <f t="shared" si="99"/>
        <v>376237.01261999999</v>
      </c>
      <c r="I63" s="79">
        <f t="shared" si="99"/>
        <v>379017.73096000002</v>
      </c>
      <c r="J63" s="79">
        <f t="shared" si="99"/>
        <v>379450.34096999996</v>
      </c>
      <c r="K63" s="79">
        <f t="shared" si="99"/>
        <v>382180.09396999999</v>
      </c>
      <c r="L63" s="79">
        <f t="shared" si="99"/>
        <v>384832.07845000003</v>
      </c>
      <c r="M63" s="79">
        <f t="shared" si="99"/>
        <v>387959.83283999999</v>
      </c>
      <c r="N63" s="79">
        <f t="shared" si="99"/>
        <v>393622.22045999998</v>
      </c>
      <c r="O63" s="79">
        <f t="shared" ref="O63:Z63" si="100">SUM(O60:O62)</f>
        <v>402950.86414999998</v>
      </c>
      <c r="P63" s="79">
        <f t="shared" si="100"/>
        <v>403115.35225</v>
      </c>
      <c r="Q63" s="79">
        <f t="shared" si="100"/>
        <v>404792.45837000001</v>
      </c>
      <c r="R63" s="79">
        <f t="shared" si="100"/>
        <v>410123.89741999999</v>
      </c>
      <c r="S63" s="79">
        <f t="shared" si="100"/>
        <v>412370.21282999997</v>
      </c>
      <c r="T63" s="79">
        <f t="shared" si="100"/>
        <v>415468.64004999999</v>
      </c>
      <c r="U63" s="79">
        <f t="shared" si="100"/>
        <v>418575.96245999995</v>
      </c>
      <c r="V63" s="79">
        <f t="shared" si="100"/>
        <v>420020.67733999994</v>
      </c>
      <c r="W63" s="79">
        <f t="shared" si="100"/>
        <v>423720.68006999994</v>
      </c>
      <c r="X63" s="79">
        <f t="shared" si="100"/>
        <v>426526.00552000001</v>
      </c>
      <c r="Y63" s="79">
        <f t="shared" si="100"/>
        <v>430714.59707000002</v>
      </c>
      <c r="Z63" s="79">
        <f t="shared" si="100"/>
        <v>436210.00506</v>
      </c>
      <c r="AA63" s="79">
        <f t="shared" ref="AA63:AL63" si="101">SUM(AA60:AA62)</f>
        <v>442830.00316999998</v>
      </c>
      <c r="AB63" s="79">
        <f t="shared" si="101"/>
        <v>471880.22490000003</v>
      </c>
      <c r="AC63" s="79">
        <f t="shared" si="101"/>
        <v>477378.32741999999</v>
      </c>
      <c r="AD63" s="79">
        <f t="shared" si="101"/>
        <v>482607.30982999998</v>
      </c>
      <c r="AE63" s="79">
        <f t="shared" si="101"/>
        <v>504211.86511999997</v>
      </c>
      <c r="AF63" s="79">
        <f t="shared" si="101"/>
        <v>507979.09071999998</v>
      </c>
      <c r="AG63" s="79">
        <f t="shared" si="101"/>
        <v>511039.95831999998</v>
      </c>
      <c r="AH63" s="79">
        <f t="shared" si="101"/>
        <v>501308.62969999999</v>
      </c>
      <c r="AI63" s="79">
        <f t="shared" si="101"/>
        <v>529994.54154000001</v>
      </c>
      <c r="AJ63" s="79">
        <f t="shared" si="101"/>
        <v>533422.20285999996</v>
      </c>
      <c r="AK63" s="79">
        <f t="shared" si="101"/>
        <v>527241.33579000004</v>
      </c>
      <c r="AL63" s="79">
        <f t="shared" si="101"/>
        <v>531304.79169999994</v>
      </c>
      <c r="AM63" s="79">
        <f t="shared" ref="AM63:AR63" si="102">SUM(AM60:AM62)</f>
        <v>538982.46154000005</v>
      </c>
      <c r="AN63" s="79">
        <f t="shared" si="102"/>
        <v>573036.32968999993</v>
      </c>
      <c r="AO63" s="79">
        <f t="shared" si="102"/>
        <v>577883.16507999995</v>
      </c>
      <c r="AP63" s="79">
        <f t="shared" si="102"/>
        <v>581595.94558000006</v>
      </c>
      <c r="AQ63" s="79">
        <f t="shared" si="102"/>
        <v>596745.47664000001</v>
      </c>
      <c r="AR63" s="79">
        <f t="shared" si="102"/>
        <v>599957.32201</v>
      </c>
      <c r="AS63" s="79">
        <f t="shared" ref="AS63" si="103">SUM(AS60:AS62)</f>
        <v>603055.50764999993</v>
      </c>
      <c r="AT63" s="79">
        <f t="shared" ref="AT63:AY63" si="104">SUM(AT60:AT62)</f>
        <v>641286.51472000009</v>
      </c>
      <c r="AU63" s="79">
        <f t="shared" si="104"/>
        <v>644703.92458000011</v>
      </c>
      <c r="AV63" s="79">
        <f t="shared" si="104"/>
        <v>647652.85411000007</v>
      </c>
      <c r="AW63" s="79">
        <f t="shared" si="104"/>
        <v>657475.48941000004</v>
      </c>
      <c r="AX63" s="79">
        <f t="shared" si="104"/>
        <v>662097.10661000002</v>
      </c>
      <c r="AY63" s="79">
        <f t="shared" si="104"/>
        <v>673494.64616000012</v>
      </c>
      <c r="AZ63" s="79">
        <f t="shared" ref="AZ63:BJ63" si="105">SUM(AZ60:AZ62)</f>
        <v>708849.99748999998</v>
      </c>
      <c r="BA63" s="79">
        <f t="shared" si="105"/>
        <v>716542.85016999999</v>
      </c>
      <c r="BB63" s="79">
        <f t="shared" si="105"/>
        <v>697142.72229000006</v>
      </c>
      <c r="BC63" s="79">
        <f t="shared" si="105"/>
        <v>722668.19665000006</v>
      </c>
      <c r="BD63" s="79">
        <f t="shared" si="105"/>
        <v>728112.86705999996</v>
      </c>
      <c r="BE63" s="686">
        <f t="shared" si="105"/>
        <v>732549.52174000011</v>
      </c>
      <c r="BF63" s="686">
        <f t="shared" si="105"/>
        <v>753659.32738999999</v>
      </c>
      <c r="BG63" s="686">
        <f t="shared" si="105"/>
        <v>759217.30747</v>
      </c>
      <c r="BH63" s="686">
        <f t="shared" si="105"/>
        <v>764325.04685000004</v>
      </c>
      <c r="BI63" s="686">
        <f t="shared" si="105"/>
        <v>780369.92784000002</v>
      </c>
      <c r="BJ63" s="686">
        <f t="shared" si="105"/>
        <v>786234.5798500001</v>
      </c>
      <c r="BK63" s="686">
        <f t="shared" ref="BK63:BV63" si="106">SUM(BK60:BK62)</f>
        <v>796024.56952999998</v>
      </c>
      <c r="BL63" s="686">
        <f t="shared" si="106"/>
        <v>863105.88212000008</v>
      </c>
      <c r="BM63" s="686">
        <f t="shared" si="106"/>
        <v>874014.56620000012</v>
      </c>
      <c r="BN63" s="686">
        <f t="shared" si="106"/>
        <v>851182.75575000001</v>
      </c>
      <c r="BO63" s="686">
        <f t="shared" si="106"/>
        <v>887440.15228000004</v>
      </c>
      <c r="BP63" s="686">
        <f t="shared" si="106"/>
        <v>894100.76434000011</v>
      </c>
      <c r="BQ63" s="686">
        <f t="shared" si="106"/>
        <v>898498.01491000003</v>
      </c>
      <c r="BR63" s="686">
        <f t="shared" si="106"/>
        <v>923439.18263000005</v>
      </c>
      <c r="BS63" s="686">
        <f t="shared" si="106"/>
        <v>930711.24326999998</v>
      </c>
      <c r="BT63" s="686">
        <f t="shared" si="106"/>
        <v>919289.99502000003</v>
      </c>
      <c r="BU63" s="686">
        <f t="shared" si="106"/>
        <v>950225.06629999995</v>
      </c>
      <c r="BV63" s="686">
        <f t="shared" si="106"/>
        <v>991334.23845000006</v>
      </c>
      <c r="BW63" s="686">
        <f t="shared" ref="BW63:CH63" si="107">SUM(BW60:BW62)</f>
        <v>1001178.7000000001</v>
      </c>
      <c r="BX63" s="686">
        <f t="shared" si="107"/>
        <v>1015494.9000000001</v>
      </c>
      <c r="BY63" s="686">
        <f t="shared" si="107"/>
        <v>1026295.3</v>
      </c>
      <c r="BZ63" s="686">
        <f t="shared" si="107"/>
        <v>1033299.5</v>
      </c>
      <c r="CA63" s="686">
        <f t="shared" si="107"/>
        <v>1034579.6000000001</v>
      </c>
      <c r="CB63" s="686">
        <f t="shared" si="107"/>
        <v>1041457.6000000001</v>
      </c>
      <c r="CC63" s="686">
        <f t="shared" si="107"/>
        <v>1045880.6000000001</v>
      </c>
      <c r="CD63" s="686">
        <f t="shared" si="107"/>
        <v>1060904.7000000002</v>
      </c>
      <c r="CE63" s="686">
        <f t="shared" si="107"/>
        <v>1067167</v>
      </c>
      <c r="CF63" s="686">
        <f t="shared" si="107"/>
        <v>1070360.5916915431</v>
      </c>
      <c r="CG63" s="686">
        <f t="shared" si="107"/>
        <v>1118759.3281333568</v>
      </c>
      <c r="CH63" s="686">
        <f t="shared" si="107"/>
        <v>1131344.2504286449</v>
      </c>
      <c r="CI63" s="686">
        <f t="shared" ref="CI63" si="108">SUM(CI60:CI62)</f>
        <v>1136822.2200582824</v>
      </c>
      <c r="CJ63" s="686">
        <f t="shared" ref="CJ63:CT63" si="109">SUM(CJ60:CJ62)</f>
        <v>1160078.2488628456</v>
      </c>
      <c r="CK63" s="686">
        <f t="shared" si="109"/>
        <v>1163517.8457402142</v>
      </c>
      <c r="CL63" s="686">
        <f t="shared" si="109"/>
        <v>1166377.543891673</v>
      </c>
      <c r="CM63" s="686">
        <f t="shared" si="109"/>
        <v>1188993.4067053772</v>
      </c>
      <c r="CN63" s="686">
        <f t="shared" si="109"/>
        <v>1189406.7854399905</v>
      </c>
      <c r="CO63" s="686">
        <f t="shared" si="109"/>
        <v>1189785.9540922099</v>
      </c>
      <c r="CP63" s="686">
        <f t="shared" si="109"/>
        <v>1215651.1537748086</v>
      </c>
      <c r="CQ63" s="686">
        <f t="shared" si="109"/>
        <v>1215985.1551906161</v>
      </c>
      <c r="CR63" s="686">
        <f t="shared" si="109"/>
        <v>1216617.1102458611</v>
      </c>
      <c r="CS63" s="686">
        <f t="shared" si="109"/>
        <v>1252437.5507855485</v>
      </c>
      <c r="CT63" s="686">
        <f t="shared" si="109"/>
        <v>1256101.5729289271</v>
      </c>
      <c r="CU63" s="698">
        <f t="shared" si="98"/>
        <v>1191009.1383188462</v>
      </c>
      <c r="CW63" s="33"/>
      <c r="CX63" s="184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</row>
    <row r="64" spans="1:116">
      <c r="A64" s="598"/>
      <c r="B64" s="26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686"/>
      <c r="BF64" s="686"/>
      <c r="BG64" s="686"/>
      <c r="BH64" s="686"/>
      <c r="BI64" s="686"/>
      <c r="BJ64" s="686"/>
      <c r="BK64" s="686"/>
      <c r="BL64" s="686"/>
      <c r="BM64" s="686"/>
      <c r="BN64" s="686"/>
      <c r="BO64" s="686"/>
      <c r="BP64" s="686"/>
      <c r="BQ64" s="686"/>
      <c r="BR64" s="686"/>
      <c r="BS64" s="686"/>
      <c r="BT64" s="686"/>
      <c r="BU64" s="686"/>
      <c r="BV64" s="686"/>
      <c r="BW64" s="686"/>
      <c r="BX64" s="686"/>
      <c r="BY64" s="686"/>
      <c r="BZ64" s="686"/>
      <c r="CA64" s="686"/>
      <c r="CB64" s="686"/>
      <c r="CC64" s="686"/>
      <c r="CD64" s="686"/>
      <c r="CE64" s="686"/>
      <c r="CF64" s="686"/>
      <c r="CG64" s="686"/>
      <c r="CH64" s="686"/>
      <c r="CI64" s="686"/>
      <c r="CJ64" s="686"/>
      <c r="CK64" s="686"/>
      <c r="CL64" s="686"/>
      <c r="CM64" s="686"/>
      <c r="CN64" s="686"/>
      <c r="CO64" s="686"/>
      <c r="CP64" s="686"/>
      <c r="CQ64" s="686"/>
      <c r="CR64" s="686"/>
      <c r="CS64" s="686"/>
      <c r="CT64" s="686"/>
      <c r="CU64" s="698"/>
      <c r="CW64" s="33"/>
      <c r="CX64" s="184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</row>
    <row r="65" spans="1:116">
      <c r="A65" s="616" t="s">
        <v>514</v>
      </c>
      <c r="B65" s="260">
        <f t="shared" ref="B65:B70" ca="1" si="110">SUM(OFFSET(BW65:CI65,0,$A$1-1))/13</f>
        <v>878846.15384615387</v>
      </c>
      <c r="C65" s="348">
        <v>261764.68</v>
      </c>
      <c r="D65" s="348">
        <v>261764.68</v>
      </c>
      <c r="E65" s="348">
        <v>261764.68</v>
      </c>
      <c r="F65" s="348">
        <v>261764.68</v>
      </c>
      <c r="G65" s="348">
        <v>261764.68</v>
      </c>
      <c r="H65" s="348">
        <v>261764.68</v>
      </c>
      <c r="I65" s="348">
        <v>261764.68</v>
      </c>
      <c r="J65" s="348">
        <v>261764.68</v>
      </c>
      <c r="K65" s="348">
        <v>261764.68</v>
      </c>
      <c r="L65" s="348">
        <v>261764.68</v>
      </c>
      <c r="M65" s="348">
        <v>261764.68</v>
      </c>
      <c r="N65" s="348">
        <v>261764.68</v>
      </c>
      <c r="O65" s="411">
        <v>261764.68</v>
      </c>
      <c r="P65" s="411">
        <v>261764.68</v>
      </c>
      <c r="Q65" s="411">
        <v>261764.68</v>
      </c>
      <c r="R65" s="411">
        <v>261764.68</v>
      </c>
      <c r="S65" s="411">
        <v>211764.68</v>
      </c>
      <c r="T65" s="411">
        <v>286764.68</v>
      </c>
      <c r="U65" s="411">
        <v>286764.68</v>
      </c>
      <c r="V65" s="411">
        <v>286764.68</v>
      </c>
      <c r="W65" s="411">
        <v>286764.68</v>
      </c>
      <c r="X65" s="411">
        <v>311764.68</v>
      </c>
      <c r="Y65" s="411">
        <v>311764.68</v>
      </c>
      <c r="Z65" s="411">
        <v>311764.68</v>
      </c>
      <c r="AA65" s="411">
        <v>311764.68</v>
      </c>
      <c r="AB65" s="411">
        <v>311764.68</v>
      </c>
      <c r="AC65" s="411">
        <v>311764.68</v>
      </c>
      <c r="AD65" s="411">
        <v>311764.68</v>
      </c>
      <c r="AE65" s="411">
        <v>311764.68</v>
      </c>
      <c r="AF65" s="411">
        <v>311764.68</v>
      </c>
      <c r="AG65" s="411">
        <v>336764.68</v>
      </c>
      <c r="AH65" s="411">
        <v>336764.68</v>
      </c>
      <c r="AI65" s="411">
        <v>336764.68</v>
      </c>
      <c r="AJ65" s="411">
        <v>336764.68</v>
      </c>
      <c r="AK65" s="411">
        <v>336764.68</v>
      </c>
      <c r="AL65" s="411">
        <v>336764.68</v>
      </c>
      <c r="AM65" s="411">
        <v>336764.68</v>
      </c>
      <c r="AN65" s="411">
        <v>336764.68</v>
      </c>
      <c r="AO65" s="411">
        <v>336764.68</v>
      </c>
      <c r="AP65" s="411">
        <v>336764.68</v>
      </c>
      <c r="AQ65" s="411">
        <v>336764.68</v>
      </c>
      <c r="AR65" s="411">
        <v>336764.68</v>
      </c>
      <c r="AS65" s="411">
        <v>336764.68</v>
      </c>
      <c r="AT65" s="411">
        <v>336764.68</v>
      </c>
      <c r="AU65" s="411">
        <v>336764.68</v>
      </c>
      <c r="AV65" s="411">
        <v>336764.68</v>
      </c>
      <c r="AW65" s="411">
        <v>336764.68</v>
      </c>
      <c r="AX65" s="411">
        <v>336764.68</v>
      </c>
      <c r="AY65" s="411">
        <v>336764.68</v>
      </c>
      <c r="AZ65" s="411">
        <v>336764.68</v>
      </c>
      <c r="BA65" s="411">
        <v>566764.68000000005</v>
      </c>
      <c r="BB65" s="411">
        <v>566764.68000000005</v>
      </c>
      <c r="BC65" s="411">
        <v>520000</v>
      </c>
      <c r="BD65" s="411">
        <v>520000</v>
      </c>
      <c r="BE65" s="587">
        <v>520000</v>
      </c>
      <c r="BF65" s="587">
        <v>520000</v>
      </c>
      <c r="BG65" s="587">
        <v>520000</v>
      </c>
      <c r="BH65" s="587">
        <v>520000</v>
      </c>
      <c r="BI65" s="587">
        <v>520000</v>
      </c>
      <c r="BJ65" s="587">
        <v>520000</v>
      </c>
      <c r="BK65" s="587">
        <v>520000</v>
      </c>
      <c r="BL65" s="587">
        <v>520000</v>
      </c>
      <c r="BM65" s="587">
        <v>520000</v>
      </c>
      <c r="BN65" s="587">
        <v>520000</v>
      </c>
      <c r="BO65" s="587">
        <v>520000</v>
      </c>
      <c r="BP65" s="587">
        <v>520000</v>
      </c>
      <c r="BQ65" s="587">
        <v>595000</v>
      </c>
      <c r="BR65" s="587">
        <v>595000</v>
      </c>
      <c r="BS65" s="587">
        <v>570000</v>
      </c>
      <c r="BT65" s="587">
        <v>570000</v>
      </c>
      <c r="BU65" s="587">
        <v>570000</v>
      </c>
      <c r="BV65" s="587">
        <v>570000</v>
      </c>
      <c r="BW65" s="1065">
        <v>570000</v>
      </c>
      <c r="BX65" s="1065">
        <v>570000</v>
      </c>
      <c r="BY65" s="1065">
        <v>570000</v>
      </c>
      <c r="BZ65" s="1065">
        <v>570000</v>
      </c>
      <c r="CA65" s="1065">
        <v>570000</v>
      </c>
      <c r="CB65" s="587">
        <v>570000</v>
      </c>
      <c r="CC65" s="587">
        <v>570000</v>
      </c>
      <c r="CD65" s="587">
        <v>570000</v>
      </c>
      <c r="CE65" s="587">
        <v>570000</v>
      </c>
      <c r="CF65" s="587">
        <v>825000</v>
      </c>
      <c r="CG65" s="587">
        <v>825000</v>
      </c>
      <c r="CH65" s="587">
        <v>825000</v>
      </c>
      <c r="CI65" s="587">
        <v>825000</v>
      </c>
      <c r="CJ65" s="587">
        <v>825000</v>
      </c>
      <c r="CK65" s="587">
        <v>825000</v>
      </c>
      <c r="CL65" s="587">
        <v>825000</v>
      </c>
      <c r="CM65" s="587">
        <v>825000</v>
      </c>
      <c r="CN65" s="587">
        <v>925000</v>
      </c>
      <c r="CO65" s="587">
        <v>925000</v>
      </c>
      <c r="CP65" s="587">
        <v>925000</v>
      </c>
      <c r="CQ65" s="587">
        <v>925000</v>
      </c>
      <c r="CR65" s="587">
        <v>925000</v>
      </c>
      <c r="CS65" s="587">
        <v>925000</v>
      </c>
      <c r="CT65" s="587">
        <v>925000</v>
      </c>
      <c r="CU65" s="700">
        <f t="shared" ref="CU65:CU68" si="111">SUM(CH65:CT65)/13</f>
        <v>878846.15384615387</v>
      </c>
      <c r="CW65" s="33"/>
      <c r="CX65" s="184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</row>
    <row r="66" spans="1:116">
      <c r="A66" s="616" t="s">
        <v>515</v>
      </c>
      <c r="B66" s="260">
        <f t="shared" ca="1" si="110"/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411">
        <v>0</v>
      </c>
      <c r="P66" s="411">
        <v>0</v>
      </c>
      <c r="Q66" s="411">
        <v>0</v>
      </c>
      <c r="R66" s="411">
        <v>0</v>
      </c>
      <c r="S66" s="411">
        <v>0</v>
      </c>
      <c r="T66" s="411">
        <v>0</v>
      </c>
      <c r="U66" s="411">
        <v>0</v>
      </c>
      <c r="V66" s="411">
        <v>0</v>
      </c>
      <c r="W66" s="411">
        <v>0</v>
      </c>
      <c r="X66" s="411">
        <v>0</v>
      </c>
      <c r="Y66" s="411">
        <v>0</v>
      </c>
      <c r="Z66" s="411">
        <v>0</v>
      </c>
      <c r="AA66" s="411">
        <v>0</v>
      </c>
      <c r="AB66" s="411">
        <v>0</v>
      </c>
      <c r="AC66" s="411">
        <v>0</v>
      </c>
      <c r="AD66" s="411">
        <v>0</v>
      </c>
      <c r="AE66" s="411">
        <v>0</v>
      </c>
      <c r="AF66" s="411">
        <v>0</v>
      </c>
      <c r="AG66" s="411">
        <v>0</v>
      </c>
      <c r="AH66" s="411">
        <v>0</v>
      </c>
      <c r="AI66" s="411">
        <v>0</v>
      </c>
      <c r="AJ66" s="411">
        <v>0</v>
      </c>
      <c r="AK66" s="411">
        <v>0</v>
      </c>
      <c r="AL66" s="411">
        <v>0</v>
      </c>
      <c r="AM66" s="411">
        <v>0</v>
      </c>
      <c r="AN66" s="411">
        <v>0</v>
      </c>
      <c r="AO66" s="411">
        <v>0</v>
      </c>
      <c r="AP66" s="411">
        <v>0</v>
      </c>
      <c r="AQ66" s="411">
        <v>0</v>
      </c>
      <c r="AR66" s="411">
        <v>0</v>
      </c>
      <c r="AS66" s="411">
        <v>0</v>
      </c>
      <c r="AT66" s="411">
        <v>0</v>
      </c>
      <c r="AU66" s="411">
        <v>0</v>
      </c>
      <c r="AV66" s="411">
        <v>0</v>
      </c>
      <c r="AW66" s="411">
        <v>0</v>
      </c>
      <c r="AX66" s="411">
        <v>0</v>
      </c>
      <c r="AY66" s="411">
        <v>0</v>
      </c>
      <c r="AZ66" s="411">
        <v>0</v>
      </c>
      <c r="BA66" s="411">
        <v>0</v>
      </c>
      <c r="BB66" s="411">
        <v>0</v>
      </c>
      <c r="BC66" s="411">
        <v>0</v>
      </c>
      <c r="BD66" s="411">
        <v>0</v>
      </c>
      <c r="BE66" s="587">
        <v>0</v>
      </c>
      <c r="BF66" s="587">
        <v>0</v>
      </c>
      <c r="BG66" s="587">
        <v>0</v>
      </c>
      <c r="BH66" s="587">
        <v>0</v>
      </c>
      <c r="BI66" s="587">
        <v>0</v>
      </c>
      <c r="BJ66" s="587">
        <v>0</v>
      </c>
      <c r="BK66" s="587">
        <v>0</v>
      </c>
      <c r="BL66" s="587">
        <v>0</v>
      </c>
      <c r="BM66" s="587">
        <v>0</v>
      </c>
      <c r="BN66" s="587">
        <v>0</v>
      </c>
      <c r="BO66" s="587">
        <v>0</v>
      </c>
      <c r="BP66" s="587">
        <v>0</v>
      </c>
      <c r="BQ66" s="587">
        <v>0</v>
      </c>
      <c r="BR66" s="587">
        <v>0</v>
      </c>
      <c r="BS66" s="587">
        <v>0</v>
      </c>
      <c r="BT66" s="587">
        <v>0</v>
      </c>
      <c r="BU66" s="587">
        <v>0</v>
      </c>
      <c r="BV66" s="587">
        <v>0</v>
      </c>
      <c r="BW66" s="587">
        <v>0</v>
      </c>
      <c r="BX66" s="587">
        <v>0</v>
      </c>
      <c r="BY66" s="587">
        <v>0</v>
      </c>
      <c r="BZ66" s="587">
        <v>0</v>
      </c>
      <c r="CA66" s="587">
        <v>0</v>
      </c>
      <c r="CB66" s="587">
        <v>0</v>
      </c>
      <c r="CC66" s="587">
        <v>0</v>
      </c>
      <c r="CD66" s="587">
        <v>0</v>
      </c>
      <c r="CE66" s="587">
        <v>0</v>
      </c>
      <c r="CF66" s="587">
        <v>0</v>
      </c>
      <c r="CG66" s="587">
        <v>0</v>
      </c>
      <c r="CH66" s="587">
        <v>0</v>
      </c>
      <c r="CI66" s="587">
        <v>0</v>
      </c>
      <c r="CJ66" s="587">
        <v>0</v>
      </c>
      <c r="CK66" s="587">
        <v>0</v>
      </c>
      <c r="CL66" s="587">
        <v>0</v>
      </c>
      <c r="CM66" s="587">
        <v>0</v>
      </c>
      <c r="CN66" s="587">
        <v>0</v>
      </c>
      <c r="CO66" s="587">
        <v>0</v>
      </c>
      <c r="CP66" s="587">
        <v>0</v>
      </c>
      <c r="CQ66" s="587">
        <v>0</v>
      </c>
      <c r="CR66" s="587">
        <v>0</v>
      </c>
      <c r="CS66" s="587">
        <v>0</v>
      </c>
      <c r="CT66" s="587">
        <v>0</v>
      </c>
      <c r="CU66" s="698">
        <f t="shared" si="111"/>
        <v>0</v>
      </c>
      <c r="CW66" s="33"/>
      <c r="CX66" s="184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</row>
    <row r="67" spans="1:116">
      <c r="A67" s="616" t="s">
        <v>516</v>
      </c>
      <c r="B67" s="262">
        <f t="shared" ca="1" si="110"/>
        <v>0</v>
      </c>
      <c r="C67" s="349">
        <v>-405.43504999999999</v>
      </c>
      <c r="D67" s="349">
        <v>-403.73061000000001</v>
      </c>
      <c r="E67" s="349">
        <v>-402.02616999999998</v>
      </c>
      <c r="F67" s="349">
        <v>-400.32173</v>
      </c>
      <c r="G67" s="349">
        <v>-398.61728999999997</v>
      </c>
      <c r="H67" s="349">
        <v>-396.91284999999999</v>
      </c>
      <c r="I67" s="349">
        <v>-395.20840999999996</v>
      </c>
      <c r="J67" s="349">
        <v>-393.50396999999998</v>
      </c>
      <c r="K67" s="349">
        <v>-391.79953</v>
      </c>
      <c r="L67" s="349">
        <v>-390.09509000000003</v>
      </c>
      <c r="M67" s="349">
        <v>-388.39065000000005</v>
      </c>
      <c r="N67" s="349">
        <v>-386.68621000000002</v>
      </c>
      <c r="O67" s="412">
        <v>-384.98177000000004</v>
      </c>
      <c r="P67" s="412">
        <v>-383.27733000000001</v>
      </c>
      <c r="Q67" s="412">
        <v>-381.57289000000003</v>
      </c>
      <c r="R67" s="412">
        <v>-379.86845</v>
      </c>
      <c r="S67" s="412">
        <v>-378.16401000000002</v>
      </c>
      <c r="T67" s="412">
        <v>-571.30250999999998</v>
      </c>
      <c r="U67" s="412">
        <v>-774.52298999999994</v>
      </c>
      <c r="V67" s="412">
        <v>-771.70187999999996</v>
      </c>
      <c r="W67" s="412">
        <v>-768.88076999999998</v>
      </c>
      <c r="X67" s="412">
        <v>-893.46370999999999</v>
      </c>
      <c r="Y67" s="412">
        <v>-890.29544999999996</v>
      </c>
      <c r="Z67" s="412">
        <v>-887.12718999999993</v>
      </c>
      <c r="AA67" s="412">
        <v>-883.95893000000001</v>
      </c>
      <c r="AB67" s="412">
        <v>-880.79067000000009</v>
      </c>
      <c r="AC67" s="412">
        <v>-877.62241000000006</v>
      </c>
      <c r="AD67" s="412">
        <v>-874.45415000000003</v>
      </c>
      <c r="AE67" s="412">
        <v>-871.28588999999999</v>
      </c>
      <c r="AF67" s="412">
        <v>-868.11762999999996</v>
      </c>
      <c r="AG67" s="412">
        <v>-1171.44937</v>
      </c>
      <c r="AH67" s="412">
        <v>-1167.4566100000002</v>
      </c>
      <c r="AI67" s="412">
        <v>-1163.4621999999999</v>
      </c>
      <c r="AJ67" s="412">
        <v>-1159.4677900000002</v>
      </c>
      <c r="AK67" s="412">
        <v>-1155.4733799999999</v>
      </c>
      <c r="AL67" s="412">
        <v>-1151.4789699999999</v>
      </c>
      <c r="AM67" s="412">
        <v>-1147.4845600000001</v>
      </c>
      <c r="AN67" s="412">
        <v>-1143.4901499999999</v>
      </c>
      <c r="AO67" s="412">
        <v>-1139.4957400000001</v>
      </c>
      <c r="AP67" s="412">
        <v>-1135.5013300000001</v>
      </c>
      <c r="AQ67" s="412">
        <v>-1131.50692</v>
      </c>
      <c r="AR67" s="412">
        <v>-1127.51251</v>
      </c>
      <c r="AS67" s="412">
        <v>-1123.5181</v>
      </c>
      <c r="AT67" s="412">
        <v>-1119.52369</v>
      </c>
      <c r="AU67" s="412">
        <v>-1115.52928</v>
      </c>
      <c r="AV67" s="412">
        <v>-1111.5348700000002</v>
      </c>
      <c r="AW67" s="412">
        <v>-1107.5404599999999</v>
      </c>
      <c r="AX67" s="412">
        <v>-1103.5460500000002</v>
      </c>
      <c r="AY67" s="412">
        <v>-1099.5516399999999</v>
      </c>
      <c r="AZ67" s="412">
        <v>-1095.5572299999999</v>
      </c>
      <c r="BA67" s="412">
        <v>-1719.07629</v>
      </c>
      <c r="BB67" s="412">
        <v>-1711.4238500000001</v>
      </c>
      <c r="BC67" s="412">
        <v>-1703.5929099999998</v>
      </c>
      <c r="BD67" s="412">
        <v>-1695.76197</v>
      </c>
      <c r="BE67" s="680">
        <v>-1687.93103</v>
      </c>
      <c r="BF67" s="680">
        <v>-1680.1000900000001</v>
      </c>
      <c r="BG67" s="680">
        <v>-1672.2691499999999</v>
      </c>
      <c r="BH67" s="680">
        <v>-1664.43821</v>
      </c>
      <c r="BI67" s="680">
        <v>-1656.60727</v>
      </c>
      <c r="BJ67" s="680">
        <v>-1648.7763300000001</v>
      </c>
      <c r="BK67" s="680">
        <v>-1640.9453899999999</v>
      </c>
      <c r="BL67" s="680">
        <v>-1633.11445</v>
      </c>
      <c r="BM67" s="680">
        <v>-1625.28351</v>
      </c>
      <c r="BN67" s="680">
        <v>-1617.4525700000002</v>
      </c>
      <c r="BO67" s="680">
        <v>-1609.6216299999999</v>
      </c>
      <c r="BP67" s="680">
        <v>-1601.79069</v>
      </c>
      <c r="BQ67" s="680">
        <v>-1654.0476999999998</v>
      </c>
      <c r="BR67" s="680">
        <v>-1645.4918300000002</v>
      </c>
      <c r="BS67" s="680">
        <v>-1636.93596</v>
      </c>
      <c r="BT67" s="680">
        <v>-1628.63426</v>
      </c>
      <c r="BU67" s="680">
        <v>-1620.3325600000001</v>
      </c>
      <c r="BV67" s="680">
        <v>-1612.0308600000001</v>
      </c>
      <c r="BW67" s="1068">
        <v>-1604.0308600000001</v>
      </c>
      <c r="BX67" s="1068">
        <v>-1596.0308600000001</v>
      </c>
      <c r="BY67" s="1068">
        <v>-1588.0308600000001</v>
      </c>
      <c r="BZ67" s="1068">
        <v>-1580.0308600000001</v>
      </c>
      <c r="CA67" s="1068">
        <v>-1572.0308600000001</v>
      </c>
      <c r="CB67" s="680">
        <v>-1564.0308600000001</v>
      </c>
      <c r="CC67" s="680">
        <v>-1556.0308600000001</v>
      </c>
      <c r="CD67" s="680">
        <v>-1548.0308600000001</v>
      </c>
      <c r="CE67" s="680">
        <v>-1540.0308600000001</v>
      </c>
      <c r="CF67" s="680">
        <v>0</v>
      </c>
      <c r="CG67" s="680">
        <v>0</v>
      </c>
      <c r="CH67" s="680">
        <v>0</v>
      </c>
      <c r="CI67" s="680">
        <v>0</v>
      </c>
      <c r="CJ67" s="680">
        <v>0</v>
      </c>
      <c r="CK67" s="680">
        <v>0</v>
      </c>
      <c r="CL67" s="680">
        <v>0</v>
      </c>
      <c r="CM67" s="680">
        <v>0</v>
      </c>
      <c r="CN67" s="680">
        <v>0</v>
      </c>
      <c r="CO67" s="680">
        <v>0</v>
      </c>
      <c r="CP67" s="680">
        <v>0</v>
      </c>
      <c r="CQ67" s="680">
        <v>0</v>
      </c>
      <c r="CR67" s="680">
        <v>0</v>
      </c>
      <c r="CS67" s="680">
        <v>0</v>
      </c>
      <c r="CT67" s="680">
        <v>0</v>
      </c>
      <c r="CU67" s="699">
        <f t="shared" si="111"/>
        <v>0</v>
      </c>
      <c r="CW67" s="33"/>
      <c r="CX67" s="184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</row>
    <row r="68" spans="1:116">
      <c r="A68" s="598" t="s">
        <v>517</v>
      </c>
      <c r="B68" s="263">
        <f t="shared" ca="1" si="110"/>
        <v>878846.15384615387</v>
      </c>
      <c r="C68" s="82">
        <f t="shared" ref="C68:N68" si="112">SUM(C65:C67)</f>
        <v>261359.24494999999</v>
      </c>
      <c r="D68" s="82">
        <f t="shared" si="112"/>
        <v>261360.94938999999</v>
      </c>
      <c r="E68" s="82">
        <f t="shared" si="112"/>
        <v>261362.65383</v>
      </c>
      <c r="F68" s="82">
        <f t="shared" si="112"/>
        <v>261364.35827</v>
      </c>
      <c r="G68" s="82">
        <f t="shared" si="112"/>
        <v>261366.06271</v>
      </c>
      <c r="H68" s="82">
        <f t="shared" si="112"/>
        <v>261367.76715</v>
      </c>
      <c r="I68" s="82">
        <f t="shared" si="112"/>
        <v>261369.47159</v>
      </c>
      <c r="J68" s="82">
        <f t="shared" si="112"/>
        <v>261371.17603</v>
      </c>
      <c r="K68" s="82">
        <f t="shared" si="112"/>
        <v>261372.88047</v>
      </c>
      <c r="L68" s="82">
        <f t="shared" si="112"/>
        <v>261374.58491000001</v>
      </c>
      <c r="M68" s="82">
        <f t="shared" si="112"/>
        <v>261376.28935000001</v>
      </c>
      <c r="N68" s="82">
        <f t="shared" si="112"/>
        <v>261377.99378999998</v>
      </c>
      <c r="O68" s="82">
        <f t="shared" ref="O68:Z68" si="113">SUM(O65:O67)</f>
        <v>261379.69822999998</v>
      </c>
      <c r="P68" s="82">
        <f t="shared" si="113"/>
        <v>261381.40266999998</v>
      </c>
      <c r="Q68" s="82">
        <f t="shared" si="113"/>
        <v>261383.10710999998</v>
      </c>
      <c r="R68" s="82">
        <f t="shared" si="113"/>
        <v>261384.81154999998</v>
      </c>
      <c r="S68" s="82">
        <f t="shared" si="113"/>
        <v>211386.51598999999</v>
      </c>
      <c r="T68" s="82">
        <f t="shared" si="113"/>
        <v>286193.37748999998</v>
      </c>
      <c r="U68" s="82">
        <f t="shared" si="113"/>
        <v>285990.15700999997</v>
      </c>
      <c r="V68" s="82">
        <f t="shared" si="113"/>
        <v>285992.97811999999</v>
      </c>
      <c r="W68" s="82">
        <f t="shared" si="113"/>
        <v>285995.79923</v>
      </c>
      <c r="X68" s="82">
        <f t="shared" si="113"/>
        <v>310871.21629000001</v>
      </c>
      <c r="Y68" s="82">
        <f t="shared" si="113"/>
        <v>310874.38455000002</v>
      </c>
      <c r="Z68" s="82">
        <f t="shared" si="113"/>
        <v>310877.55280999996</v>
      </c>
      <c r="AA68" s="82">
        <f t="shared" ref="AA68:AL68" si="114">SUM(AA65:AA67)</f>
        <v>310880.72106999997</v>
      </c>
      <c r="AB68" s="82">
        <f t="shared" si="114"/>
        <v>310883.88932999998</v>
      </c>
      <c r="AC68" s="82">
        <f t="shared" si="114"/>
        <v>310887.05758999998</v>
      </c>
      <c r="AD68" s="82">
        <f t="shared" si="114"/>
        <v>310890.22584999999</v>
      </c>
      <c r="AE68" s="82">
        <f t="shared" si="114"/>
        <v>310893.39410999999</v>
      </c>
      <c r="AF68" s="82">
        <f t="shared" si="114"/>
        <v>310896.56237</v>
      </c>
      <c r="AG68" s="82">
        <f t="shared" si="114"/>
        <v>335593.23063000001</v>
      </c>
      <c r="AH68" s="82">
        <f t="shared" si="114"/>
        <v>335597.22339</v>
      </c>
      <c r="AI68" s="82">
        <f t="shared" si="114"/>
        <v>335601.21779999998</v>
      </c>
      <c r="AJ68" s="82">
        <f t="shared" si="114"/>
        <v>335605.21220999997</v>
      </c>
      <c r="AK68" s="82">
        <f t="shared" si="114"/>
        <v>335609.20662000001</v>
      </c>
      <c r="AL68" s="82">
        <f t="shared" si="114"/>
        <v>335613.20103</v>
      </c>
      <c r="AM68" s="82">
        <f t="shared" ref="AM68:AR68" si="115">SUM(AM65:AM67)</f>
        <v>335617.19543999998</v>
      </c>
      <c r="AN68" s="82">
        <f t="shared" si="115"/>
        <v>335621.18984999997</v>
      </c>
      <c r="AO68" s="82">
        <f t="shared" si="115"/>
        <v>335625.18426000001</v>
      </c>
      <c r="AP68" s="82">
        <f t="shared" si="115"/>
        <v>335629.17866999999</v>
      </c>
      <c r="AQ68" s="82">
        <f t="shared" si="115"/>
        <v>335633.17307999998</v>
      </c>
      <c r="AR68" s="82">
        <f t="shared" si="115"/>
        <v>335637.16749000002</v>
      </c>
      <c r="AS68" s="82">
        <f t="shared" ref="AS68" si="116">SUM(AS65:AS67)</f>
        <v>335641.16190000001</v>
      </c>
      <c r="AT68" s="82">
        <f t="shared" ref="AT68:AY68" si="117">SUM(AT65:AT67)</f>
        <v>335645.15630999999</v>
      </c>
      <c r="AU68" s="82">
        <f t="shared" si="117"/>
        <v>335649.15071999998</v>
      </c>
      <c r="AV68" s="82">
        <f t="shared" si="117"/>
        <v>335653.14513000002</v>
      </c>
      <c r="AW68" s="82">
        <f t="shared" si="117"/>
        <v>335657.13954</v>
      </c>
      <c r="AX68" s="82">
        <f t="shared" si="117"/>
        <v>335661.13394999999</v>
      </c>
      <c r="AY68" s="82">
        <f t="shared" si="117"/>
        <v>335665.12835999997</v>
      </c>
      <c r="AZ68" s="82">
        <f t="shared" ref="AZ68:BJ68" si="118">SUM(AZ65:AZ67)</f>
        <v>335669.12277000002</v>
      </c>
      <c r="BA68" s="82">
        <f t="shared" si="118"/>
        <v>565045.60371000005</v>
      </c>
      <c r="BB68" s="82">
        <f t="shared" si="118"/>
        <v>565053.25615000003</v>
      </c>
      <c r="BC68" s="82">
        <f t="shared" si="118"/>
        <v>518296.40708999999</v>
      </c>
      <c r="BD68" s="82">
        <f t="shared" si="118"/>
        <v>518304.23803000001</v>
      </c>
      <c r="BE68" s="692">
        <f t="shared" si="118"/>
        <v>518312.06897000002</v>
      </c>
      <c r="BF68" s="692">
        <f t="shared" si="118"/>
        <v>518319.89990999998</v>
      </c>
      <c r="BG68" s="692">
        <f t="shared" si="118"/>
        <v>518327.73084999999</v>
      </c>
      <c r="BH68" s="692">
        <f t="shared" si="118"/>
        <v>518335.56179000001</v>
      </c>
      <c r="BI68" s="692">
        <f t="shared" si="118"/>
        <v>518343.39273000002</v>
      </c>
      <c r="BJ68" s="692">
        <f t="shared" si="118"/>
        <v>518351.22366999998</v>
      </c>
      <c r="BK68" s="692">
        <f t="shared" ref="BK68:BV68" si="119">SUM(BK65:BK67)</f>
        <v>518359.05460999999</v>
      </c>
      <c r="BL68" s="692">
        <f t="shared" si="119"/>
        <v>518366.88555000001</v>
      </c>
      <c r="BM68" s="692">
        <f t="shared" si="119"/>
        <v>518374.71649000002</v>
      </c>
      <c r="BN68" s="692">
        <f t="shared" si="119"/>
        <v>518382.54742999998</v>
      </c>
      <c r="BO68" s="692">
        <f t="shared" si="119"/>
        <v>518390.37836999999</v>
      </c>
      <c r="BP68" s="692">
        <f t="shared" si="119"/>
        <v>518398.20931000001</v>
      </c>
      <c r="BQ68" s="692">
        <f t="shared" si="119"/>
        <v>593345.9523</v>
      </c>
      <c r="BR68" s="692">
        <f t="shared" si="119"/>
        <v>593354.50817000004</v>
      </c>
      <c r="BS68" s="692">
        <f t="shared" si="119"/>
        <v>568363.06403999997</v>
      </c>
      <c r="BT68" s="692">
        <f t="shared" si="119"/>
        <v>568371.36574000004</v>
      </c>
      <c r="BU68" s="692">
        <f t="shared" si="119"/>
        <v>568379.66743999999</v>
      </c>
      <c r="BV68" s="692">
        <f t="shared" si="119"/>
        <v>568387.96913999994</v>
      </c>
      <c r="BW68" s="692">
        <f t="shared" ref="BW68:CH68" si="120">SUM(BW65:BW67)</f>
        <v>568395.96913999994</v>
      </c>
      <c r="BX68" s="692">
        <f t="shared" si="120"/>
        <v>568403.96913999994</v>
      </c>
      <c r="BY68" s="692">
        <f t="shared" si="120"/>
        <v>568411.96913999994</v>
      </c>
      <c r="BZ68" s="692">
        <f t="shared" si="120"/>
        <v>568419.96913999994</v>
      </c>
      <c r="CA68" s="692">
        <f t="shared" si="120"/>
        <v>568427.96913999994</v>
      </c>
      <c r="CB68" s="692">
        <f t="shared" si="120"/>
        <v>568435.96913999994</v>
      </c>
      <c r="CC68" s="692">
        <f t="shared" si="120"/>
        <v>568443.96913999994</v>
      </c>
      <c r="CD68" s="692">
        <f t="shared" si="120"/>
        <v>568451.96913999994</v>
      </c>
      <c r="CE68" s="692">
        <f t="shared" si="120"/>
        <v>568459.96913999994</v>
      </c>
      <c r="CF68" s="692">
        <f t="shared" si="120"/>
        <v>825000</v>
      </c>
      <c r="CG68" s="692">
        <f t="shared" si="120"/>
        <v>825000</v>
      </c>
      <c r="CH68" s="692">
        <f t="shared" si="120"/>
        <v>825000</v>
      </c>
      <c r="CI68" s="692">
        <f t="shared" ref="CI68" si="121">SUM(CI65:CI67)</f>
        <v>825000</v>
      </c>
      <c r="CJ68" s="692">
        <f t="shared" ref="CJ68:CT68" si="122">SUM(CJ65:CJ67)</f>
        <v>825000</v>
      </c>
      <c r="CK68" s="692">
        <f t="shared" si="122"/>
        <v>825000</v>
      </c>
      <c r="CL68" s="692">
        <f t="shared" si="122"/>
        <v>825000</v>
      </c>
      <c r="CM68" s="692">
        <f t="shared" si="122"/>
        <v>825000</v>
      </c>
      <c r="CN68" s="692">
        <f t="shared" si="122"/>
        <v>925000</v>
      </c>
      <c r="CO68" s="692">
        <f t="shared" si="122"/>
        <v>925000</v>
      </c>
      <c r="CP68" s="692">
        <f t="shared" si="122"/>
        <v>925000</v>
      </c>
      <c r="CQ68" s="692">
        <f t="shared" si="122"/>
        <v>925000</v>
      </c>
      <c r="CR68" s="692">
        <f t="shared" si="122"/>
        <v>925000</v>
      </c>
      <c r="CS68" s="692">
        <f t="shared" si="122"/>
        <v>925000</v>
      </c>
      <c r="CT68" s="692">
        <f t="shared" si="122"/>
        <v>925000</v>
      </c>
      <c r="CU68" s="699">
        <f t="shared" si="111"/>
        <v>878846.15384615387</v>
      </c>
      <c r="CW68" s="33"/>
      <c r="CX68" s="184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</row>
    <row r="69" spans="1:116">
      <c r="A69" s="598"/>
      <c r="B69" s="26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686"/>
      <c r="BF69" s="686"/>
      <c r="BG69" s="686"/>
      <c r="BH69" s="686"/>
      <c r="BI69" s="686"/>
      <c r="BJ69" s="686"/>
      <c r="BK69" s="686"/>
      <c r="BL69" s="686"/>
      <c r="BM69" s="686"/>
      <c r="BN69" s="686"/>
      <c r="BO69" s="686"/>
      <c r="BP69" s="686"/>
      <c r="BQ69" s="686"/>
      <c r="BR69" s="686"/>
      <c r="BS69" s="686"/>
      <c r="BT69" s="686"/>
      <c r="BU69" s="686"/>
      <c r="BV69" s="686"/>
      <c r="BW69" s="686"/>
      <c r="BX69" s="686"/>
      <c r="BY69" s="686"/>
      <c r="BZ69" s="686"/>
      <c r="CA69" s="686"/>
      <c r="CB69" s="686"/>
      <c r="CC69" s="686"/>
      <c r="CD69" s="686"/>
      <c r="CE69" s="686"/>
      <c r="CF69" s="686"/>
      <c r="CG69" s="686"/>
      <c r="CH69" s="686"/>
      <c r="CI69" s="686"/>
      <c r="CJ69" s="686"/>
      <c r="CK69" s="686"/>
      <c r="CL69" s="686"/>
      <c r="CM69" s="686"/>
      <c r="CN69" s="686"/>
      <c r="CO69" s="686"/>
      <c r="CP69" s="686"/>
      <c r="CQ69" s="686"/>
      <c r="CR69" s="686"/>
      <c r="CS69" s="686"/>
      <c r="CT69" s="686"/>
      <c r="CU69" s="698"/>
      <c r="CW69" s="33"/>
      <c r="CX69" s="184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</row>
    <row r="70" spans="1:116">
      <c r="A70" s="598" t="s">
        <v>518</v>
      </c>
      <c r="B70" s="260">
        <f t="shared" ca="1" si="110"/>
        <v>2069855.292165</v>
      </c>
      <c r="C70" s="447">
        <f t="shared" ref="C70:N70" si="123">C63+C68</f>
        <v>615744.72395999997</v>
      </c>
      <c r="D70" s="447">
        <f t="shared" si="123"/>
        <v>618632.16148000001</v>
      </c>
      <c r="E70" s="447">
        <f t="shared" si="123"/>
        <v>623192.49193000002</v>
      </c>
      <c r="F70" s="447">
        <f t="shared" si="123"/>
        <v>627046.99897000007</v>
      </c>
      <c r="G70" s="447">
        <f t="shared" si="123"/>
        <v>635499.62168999994</v>
      </c>
      <c r="H70" s="447">
        <f t="shared" si="123"/>
        <v>637604.77977000002</v>
      </c>
      <c r="I70" s="447">
        <f t="shared" si="123"/>
        <v>640387.20255000005</v>
      </c>
      <c r="J70" s="447">
        <f t="shared" si="123"/>
        <v>640821.51699999999</v>
      </c>
      <c r="K70" s="447">
        <f t="shared" si="123"/>
        <v>643552.97444000002</v>
      </c>
      <c r="L70" s="447">
        <f t="shared" si="123"/>
        <v>646206.66336000001</v>
      </c>
      <c r="M70" s="447">
        <f t="shared" si="123"/>
        <v>649336.12219000002</v>
      </c>
      <c r="N70" s="447">
        <f t="shared" si="123"/>
        <v>655000.21424999996</v>
      </c>
      <c r="O70" s="447">
        <f t="shared" ref="O70:Z70" si="124">O63+O68</f>
        <v>664330.56238000002</v>
      </c>
      <c r="P70" s="447">
        <f t="shared" si="124"/>
        <v>664496.75491999998</v>
      </c>
      <c r="Q70" s="447">
        <f t="shared" si="124"/>
        <v>666175.56547999999</v>
      </c>
      <c r="R70" s="447">
        <f t="shared" si="124"/>
        <v>671508.70897000004</v>
      </c>
      <c r="S70" s="447">
        <f t="shared" si="124"/>
        <v>623756.72881999996</v>
      </c>
      <c r="T70" s="447">
        <f t="shared" si="124"/>
        <v>701662.01753999991</v>
      </c>
      <c r="U70" s="447">
        <f t="shared" si="124"/>
        <v>704566.11946999992</v>
      </c>
      <c r="V70" s="447">
        <f t="shared" si="124"/>
        <v>706013.65545999992</v>
      </c>
      <c r="W70" s="447">
        <f t="shared" si="124"/>
        <v>709716.47930000001</v>
      </c>
      <c r="X70" s="447">
        <f t="shared" si="124"/>
        <v>737397.22181000002</v>
      </c>
      <c r="Y70" s="447">
        <f t="shared" si="124"/>
        <v>741588.98161999998</v>
      </c>
      <c r="Z70" s="447">
        <f t="shared" si="124"/>
        <v>747087.5578699999</v>
      </c>
      <c r="AA70" s="447">
        <f t="shared" ref="AA70:AL70" si="125">AA63+AA68</f>
        <v>753710.72423999989</v>
      </c>
      <c r="AB70" s="447">
        <f t="shared" si="125"/>
        <v>782764.11422999995</v>
      </c>
      <c r="AC70" s="447">
        <f t="shared" si="125"/>
        <v>788265.38500999997</v>
      </c>
      <c r="AD70" s="447">
        <f t="shared" si="125"/>
        <v>793497.53567999997</v>
      </c>
      <c r="AE70" s="447">
        <f t="shared" si="125"/>
        <v>815105.25922999997</v>
      </c>
      <c r="AF70" s="447">
        <f t="shared" si="125"/>
        <v>818875.65308999992</v>
      </c>
      <c r="AG70" s="447">
        <f t="shared" si="125"/>
        <v>846633.18894999998</v>
      </c>
      <c r="AH70" s="447">
        <f t="shared" si="125"/>
        <v>836905.85308999999</v>
      </c>
      <c r="AI70" s="447">
        <f t="shared" si="125"/>
        <v>865595.75933999999</v>
      </c>
      <c r="AJ70" s="447">
        <f t="shared" si="125"/>
        <v>869027.41506999987</v>
      </c>
      <c r="AK70" s="447">
        <f t="shared" si="125"/>
        <v>862850.54240999999</v>
      </c>
      <c r="AL70" s="447">
        <f t="shared" si="125"/>
        <v>866917.99272999994</v>
      </c>
      <c r="AM70" s="447">
        <f t="shared" ref="AM70:AS70" si="126">AM63+AM68</f>
        <v>874599.65697999997</v>
      </c>
      <c r="AN70" s="447">
        <f t="shared" si="126"/>
        <v>908657.51953999989</v>
      </c>
      <c r="AO70" s="447">
        <f t="shared" si="126"/>
        <v>913508.34933999996</v>
      </c>
      <c r="AP70" s="447">
        <f t="shared" si="126"/>
        <v>917225.12425000011</v>
      </c>
      <c r="AQ70" s="447">
        <f t="shared" si="126"/>
        <v>932378.64971999999</v>
      </c>
      <c r="AR70" s="447">
        <f t="shared" si="126"/>
        <v>935594.48950000003</v>
      </c>
      <c r="AS70" s="447">
        <f t="shared" si="126"/>
        <v>938696.66954999999</v>
      </c>
      <c r="AT70" s="447">
        <f t="shared" ref="AT70:AY70" si="127">AT63+AT68</f>
        <v>976931.67103000009</v>
      </c>
      <c r="AU70" s="447">
        <f t="shared" si="127"/>
        <v>980353.07530000014</v>
      </c>
      <c r="AV70" s="447">
        <f t="shared" si="127"/>
        <v>983305.99924000003</v>
      </c>
      <c r="AW70" s="447">
        <f t="shared" si="127"/>
        <v>993132.62895000004</v>
      </c>
      <c r="AX70" s="447">
        <f t="shared" si="127"/>
        <v>997758.24056000006</v>
      </c>
      <c r="AY70" s="447">
        <f t="shared" si="127"/>
        <v>1009159.7745200001</v>
      </c>
      <c r="AZ70" s="447">
        <f t="shared" ref="AZ70:BJ70" si="128">AZ63+AZ68</f>
        <v>1044519.12026</v>
      </c>
      <c r="BA70" s="447">
        <f t="shared" si="128"/>
        <v>1281588.4538799999</v>
      </c>
      <c r="BB70" s="447">
        <f t="shared" si="128"/>
        <v>1262195.9784400002</v>
      </c>
      <c r="BC70" s="447">
        <f t="shared" si="128"/>
        <v>1240964.6037400002</v>
      </c>
      <c r="BD70" s="447">
        <f t="shared" si="128"/>
        <v>1246417.10509</v>
      </c>
      <c r="BE70" s="474">
        <f t="shared" si="128"/>
        <v>1250861.5907100001</v>
      </c>
      <c r="BF70" s="474">
        <f t="shared" si="128"/>
        <v>1271979.2272999999</v>
      </c>
      <c r="BG70" s="474">
        <f t="shared" si="128"/>
        <v>1277545.0383200001</v>
      </c>
      <c r="BH70" s="474">
        <f t="shared" si="128"/>
        <v>1282660.60864</v>
      </c>
      <c r="BI70" s="474">
        <f t="shared" si="128"/>
        <v>1298713.32057</v>
      </c>
      <c r="BJ70" s="474">
        <f t="shared" si="128"/>
        <v>1304585.8035200001</v>
      </c>
      <c r="BK70" s="474">
        <f t="shared" ref="BK70:BV70" si="129">BK63+BK68</f>
        <v>1314383.62414</v>
      </c>
      <c r="BL70" s="474">
        <f t="shared" si="129"/>
        <v>1381472.76767</v>
      </c>
      <c r="BM70" s="474">
        <f t="shared" si="129"/>
        <v>1392389.2826900003</v>
      </c>
      <c r="BN70" s="474">
        <f t="shared" si="129"/>
        <v>1369565.30318</v>
      </c>
      <c r="BO70" s="474">
        <f t="shared" si="129"/>
        <v>1405830.5306500001</v>
      </c>
      <c r="BP70" s="474">
        <f t="shared" si="129"/>
        <v>1412498.9736500001</v>
      </c>
      <c r="BQ70" s="474">
        <f t="shared" si="129"/>
        <v>1491843.9672099999</v>
      </c>
      <c r="BR70" s="474">
        <f t="shared" si="129"/>
        <v>1516793.6908</v>
      </c>
      <c r="BS70" s="474">
        <f t="shared" si="129"/>
        <v>1499074.3073100001</v>
      </c>
      <c r="BT70" s="474">
        <f t="shared" si="129"/>
        <v>1487661.3607600001</v>
      </c>
      <c r="BU70" s="474">
        <f t="shared" si="129"/>
        <v>1518604.7337400001</v>
      </c>
      <c r="BV70" s="474">
        <f t="shared" si="129"/>
        <v>1559722.20759</v>
      </c>
      <c r="BW70" s="474">
        <f t="shared" ref="BW70:CH70" si="130">BW63+BW68</f>
        <v>1569574.6691399999</v>
      </c>
      <c r="BX70" s="474">
        <f t="shared" si="130"/>
        <v>1583898.8691400001</v>
      </c>
      <c r="BY70" s="474">
        <f t="shared" si="130"/>
        <v>1594707.26914</v>
      </c>
      <c r="BZ70" s="474">
        <f t="shared" si="130"/>
        <v>1601719.4691399999</v>
      </c>
      <c r="CA70" s="474">
        <f t="shared" si="130"/>
        <v>1603007.56914</v>
      </c>
      <c r="CB70" s="474">
        <f t="shared" si="130"/>
        <v>1609893.56914</v>
      </c>
      <c r="CC70" s="474">
        <f t="shared" si="130"/>
        <v>1614324.56914</v>
      </c>
      <c r="CD70" s="474">
        <f t="shared" si="130"/>
        <v>1629356.6691400001</v>
      </c>
      <c r="CE70" s="474">
        <f t="shared" si="130"/>
        <v>1635626.9691399999</v>
      </c>
      <c r="CF70" s="474">
        <f t="shared" si="130"/>
        <v>1895360.5916915431</v>
      </c>
      <c r="CG70" s="474">
        <f t="shared" si="130"/>
        <v>1943759.3281333568</v>
      </c>
      <c r="CH70" s="474">
        <f t="shared" si="130"/>
        <v>1956344.2504286449</v>
      </c>
      <c r="CI70" s="474">
        <f t="shared" ref="CI70" si="131">CI63+CI68</f>
        <v>1961822.2200582824</v>
      </c>
      <c r="CJ70" s="474">
        <f t="shared" ref="CJ70:CT70" si="132">CJ63+CJ68</f>
        <v>1985078.2488628456</v>
      </c>
      <c r="CK70" s="474">
        <f t="shared" si="132"/>
        <v>1988517.8457402142</v>
      </c>
      <c r="CL70" s="474">
        <f t="shared" si="132"/>
        <v>1991377.543891673</v>
      </c>
      <c r="CM70" s="474">
        <f t="shared" si="132"/>
        <v>2013993.4067053772</v>
      </c>
      <c r="CN70" s="474">
        <f t="shared" si="132"/>
        <v>2114406.7854399905</v>
      </c>
      <c r="CO70" s="474">
        <f t="shared" si="132"/>
        <v>2114785.9540922102</v>
      </c>
      <c r="CP70" s="474">
        <f t="shared" si="132"/>
        <v>2140651.1537748086</v>
      </c>
      <c r="CQ70" s="474">
        <f t="shared" si="132"/>
        <v>2140985.1551906159</v>
      </c>
      <c r="CR70" s="474">
        <f t="shared" si="132"/>
        <v>2141617.1102458611</v>
      </c>
      <c r="CS70" s="474">
        <f t="shared" si="132"/>
        <v>2177437.5507855485</v>
      </c>
      <c r="CT70" s="474">
        <f t="shared" si="132"/>
        <v>2181101.5729289269</v>
      </c>
      <c r="CU70" s="698">
        <f>SUM(CH70:CT70)/13</f>
        <v>2069855.292165</v>
      </c>
      <c r="CW70" s="33"/>
      <c r="CX70" s="184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</row>
    <row r="71" spans="1:116">
      <c r="A71" s="598"/>
      <c r="B71" s="26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686"/>
      <c r="BF71" s="686"/>
      <c r="BG71" s="686"/>
      <c r="BH71" s="686"/>
      <c r="BI71" s="686"/>
      <c r="BJ71" s="686"/>
      <c r="BK71" s="686"/>
      <c r="BL71" s="686"/>
      <c r="BM71" s="686"/>
      <c r="BN71" s="686"/>
      <c r="BO71" s="686"/>
      <c r="BP71" s="686"/>
      <c r="BQ71" s="686"/>
      <c r="BR71" s="686"/>
      <c r="BS71" s="686"/>
      <c r="BT71" s="686"/>
      <c r="BU71" s="686"/>
      <c r="BV71" s="686"/>
      <c r="BW71" s="686"/>
      <c r="BX71" s="686"/>
      <c r="BY71" s="686"/>
      <c r="BZ71" s="686"/>
      <c r="CA71" s="686"/>
      <c r="CB71" s="686"/>
      <c r="CC71" s="686"/>
      <c r="CD71" s="686"/>
      <c r="CE71" s="686"/>
      <c r="CF71" s="686"/>
      <c r="CG71" s="686"/>
      <c r="CH71" s="686"/>
      <c r="CI71" s="686"/>
      <c r="CJ71" s="686"/>
      <c r="CK71" s="686"/>
      <c r="CL71" s="686"/>
      <c r="CM71" s="686"/>
      <c r="CN71" s="686"/>
      <c r="CO71" s="686"/>
      <c r="CP71" s="686"/>
      <c r="CQ71" s="686"/>
      <c r="CR71" s="686"/>
      <c r="CS71" s="686"/>
      <c r="CT71" s="686"/>
      <c r="CU71" s="698"/>
      <c r="CW71" s="33"/>
      <c r="CX71" s="184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</row>
    <row r="72" spans="1:116">
      <c r="A72" s="13" t="s">
        <v>519</v>
      </c>
      <c r="B72" s="2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693"/>
      <c r="BF72" s="693"/>
      <c r="BG72" s="693"/>
      <c r="BH72" s="693"/>
      <c r="BI72" s="693"/>
      <c r="BJ72" s="693"/>
      <c r="BK72" s="693"/>
      <c r="BL72" s="693"/>
      <c r="BM72" s="693"/>
      <c r="BN72" s="693"/>
      <c r="BO72" s="693"/>
      <c r="BP72" s="693"/>
      <c r="BQ72" s="693"/>
      <c r="BR72" s="693"/>
      <c r="BS72" s="693"/>
      <c r="BT72" s="693"/>
      <c r="BU72" s="693"/>
      <c r="BV72" s="693"/>
      <c r="BW72" s="693"/>
      <c r="BX72" s="693"/>
      <c r="BY72" s="693"/>
      <c r="BZ72" s="693"/>
      <c r="CA72" s="693"/>
      <c r="CB72" s="693"/>
      <c r="CC72" s="693"/>
      <c r="CD72" s="693"/>
      <c r="CE72" s="693"/>
      <c r="CF72" s="693"/>
      <c r="CG72" s="693"/>
      <c r="CH72" s="693"/>
      <c r="CI72" s="693"/>
      <c r="CJ72" s="693"/>
      <c r="CK72" s="693"/>
      <c r="CL72" s="693"/>
      <c r="CM72" s="693"/>
      <c r="CN72" s="693"/>
      <c r="CO72" s="693"/>
      <c r="CP72" s="693"/>
      <c r="CQ72" s="693"/>
      <c r="CR72" s="693"/>
      <c r="CS72" s="693"/>
      <c r="CT72" s="693"/>
      <c r="CU72" s="698"/>
      <c r="CW72" s="33"/>
      <c r="CX72" s="184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</row>
    <row r="73" spans="1:116">
      <c r="A73" s="616" t="s">
        <v>520</v>
      </c>
      <c r="B73" s="260">
        <f t="shared" ref="B73:B89" ca="1" si="133">SUM(OFFSET(BW73:CI73,0,$A$1-1))/13</f>
        <v>106020.08789723561</v>
      </c>
      <c r="C73" s="350">
        <v>41225.800000000003</v>
      </c>
      <c r="D73" s="350">
        <v>40506.800000000003</v>
      </c>
      <c r="E73" s="350">
        <v>41810.800000000003</v>
      </c>
      <c r="F73" s="350">
        <v>37148.300000000003</v>
      </c>
      <c r="G73" s="350">
        <v>31842.1</v>
      </c>
      <c r="H73" s="350">
        <v>36126.699999999997</v>
      </c>
      <c r="I73" s="350">
        <v>33325.4</v>
      </c>
      <c r="J73" s="350">
        <v>46233.9</v>
      </c>
      <c r="K73" s="350">
        <v>48013.8</v>
      </c>
      <c r="L73" s="350">
        <v>43884.1</v>
      </c>
      <c r="M73" s="350">
        <v>46059.9</v>
      </c>
      <c r="N73" s="350">
        <v>57684.3</v>
      </c>
      <c r="O73" s="413">
        <v>55045.713000000003</v>
      </c>
      <c r="P73" s="413">
        <v>58203.643530000001</v>
      </c>
      <c r="Q73" s="413">
        <v>53438.296759999997</v>
      </c>
      <c r="R73" s="413">
        <v>53973.759039999997</v>
      </c>
      <c r="S73" s="413">
        <v>86871.59375</v>
      </c>
      <c r="T73" s="413">
        <v>32647.32645</v>
      </c>
      <c r="U73" s="413">
        <v>32403.666739999997</v>
      </c>
      <c r="V73" s="413">
        <v>36635.669780000004</v>
      </c>
      <c r="W73" s="413">
        <v>44924.345580000001</v>
      </c>
      <c r="X73" s="413">
        <v>26601.973979999999</v>
      </c>
      <c r="Y73" s="413">
        <v>35033.765530000004</v>
      </c>
      <c r="Z73" s="413">
        <v>53651.64284</v>
      </c>
      <c r="AA73" s="413">
        <v>70274.1008</v>
      </c>
      <c r="AB73" s="413">
        <v>51017.831979999995</v>
      </c>
      <c r="AC73" s="413">
        <v>43526.147640000003</v>
      </c>
      <c r="AD73" s="413">
        <v>47854.03026</v>
      </c>
      <c r="AE73" s="413">
        <v>32302.624949999998</v>
      </c>
      <c r="AF73" s="413">
        <v>43946.02736</v>
      </c>
      <c r="AG73" s="413">
        <v>30168.533420000003</v>
      </c>
      <c r="AH73" s="413">
        <v>48717.414859999997</v>
      </c>
      <c r="AI73" s="413">
        <v>44435.200189999996</v>
      </c>
      <c r="AJ73" s="413">
        <v>47028.28342</v>
      </c>
      <c r="AK73" s="413">
        <v>77517.735260000001</v>
      </c>
      <c r="AL73" s="413">
        <v>91138.979059999998</v>
      </c>
      <c r="AM73" s="413">
        <v>104160.10278</v>
      </c>
      <c r="AN73" s="413">
        <v>90190.82</v>
      </c>
      <c r="AO73" s="413">
        <v>91778.96686</v>
      </c>
      <c r="AP73" s="413">
        <v>99145.211670000004</v>
      </c>
      <c r="AQ73" s="413">
        <v>104893.603</v>
      </c>
      <c r="AR73" s="413">
        <v>127591.36500000001</v>
      </c>
      <c r="AS73" s="413">
        <v>145194.42319</v>
      </c>
      <c r="AT73" s="413">
        <v>133998.43737999999</v>
      </c>
      <c r="AU73" s="413">
        <v>144415.73919999998</v>
      </c>
      <c r="AV73" s="413">
        <v>162258.20669999998</v>
      </c>
      <c r="AW73" s="413">
        <v>179528.11132</v>
      </c>
      <c r="AX73" s="413">
        <v>214352.13493999999</v>
      </c>
      <c r="AY73" s="413">
        <v>236511.39825999999</v>
      </c>
      <c r="AZ73" s="413">
        <v>221147.72566</v>
      </c>
      <c r="BA73" s="413">
        <v>14181.103999999999</v>
      </c>
      <c r="BB73" s="413">
        <v>17122.357</v>
      </c>
      <c r="BC73" s="413">
        <v>87741.525890000004</v>
      </c>
      <c r="BD73" s="413">
        <v>99244.299809999997</v>
      </c>
      <c r="BE73" s="586">
        <v>111939.289</v>
      </c>
      <c r="BF73" s="586">
        <v>101333.505</v>
      </c>
      <c r="BG73" s="586">
        <v>115219.00199999999</v>
      </c>
      <c r="BH73" s="586">
        <v>136200.897</v>
      </c>
      <c r="BI73" s="586">
        <v>144763.516</v>
      </c>
      <c r="BJ73" s="802">
        <v>189522.084</v>
      </c>
      <c r="BK73" s="802">
        <v>210398.8</v>
      </c>
      <c r="BL73" s="802">
        <v>158200.10248</v>
      </c>
      <c r="BM73" s="802">
        <v>166329.49208000003</v>
      </c>
      <c r="BN73" s="802">
        <v>174483.97778000002</v>
      </c>
      <c r="BO73" s="802">
        <v>177717.84408000001</v>
      </c>
      <c r="BP73" s="802">
        <v>198344.90317999999</v>
      </c>
      <c r="BQ73" s="802">
        <v>136571.24698</v>
      </c>
      <c r="BR73" s="802">
        <v>124775.69228</v>
      </c>
      <c r="BS73" s="802">
        <v>156383.68047999998</v>
      </c>
      <c r="BT73" s="802">
        <v>159112.87497999999</v>
      </c>
      <c r="BU73" s="802">
        <v>161937.35708000002</v>
      </c>
      <c r="BV73" s="802">
        <v>166097.1501</v>
      </c>
      <c r="BW73" s="802">
        <v>200760.02118052696</v>
      </c>
      <c r="BX73" s="802">
        <v>249611.20169351308</v>
      </c>
      <c r="BY73" s="802">
        <v>267160.38534790167</v>
      </c>
      <c r="BZ73" s="802">
        <v>288943.00600232376</v>
      </c>
      <c r="CA73" s="802">
        <v>294595.52464084502</v>
      </c>
      <c r="CB73" s="802">
        <v>312954.83522041357</v>
      </c>
      <c r="CC73" s="802">
        <v>332059.36013961281</v>
      </c>
      <c r="CD73" s="802">
        <v>328865.55297220201</v>
      </c>
      <c r="CE73" s="802">
        <v>338687.4372591307</v>
      </c>
      <c r="CF73" s="802">
        <v>112693.60830845684</v>
      </c>
      <c r="CG73" s="802">
        <v>91589.771866643321</v>
      </c>
      <c r="CH73" s="802">
        <v>107765.54957135524</v>
      </c>
      <c r="CI73" s="586">
        <v>113573.86133633056</v>
      </c>
      <c r="CJ73" s="586">
        <v>108081.6602919384</v>
      </c>
      <c r="CK73" s="586">
        <v>118845.55815136948</v>
      </c>
      <c r="CL73" s="586">
        <v>145010.30156472832</v>
      </c>
      <c r="CM73" s="586">
        <v>137421.27760443586</v>
      </c>
      <c r="CN73" s="586">
        <v>59815.061147584725</v>
      </c>
      <c r="CO73" s="586">
        <v>79909.165697083663</v>
      </c>
      <c r="CP73" s="586">
        <v>67611.707420851919</v>
      </c>
      <c r="CQ73" s="586">
        <v>77202.479567692179</v>
      </c>
      <c r="CR73" s="586">
        <v>115175.20090690796</v>
      </c>
      <c r="CS73" s="586">
        <v>114279.4981532449</v>
      </c>
      <c r="CT73" s="586">
        <v>133569.82125054006</v>
      </c>
      <c r="CU73" s="698">
        <f t="shared" ref="CU73:CU89" si="134">SUM(CH73:CT73)/13</f>
        <v>106020.08789723561</v>
      </c>
      <c r="CW73" s="33"/>
      <c r="CX73" s="184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</row>
    <row r="74" spans="1:116">
      <c r="A74" s="616" t="s">
        <v>521</v>
      </c>
      <c r="B74" s="260">
        <f t="shared" ca="1" si="133"/>
        <v>63069.823076923072</v>
      </c>
      <c r="C74" s="352">
        <v>29614.249519999998</v>
      </c>
      <c r="D74" s="352">
        <v>23250.567239999997</v>
      </c>
      <c r="E74" s="352">
        <v>22646.528630000001</v>
      </c>
      <c r="F74" s="352">
        <v>25314.02679</v>
      </c>
      <c r="G74" s="352">
        <v>24235.38408</v>
      </c>
      <c r="H74" s="352">
        <v>22358.859919999995</v>
      </c>
      <c r="I74" s="352">
        <v>26713.88077</v>
      </c>
      <c r="J74" s="352">
        <v>32954.537100000001</v>
      </c>
      <c r="K74" s="352">
        <v>27562.694949999997</v>
      </c>
      <c r="L74" s="352">
        <v>27556.440710000003</v>
      </c>
      <c r="M74" s="352">
        <v>36878.143369999998</v>
      </c>
      <c r="N74" s="352">
        <v>37851.570309999996</v>
      </c>
      <c r="O74" s="415">
        <v>42384.39819</v>
      </c>
      <c r="P74" s="415">
        <v>28529.321889999996</v>
      </c>
      <c r="Q74" s="415">
        <v>27191.031509999997</v>
      </c>
      <c r="R74" s="415">
        <v>26859.843059999996</v>
      </c>
      <c r="S74" s="415">
        <v>31526.73201</v>
      </c>
      <c r="T74" s="415">
        <v>32289.214540000001</v>
      </c>
      <c r="U74" s="415">
        <v>35032.979610000002</v>
      </c>
      <c r="V74" s="415">
        <v>33136.66502</v>
      </c>
      <c r="W74" s="415">
        <v>36345.488340000004</v>
      </c>
      <c r="X74" s="415">
        <v>44135.03153</v>
      </c>
      <c r="Y74" s="415">
        <v>59377.74145999999</v>
      </c>
      <c r="Z74" s="415">
        <v>49836.349900000001</v>
      </c>
      <c r="AA74" s="415">
        <v>43828.983799999995</v>
      </c>
      <c r="AB74" s="415">
        <v>33595.937319999997</v>
      </c>
      <c r="AC74" s="415">
        <v>40949.708469999998</v>
      </c>
      <c r="AD74" s="415">
        <v>36762.280700000003</v>
      </c>
      <c r="AE74" s="415">
        <v>40153.656750000002</v>
      </c>
      <c r="AF74" s="415">
        <v>36642.683879999997</v>
      </c>
      <c r="AG74" s="415">
        <v>35874.949749999992</v>
      </c>
      <c r="AH74" s="415">
        <v>39844.774130000005</v>
      </c>
      <c r="AI74" s="415">
        <v>38448.288360000006</v>
      </c>
      <c r="AJ74" s="415">
        <v>44342.945189999991</v>
      </c>
      <c r="AK74" s="415">
        <v>51420.960829999989</v>
      </c>
      <c r="AL74" s="415">
        <v>62038.988300000005</v>
      </c>
      <c r="AM74" s="415">
        <v>61688.316500000001</v>
      </c>
      <c r="AN74" s="415">
        <v>53206.636410000006</v>
      </c>
      <c r="AO74" s="415">
        <v>52216.403459999994</v>
      </c>
      <c r="AP74" s="415">
        <v>56659.843179999989</v>
      </c>
      <c r="AQ74" s="415">
        <v>54419.067229999993</v>
      </c>
      <c r="AR74" s="413">
        <v>48085.875910000002</v>
      </c>
      <c r="AS74" s="413">
        <v>49198.686760000004</v>
      </c>
      <c r="AT74" s="413">
        <v>55932.038059999992</v>
      </c>
      <c r="AU74" s="413">
        <v>62017.170850000002</v>
      </c>
      <c r="AV74" s="413">
        <v>70456.453890000004</v>
      </c>
      <c r="AW74" s="413">
        <v>82145.932429999986</v>
      </c>
      <c r="AX74" s="413">
        <v>83946.034320000006</v>
      </c>
      <c r="AY74" s="413">
        <v>72913.717289999986</v>
      </c>
      <c r="AZ74" s="413">
        <v>72152.029780000012</v>
      </c>
      <c r="BA74" s="413">
        <v>67553.222450000001</v>
      </c>
      <c r="BB74" s="413">
        <v>60583.162370000005</v>
      </c>
      <c r="BC74" s="413">
        <v>49549.497879999995</v>
      </c>
      <c r="BD74" s="413">
        <v>50599.638369999993</v>
      </c>
      <c r="BE74" s="582">
        <v>57251.743600000002</v>
      </c>
      <c r="BF74" s="582">
        <v>62063.100990000006</v>
      </c>
      <c r="BG74" s="582">
        <v>63853.377550000005</v>
      </c>
      <c r="BH74" s="582">
        <v>75490.841990000001</v>
      </c>
      <c r="BI74" s="582">
        <v>86452.891669999997</v>
      </c>
      <c r="BJ74" s="582">
        <v>73129.695100000026</v>
      </c>
      <c r="BK74" s="582">
        <v>72888.359290000008</v>
      </c>
      <c r="BL74" s="582">
        <v>65834.937080000003</v>
      </c>
      <c r="BM74" s="582">
        <v>55387.404740000013</v>
      </c>
      <c r="BN74" s="582">
        <v>54040.904860000002</v>
      </c>
      <c r="BO74" s="582">
        <v>64432.227980000003</v>
      </c>
      <c r="BP74" s="582">
        <v>60540.164509999995</v>
      </c>
      <c r="BQ74" s="582">
        <v>59584.701799999995</v>
      </c>
      <c r="BR74" s="582">
        <v>63132.710599999999</v>
      </c>
      <c r="BS74" s="582">
        <v>60897.482299999996</v>
      </c>
      <c r="BT74" s="582">
        <v>63213.065170000002</v>
      </c>
      <c r="BU74" s="582">
        <v>81182.573349999991</v>
      </c>
      <c r="BV74" s="582">
        <v>72943.726480000012</v>
      </c>
      <c r="BW74" s="582">
        <v>68363.300000000017</v>
      </c>
      <c r="BX74" s="582">
        <v>62154.900000000016</v>
      </c>
      <c r="BY74" s="582">
        <v>52092.700000000004</v>
      </c>
      <c r="BZ74" s="582">
        <v>51590.5</v>
      </c>
      <c r="CA74" s="582">
        <v>61803.3</v>
      </c>
      <c r="CB74" s="582">
        <v>57509.799999999988</v>
      </c>
      <c r="CC74" s="582">
        <v>56628.4</v>
      </c>
      <c r="CD74" s="582">
        <v>61232.299999999996</v>
      </c>
      <c r="CE74" s="582">
        <v>61559.399999999987</v>
      </c>
      <c r="CF74" s="582">
        <v>61861.899999999994</v>
      </c>
      <c r="CG74" s="582">
        <v>61625.799999999996</v>
      </c>
      <c r="CH74" s="582">
        <v>61827.69999999999</v>
      </c>
      <c r="CI74" s="582">
        <v>70799.700000000026</v>
      </c>
      <c r="CJ74" s="582">
        <v>65588.800000000003</v>
      </c>
      <c r="CK74" s="582">
        <v>56785.200000000004</v>
      </c>
      <c r="CL74" s="582">
        <v>54954.799999999996</v>
      </c>
      <c r="CM74" s="582">
        <v>61243.299999999988</v>
      </c>
      <c r="CN74" s="582">
        <v>57850.9</v>
      </c>
      <c r="CO74" s="582">
        <v>58974.899999999994</v>
      </c>
      <c r="CP74" s="582">
        <v>63073.999999999993</v>
      </c>
      <c r="CQ74" s="582">
        <v>64459.19999999999</v>
      </c>
      <c r="CR74" s="582">
        <v>67118.900000000009</v>
      </c>
      <c r="CS74" s="582">
        <v>69252.600000000006</v>
      </c>
      <c r="CT74" s="582">
        <v>67977.7</v>
      </c>
      <c r="CU74" s="698">
        <f t="shared" si="134"/>
        <v>63069.823076923072</v>
      </c>
      <c r="CW74" s="33"/>
      <c r="CX74" s="184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</row>
    <row r="75" spans="1:116">
      <c r="A75" s="616" t="s">
        <v>522</v>
      </c>
      <c r="B75" s="260">
        <f t="shared" ca="1" si="133"/>
        <v>0</v>
      </c>
      <c r="C75" s="352">
        <v>0</v>
      </c>
      <c r="D75" s="352">
        <v>0</v>
      </c>
      <c r="E75" s="352">
        <v>0</v>
      </c>
      <c r="F75" s="352">
        <v>0</v>
      </c>
      <c r="G75" s="352">
        <v>0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415">
        <v>0</v>
      </c>
      <c r="P75" s="415">
        <v>0</v>
      </c>
      <c r="Q75" s="415">
        <v>0</v>
      </c>
      <c r="R75" s="415">
        <v>0</v>
      </c>
      <c r="S75" s="415">
        <v>0</v>
      </c>
      <c r="T75" s="415">
        <v>0</v>
      </c>
      <c r="U75" s="415">
        <v>0</v>
      </c>
      <c r="V75" s="415">
        <v>0</v>
      </c>
      <c r="W75" s="415">
        <v>0</v>
      </c>
      <c r="X75" s="415">
        <v>0</v>
      </c>
      <c r="Y75" s="415">
        <v>0</v>
      </c>
      <c r="Z75" s="415">
        <v>0</v>
      </c>
      <c r="AA75" s="415">
        <v>0</v>
      </c>
      <c r="AB75" s="415">
        <v>0</v>
      </c>
      <c r="AC75" s="415">
        <v>0</v>
      </c>
      <c r="AD75" s="415">
        <v>0</v>
      </c>
      <c r="AE75" s="415">
        <v>0</v>
      </c>
      <c r="AF75" s="415">
        <v>0</v>
      </c>
      <c r="AG75" s="415">
        <v>0</v>
      </c>
      <c r="AH75" s="415">
        <v>0</v>
      </c>
      <c r="AI75" s="415">
        <v>0</v>
      </c>
      <c r="AJ75" s="415">
        <v>0</v>
      </c>
      <c r="AK75" s="415">
        <v>0</v>
      </c>
      <c r="AL75" s="415">
        <v>0</v>
      </c>
      <c r="AM75" s="415">
        <v>0</v>
      </c>
      <c r="AN75" s="415">
        <v>0</v>
      </c>
      <c r="AO75" s="415">
        <v>0</v>
      </c>
      <c r="AP75" s="415">
        <v>0</v>
      </c>
      <c r="AQ75" s="415">
        <v>0</v>
      </c>
      <c r="AR75" s="413">
        <v>0</v>
      </c>
      <c r="AS75" s="413">
        <v>0</v>
      </c>
      <c r="AT75" s="413">
        <v>0</v>
      </c>
      <c r="AU75" s="413">
        <v>0</v>
      </c>
      <c r="AV75" s="413">
        <v>0</v>
      </c>
      <c r="AW75" s="413">
        <v>0</v>
      </c>
      <c r="AX75" s="413">
        <v>0</v>
      </c>
      <c r="AY75" s="413">
        <v>0</v>
      </c>
      <c r="AZ75" s="413">
        <v>0</v>
      </c>
      <c r="BA75" s="413">
        <v>0</v>
      </c>
      <c r="BB75" s="413">
        <v>0</v>
      </c>
      <c r="BC75" s="413">
        <v>0</v>
      </c>
      <c r="BD75" s="413">
        <v>0</v>
      </c>
      <c r="BE75" s="582">
        <v>0</v>
      </c>
      <c r="BF75" s="582">
        <v>0</v>
      </c>
      <c r="BG75" s="582">
        <v>0</v>
      </c>
      <c r="BH75" s="582">
        <v>0</v>
      </c>
      <c r="BI75" s="582">
        <v>0</v>
      </c>
      <c r="BJ75" s="582">
        <v>0</v>
      </c>
      <c r="BK75" s="582">
        <v>0</v>
      </c>
      <c r="BL75" s="582">
        <v>0</v>
      </c>
      <c r="BM75" s="582">
        <v>0</v>
      </c>
      <c r="BN75" s="582">
        <v>0</v>
      </c>
      <c r="BO75" s="582">
        <v>0</v>
      </c>
      <c r="BP75" s="582">
        <v>0</v>
      </c>
      <c r="BQ75" s="582">
        <v>0</v>
      </c>
      <c r="BR75" s="582">
        <v>0</v>
      </c>
      <c r="BS75" s="582">
        <v>0</v>
      </c>
      <c r="BT75" s="582">
        <v>0</v>
      </c>
      <c r="BU75" s="582">
        <v>0</v>
      </c>
      <c r="BV75" s="582">
        <v>0</v>
      </c>
      <c r="BW75" s="582">
        <v>0</v>
      </c>
      <c r="BX75" s="582">
        <v>0</v>
      </c>
      <c r="BY75" s="582">
        <v>0</v>
      </c>
      <c r="BZ75" s="582">
        <v>0</v>
      </c>
      <c r="CA75" s="582">
        <v>0</v>
      </c>
      <c r="CB75" s="582">
        <v>0</v>
      </c>
      <c r="CC75" s="582">
        <v>0</v>
      </c>
      <c r="CD75" s="582">
        <v>0</v>
      </c>
      <c r="CE75" s="582">
        <v>0</v>
      </c>
      <c r="CF75" s="582">
        <v>0</v>
      </c>
      <c r="CG75" s="582">
        <v>0</v>
      </c>
      <c r="CH75" s="582">
        <v>0</v>
      </c>
      <c r="CI75" s="582">
        <v>0</v>
      </c>
      <c r="CJ75" s="582">
        <v>0</v>
      </c>
      <c r="CK75" s="582">
        <v>0</v>
      </c>
      <c r="CL75" s="582">
        <v>0</v>
      </c>
      <c r="CM75" s="582">
        <v>0</v>
      </c>
      <c r="CN75" s="582">
        <v>0</v>
      </c>
      <c r="CO75" s="582">
        <v>0</v>
      </c>
      <c r="CP75" s="582">
        <v>0</v>
      </c>
      <c r="CQ75" s="582">
        <v>0</v>
      </c>
      <c r="CR75" s="582">
        <v>0</v>
      </c>
      <c r="CS75" s="582">
        <v>0</v>
      </c>
      <c r="CT75" s="582">
        <v>0</v>
      </c>
      <c r="CU75" s="698">
        <f t="shared" si="134"/>
        <v>0</v>
      </c>
      <c r="CW75" s="33"/>
      <c r="CX75" s="184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</row>
    <row r="76" spans="1:116">
      <c r="A76" s="616" t="s">
        <v>523</v>
      </c>
      <c r="B76" s="260">
        <f t="shared" ca="1" si="133"/>
        <v>17337.430769230767</v>
      </c>
      <c r="C76" s="352">
        <v>2335.0118499999999</v>
      </c>
      <c r="D76" s="352">
        <v>11570.825409999999</v>
      </c>
      <c r="E76" s="352">
        <v>4085.8183300000001</v>
      </c>
      <c r="F76" s="352">
        <v>8579.6544200000008</v>
      </c>
      <c r="G76" s="352">
        <v>13996.85288</v>
      </c>
      <c r="H76" s="352">
        <v>2652.29457</v>
      </c>
      <c r="I76" s="352">
        <v>7947.7794699999995</v>
      </c>
      <c r="J76" s="352">
        <v>4475.47876</v>
      </c>
      <c r="K76" s="352">
        <v>3001.0500099999999</v>
      </c>
      <c r="L76" s="352">
        <v>4552.1015599999992</v>
      </c>
      <c r="M76" s="352">
        <v>11106.33135</v>
      </c>
      <c r="N76" s="352">
        <v>8001.4238399999995</v>
      </c>
      <c r="O76" s="415">
        <v>7200.9321200000004</v>
      </c>
      <c r="P76" s="415">
        <v>6628.3147499999995</v>
      </c>
      <c r="Q76" s="415">
        <v>6442.00461</v>
      </c>
      <c r="R76" s="415">
        <v>6810.7524899999999</v>
      </c>
      <c r="S76" s="415">
        <v>10383.811169999999</v>
      </c>
      <c r="T76" s="415">
        <v>8069.8789900000002</v>
      </c>
      <c r="U76" s="415">
        <v>7327.8662999999997</v>
      </c>
      <c r="V76" s="415">
        <v>6511.5921900000003</v>
      </c>
      <c r="W76" s="415">
        <v>7276.4551500000007</v>
      </c>
      <c r="X76" s="415">
        <v>7215.6289900000002</v>
      </c>
      <c r="Y76" s="415">
        <v>10352.34922</v>
      </c>
      <c r="Z76" s="415">
        <v>9568.9542000000001</v>
      </c>
      <c r="AA76" s="415">
        <v>9616.3110399999987</v>
      </c>
      <c r="AB76" s="415">
        <v>6876.6940800000002</v>
      </c>
      <c r="AC76" s="415">
        <v>7920.9587300000003</v>
      </c>
      <c r="AD76" s="415">
        <v>6148.6368000000002</v>
      </c>
      <c r="AE76" s="415">
        <v>9403.0199900000007</v>
      </c>
      <c r="AF76" s="415">
        <v>8706.5546799999993</v>
      </c>
      <c r="AG76" s="415">
        <v>5766.29126</v>
      </c>
      <c r="AH76" s="415">
        <v>6705.1080700000002</v>
      </c>
      <c r="AI76" s="415">
        <v>6340.70525</v>
      </c>
      <c r="AJ76" s="415">
        <v>5809.0511900000001</v>
      </c>
      <c r="AK76" s="415">
        <v>9435.7610399999994</v>
      </c>
      <c r="AL76" s="415">
        <v>11465.299789999999</v>
      </c>
      <c r="AM76" s="415">
        <v>8005.2563899999996</v>
      </c>
      <c r="AN76" s="415">
        <v>6583.2082399999999</v>
      </c>
      <c r="AO76" s="415">
        <v>8367.6247100000001</v>
      </c>
      <c r="AP76" s="415">
        <v>6436.9436799999994</v>
      </c>
      <c r="AQ76" s="415">
        <v>9806.2314000000006</v>
      </c>
      <c r="AR76" s="413">
        <v>10042.27017</v>
      </c>
      <c r="AS76" s="413">
        <v>6059.6397400000005</v>
      </c>
      <c r="AT76" s="413">
        <v>5253.8059699999994</v>
      </c>
      <c r="AU76" s="413">
        <v>7058.4332699999995</v>
      </c>
      <c r="AV76" s="413">
        <v>6069.0720199999996</v>
      </c>
      <c r="AW76" s="413">
        <v>12802.38442</v>
      </c>
      <c r="AX76" s="413">
        <v>14186.404259999999</v>
      </c>
      <c r="AY76" s="413">
        <v>12774.503279999999</v>
      </c>
      <c r="AZ76" s="413">
        <v>12213.36923</v>
      </c>
      <c r="BA76" s="413">
        <v>5551.0028600000005</v>
      </c>
      <c r="BB76" s="413">
        <v>15103.570750000001</v>
      </c>
      <c r="BC76" s="413">
        <v>11668.17966</v>
      </c>
      <c r="BD76" s="413">
        <v>13634.860560000001</v>
      </c>
      <c r="BE76" s="582">
        <v>12336.51057</v>
      </c>
      <c r="BF76" s="582">
        <v>10228.56855</v>
      </c>
      <c r="BG76" s="582">
        <v>14919.462680000001</v>
      </c>
      <c r="BH76" s="582">
        <v>11299.470589999999</v>
      </c>
      <c r="BI76" s="582">
        <v>13776.142669999999</v>
      </c>
      <c r="BJ76" s="582">
        <v>16072.202789999999</v>
      </c>
      <c r="BK76" s="582">
        <v>13834.65186</v>
      </c>
      <c r="BL76" s="582">
        <v>13329.201519999999</v>
      </c>
      <c r="BM76" s="582">
        <v>15230.920619999999</v>
      </c>
      <c r="BN76" s="582">
        <v>10942.50354</v>
      </c>
      <c r="BO76" s="582">
        <v>13229.11045</v>
      </c>
      <c r="BP76" s="582">
        <v>15795.04981</v>
      </c>
      <c r="BQ76" s="582">
        <v>15179.281590000001</v>
      </c>
      <c r="BR76" s="582">
        <v>11760.57324</v>
      </c>
      <c r="BS76" s="582">
        <v>11920.240179999999</v>
      </c>
      <c r="BT76" s="582">
        <v>9260.2499700000008</v>
      </c>
      <c r="BU76" s="582">
        <v>14395.23034</v>
      </c>
      <c r="BV76" s="582">
        <v>28136.525460000001</v>
      </c>
      <c r="BW76" s="582">
        <v>18870.599999999999</v>
      </c>
      <c r="BX76" s="582">
        <v>16882</v>
      </c>
      <c r="BY76" s="582">
        <v>15111.4</v>
      </c>
      <c r="BZ76" s="582">
        <v>19194.999999999996</v>
      </c>
      <c r="CA76" s="582">
        <v>16049.800000000001</v>
      </c>
      <c r="CB76" s="582">
        <v>17296.2</v>
      </c>
      <c r="CC76" s="582">
        <v>19150.099999999999</v>
      </c>
      <c r="CD76" s="582">
        <v>15760.5</v>
      </c>
      <c r="CE76" s="582">
        <v>16606.399999999998</v>
      </c>
      <c r="CF76" s="582">
        <v>15747.1</v>
      </c>
      <c r="CG76" s="582">
        <v>16885.3</v>
      </c>
      <c r="CH76" s="582">
        <v>18916.099999999999</v>
      </c>
      <c r="CI76" s="582">
        <v>18870.599999999999</v>
      </c>
      <c r="CJ76" s="582">
        <v>16882</v>
      </c>
      <c r="CK76" s="582">
        <v>15111.4</v>
      </c>
      <c r="CL76" s="582">
        <v>19194.999999999996</v>
      </c>
      <c r="CM76" s="582">
        <v>16049.800000000001</v>
      </c>
      <c r="CN76" s="582">
        <v>17296.2</v>
      </c>
      <c r="CO76" s="582">
        <v>19150.099999999999</v>
      </c>
      <c r="CP76" s="582">
        <v>15760.5</v>
      </c>
      <c r="CQ76" s="582">
        <v>16606.399999999998</v>
      </c>
      <c r="CR76" s="582">
        <v>15747.1</v>
      </c>
      <c r="CS76" s="582">
        <v>16885.3</v>
      </c>
      <c r="CT76" s="582">
        <v>18916.099999999999</v>
      </c>
      <c r="CU76" s="698">
        <f t="shared" si="134"/>
        <v>17337.430769230767</v>
      </c>
      <c r="CW76" s="33"/>
      <c r="CX76" s="184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</row>
    <row r="77" spans="1:116">
      <c r="A77" s="616" t="s">
        <v>524</v>
      </c>
      <c r="B77" s="260">
        <f t="shared" ca="1" si="133"/>
        <v>600</v>
      </c>
      <c r="C77" s="352">
        <v>826</v>
      </c>
      <c r="D77" s="352">
        <v>826</v>
      </c>
      <c r="E77" s="352">
        <v>826</v>
      </c>
      <c r="F77" s="352">
        <v>826</v>
      </c>
      <c r="G77" s="352">
        <v>826</v>
      </c>
      <c r="H77" s="352">
        <v>826</v>
      </c>
      <c r="I77" s="352">
        <v>826</v>
      </c>
      <c r="J77" s="352">
        <v>826</v>
      </c>
      <c r="K77" s="352">
        <v>826</v>
      </c>
      <c r="L77" s="352">
        <v>826</v>
      </c>
      <c r="M77" s="352">
        <v>826</v>
      </c>
      <c r="N77" s="352">
        <v>826</v>
      </c>
      <c r="O77" s="415">
        <v>826</v>
      </c>
      <c r="P77" s="415">
        <v>826</v>
      </c>
      <c r="Q77" s="415">
        <v>826</v>
      </c>
      <c r="R77" s="415">
        <v>826</v>
      </c>
      <c r="S77" s="415">
        <v>826</v>
      </c>
      <c r="T77" s="415">
        <v>836</v>
      </c>
      <c r="U77" s="415">
        <v>836</v>
      </c>
      <c r="V77" s="415">
        <v>661</v>
      </c>
      <c r="W77" s="415">
        <v>661</v>
      </c>
      <c r="X77" s="415">
        <v>511</v>
      </c>
      <c r="Y77" s="415">
        <v>511</v>
      </c>
      <c r="Z77" s="415">
        <v>511</v>
      </c>
      <c r="AA77" s="415">
        <v>511</v>
      </c>
      <c r="AB77" s="415">
        <v>511</v>
      </c>
      <c r="AC77" s="415">
        <v>511</v>
      </c>
      <c r="AD77" s="415">
        <v>521</v>
      </c>
      <c r="AE77" s="415">
        <v>521</v>
      </c>
      <c r="AF77" s="415">
        <v>521</v>
      </c>
      <c r="AG77" s="415">
        <v>605</v>
      </c>
      <c r="AH77" s="415">
        <v>595</v>
      </c>
      <c r="AI77" s="415">
        <v>569</v>
      </c>
      <c r="AJ77" s="415">
        <v>569</v>
      </c>
      <c r="AK77" s="415">
        <v>569</v>
      </c>
      <c r="AL77" s="415">
        <v>569</v>
      </c>
      <c r="AM77" s="415">
        <v>569</v>
      </c>
      <c r="AN77" s="415">
        <v>594</v>
      </c>
      <c r="AO77" s="415">
        <v>594</v>
      </c>
      <c r="AP77" s="415">
        <v>594</v>
      </c>
      <c r="AQ77" s="415">
        <v>594</v>
      </c>
      <c r="AR77" s="413">
        <v>594</v>
      </c>
      <c r="AS77" s="413">
        <v>594</v>
      </c>
      <c r="AT77" s="413">
        <v>594</v>
      </c>
      <c r="AU77" s="413">
        <v>594</v>
      </c>
      <c r="AV77" s="413">
        <v>594</v>
      </c>
      <c r="AW77" s="413">
        <v>594</v>
      </c>
      <c r="AX77" s="413">
        <v>594</v>
      </c>
      <c r="AY77" s="413">
        <v>594</v>
      </c>
      <c r="AZ77" s="413">
        <v>589</v>
      </c>
      <c r="BA77" s="413">
        <v>589</v>
      </c>
      <c r="BB77" s="413">
        <v>589</v>
      </c>
      <c r="BC77" s="413">
        <v>589</v>
      </c>
      <c r="BD77" s="413">
        <v>589</v>
      </c>
      <c r="BE77" s="582">
        <v>579</v>
      </c>
      <c r="BF77" s="582">
        <v>579</v>
      </c>
      <c r="BG77" s="582">
        <v>579</v>
      </c>
      <c r="BH77" s="582">
        <v>604</v>
      </c>
      <c r="BI77" s="582">
        <v>604</v>
      </c>
      <c r="BJ77" s="582">
        <v>604</v>
      </c>
      <c r="BK77" s="582">
        <v>604</v>
      </c>
      <c r="BL77" s="582">
        <v>604</v>
      </c>
      <c r="BM77" s="582">
        <v>604</v>
      </c>
      <c r="BN77" s="582">
        <v>604</v>
      </c>
      <c r="BO77" s="582">
        <v>614</v>
      </c>
      <c r="BP77" s="582">
        <v>614</v>
      </c>
      <c r="BQ77" s="582">
        <v>614</v>
      </c>
      <c r="BR77" s="582">
        <v>614</v>
      </c>
      <c r="BS77" s="582">
        <v>614</v>
      </c>
      <c r="BT77" s="582">
        <v>614</v>
      </c>
      <c r="BU77" s="582">
        <v>614</v>
      </c>
      <c r="BV77" s="582">
        <v>715</v>
      </c>
      <c r="BW77" s="582">
        <v>600</v>
      </c>
      <c r="BX77" s="582">
        <v>600</v>
      </c>
      <c r="BY77" s="582">
        <v>600</v>
      </c>
      <c r="BZ77" s="582">
        <v>600</v>
      </c>
      <c r="CA77" s="582">
        <v>600</v>
      </c>
      <c r="CB77" s="582">
        <v>600</v>
      </c>
      <c r="CC77" s="582">
        <v>600</v>
      </c>
      <c r="CD77" s="582">
        <v>600</v>
      </c>
      <c r="CE77" s="582">
        <v>600</v>
      </c>
      <c r="CF77" s="582">
        <v>600</v>
      </c>
      <c r="CG77" s="582">
        <v>600</v>
      </c>
      <c r="CH77" s="582">
        <v>600</v>
      </c>
      <c r="CI77" s="582">
        <v>600</v>
      </c>
      <c r="CJ77" s="582">
        <v>600</v>
      </c>
      <c r="CK77" s="582">
        <v>600</v>
      </c>
      <c r="CL77" s="582">
        <v>600</v>
      </c>
      <c r="CM77" s="582">
        <v>600</v>
      </c>
      <c r="CN77" s="582">
        <v>600</v>
      </c>
      <c r="CO77" s="582">
        <v>600</v>
      </c>
      <c r="CP77" s="582">
        <v>600</v>
      </c>
      <c r="CQ77" s="582">
        <v>600</v>
      </c>
      <c r="CR77" s="582">
        <v>600</v>
      </c>
      <c r="CS77" s="582">
        <v>600</v>
      </c>
      <c r="CT77" s="582">
        <v>600</v>
      </c>
      <c r="CU77" s="700">
        <f t="shared" si="134"/>
        <v>600</v>
      </c>
      <c r="CW77" s="33"/>
      <c r="CX77" s="184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</row>
    <row r="78" spans="1:116">
      <c r="A78" s="616" t="s">
        <v>525</v>
      </c>
      <c r="B78" s="260">
        <f t="shared" ca="1" si="133"/>
        <v>13130.130769230771</v>
      </c>
      <c r="C78" s="352">
        <v>1826.5664100000001</v>
      </c>
      <c r="D78" s="352">
        <v>3484.9449500000001</v>
      </c>
      <c r="E78" s="352">
        <v>4515.6567599999998</v>
      </c>
      <c r="F78" s="352">
        <v>5475.2851300000002</v>
      </c>
      <c r="G78" s="352">
        <v>6085.7606299999998</v>
      </c>
      <c r="H78" s="352">
        <v>6944.7039799999993</v>
      </c>
      <c r="I78" s="352">
        <v>6788.0562000000009</v>
      </c>
      <c r="J78" s="352">
        <v>7816.5889500000003</v>
      </c>
      <c r="K78" s="352">
        <v>8672.3568800000012</v>
      </c>
      <c r="L78" s="352">
        <v>9670.360319999998</v>
      </c>
      <c r="M78" s="352">
        <v>1085.2319000000002</v>
      </c>
      <c r="N78" s="352">
        <v>2302.5307799999996</v>
      </c>
      <c r="O78" s="415">
        <v>3112.4171799999999</v>
      </c>
      <c r="P78" s="415">
        <v>3900.6653700000002</v>
      </c>
      <c r="Q78" s="415">
        <v>4805.9942899999996</v>
      </c>
      <c r="R78" s="415">
        <v>5975.929180000001</v>
      </c>
      <c r="S78" s="415">
        <v>6833.498959999999</v>
      </c>
      <c r="T78" s="415">
        <v>7906.3087799999994</v>
      </c>
      <c r="U78" s="415">
        <v>7757.4725899999994</v>
      </c>
      <c r="V78" s="415">
        <v>8848.4747899999984</v>
      </c>
      <c r="W78" s="415">
        <v>10118.895889999998</v>
      </c>
      <c r="X78" s="415">
        <v>11132.661629999999</v>
      </c>
      <c r="Y78" s="415">
        <v>1093.6059300000002</v>
      </c>
      <c r="Z78" s="415">
        <v>2719.5430200000001</v>
      </c>
      <c r="AA78" s="415">
        <v>3392.6411699999999</v>
      </c>
      <c r="AB78" s="415">
        <v>4397.5642500000004</v>
      </c>
      <c r="AC78" s="415">
        <v>5331.8971500000007</v>
      </c>
      <c r="AD78" s="415">
        <v>6269.4486200000001</v>
      </c>
      <c r="AE78" s="415">
        <v>7567.9415099999997</v>
      </c>
      <c r="AF78" s="415">
        <v>8644.428969999999</v>
      </c>
      <c r="AG78" s="415">
        <v>8782.1048800000008</v>
      </c>
      <c r="AH78" s="415">
        <v>9443.5895099999998</v>
      </c>
      <c r="AI78" s="415">
        <v>10635.391030000001</v>
      </c>
      <c r="AJ78" s="415">
        <v>11792.56782</v>
      </c>
      <c r="AK78" s="415">
        <v>1285.7686999999999</v>
      </c>
      <c r="AL78" s="415">
        <v>2911.5146299999997</v>
      </c>
      <c r="AM78" s="415">
        <v>3393.4568699999995</v>
      </c>
      <c r="AN78" s="415">
        <v>4383.3032400000002</v>
      </c>
      <c r="AO78" s="415">
        <v>5525.7501899999997</v>
      </c>
      <c r="AP78" s="415">
        <v>6545.5603300000002</v>
      </c>
      <c r="AQ78" s="415">
        <v>7971.6265999999996</v>
      </c>
      <c r="AR78" s="413">
        <v>9502.5875399999986</v>
      </c>
      <c r="AS78" s="413">
        <v>10854.755899999998</v>
      </c>
      <c r="AT78" s="413">
        <v>12425.299010000001</v>
      </c>
      <c r="AU78" s="413">
        <v>13747.201730000001</v>
      </c>
      <c r="AV78" s="413">
        <v>15397.22748</v>
      </c>
      <c r="AW78" s="413">
        <v>3762.20037</v>
      </c>
      <c r="AX78" s="413">
        <v>5259.8825099999995</v>
      </c>
      <c r="AY78" s="413">
        <v>6711.2380899999998</v>
      </c>
      <c r="AZ78" s="413">
        <v>7920.3094099999998</v>
      </c>
      <c r="BA78" s="413">
        <v>8751.4627899999996</v>
      </c>
      <c r="BB78" s="413">
        <v>10180.265290000001</v>
      </c>
      <c r="BC78" s="413">
        <v>11278.53404</v>
      </c>
      <c r="BD78" s="413">
        <v>12612.689839999999</v>
      </c>
      <c r="BE78" s="582">
        <v>12730.01604</v>
      </c>
      <c r="BF78" s="582">
        <v>13959.51836</v>
      </c>
      <c r="BG78" s="582">
        <v>14835.18792</v>
      </c>
      <c r="BH78" s="582">
        <v>16316.390210000001</v>
      </c>
      <c r="BI78" s="582">
        <v>4307.0778300000002</v>
      </c>
      <c r="BJ78" s="582">
        <v>5474.3132600000008</v>
      </c>
      <c r="BK78" s="582">
        <v>6474.3813199999995</v>
      </c>
      <c r="BL78" s="582">
        <v>8297.2767500000009</v>
      </c>
      <c r="BM78" s="582">
        <v>9448.6411700000008</v>
      </c>
      <c r="BN78" s="582">
        <v>11075.494269999999</v>
      </c>
      <c r="BO78" s="582">
        <v>12632.660280000002</v>
      </c>
      <c r="BP78" s="582">
        <v>14367.794550000001</v>
      </c>
      <c r="BQ78" s="582">
        <v>14345.528010000002</v>
      </c>
      <c r="BR78" s="582">
        <v>16090.25628</v>
      </c>
      <c r="BS78" s="582">
        <v>17343.187839999999</v>
      </c>
      <c r="BT78" s="582">
        <v>19264.953020000001</v>
      </c>
      <c r="BU78" s="582">
        <v>3602.9451099999997</v>
      </c>
      <c r="BV78" s="582">
        <v>4856.9837400000006</v>
      </c>
      <c r="BW78" s="582">
        <v>6609</v>
      </c>
      <c r="BX78" s="582">
        <v>8508.3000000000011</v>
      </c>
      <c r="BY78" s="582">
        <v>9994.7000000000007</v>
      </c>
      <c r="BZ78" s="582">
        <v>11831.1</v>
      </c>
      <c r="CA78" s="582">
        <v>13639.800000000001</v>
      </c>
      <c r="CB78" s="582">
        <v>15622.099999999999</v>
      </c>
      <c r="CC78" s="582">
        <v>16171.300000000001</v>
      </c>
      <c r="CD78" s="582">
        <v>18014.7</v>
      </c>
      <c r="CE78" s="582">
        <v>20063.899999999998</v>
      </c>
      <c r="CF78" s="582">
        <v>22189.8</v>
      </c>
      <c r="CG78" s="582">
        <v>3105.6</v>
      </c>
      <c r="CH78" s="582">
        <v>4810</v>
      </c>
      <c r="CI78" s="582">
        <v>7041.1999999999989</v>
      </c>
      <c r="CJ78" s="582">
        <v>9234.9000000000015</v>
      </c>
      <c r="CK78" s="582">
        <v>10942</v>
      </c>
      <c r="CL78" s="582">
        <v>13067.4</v>
      </c>
      <c r="CM78" s="582">
        <v>15109.2</v>
      </c>
      <c r="CN78" s="582">
        <v>17328.400000000001</v>
      </c>
      <c r="CO78" s="582">
        <v>18060.800000000003</v>
      </c>
      <c r="CP78" s="582">
        <v>20193.500000000004</v>
      </c>
      <c r="CQ78" s="582">
        <v>22428</v>
      </c>
      <c r="CR78" s="582">
        <v>24788.199999999997</v>
      </c>
      <c r="CS78" s="582">
        <v>2918.3</v>
      </c>
      <c r="CT78" s="582">
        <v>4769.8</v>
      </c>
      <c r="CU78" s="698">
        <f t="shared" si="134"/>
        <v>13130.130769230771</v>
      </c>
      <c r="CW78" s="33"/>
      <c r="CX78" s="184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</row>
    <row r="79" spans="1:116">
      <c r="A79" s="616" t="s">
        <v>526</v>
      </c>
      <c r="B79" s="260">
        <f t="shared" ca="1" si="133"/>
        <v>-845.94615384615383</v>
      </c>
      <c r="C79" s="350">
        <v>1218.3196600000001</v>
      </c>
      <c r="D79" s="350">
        <v>664.62072000000001</v>
      </c>
      <c r="E79" s="350">
        <v>776.46587999999997</v>
      </c>
      <c r="F79" s="350">
        <v>1627.8128000000002</v>
      </c>
      <c r="G79" s="350">
        <v>855.23186999999996</v>
      </c>
      <c r="H79" s="350">
        <v>483.44291999999996</v>
      </c>
      <c r="I79" s="350">
        <v>-431.38654000000002</v>
      </c>
      <c r="J79" s="350">
        <v>-1391.2199500000002</v>
      </c>
      <c r="K79" s="350">
        <v>183.89595</v>
      </c>
      <c r="L79" s="350">
        <v>-1760.4175400000001</v>
      </c>
      <c r="M79" s="350">
        <v>-2712.9843100000003</v>
      </c>
      <c r="N79" s="350">
        <v>5917.8919100000003</v>
      </c>
      <c r="O79" s="413">
        <v>9137.7768799999994</v>
      </c>
      <c r="P79" s="413">
        <v>9528.6870699999999</v>
      </c>
      <c r="Q79" s="413">
        <v>10351.167939999999</v>
      </c>
      <c r="R79" s="413">
        <v>4074.8491899999999</v>
      </c>
      <c r="S79" s="413">
        <v>4320.2222700000002</v>
      </c>
      <c r="T79" s="413">
        <v>2686.9885899999999</v>
      </c>
      <c r="U79" s="413">
        <v>2898.5594300000002</v>
      </c>
      <c r="V79" s="413">
        <v>2060.4149300000004</v>
      </c>
      <c r="W79" s="413">
        <v>1143.8678300000001</v>
      </c>
      <c r="X79" s="413">
        <v>821.47520000000009</v>
      </c>
      <c r="Y79" s="413">
        <v>-2529.3949400000006</v>
      </c>
      <c r="Z79" s="413">
        <v>2694.5114199999998</v>
      </c>
      <c r="AA79" s="413">
        <v>4355.7901700000002</v>
      </c>
      <c r="AB79" s="413">
        <v>4311.5134900000003</v>
      </c>
      <c r="AC79" s="413">
        <v>5435.6130999999996</v>
      </c>
      <c r="AD79" s="413">
        <v>2908.0823</v>
      </c>
      <c r="AE79" s="413">
        <v>3228.2966199999996</v>
      </c>
      <c r="AF79" s="413">
        <v>2414.2994899999999</v>
      </c>
      <c r="AG79" s="413">
        <v>2448.7563500000001</v>
      </c>
      <c r="AH79" s="413">
        <v>2493.2497400000002</v>
      </c>
      <c r="AI79" s="413">
        <v>697.39471000000003</v>
      </c>
      <c r="AJ79" s="413">
        <v>871.61304000000007</v>
      </c>
      <c r="AK79" s="413">
        <v>1410.9714799999999</v>
      </c>
      <c r="AL79" s="413">
        <v>-1.0000000000000001E-5</v>
      </c>
      <c r="AM79" s="413">
        <v>3124.5150300000005</v>
      </c>
      <c r="AN79" s="413">
        <v>1117.3269299999999</v>
      </c>
      <c r="AO79" s="413">
        <v>1492.18869</v>
      </c>
      <c r="AP79" s="413">
        <v>2220.2245200000002</v>
      </c>
      <c r="AQ79" s="413">
        <v>1908.7737099999999</v>
      </c>
      <c r="AR79" s="413">
        <v>2493.3735099999999</v>
      </c>
      <c r="AS79" s="413">
        <v>2074.2094900000002</v>
      </c>
      <c r="AT79" s="413">
        <v>2044.7551899999999</v>
      </c>
      <c r="AU79" s="413">
        <v>2340.2763399999999</v>
      </c>
      <c r="AV79" s="413">
        <v>706.76859999999999</v>
      </c>
      <c r="AW79" s="413">
        <v>1853.6941600000002</v>
      </c>
      <c r="AX79" s="413">
        <v>1537.1815300000001</v>
      </c>
      <c r="AY79" s="413">
        <v>4384.3406999999997</v>
      </c>
      <c r="AZ79" s="413">
        <v>5537.8809799999999</v>
      </c>
      <c r="BA79" s="413">
        <v>4948.4920499999998</v>
      </c>
      <c r="BB79" s="413">
        <v>3068.42688</v>
      </c>
      <c r="BC79" s="413">
        <v>2487.3352699999996</v>
      </c>
      <c r="BD79" s="413">
        <v>2665.9445100000003</v>
      </c>
      <c r="BE79" s="586">
        <v>2347.3771200000001</v>
      </c>
      <c r="BF79" s="586">
        <v>2992.1392700000001</v>
      </c>
      <c r="BG79" s="586">
        <v>-422.22386999999998</v>
      </c>
      <c r="BH79" s="586">
        <v>-2041.9777900000001</v>
      </c>
      <c r="BI79" s="586">
        <v>-3677.1605999999997</v>
      </c>
      <c r="BJ79" s="586">
        <v>0</v>
      </c>
      <c r="BK79" s="586">
        <v>-1115.7638599999998</v>
      </c>
      <c r="BL79" s="586">
        <v>2334.8768999999998</v>
      </c>
      <c r="BM79" s="586">
        <v>2523.7108499999999</v>
      </c>
      <c r="BN79" s="586">
        <v>5651.2866699999995</v>
      </c>
      <c r="BO79" s="586">
        <v>6110.6467599999996</v>
      </c>
      <c r="BP79" s="586">
        <v>4441.9673499999999</v>
      </c>
      <c r="BQ79" s="586">
        <v>4240.3239199999998</v>
      </c>
      <c r="BR79" s="586">
        <v>814.50284999999997</v>
      </c>
      <c r="BS79" s="586">
        <v>1624.9827499999999</v>
      </c>
      <c r="BT79" s="586">
        <v>1025.91219</v>
      </c>
      <c r="BU79" s="586">
        <v>1042.3304900000001</v>
      </c>
      <c r="BV79" s="586">
        <v>339.21682999999996</v>
      </c>
      <c r="BW79" s="586">
        <v>1217.5999999999999</v>
      </c>
      <c r="BX79" s="586">
        <v>2181.6999999999998</v>
      </c>
      <c r="BY79" s="586">
        <v>1557</v>
      </c>
      <c r="BZ79" s="586">
        <v>1835.5</v>
      </c>
      <c r="CA79" s="586">
        <v>1398</v>
      </c>
      <c r="CB79" s="586">
        <v>1672.4</v>
      </c>
      <c r="CC79" s="586">
        <v>849.30000000000007</v>
      </c>
      <c r="CD79" s="586">
        <v>-111.69999999999999</v>
      </c>
      <c r="CE79" s="586">
        <v>-163.6</v>
      </c>
      <c r="CF79" s="586">
        <v>-1563</v>
      </c>
      <c r="CG79" s="586">
        <v>-1862.4</v>
      </c>
      <c r="CH79" s="586">
        <v>0</v>
      </c>
      <c r="CI79" s="586">
        <v>-69.8</v>
      </c>
      <c r="CJ79" s="586">
        <v>-8.8000000000000007</v>
      </c>
      <c r="CK79" s="586">
        <v>-2877.3</v>
      </c>
      <c r="CL79" s="586">
        <v>454.5</v>
      </c>
      <c r="CM79" s="586">
        <v>-982.4</v>
      </c>
      <c r="CN79" s="586">
        <v>1277.0999999999999</v>
      </c>
      <c r="CO79" s="586">
        <v>-576.40000000000009</v>
      </c>
      <c r="CP79" s="586">
        <v>-2439.6</v>
      </c>
      <c r="CQ79" s="586">
        <v>-204.5</v>
      </c>
      <c r="CR79" s="586">
        <v>-2135.7999999999997</v>
      </c>
      <c r="CS79" s="586">
        <v>-3434.3</v>
      </c>
      <c r="CT79" s="586">
        <v>0</v>
      </c>
      <c r="CU79" s="698">
        <f t="shared" si="134"/>
        <v>-845.94615384615383</v>
      </c>
      <c r="CW79" s="33"/>
      <c r="CX79" s="184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</row>
    <row r="80" spans="1:116">
      <c r="A80" s="616" t="s">
        <v>527</v>
      </c>
      <c r="B80" s="260">
        <f t="shared" ca="1" si="133"/>
        <v>13347.043014687441</v>
      </c>
      <c r="C80" s="350">
        <v>2770.21173</v>
      </c>
      <c r="D80" s="350">
        <v>3926.4707400000002</v>
      </c>
      <c r="E80" s="350">
        <v>4756.6811999999991</v>
      </c>
      <c r="F80" s="350">
        <v>5910.0565700000006</v>
      </c>
      <c r="G80" s="350">
        <v>1791.8053599999998</v>
      </c>
      <c r="H80" s="350">
        <v>1918.3488300000001</v>
      </c>
      <c r="I80" s="350">
        <v>3064.0813800000001</v>
      </c>
      <c r="J80" s="350">
        <v>4211.7048900000009</v>
      </c>
      <c r="K80" s="350">
        <v>5034.8600999999999</v>
      </c>
      <c r="L80" s="350">
        <v>6181.1579399999991</v>
      </c>
      <c r="M80" s="350">
        <v>2053.0972099999999</v>
      </c>
      <c r="N80" s="350">
        <v>1610.1098599999998</v>
      </c>
      <c r="O80" s="413">
        <v>2767.5090900000005</v>
      </c>
      <c r="P80" s="413">
        <v>3924.17</v>
      </c>
      <c r="Q80" s="413">
        <v>4753.8465400000005</v>
      </c>
      <c r="R80" s="413">
        <v>5908.4847099999997</v>
      </c>
      <c r="S80" s="413">
        <v>1665.3694499999999</v>
      </c>
      <c r="T80" s="413">
        <v>1537.0272000000002</v>
      </c>
      <c r="U80" s="413">
        <v>2909.7936900000004</v>
      </c>
      <c r="V80" s="413">
        <v>4075.8676199999995</v>
      </c>
      <c r="W80" s="413">
        <v>4916.0469299999995</v>
      </c>
      <c r="X80" s="413">
        <v>6159.8755600000004</v>
      </c>
      <c r="Y80" s="413">
        <v>3671.2960800000001</v>
      </c>
      <c r="Z80" s="413">
        <v>1628.03539</v>
      </c>
      <c r="AA80" s="413">
        <v>2893.1340799999998</v>
      </c>
      <c r="AB80" s="413">
        <v>4157.3870999999999</v>
      </c>
      <c r="AC80" s="413">
        <v>5094.9714800000002</v>
      </c>
      <c r="AD80" s="413">
        <v>6357.8734999999997</v>
      </c>
      <c r="AE80" s="413">
        <v>3873.8124600000001</v>
      </c>
      <c r="AF80" s="413">
        <v>1719.86643</v>
      </c>
      <c r="AG80" s="413">
        <v>2996.9513299999999</v>
      </c>
      <c r="AH80" s="413">
        <v>4329.0941399999992</v>
      </c>
      <c r="AI80" s="413">
        <v>5336.7681700000003</v>
      </c>
      <c r="AJ80" s="413">
        <v>6668.6694100000004</v>
      </c>
      <c r="AK80" s="413">
        <v>4253.4423200000001</v>
      </c>
      <c r="AL80" s="413">
        <v>1450.83709</v>
      </c>
      <c r="AM80" s="413">
        <v>2790.87041</v>
      </c>
      <c r="AN80" s="413">
        <v>4130.76</v>
      </c>
      <c r="AO80" s="413">
        <v>5138.9768300000005</v>
      </c>
      <c r="AP80" s="413">
        <v>6476.2561700000006</v>
      </c>
      <c r="AQ80" s="413">
        <v>4067.1598899999995</v>
      </c>
      <c r="AR80" s="413">
        <v>1755.2275</v>
      </c>
      <c r="AS80" s="413">
        <v>3088.45496</v>
      </c>
      <c r="AT80" s="413">
        <v>4420.7581799999998</v>
      </c>
      <c r="AU80" s="413">
        <v>5426.8159399999995</v>
      </c>
      <c r="AV80" s="413">
        <v>6756.1770100000003</v>
      </c>
      <c r="AW80" s="413">
        <v>4341.5842599999996</v>
      </c>
      <c r="AX80" s="413">
        <v>1444.46074</v>
      </c>
      <c r="AY80" s="413">
        <v>2783.8603700000003</v>
      </c>
      <c r="AZ80" s="413">
        <v>4122.85214</v>
      </c>
      <c r="BA80" s="413">
        <v>5453.95208</v>
      </c>
      <c r="BB80" s="413">
        <v>7351.6719999999996</v>
      </c>
      <c r="BC80" s="413">
        <v>5292.8487700000005</v>
      </c>
      <c r="BD80" s="413">
        <v>3437.04873</v>
      </c>
      <c r="BE80" s="586">
        <v>5123.9392400000006</v>
      </c>
      <c r="BF80" s="586">
        <v>6809.8387199999997</v>
      </c>
      <c r="BG80" s="586">
        <v>4769.5174800000004</v>
      </c>
      <c r="BH80" s="586">
        <v>6452.8537000000006</v>
      </c>
      <c r="BI80" s="586">
        <v>5655.6043000000009</v>
      </c>
      <c r="BJ80" s="586">
        <v>3091.8601200000003</v>
      </c>
      <c r="BK80" s="586">
        <v>4784.6255699999992</v>
      </c>
      <c r="BL80" s="586">
        <v>6477.2407999999996</v>
      </c>
      <c r="BM80" s="586">
        <v>4481.1447800000005</v>
      </c>
      <c r="BN80" s="586">
        <v>6172.9776900000006</v>
      </c>
      <c r="BO80" s="586">
        <v>5381.6669599999996</v>
      </c>
      <c r="BP80" s="586">
        <v>3425.0602599999997</v>
      </c>
      <c r="BQ80" s="586">
        <v>5281.6561400000001</v>
      </c>
      <c r="BR80" s="586">
        <v>7248.7848700000004</v>
      </c>
      <c r="BS80" s="586">
        <v>5501.1635500000002</v>
      </c>
      <c r="BT80" s="586">
        <v>7413.2856700000002</v>
      </c>
      <c r="BU80" s="586">
        <v>6844.2570199999991</v>
      </c>
      <c r="BV80" s="586">
        <v>4458.9065299999993</v>
      </c>
      <c r="BW80" s="803">
        <v>610.63891012095849</v>
      </c>
      <c r="BX80" s="803">
        <v>2572.8212101210606</v>
      </c>
      <c r="BY80" s="803">
        <v>4535.2035101210467</v>
      </c>
      <c r="BZ80" s="803">
        <v>6496.8472301210277</v>
      </c>
      <c r="CA80" s="803">
        <v>8458.4908901210183</v>
      </c>
      <c r="CB80" s="586">
        <v>10420.234550000168</v>
      </c>
      <c r="CC80" s="586">
        <v>12381.978210000041</v>
      </c>
      <c r="CD80" s="586">
        <v>14343.821870000033</v>
      </c>
      <c r="CE80" s="586">
        <v>16305.765529999091</v>
      </c>
      <c r="CF80" s="586">
        <v>817.80000000000007</v>
      </c>
      <c r="CG80" s="586">
        <v>4931.5</v>
      </c>
      <c r="CH80" s="586">
        <v>8206.7000000000007</v>
      </c>
      <c r="CI80" s="586">
        <v>12043.11860538707</v>
      </c>
      <c r="CJ80" s="586">
        <v>15926.290845215914</v>
      </c>
      <c r="CK80" s="586">
        <v>19815.496108416351</v>
      </c>
      <c r="CL80" s="586">
        <v>4599.3545435984543</v>
      </c>
      <c r="CM80" s="586">
        <v>8523.3156901866823</v>
      </c>
      <c r="CN80" s="586">
        <v>12230.653412424723</v>
      </c>
      <c r="CO80" s="586">
        <v>16429.380210706662</v>
      </c>
      <c r="CP80" s="586">
        <v>20767.938804339676</v>
      </c>
      <c r="CQ80" s="586">
        <v>25093.36524169159</v>
      </c>
      <c r="CR80" s="586">
        <v>6528.0888472306951</v>
      </c>
      <c r="CS80" s="586">
        <v>10924.251061206332</v>
      </c>
      <c r="CT80" s="586">
        <v>12423.605820532588</v>
      </c>
      <c r="CU80" s="698">
        <f t="shared" si="134"/>
        <v>13347.043014687441</v>
      </c>
      <c r="CW80" s="33"/>
      <c r="CX80" s="184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</row>
    <row r="81" spans="1:116">
      <c r="A81" s="616" t="s">
        <v>528</v>
      </c>
      <c r="B81" s="260">
        <f t="shared" ca="1" si="133"/>
        <v>0</v>
      </c>
      <c r="C81" s="350">
        <v>0</v>
      </c>
      <c r="D81" s="350">
        <v>0</v>
      </c>
      <c r="E81" s="350">
        <v>0</v>
      </c>
      <c r="F81" s="350">
        <v>0</v>
      </c>
      <c r="G81" s="350">
        <v>0</v>
      </c>
      <c r="H81" s="350">
        <v>0</v>
      </c>
      <c r="I81" s="350">
        <v>0</v>
      </c>
      <c r="J81" s="350">
        <v>0</v>
      </c>
      <c r="K81" s="350">
        <v>0</v>
      </c>
      <c r="L81" s="350">
        <v>0</v>
      </c>
      <c r="M81" s="350">
        <v>0</v>
      </c>
      <c r="N81" s="350">
        <v>0</v>
      </c>
      <c r="O81" s="413">
        <v>0</v>
      </c>
      <c r="P81" s="413">
        <v>0</v>
      </c>
      <c r="Q81" s="413">
        <v>0</v>
      </c>
      <c r="R81" s="413">
        <v>0</v>
      </c>
      <c r="S81" s="413">
        <v>15456.143340000001</v>
      </c>
      <c r="T81" s="413">
        <v>0</v>
      </c>
      <c r="U81" s="413">
        <v>0</v>
      </c>
      <c r="V81" s="413">
        <v>0</v>
      </c>
      <c r="W81" s="413">
        <v>0</v>
      </c>
      <c r="X81" s="413">
        <v>0</v>
      </c>
      <c r="Y81" s="413">
        <v>0</v>
      </c>
      <c r="Z81" s="413">
        <v>0</v>
      </c>
      <c r="AA81" s="413">
        <v>0</v>
      </c>
      <c r="AB81" s="413">
        <v>0</v>
      </c>
      <c r="AC81" s="413">
        <v>0</v>
      </c>
      <c r="AD81" s="413">
        <v>0</v>
      </c>
      <c r="AE81" s="413">
        <v>0</v>
      </c>
      <c r="AF81" s="413">
        <v>0</v>
      </c>
      <c r="AG81" s="413">
        <v>0</v>
      </c>
      <c r="AH81" s="413">
        <v>0</v>
      </c>
      <c r="AI81" s="413">
        <v>0</v>
      </c>
      <c r="AJ81" s="413">
        <v>0</v>
      </c>
      <c r="AK81" s="413">
        <v>0</v>
      </c>
      <c r="AL81" s="413">
        <v>0</v>
      </c>
      <c r="AM81" s="413">
        <v>0</v>
      </c>
      <c r="AN81" s="413">
        <v>0</v>
      </c>
      <c r="AO81" s="413">
        <v>0</v>
      </c>
      <c r="AP81" s="413">
        <v>0</v>
      </c>
      <c r="AQ81" s="413">
        <v>0</v>
      </c>
      <c r="AR81" s="413">
        <v>0</v>
      </c>
      <c r="AS81" s="413">
        <v>0</v>
      </c>
      <c r="AT81" s="413">
        <v>0</v>
      </c>
      <c r="AU81" s="413">
        <v>0</v>
      </c>
      <c r="AV81" s="413">
        <v>0</v>
      </c>
      <c r="AW81" s="413">
        <v>0</v>
      </c>
      <c r="AX81" s="413">
        <v>0</v>
      </c>
      <c r="AY81" s="413">
        <v>0</v>
      </c>
      <c r="AZ81" s="413">
        <v>0</v>
      </c>
      <c r="BA81" s="413">
        <v>0</v>
      </c>
      <c r="BB81" s="413">
        <v>27095.925999999999</v>
      </c>
      <c r="BC81" s="413">
        <v>0</v>
      </c>
      <c r="BD81" s="413">
        <v>0</v>
      </c>
      <c r="BE81" s="586">
        <v>0</v>
      </c>
      <c r="BF81" s="586">
        <v>0</v>
      </c>
      <c r="BG81" s="586">
        <v>0</v>
      </c>
      <c r="BH81" s="586">
        <v>0</v>
      </c>
      <c r="BI81" s="586">
        <v>0</v>
      </c>
      <c r="BJ81" s="586">
        <v>0</v>
      </c>
      <c r="BK81" s="586">
        <v>0</v>
      </c>
      <c r="BL81" s="586">
        <v>0</v>
      </c>
      <c r="BM81" s="586">
        <v>0</v>
      </c>
      <c r="BN81" s="586">
        <v>29543.003000000001</v>
      </c>
      <c r="BO81" s="586">
        <v>0</v>
      </c>
      <c r="BP81" s="586">
        <v>0</v>
      </c>
      <c r="BQ81" s="586">
        <v>0</v>
      </c>
      <c r="BR81" s="586">
        <v>0</v>
      </c>
      <c r="BS81" s="586">
        <v>0</v>
      </c>
      <c r="BT81" s="586">
        <v>16227.366</v>
      </c>
      <c r="BU81" s="586">
        <v>0</v>
      </c>
      <c r="BV81" s="586">
        <v>0</v>
      </c>
      <c r="BW81" s="586">
        <v>0</v>
      </c>
      <c r="BX81" s="586">
        <v>0</v>
      </c>
      <c r="BY81" s="586">
        <v>0</v>
      </c>
      <c r="BZ81" s="586">
        <v>0</v>
      </c>
      <c r="CA81" s="586">
        <v>0</v>
      </c>
      <c r="CB81" s="586">
        <v>0</v>
      </c>
      <c r="CC81" s="586">
        <v>0</v>
      </c>
      <c r="CD81" s="586">
        <v>0</v>
      </c>
      <c r="CE81" s="586">
        <v>0</v>
      </c>
      <c r="CF81" s="586">
        <v>0</v>
      </c>
      <c r="CG81" s="586">
        <v>0</v>
      </c>
      <c r="CH81" s="586">
        <v>0</v>
      </c>
      <c r="CI81" s="586">
        <v>0</v>
      </c>
      <c r="CJ81" s="586">
        <v>0</v>
      </c>
      <c r="CK81" s="586">
        <v>0</v>
      </c>
      <c r="CL81" s="586">
        <v>0</v>
      </c>
      <c r="CM81" s="586">
        <v>0</v>
      </c>
      <c r="CN81" s="586">
        <v>0</v>
      </c>
      <c r="CO81" s="586">
        <v>0</v>
      </c>
      <c r="CP81" s="586">
        <v>0</v>
      </c>
      <c r="CQ81" s="586">
        <v>0</v>
      </c>
      <c r="CR81" s="586">
        <v>0</v>
      </c>
      <c r="CS81" s="586">
        <v>0</v>
      </c>
      <c r="CT81" s="586">
        <v>0</v>
      </c>
      <c r="CU81" s="698">
        <f t="shared" si="134"/>
        <v>0</v>
      </c>
      <c r="CW81" s="33"/>
      <c r="CX81" s="184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</row>
    <row r="82" spans="1:116">
      <c r="A82" s="616" t="s">
        <v>529</v>
      </c>
      <c r="B82" s="260">
        <f t="shared" ca="1" si="133"/>
        <v>922.33076923076908</v>
      </c>
      <c r="C82" s="352">
        <v>1739.53745</v>
      </c>
      <c r="D82" s="352">
        <v>1657.9418599999999</v>
      </c>
      <c r="E82" s="352">
        <v>1645.99074</v>
      </c>
      <c r="F82" s="352">
        <v>1647.9765499999999</v>
      </c>
      <c r="G82" s="352">
        <v>1521.2219299999999</v>
      </c>
      <c r="H82" s="352">
        <v>1461.8667499999999</v>
      </c>
      <c r="I82" s="352">
        <v>1348.9797600000002</v>
      </c>
      <c r="J82" s="352">
        <v>1665.6821600000001</v>
      </c>
      <c r="K82" s="352">
        <v>1410.1788499999998</v>
      </c>
      <c r="L82" s="352">
        <v>1476.4627399999999</v>
      </c>
      <c r="M82" s="352">
        <v>1607.8430499999999</v>
      </c>
      <c r="N82" s="352">
        <v>1727.9974700000002</v>
      </c>
      <c r="O82" s="415">
        <v>2291.6139400000002</v>
      </c>
      <c r="P82" s="415">
        <v>2052.3722200000002</v>
      </c>
      <c r="Q82" s="415">
        <v>1863.32602</v>
      </c>
      <c r="R82" s="415">
        <v>1843.2516900000001</v>
      </c>
      <c r="S82" s="415">
        <v>1660.7070100000001</v>
      </c>
      <c r="T82" s="415">
        <v>1692.3985399999999</v>
      </c>
      <c r="U82" s="415">
        <v>1515.9500400000002</v>
      </c>
      <c r="V82" s="415">
        <v>1488.6635100000001</v>
      </c>
      <c r="W82" s="415">
        <v>1522.31511</v>
      </c>
      <c r="X82" s="415">
        <v>1484.4625300000002</v>
      </c>
      <c r="Y82" s="415">
        <v>1572.6592700000001</v>
      </c>
      <c r="Z82" s="415">
        <v>1798.75433</v>
      </c>
      <c r="AA82" s="415">
        <v>2383.3020999999999</v>
      </c>
      <c r="AB82" s="415">
        <v>2280.16617</v>
      </c>
      <c r="AC82" s="415">
        <v>1848.2118500000001</v>
      </c>
      <c r="AD82" s="415">
        <v>1876.33005</v>
      </c>
      <c r="AE82" s="415">
        <v>1603.5855900000001</v>
      </c>
      <c r="AF82" s="415">
        <v>1525.3141499999999</v>
      </c>
      <c r="AG82" s="415">
        <v>1431.4026100000001</v>
      </c>
      <c r="AH82" s="415">
        <v>1401.8700799999999</v>
      </c>
      <c r="AI82" s="415">
        <v>1385.1925200000001</v>
      </c>
      <c r="AJ82" s="415">
        <v>1415.6146200000001</v>
      </c>
      <c r="AK82" s="415">
        <v>1597.57818</v>
      </c>
      <c r="AL82" s="415">
        <v>1916.7235499999999</v>
      </c>
      <c r="AM82" s="415">
        <v>2087.0717100000002</v>
      </c>
      <c r="AN82" s="415">
        <v>2029.4528700000001</v>
      </c>
      <c r="AO82" s="415">
        <v>1922.8997300000001</v>
      </c>
      <c r="AP82" s="415">
        <v>1712.8587399999999</v>
      </c>
      <c r="AQ82" s="415">
        <v>1558.58401</v>
      </c>
      <c r="AR82" s="413">
        <v>1377.3766900000001</v>
      </c>
      <c r="AS82" s="413">
        <v>593.42741999999998</v>
      </c>
      <c r="AT82" s="413">
        <v>576.31646000000001</v>
      </c>
      <c r="AU82" s="413">
        <v>533.22586000000001</v>
      </c>
      <c r="AV82" s="413">
        <v>573.55948999999998</v>
      </c>
      <c r="AW82" s="413">
        <v>666.99331999999993</v>
      </c>
      <c r="AX82" s="413">
        <v>1108.71639</v>
      </c>
      <c r="AY82" s="413">
        <v>1146.2326400000002</v>
      </c>
      <c r="AZ82" s="413">
        <v>1164.4791299999999</v>
      </c>
      <c r="BA82" s="413">
        <v>1004.45417</v>
      </c>
      <c r="BB82" s="413">
        <v>1010.34399</v>
      </c>
      <c r="BC82" s="413">
        <v>877.14477999999997</v>
      </c>
      <c r="BD82" s="413">
        <v>833.51041999999995</v>
      </c>
      <c r="BE82" s="582">
        <v>833.17724999999996</v>
      </c>
      <c r="BF82" s="582">
        <v>795.57998999999995</v>
      </c>
      <c r="BG82" s="582">
        <v>871.00315999999998</v>
      </c>
      <c r="BH82" s="582">
        <v>782.77256999999997</v>
      </c>
      <c r="BI82" s="582">
        <v>885.56154000000004</v>
      </c>
      <c r="BJ82" s="582">
        <v>1049.8805300000001</v>
      </c>
      <c r="BK82" s="582">
        <v>1134.87617</v>
      </c>
      <c r="BL82" s="582">
        <v>1266.38292</v>
      </c>
      <c r="BM82" s="582">
        <v>1089.6453499999998</v>
      </c>
      <c r="BN82" s="582">
        <v>1018.5686400000001</v>
      </c>
      <c r="BO82" s="582">
        <v>953.86703</v>
      </c>
      <c r="BP82" s="582">
        <v>1369.25899</v>
      </c>
      <c r="BQ82" s="582">
        <v>1151.1687899999999</v>
      </c>
      <c r="BR82" s="582">
        <v>903.28201999999999</v>
      </c>
      <c r="BS82" s="582">
        <v>942.40950000000009</v>
      </c>
      <c r="BT82" s="582">
        <v>984.10316</v>
      </c>
      <c r="BU82" s="582">
        <v>888.56784000000005</v>
      </c>
      <c r="BV82" s="582">
        <v>1006.7684899999999</v>
      </c>
      <c r="BW82" s="582">
        <v>1083.8999999999999</v>
      </c>
      <c r="BX82" s="582">
        <v>1160.4999999999998</v>
      </c>
      <c r="BY82" s="582">
        <v>1009.6</v>
      </c>
      <c r="BZ82" s="582">
        <v>956.1</v>
      </c>
      <c r="CA82" s="582">
        <v>874.00000000000011</v>
      </c>
      <c r="CB82" s="582">
        <v>1043.9999999999998</v>
      </c>
      <c r="CC82" s="582">
        <v>944.20000000000016</v>
      </c>
      <c r="CD82" s="582">
        <v>647.5</v>
      </c>
      <c r="CE82" s="582">
        <v>626.59999999999991</v>
      </c>
      <c r="CF82" s="582">
        <v>619.69999999999982</v>
      </c>
      <c r="CG82" s="582">
        <v>708.8</v>
      </c>
      <c r="CH82" s="582">
        <v>976.4</v>
      </c>
      <c r="CI82" s="582">
        <v>1111.6999999999998</v>
      </c>
      <c r="CJ82" s="582">
        <v>1193.0999999999999</v>
      </c>
      <c r="CK82" s="582">
        <v>1032.8999999999999</v>
      </c>
      <c r="CL82" s="582">
        <v>986.59999999999991</v>
      </c>
      <c r="CM82" s="582">
        <v>899.30000000000018</v>
      </c>
      <c r="CN82" s="582">
        <v>1100.5999999999999</v>
      </c>
      <c r="CO82" s="582">
        <v>985.90000000000009</v>
      </c>
      <c r="CP82" s="582">
        <v>753.79999999999984</v>
      </c>
      <c r="CQ82" s="582">
        <v>642.49999999999989</v>
      </c>
      <c r="CR82" s="582">
        <v>628.4</v>
      </c>
      <c r="CS82" s="582">
        <v>717.09999999999991</v>
      </c>
      <c r="CT82" s="582">
        <v>962</v>
      </c>
      <c r="CU82" s="698">
        <f t="shared" si="134"/>
        <v>922.33076923076908</v>
      </c>
      <c r="CW82" s="33"/>
      <c r="CX82" s="184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</row>
    <row r="83" spans="1:116">
      <c r="A83" s="616" t="s">
        <v>530</v>
      </c>
      <c r="B83" s="260">
        <f t="shared" ca="1" si="133"/>
        <v>60.407692307692301</v>
      </c>
      <c r="C83" s="350">
        <v>506.09003000000001</v>
      </c>
      <c r="D83" s="350">
        <v>516.85190999999998</v>
      </c>
      <c r="E83" s="350">
        <v>551.19386999999995</v>
      </c>
      <c r="F83" s="350">
        <v>337.57054999999997</v>
      </c>
      <c r="G83" s="350">
        <v>364.78951000000001</v>
      </c>
      <c r="H83" s="350">
        <v>425.14254</v>
      </c>
      <c r="I83" s="350">
        <v>424.70418999999998</v>
      </c>
      <c r="J83" s="350">
        <v>472.30826999999999</v>
      </c>
      <c r="K83" s="350">
        <v>470.34499</v>
      </c>
      <c r="L83" s="350">
        <v>467.29038000000003</v>
      </c>
      <c r="M83" s="350">
        <v>467.23520000000002</v>
      </c>
      <c r="N83" s="350">
        <v>418.23414000000002</v>
      </c>
      <c r="O83" s="413">
        <v>418.29614000000004</v>
      </c>
      <c r="P83" s="413">
        <v>420.2747</v>
      </c>
      <c r="Q83" s="413">
        <v>398.13698999999997</v>
      </c>
      <c r="R83" s="413">
        <v>18.499890000000001</v>
      </c>
      <c r="S83" s="413">
        <v>17.96782</v>
      </c>
      <c r="T83" s="413">
        <v>11.903780000000001</v>
      </c>
      <c r="U83" s="413">
        <v>11.903780000000001</v>
      </c>
      <c r="V83" s="413">
        <v>11.931760000000001</v>
      </c>
      <c r="W83" s="413">
        <v>10.16513</v>
      </c>
      <c r="X83" s="413">
        <v>0.55321000000000009</v>
      </c>
      <c r="Y83" s="413">
        <v>0.55321000000000009</v>
      </c>
      <c r="Z83" s="413">
        <v>0.55321000000000009</v>
      </c>
      <c r="AA83" s="413">
        <v>0.55321000000000009</v>
      </c>
      <c r="AB83" s="413">
        <v>0.52522999999999997</v>
      </c>
      <c r="AC83" s="413">
        <v>0.52522999999999997</v>
      </c>
      <c r="AD83" s="413">
        <v>-2.26512</v>
      </c>
      <c r="AE83" s="413">
        <v>1.2217199999999999</v>
      </c>
      <c r="AF83" s="413">
        <v>1.4446300000000001</v>
      </c>
      <c r="AG83" s="413">
        <v>1.4446300000000001</v>
      </c>
      <c r="AH83" s="413">
        <v>4.1596299999999999</v>
      </c>
      <c r="AI83" s="413">
        <v>-2.3749600000000002</v>
      </c>
      <c r="AJ83" s="413">
        <v>2.0500400000000001</v>
      </c>
      <c r="AK83" s="413">
        <v>5.9486000000000008</v>
      </c>
      <c r="AL83" s="413">
        <v>5.9486000000000008</v>
      </c>
      <c r="AM83" s="413">
        <v>5.9486000000000008</v>
      </c>
      <c r="AN83" s="413">
        <v>7.5486000000000004</v>
      </c>
      <c r="AO83" s="413">
        <v>37.371169999999999</v>
      </c>
      <c r="AP83" s="413">
        <v>37.371169999999999</v>
      </c>
      <c r="AQ83" s="413">
        <v>32.093110000000003</v>
      </c>
      <c r="AR83" s="413">
        <v>31.462919999999997</v>
      </c>
      <c r="AS83" s="413">
        <v>31.20412</v>
      </c>
      <c r="AT83" s="413">
        <v>34.579120000000003</v>
      </c>
      <c r="AU83" s="413">
        <v>28.95168</v>
      </c>
      <c r="AV83" s="413">
        <v>26.57002</v>
      </c>
      <c r="AW83" s="413">
        <v>26.57002</v>
      </c>
      <c r="AX83" s="413">
        <v>26.425129999999999</v>
      </c>
      <c r="AY83" s="413">
        <v>35.625129999999999</v>
      </c>
      <c r="AZ83" s="413">
        <v>49.118730000000006</v>
      </c>
      <c r="BA83" s="413">
        <v>48.930610000000001</v>
      </c>
      <c r="BB83" s="413">
        <v>48.868660000000006</v>
      </c>
      <c r="BC83" s="413">
        <v>46.580419999999997</v>
      </c>
      <c r="BD83" s="413">
        <v>47.880420000000001</v>
      </c>
      <c r="BE83" s="586">
        <v>48.230419999999995</v>
      </c>
      <c r="BF83" s="586">
        <v>48.230419999999995</v>
      </c>
      <c r="BG83" s="586">
        <v>48.230419999999995</v>
      </c>
      <c r="BH83" s="586">
        <v>51.395890000000001</v>
      </c>
      <c r="BI83" s="586">
        <v>51.289389999999997</v>
      </c>
      <c r="BJ83" s="586">
        <v>51.289389999999997</v>
      </c>
      <c r="BK83" s="586">
        <v>51.289389999999997</v>
      </c>
      <c r="BL83" s="586">
        <v>52.022760000000005</v>
      </c>
      <c r="BM83" s="586">
        <v>87.422029999999992</v>
      </c>
      <c r="BN83" s="586">
        <v>87.422029999999992</v>
      </c>
      <c r="BO83" s="586">
        <v>87.422029999999992</v>
      </c>
      <c r="BP83" s="586">
        <v>91.297029999999992</v>
      </c>
      <c r="BQ83" s="586">
        <v>91.297029999999992</v>
      </c>
      <c r="BR83" s="586">
        <v>91.297029999999992</v>
      </c>
      <c r="BS83" s="586">
        <v>93.897030000000001</v>
      </c>
      <c r="BT83" s="586">
        <v>93.727220000000003</v>
      </c>
      <c r="BU83" s="586">
        <v>93.246369999999999</v>
      </c>
      <c r="BV83" s="586">
        <v>93.246369999999999</v>
      </c>
      <c r="BW83" s="586">
        <v>46.5</v>
      </c>
      <c r="BX83" s="586">
        <v>46.5</v>
      </c>
      <c r="BY83" s="586">
        <v>46.5</v>
      </c>
      <c r="BZ83" s="586">
        <v>46.5</v>
      </c>
      <c r="CA83" s="586">
        <v>46.5</v>
      </c>
      <c r="CB83" s="586">
        <v>46.5</v>
      </c>
      <c r="CC83" s="586">
        <v>46.5</v>
      </c>
      <c r="CD83" s="586">
        <v>46.5</v>
      </c>
      <c r="CE83" s="586">
        <v>46.5</v>
      </c>
      <c r="CF83" s="586">
        <v>46.5</v>
      </c>
      <c r="CG83" s="586">
        <v>46.5</v>
      </c>
      <c r="CH83" s="586">
        <v>46.5</v>
      </c>
      <c r="CI83" s="586">
        <v>79.900000000000006</v>
      </c>
      <c r="CJ83" s="586">
        <v>79.3</v>
      </c>
      <c r="CK83" s="586">
        <v>78.599999999999994</v>
      </c>
      <c r="CL83" s="586">
        <v>73.5</v>
      </c>
      <c r="CM83" s="586">
        <v>68.400000000000006</v>
      </c>
      <c r="CN83" s="586">
        <v>63.3</v>
      </c>
      <c r="CO83" s="586">
        <v>57.7</v>
      </c>
      <c r="CP83" s="586">
        <v>52.1</v>
      </c>
      <c r="CQ83" s="586">
        <v>46.5</v>
      </c>
      <c r="CR83" s="586">
        <v>46.5</v>
      </c>
      <c r="CS83" s="586">
        <v>46.5</v>
      </c>
      <c r="CT83" s="586">
        <v>46.5</v>
      </c>
      <c r="CU83" s="698">
        <f t="shared" si="134"/>
        <v>60.407692307692301</v>
      </c>
      <c r="CW83" s="33"/>
      <c r="CX83" s="184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</row>
    <row r="84" spans="1:116">
      <c r="A84" s="616" t="s">
        <v>531</v>
      </c>
      <c r="B84" s="260">
        <f t="shared" ca="1" si="133"/>
        <v>39.376923076923077</v>
      </c>
      <c r="C84" s="350">
        <v>771.85299999999995</v>
      </c>
      <c r="D84" s="350">
        <v>1322.874</v>
      </c>
      <c r="E84" s="350">
        <v>1614.664</v>
      </c>
      <c r="F84" s="350">
        <v>1899.2180000000001</v>
      </c>
      <c r="G84" s="350">
        <v>1462.1849999999999</v>
      </c>
      <c r="H84" s="350">
        <v>838.53899999999999</v>
      </c>
      <c r="I84" s="350">
        <v>182.62</v>
      </c>
      <c r="J84" s="350">
        <v>0</v>
      </c>
      <c r="K84" s="350">
        <v>0</v>
      </c>
      <c r="L84" s="350">
        <v>0</v>
      </c>
      <c r="M84" s="350">
        <v>0</v>
      </c>
      <c r="N84" s="350">
        <v>0</v>
      </c>
      <c r="O84" s="413">
        <v>0</v>
      </c>
      <c r="P84" s="413">
        <v>0</v>
      </c>
      <c r="Q84" s="413">
        <v>0</v>
      </c>
      <c r="R84" s="413">
        <v>0</v>
      </c>
      <c r="S84" s="413">
        <v>0</v>
      </c>
      <c r="T84" s="413">
        <v>0</v>
      </c>
      <c r="U84" s="413">
        <v>0</v>
      </c>
      <c r="V84" s="413">
        <v>0</v>
      </c>
      <c r="W84" s="413">
        <v>0</v>
      </c>
      <c r="X84" s="413">
        <v>0</v>
      </c>
      <c r="Y84" s="413">
        <v>0</v>
      </c>
      <c r="Z84" s="413">
        <v>0</v>
      </c>
      <c r="AA84" s="413">
        <v>0</v>
      </c>
      <c r="AB84" s="413">
        <v>0</v>
      </c>
      <c r="AC84" s="413">
        <v>0</v>
      </c>
      <c r="AD84" s="413">
        <v>0</v>
      </c>
      <c r="AE84" s="413">
        <v>0</v>
      </c>
      <c r="AF84" s="413">
        <v>0</v>
      </c>
      <c r="AG84" s="413">
        <v>0</v>
      </c>
      <c r="AH84" s="413">
        <v>0</v>
      </c>
      <c r="AI84" s="413">
        <v>0</v>
      </c>
      <c r="AJ84" s="413">
        <v>0</v>
      </c>
      <c r="AK84" s="413">
        <v>0</v>
      </c>
      <c r="AL84" s="413">
        <v>0</v>
      </c>
      <c r="AM84" s="413">
        <v>0</v>
      </c>
      <c r="AN84" s="413">
        <v>0</v>
      </c>
      <c r="AO84" s="413">
        <v>0</v>
      </c>
      <c r="AP84" s="413">
        <v>0</v>
      </c>
      <c r="AQ84" s="413">
        <v>0</v>
      </c>
      <c r="AR84" s="413">
        <v>0</v>
      </c>
      <c r="AS84" s="413">
        <v>0</v>
      </c>
      <c r="AT84" s="413">
        <v>0</v>
      </c>
      <c r="AU84" s="413">
        <v>0</v>
      </c>
      <c r="AV84" s="413">
        <v>0</v>
      </c>
      <c r="AW84" s="413">
        <v>0</v>
      </c>
      <c r="AX84" s="413">
        <v>0</v>
      </c>
      <c r="AY84" s="413">
        <v>0</v>
      </c>
      <c r="AZ84" s="413">
        <v>0</v>
      </c>
      <c r="BA84" s="413">
        <v>0</v>
      </c>
      <c r="BB84" s="413">
        <v>0</v>
      </c>
      <c r="BC84" s="413">
        <v>0</v>
      </c>
      <c r="BD84" s="413">
        <v>0</v>
      </c>
      <c r="BE84" s="586">
        <v>0</v>
      </c>
      <c r="BF84" s="586">
        <v>0</v>
      </c>
      <c r="BG84" s="586">
        <v>0</v>
      </c>
      <c r="BH84" s="586">
        <v>0</v>
      </c>
      <c r="BI84" s="586">
        <v>0</v>
      </c>
      <c r="BJ84" s="586">
        <v>0</v>
      </c>
      <c r="BK84" s="586">
        <v>511.351</v>
      </c>
      <c r="BL84" s="586">
        <v>2149.5340000000001</v>
      </c>
      <c r="BM84" s="586">
        <v>1757.0170000000001</v>
      </c>
      <c r="BN84" s="586">
        <v>2533.9299999999998</v>
      </c>
      <c r="BO84" s="586">
        <v>3255.9679999999998</v>
      </c>
      <c r="BP84" s="586">
        <v>4198.7070000000003</v>
      </c>
      <c r="BQ84" s="586">
        <v>2816.0509999999999</v>
      </c>
      <c r="BR84" s="586">
        <v>2530.232</v>
      </c>
      <c r="BS84" s="586">
        <v>1877.8030000000001</v>
      </c>
      <c r="BT84" s="586">
        <v>1636.684</v>
      </c>
      <c r="BU84" s="586">
        <v>1405.116</v>
      </c>
      <c r="BV84" s="586">
        <v>1548.4380000000001</v>
      </c>
      <c r="BW84" s="586">
        <v>2009.7</v>
      </c>
      <c r="BX84" s="586">
        <v>2238</v>
      </c>
      <c r="BY84" s="586">
        <v>2163.1999999999998</v>
      </c>
      <c r="BZ84" s="586">
        <v>2081.9</v>
      </c>
      <c r="CA84" s="586">
        <v>1659.2</v>
      </c>
      <c r="CB84" s="586">
        <v>1122.2</v>
      </c>
      <c r="CC84" s="586">
        <v>525.6</v>
      </c>
      <c r="CD84" s="586">
        <v>0</v>
      </c>
      <c r="CE84" s="586">
        <v>0</v>
      </c>
      <c r="CF84" s="586">
        <v>0</v>
      </c>
      <c r="CG84" s="586">
        <v>0</v>
      </c>
      <c r="CH84" s="586">
        <v>0</v>
      </c>
      <c r="CI84" s="586">
        <v>0</v>
      </c>
      <c r="CJ84" s="586">
        <v>0</v>
      </c>
      <c r="CK84" s="586">
        <v>2</v>
      </c>
      <c r="CL84" s="586">
        <v>309.89999999999998</v>
      </c>
      <c r="CM84" s="586">
        <v>200</v>
      </c>
      <c r="CN84" s="586">
        <v>0</v>
      </c>
      <c r="CO84" s="586">
        <v>0</v>
      </c>
      <c r="CP84" s="586">
        <v>0</v>
      </c>
      <c r="CQ84" s="586">
        <v>0</v>
      </c>
      <c r="CR84" s="586">
        <v>0</v>
      </c>
      <c r="CS84" s="586">
        <v>0</v>
      </c>
      <c r="CT84" s="586">
        <v>0</v>
      </c>
      <c r="CU84" s="698">
        <f t="shared" si="134"/>
        <v>39.376923076923077</v>
      </c>
      <c r="CW84" s="33"/>
      <c r="CX84" s="184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</row>
    <row r="85" spans="1:116">
      <c r="A85" s="616" t="s">
        <v>532</v>
      </c>
      <c r="B85" s="260">
        <f t="shared" ca="1" si="133"/>
        <v>333.6307692307692</v>
      </c>
      <c r="C85" s="352">
        <v>1651.07</v>
      </c>
      <c r="D85" s="352">
        <v>1606.7760000000001</v>
      </c>
      <c r="E85" s="352">
        <v>1497.895</v>
      </c>
      <c r="F85" s="352">
        <v>1361.048</v>
      </c>
      <c r="G85" s="352">
        <v>1147.2560000000001</v>
      </c>
      <c r="H85" s="352">
        <v>888.87099999999998</v>
      </c>
      <c r="I85" s="352">
        <v>593.55399999999997</v>
      </c>
      <c r="J85" s="352">
        <v>277.24</v>
      </c>
      <c r="K85" s="352">
        <v>0</v>
      </c>
      <c r="L85" s="352">
        <v>0</v>
      </c>
      <c r="M85" s="352">
        <v>0</v>
      </c>
      <c r="N85" s="352">
        <v>0</v>
      </c>
      <c r="O85" s="415">
        <v>0</v>
      </c>
      <c r="P85" s="415">
        <v>48.914000000000001</v>
      </c>
      <c r="Q85" s="415">
        <v>265.83300000000003</v>
      </c>
      <c r="R85" s="415">
        <v>496.09399999999999</v>
      </c>
      <c r="S85" s="415">
        <v>872.13699999999994</v>
      </c>
      <c r="T85" s="415">
        <v>800.05899999999997</v>
      </c>
      <c r="U85" s="415">
        <v>704.92700000000002</v>
      </c>
      <c r="V85" s="415">
        <v>566.85299999999995</v>
      </c>
      <c r="W85" s="415">
        <v>459.26799999999997</v>
      </c>
      <c r="X85" s="415">
        <v>240.15</v>
      </c>
      <c r="Y85" s="415">
        <v>63.302</v>
      </c>
      <c r="Z85" s="415">
        <v>102.065</v>
      </c>
      <c r="AA85" s="415">
        <v>349.91</v>
      </c>
      <c r="AB85" s="415">
        <v>466.3</v>
      </c>
      <c r="AC85" s="415">
        <v>451.73</v>
      </c>
      <c r="AD85" s="415">
        <v>335.09100000000001</v>
      </c>
      <c r="AE85" s="415">
        <v>98.513999999999996</v>
      </c>
      <c r="AF85" s="415">
        <v>0</v>
      </c>
      <c r="AG85" s="415">
        <v>0</v>
      </c>
      <c r="AH85" s="415">
        <v>0</v>
      </c>
      <c r="AI85" s="415">
        <v>0</v>
      </c>
      <c r="AJ85" s="415">
        <v>0</v>
      </c>
      <c r="AK85" s="415">
        <v>0</v>
      </c>
      <c r="AL85" s="415">
        <v>0</v>
      </c>
      <c r="AM85" s="415">
        <v>0</v>
      </c>
      <c r="AN85" s="415">
        <v>0</v>
      </c>
      <c r="AO85" s="415">
        <v>0</v>
      </c>
      <c r="AP85" s="415">
        <v>0</v>
      </c>
      <c r="AQ85" s="415">
        <v>0</v>
      </c>
      <c r="AR85" s="413">
        <v>0</v>
      </c>
      <c r="AS85" s="413">
        <v>0</v>
      </c>
      <c r="AT85" s="413">
        <v>0</v>
      </c>
      <c r="AU85" s="413">
        <v>0</v>
      </c>
      <c r="AV85" s="413">
        <v>0</v>
      </c>
      <c r="AW85" s="413">
        <v>0</v>
      </c>
      <c r="AX85" s="413">
        <v>0</v>
      </c>
      <c r="AY85" s="413">
        <v>0</v>
      </c>
      <c r="AZ85" s="413">
        <v>0</v>
      </c>
      <c r="BA85" s="413">
        <v>0</v>
      </c>
      <c r="BB85" s="413">
        <v>0</v>
      </c>
      <c r="BC85" s="413">
        <v>0</v>
      </c>
      <c r="BD85" s="413">
        <v>0</v>
      </c>
      <c r="BE85" s="582">
        <v>0</v>
      </c>
      <c r="BF85" s="582">
        <v>0</v>
      </c>
      <c r="BG85" s="582">
        <v>0</v>
      </c>
      <c r="BH85" s="582">
        <v>0</v>
      </c>
      <c r="BI85" s="582">
        <v>0</v>
      </c>
      <c r="BJ85" s="582">
        <v>0</v>
      </c>
      <c r="BK85" s="582">
        <v>0</v>
      </c>
      <c r="BL85" s="582">
        <v>0</v>
      </c>
      <c r="BM85" s="582">
        <v>0</v>
      </c>
      <c r="BN85" s="582">
        <v>54.905999999999999</v>
      </c>
      <c r="BO85" s="582">
        <v>64.227999999999994</v>
      </c>
      <c r="BP85" s="582">
        <v>303.34789000000001</v>
      </c>
      <c r="BQ85" s="582">
        <v>203.34589000000003</v>
      </c>
      <c r="BR85" s="582">
        <v>79.91789</v>
      </c>
      <c r="BS85" s="582">
        <v>0</v>
      </c>
      <c r="BT85" s="582">
        <v>0</v>
      </c>
      <c r="BU85" s="582">
        <v>0</v>
      </c>
      <c r="BV85" s="582">
        <v>0</v>
      </c>
      <c r="BW85" s="582">
        <v>0</v>
      </c>
      <c r="BX85" s="582">
        <v>61.8</v>
      </c>
      <c r="BY85" s="582">
        <v>344.5</v>
      </c>
      <c r="BZ85" s="582">
        <v>508.3</v>
      </c>
      <c r="CA85" s="582">
        <v>561.4</v>
      </c>
      <c r="CB85" s="582">
        <v>550.29999999999995</v>
      </c>
      <c r="CC85" s="582">
        <v>489.9</v>
      </c>
      <c r="CD85" s="582">
        <v>392.1</v>
      </c>
      <c r="CE85" s="582">
        <v>294.60000000000002</v>
      </c>
      <c r="CF85" s="582">
        <v>191.6</v>
      </c>
      <c r="CG85" s="582">
        <v>154.30000000000001</v>
      </c>
      <c r="CH85" s="582">
        <v>298.60000000000002</v>
      </c>
      <c r="CI85" s="582">
        <v>384.4</v>
      </c>
      <c r="CJ85" s="582">
        <v>449.8</v>
      </c>
      <c r="CK85" s="582">
        <v>485.1</v>
      </c>
      <c r="CL85" s="582">
        <v>494.9</v>
      </c>
      <c r="CM85" s="582">
        <v>481.2</v>
      </c>
      <c r="CN85" s="582">
        <v>449.6</v>
      </c>
      <c r="CO85" s="582">
        <v>401.8</v>
      </c>
      <c r="CP85" s="582">
        <v>339</v>
      </c>
      <c r="CQ85" s="582">
        <v>265.39999999999998</v>
      </c>
      <c r="CR85" s="582">
        <v>180.2</v>
      </c>
      <c r="CS85" s="582">
        <v>92</v>
      </c>
      <c r="CT85" s="582">
        <v>15.2</v>
      </c>
      <c r="CU85" s="698">
        <f t="shared" si="134"/>
        <v>333.6307692307692</v>
      </c>
      <c r="CW85" s="33"/>
      <c r="CX85" s="184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</row>
    <row r="86" spans="1:116">
      <c r="A86" s="616" t="s">
        <v>533</v>
      </c>
      <c r="B86" s="260">
        <f t="shared" ca="1" si="133"/>
        <v>0</v>
      </c>
      <c r="C86" s="350">
        <v>0</v>
      </c>
      <c r="D86" s="350">
        <v>0</v>
      </c>
      <c r="E86" s="350">
        <v>0</v>
      </c>
      <c r="F86" s="350">
        <v>0</v>
      </c>
      <c r="G86" s="350">
        <v>0</v>
      </c>
      <c r="H86" s="350">
        <v>0</v>
      </c>
      <c r="I86" s="350">
        <v>0</v>
      </c>
      <c r="J86" s="350">
        <v>0</v>
      </c>
      <c r="K86" s="350">
        <v>0</v>
      </c>
      <c r="L86" s="350">
        <v>0</v>
      </c>
      <c r="M86" s="350">
        <v>0</v>
      </c>
      <c r="N86" s="350">
        <v>0</v>
      </c>
      <c r="O86" s="413">
        <v>0</v>
      </c>
      <c r="P86" s="413">
        <v>0</v>
      </c>
      <c r="Q86" s="413">
        <v>0</v>
      </c>
      <c r="R86" s="413">
        <v>0</v>
      </c>
      <c r="S86" s="413">
        <v>0</v>
      </c>
      <c r="T86" s="413">
        <v>0</v>
      </c>
      <c r="U86" s="413">
        <v>0</v>
      </c>
      <c r="V86" s="413">
        <v>0</v>
      </c>
      <c r="W86" s="413">
        <v>0</v>
      </c>
      <c r="X86" s="413">
        <v>0</v>
      </c>
      <c r="Y86" s="413">
        <v>0</v>
      </c>
      <c r="Z86" s="413">
        <v>0</v>
      </c>
      <c r="AA86" s="413">
        <v>0</v>
      </c>
      <c r="AB86" s="413">
        <v>0</v>
      </c>
      <c r="AC86" s="413">
        <v>0</v>
      </c>
      <c r="AD86" s="413">
        <v>0</v>
      </c>
      <c r="AE86" s="413">
        <v>0</v>
      </c>
      <c r="AF86" s="413">
        <v>0</v>
      </c>
      <c r="AG86" s="413">
        <v>0</v>
      </c>
      <c r="AH86" s="413">
        <v>0</v>
      </c>
      <c r="AI86" s="413">
        <v>0</v>
      </c>
      <c r="AJ86" s="413">
        <v>0</v>
      </c>
      <c r="AK86" s="413">
        <v>0</v>
      </c>
      <c r="AL86" s="413">
        <v>0</v>
      </c>
      <c r="AM86" s="413">
        <v>0</v>
      </c>
      <c r="AN86" s="413">
        <v>0</v>
      </c>
      <c r="AO86" s="413">
        <v>0</v>
      </c>
      <c r="AP86" s="413">
        <v>0</v>
      </c>
      <c r="AQ86" s="413">
        <v>0</v>
      </c>
      <c r="AR86" s="413">
        <v>0</v>
      </c>
      <c r="AS86" s="413">
        <v>0</v>
      </c>
      <c r="AT86" s="413">
        <v>0</v>
      </c>
      <c r="AU86" s="413">
        <v>0</v>
      </c>
      <c r="AV86" s="413">
        <v>0</v>
      </c>
      <c r="AW86" s="413">
        <v>0</v>
      </c>
      <c r="AX86" s="413">
        <v>0</v>
      </c>
      <c r="AY86" s="413">
        <v>0</v>
      </c>
      <c r="AZ86" s="413">
        <v>0</v>
      </c>
      <c r="BA86" s="413">
        <v>0</v>
      </c>
      <c r="BB86" s="413">
        <v>0</v>
      </c>
      <c r="BC86" s="413">
        <v>0</v>
      </c>
      <c r="BD86" s="413">
        <v>0</v>
      </c>
      <c r="BE86" s="586">
        <v>0</v>
      </c>
      <c r="BF86" s="586">
        <v>0</v>
      </c>
      <c r="BG86" s="586">
        <v>0</v>
      </c>
      <c r="BH86" s="586">
        <v>0</v>
      </c>
      <c r="BI86" s="586">
        <v>0</v>
      </c>
      <c r="BJ86" s="586">
        <v>0</v>
      </c>
      <c r="BK86" s="586">
        <v>0</v>
      </c>
      <c r="BL86" s="586">
        <v>0</v>
      </c>
      <c r="BM86" s="586">
        <v>0</v>
      </c>
      <c r="BN86" s="586">
        <v>0</v>
      </c>
      <c r="BO86" s="586">
        <v>0</v>
      </c>
      <c r="BP86" s="586">
        <v>0</v>
      </c>
      <c r="BQ86" s="586">
        <v>0</v>
      </c>
      <c r="BR86" s="586">
        <v>0</v>
      </c>
      <c r="BS86" s="586">
        <v>0</v>
      </c>
      <c r="BT86" s="586">
        <v>0</v>
      </c>
      <c r="BU86" s="586">
        <v>0</v>
      </c>
      <c r="BV86" s="586">
        <v>0</v>
      </c>
      <c r="BW86" s="586">
        <v>0</v>
      </c>
      <c r="BX86" s="586">
        <v>0</v>
      </c>
      <c r="BY86" s="586">
        <v>0</v>
      </c>
      <c r="BZ86" s="586">
        <v>0</v>
      </c>
      <c r="CA86" s="586">
        <v>0</v>
      </c>
      <c r="CB86" s="586">
        <v>0</v>
      </c>
      <c r="CC86" s="586">
        <v>0</v>
      </c>
      <c r="CD86" s="586">
        <v>0</v>
      </c>
      <c r="CE86" s="586">
        <v>0</v>
      </c>
      <c r="CF86" s="586">
        <v>0</v>
      </c>
      <c r="CG86" s="586">
        <v>0</v>
      </c>
      <c r="CH86" s="586">
        <v>0</v>
      </c>
      <c r="CI86" s="586">
        <v>0</v>
      </c>
      <c r="CJ86" s="586">
        <v>0</v>
      </c>
      <c r="CK86" s="586">
        <v>0</v>
      </c>
      <c r="CL86" s="586">
        <v>0</v>
      </c>
      <c r="CM86" s="586">
        <v>0</v>
      </c>
      <c r="CN86" s="586">
        <v>0</v>
      </c>
      <c r="CO86" s="586">
        <v>0</v>
      </c>
      <c r="CP86" s="586">
        <v>0</v>
      </c>
      <c r="CQ86" s="586">
        <v>0</v>
      </c>
      <c r="CR86" s="586">
        <v>0</v>
      </c>
      <c r="CS86" s="586">
        <v>0</v>
      </c>
      <c r="CT86" s="586">
        <v>0</v>
      </c>
      <c r="CU86" s="698">
        <f t="shared" si="134"/>
        <v>0</v>
      </c>
      <c r="CW86" s="33"/>
      <c r="CX86" s="184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</row>
    <row r="87" spans="1:116">
      <c r="A87" s="616" t="s">
        <v>534</v>
      </c>
      <c r="B87" s="260">
        <f t="shared" ca="1" si="133"/>
        <v>0</v>
      </c>
      <c r="C87" s="352">
        <v>56.05</v>
      </c>
      <c r="D87" s="352">
        <v>389.5</v>
      </c>
      <c r="E87" s="352">
        <v>4.2350000000000003</v>
      </c>
      <c r="F87" s="352">
        <v>0</v>
      </c>
      <c r="G87" s="352">
        <v>3.92</v>
      </c>
      <c r="H87" s="352">
        <v>22.28</v>
      </c>
      <c r="I87" s="352">
        <v>140.02500000000001</v>
      </c>
      <c r="J87" s="352">
        <v>4.68</v>
      </c>
      <c r="K87" s="352">
        <v>9.23</v>
      </c>
      <c r="L87" s="352">
        <v>138.22499999999999</v>
      </c>
      <c r="M87" s="352">
        <v>60.555</v>
      </c>
      <c r="N87" s="352">
        <v>181.065</v>
      </c>
      <c r="O87" s="415">
        <v>1.78</v>
      </c>
      <c r="P87" s="415">
        <v>113.125</v>
      </c>
      <c r="Q87" s="415">
        <v>32.645000000000003</v>
      </c>
      <c r="R87" s="415">
        <v>25.69</v>
      </c>
      <c r="S87" s="415">
        <v>0</v>
      </c>
      <c r="T87" s="415">
        <v>0.28000000000000003</v>
      </c>
      <c r="U87" s="415">
        <v>11.72</v>
      </c>
      <c r="V87" s="415">
        <v>0</v>
      </c>
      <c r="W87" s="415">
        <v>0</v>
      </c>
      <c r="X87" s="415">
        <v>0</v>
      </c>
      <c r="Y87" s="415">
        <v>0</v>
      </c>
      <c r="Z87" s="415">
        <v>0</v>
      </c>
      <c r="AA87" s="415">
        <v>0</v>
      </c>
      <c r="AB87" s="415">
        <v>0</v>
      </c>
      <c r="AC87" s="415">
        <v>0</v>
      </c>
      <c r="AD87" s="415">
        <v>0</v>
      </c>
      <c r="AE87" s="415">
        <v>0</v>
      </c>
      <c r="AF87" s="415">
        <v>0</v>
      </c>
      <c r="AG87" s="415">
        <v>0</v>
      </c>
      <c r="AH87" s="415">
        <v>0</v>
      </c>
      <c r="AI87" s="415">
        <v>0</v>
      </c>
      <c r="AJ87" s="415">
        <v>0</v>
      </c>
      <c r="AK87" s="415">
        <v>0</v>
      </c>
      <c r="AL87" s="415">
        <v>0</v>
      </c>
      <c r="AM87" s="415">
        <v>0</v>
      </c>
      <c r="AN87" s="415">
        <v>0</v>
      </c>
      <c r="AO87" s="415">
        <v>0</v>
      </c>
      <c r="AP87" s="415">
        <v>0</v>
      </c>
      <c r="AQ87" s="415">
        <v>0</v>
      </c>
      <c r="AR87" s="413">
        <v>0</v>
      </c>
      <c r="AS87" s="413">
        <v>0</v>
      </c>
      <c r="AT87" s="413">
        <v>0</v>
      </c>
      <c r="AU87" s="413">
        <v>0</v>
      </c>
      <c r="AV87" s="413">
        <v>0</v>
      </c>
      <c r="AW87" s="413">
        <v>0</v>
      </c>
      <c r="AX87" s="413">
        <v>0</v>
      </c>
      <c r="AY87" s="413">
        <v>0</v>
      </c>
      <c r="AZ87" s="413">
        <v>0</v>
      </c>
      <c r="BA87" s="413">
        <v>0</v>
      </c>
      <c r="BB87" s="413">
        <v>0</v>
      </c>
      <c r="BC87" s="413">
        <v>0</v>
      </c>
      <c r="BD87" s="413">
        <v>0</v>
      </c>
      <c r="BE87" s="582">
        <v>0</v>
      </c>
      <c r="BF87" s="582">
        <v>0</v>
      </c>
      <c r="BG87" s="582">
        <v>0</v>
      </c>
      <c r="BH87" s="582">
        <v>0</v>
      </c>
      <c r="BI87" s="582">
        <v>0</v>
      </c>
      <c r="BJ87" s="582">
        <v>0</v>
      </c>
      <c r="BK87" s="582">
        <v>0</v>
      </c>
      <c r="BL87" s="582">
        <v>0</v>
      </c>
      <c r="BM87" s="582">
        <v>0</v>
      </c>
      <c r="BN87" s="582">
        <v>0</v>
      </c>
      <c r="BO87" s="582">
        <v>0</v>
      </c>
      <c r="BP87" s="582">
        <v>0</v>
      </c>
      <c r="BQ87" s="582">
        <v>0</v>
      </c>
      <c r="BR87" s="582">
        <v>0</v>
      </c>
      <c r="BS87" s="582">
        <v>0</v>
      </c>
      <c r="BT87" s="582">
        <v>0</v>
      </c>
      <c r="BU87" s="582">
        <v>0</v>
      </c>
      <c r="BV87" s="582">
        <v>0</v>
      </c>
      <c r="BW87" s="582">
        <v>0</v>
      </c>
      <c r="BX87" s="582">
        <v>0</v>
      </c>
      <c r="BY87" s="582">
        <v>0</v>
      </c>
      <c r="BZ87" s="582">
        <v>0</v>
      </c>
      <c r="CA87" s="582">
        <v>0</v>
      </c>
      <c r="CB87" s="582">
        <v>0</v>
      </c>
      <c r="CC87" s="582">
        <v>0</v>
      </c>
      <c r="CD87" s="582">
        <v>0</v>
      </c>
      <c r="CE87" s="582">
        <v>0</v>
      </c>
      <c r="CF87" s="582">
        <v>0</v>
      </c>
      <c r="CG87" s="582">
        <v>0</v>
      </c>
      <c r="CH87" s="582">
        <v>0</v>
      </c>
      <c r="CI87" s="582">
        <v>0</v>
      </c>
      <c r="CJ87" s="582">
        <v>0</v>
      </c>
      <c r="CK87" s="582">
        <v>0</v>
      </c>
      <c r="CL87" s="582">
        <v>0</v>
      </c>
      <c r="CM87" s="582">
        <v>0</v>
      </c>
      <c r="CN87" s="582">
        <v>0</v>
      </c>
      <c r="CO87" s="582">
        <v>0</v>
      </c>
      <c r="CP87" s="582">
        <v>0</v>
      </c>
      <c r="CQ87" s="582">
        <v>0</v>
      </c>
      <c r="CR87" s="582">
        <v>0</v>
      </c>
      <c r="CS87" s="582">
        <v>0</v>
      </c>
      <c r="CT87" s="582">
        <v>0</v>
      </c>
      <c r="CU87" s="698">
        <f t="shared" si="134"/>
        <v>0</v>
      </c>
      <c r="CW87" s="33"/>
      <c r="CX87" s="184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</row>
    <row r="88" spans="1:116">
      <c r="A88" s="616" t="s">
        <v>535</v>
      </c>
      <c r="B88" s="262">
        <f t="shared" ca="1" si="133"/>
        <v>5426.5076923076904</v>
      </c>
      <c r="C88" s="353">
        <v>39426.560010000001</v>
      </c>
      <c r="D88" s="353">
        <v>38880.308950000006</v>
      </c>
      <c r="E88" s="353">
        <v>37586.142670000008</v>
      </c>
      <c r="F88" s="353">
        <v>36635.921760000005</v>
      </c>
      <c r="G88" s="353">
        <v>36286.03716</v>
      </c>
      <c r="H88" s="353">
        <v>36059.985379999998</v>
      </c>
      <c r="I88" s="353">
        <v>34835.182310000004</v>
      </c>
      <c r="J88" s="353">
        <v>34884.897959999995</v>
      </c>
      <c r="K88" s="353">
        <v>34147.930989999993</v>
      </c>
      <c r="L88" s="353">
        <v>34101.991150000002</v>
      </c>
      <c r="M88" s="353">
        <v>34070.469189999996</v>
      </c>
      <c r="N88" s="353">
        <v>33272.802769999995</v>
      </c>
      <c r="O88" s="353">
        <v>32329.136569999995</v>
      </c>
      <c r="P88" s="353">
        <v>33481.257119999995</v>
      </c>
      <c r="Q88" s="353">
        <v>32500.986129999994</v>
      </c>
      <c r="R88" s="416">
        <v>33609.884560000006</v>
      </c>
      <c r="S88" s="416">
        <v>33927.863709999991</v>
      </c>
      <c r="T88" s="416">
        <v>34636.611899999996</v>
      </c>
      <c r="U88" s="416">
        <v>35343.040039999993</v>
      </c>
      <c r="V88" s="416">
        <v>36050.902769999993</v>
      </c>
      <c r="W88" s="416">
        <v>30016.000540000001</v>
      </c>
      <c r="X88" s="416">
        <v>29740.857769999999</v>
      </c>
      <c r="Y88" s="416">
        <v>29592.681310000004</v>
      </c>
      <c r="Z88" s="416">
        <v>27648.452719999997</v>
      </c>
      <c r="AA88" s="416">
        <v>26481.006179999997</v>
      </c>
      <c r="AB88" s="416">
        <v>26282.26036</v>
      </c>
      <c r="AC88" s="416">
        <v>28110.980919999998</v>
      </c>
      <c r="AD88" s="416">
        <v>27234.955750000005</v>
      </c>
      <c r="AE88" s="416">
        <v>27305.00605</v>
      </c>
      <c r="AF88" s="416">
        <v>27650.081579999998</v>
      </c>
      <c r="AG88" s="416">
        <v>27329.458210000001</v>
      </c>
      <c r="AH88" s="416">
        <v>27831.848740000001</v>
      </c>
      <c r="AI88" s="416">
        <v>28119.124950000001</v>
      </c>
      <c r="AJ88" s="416">
        <v>28692.094550000002</v>
      </c>
      <c r="AK88" s="416">
        <v>29499.248889999995</v>
      </c>
      <c r="AL88" s="416">
        <v>22855.165509999999</v>
      </c>
      <c r="AM88" s="416">
        <v>22231.93938</v>
      </c>
      <c r="AN88" s="416">
        <v>20766.230119999997</v>
      </c>
      <c r="AO88" s="416">
        <v>21479.56163</v>
      </c>
      <c r="AP88" s="416">
        <v>20864.17871</v>
      </c>
      <c r="AQ88" s="416">
        <v>20936.874509999998</v>
      </c>
      <c r="AR88" s="417">
        <v>21459.629910000003</v>
      </c>
      <c r="AS88" s="417">
        <v>20985.367040000005</v>
      </c>
      <c r="AT88" s="417">
        <v>21197.958710000003</v>
      </c>
      <c r="AU88" s="417">
        <v>20809.59245</v>
      </c>
      <c r="AV88" s="417">
        <v>20544.495009999999</v>
      </c>
      <c r="AW88" s="417">
        <v>20648.051359999998</v>
      </c>
      <c r="AX88" s="417">
        <v>18421.58322</v>
      </c>
      <c r="AY88" s="417">
        <v>17804.688069999997</v>
      </c>
      <c r="AZ88" s="417">
        <v>18030.91015</v>
      </c>
      <c r="BA88" s="417">
        <v>17801.295000000006</v>
      </c>
      <c r="BB88" s="417">
        <v>17296.814030000001</v>
      </c>
      <c r="BC88" s="417">
        <v>17404.479720000003</v>
      </c>
      <c r="BD88" s="417">
        <v>17785.248380000001</v>
      </c>
      <c r="BE88" s="688">
        <v>17396.379920000003</v>
      </c>
      <c r="BF88" s="688">
        <v>17400.827559999998</v>
      </c>
      <c r="BG88" s="688">
        <v>17693.261959999996</v>
      </c>
      <c r="BH88" s="688">
        <v>13517.858760000001</v>
      </c>
      <c r="BI88" s="688">
        <v>16280.137589999997</v>
      </c>
      <c r="BJ88" s="688">
        <v>16245.723090000003</v>
      </c>
      <c r="BK88" s="688">
        <v>14292.117350000002</v>
      </c>
      <c r="BL88" s="688">
        <v>16074.465380000003</v>
      </c>
      <c r="BM88" s="688">
        <v>15938.971899999999</v>
      </c>
      <c r="BN88" s="688">
        <v>14640.359080000002</v>
      </c>
      <c r="BO88" s="688">
        <v>14422.423480000001</v>
      </c>
      <c r="BP88" s="688">
        <v>14518.929409999997</v>
      </c>
      <c r="BQ88" s="688">
        <v>14058.078249999997</v>
      </c>
      <c r="BR88" s="688">
        <v>12311.263049999998</v>
      </c>
      <c r="BS88" s="688">
        <v>13683.248160000005</v>
      </c>
      <c r="BT88" s="688">
        <v>12974.783580000001</v>
      </c>
      <c r="BU88" s="688">
        <v>12701.25705</v>
      </c>
      <c r="BV88" s="688">
        <v>11756.706679999999</v>
      </c>
      <c r="BW88" s="688">
        <v>10952.399999999998</v>
      </c>
      <c r="BX88" s="688">
        <v>11058.900000000001</v>
      </c>
      <c r="BY88" s="688">
        <v>10638.5</v>
      </c>
      <c r="BZ88" s="688">
        <v>10038.800000000003</v>
      </c>
      <c r="CA88" s="688">
        <v>10010.000000000004</v>
      </c>
      <c r="CB88" s="688">
        <v>10194.599999999999</v>
      </c>
      <c r="CC88" s="688">
        <v>9595.7000000000007</v>
      </c>
      <c r="CD88" s="688">
        <v>9484.5</v>
      </c>
      <c r="CE88" s="688">
        <v>8988.6000000000022</v>
      </c>
      <c r="CF88" s="688">
        <v>8896.7999999999993</v>
      </c>
      <c r="CG88" s="688">
        <v>8905.3999999999978</v>
      </c>
      <c r="CH88" s="688">
        <v>7372.2000000000007</v>
      </c>
      <c r="CI88" s="688">
        <v>6764.8999999999978</v>
      </c>
      <c r="CJ88" s="688">
        <v>6846.4000000000015</v>
      </c>
      <c r="CK88" s="688">
        <v>6381.3999999999978</v>
      </c>
      <c r="CL88" s="688">
        <v>5751.7000000000007</v>
      </c>
      <c r="CM88" s="688">
        <v>5684.1000000000022</v>
      </c>
      <c r="CN88" s="688">
        <v>5840.3999999999978</v>
      </c>
      <c r="CO88" s="688">
        <v>5218.4000000000015</v>
      </c>
      <c r="CP88" s="688">
        <v>5155.2999999999956</v>
      </c>
      <c r="CQ88" s="688">
        <v>4572.6999999999953</v>
      </c>
      <c r="CR88" s="688">
        <v>4474.5999999999985</v>
      </c>
      <c r="CS88" s="688">
        <v>4457.3999999999978</v>
      </c>
      <c r="CT88" s="688">
        <v>2025.0999999999985</v>
      </c>
      <c r="CU88" s="699">
        <f t="shared" si="134"/>
        <v>5426.5076923076904</v>
      </c>
      <c r="CW88" s="33"/>
      <c r="CX88" s="184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</row>
    <row r="89" spans="1:116" s="19" customFormat="1">
      <c r="A89" s="598" t="s">
        <v>536</v>
      </c>
      <c r="B89" s="260">
        <f t="shared" ca="1" si="133"/>
        <v>219440.82321961538</v>
      </c>
      <c r="C89" s="447">
        <f t="shared" ref="C89:N89" si="135">SUM(C73:C88)</f>
        <v>123967.31966000001</v>
      </c>
      <c r="D89" s="447">
        <f t="shared" si="135"/>
        <v>128604.48178000002</v>
      </c>
      <c r="E89" s="447">
        <f t="shared" si="135"/>
        <v>122318.07208000001</v>
      </c>
      <c r="F89" s="447">
        <f t="shared" si="135"/>
        <v>126762.87057000003</v>
      </c>
      <c r="G89" s="447">
        <f t="shared" si="135"/>
        <v>120418.54441999999</v>
      </c>
      <c r="H89" s="447">
        <f t="shared" si="135"/>
        <v>111007.03489</v>
      </c>
      <c r="I89" s="447">
        <f t="shared" si="135"/>
        <v>115758.87654</v>
      </c>
      <c r="J89" s="447">
        <f t="shared" si="135"/>
        <v>132431.79814</v>
      </c>
      <c r="K89" s="447">
        <f t="shared" si="135"/>
        <v>129332.34272</v>
      </c>
      <c r="L89" s="447">
        <f t="shared" si="135"/>
        <v>127093.71226000001</v>
      </c>
      <c r="M89" s="447">
        <f t="shared" si="135"/>
        <v>131501.82195999997</v>
      </c>
      <c r="N89" s="447">
        <f t="shared" si="135"/>
        <v>149793.92608</v>
      </c>
      <c r="O89" s="447">
        <f t="shared" ref="O89:Z89" si="136">SUM(O73:O88)</f>
        <v>155515.57311</v>
      </c>
      <c r="P89" s="447">
        <f t="shared" si="136"/>
        <v>147656.74565</v>
      </c>
      <c r="Q89" s="447">
        <f t="shared" si="136"/>
        <v>142869.26879</v>
      </c>
      <c r="R89" s="447">
        <f t="shared" si="136"/>
        <v>140423.03781000001</v>
      </c>
      <c r="S89" s="447">
        <f t="shared" si="136"/>
        <v>194362.04648999998</v>
      </c>
      <c r="T89" s="447">
        <f t="shared" si="136"/>
        <v>123113.99776999996</v>
      </c>
      <c r="U89" s="447">
        <f t="shared" si="136"/>
        <v>126753.87921999997</v>
      </c>
      <c r="V89" s="447">
        <f t="shared" si="136"/>
        <v>130048.03537</v>
      </c>
      <c r="W89" s="447">
        <f t="shared" si="136"/>
        <v>137393.84849999999</v>
      </c>
      <c r="X89" s="447">
        <f t="shared" si="136"/>
        <v>128043.6704</v>
      </c>
      <c r="Y89" s="447">
        <f t="shared" si="136"/>
        <v>138739.55907000002</v>
      </c>
      <c r="Z89" s="447">
        <f t="shared" si="136"/>
        <v>150159.86202999999</v>
      </c>
      <c r="AA89" s="447">
        <f t="shared" ref="AA89:AL89" si="137">SUM(AA73:AA88)</f>
        <v>164086.73255000002</v>
      </c>
      <c r="AB89" s="447">
        <f t="shared" si="137"/>
        <v>133897.17997999996</v>
      </c>
      <c r="AC89" s="447">
        <f t="shared" si="137"/>
        <v>139181.74457000001</v>
      </c>
      <c r="AD89" s="447">
        <f t="shared" si="137"/>
        <v>136265.46386000002</v>
      </c>
      <c r="AE89" s="447">
        <f t="shared" si="137"/>
        <v>126058.67963999999</v>
      </c>
      <c r="AF89" s="447">
        <f t="shared" si="137"/>
        <v>131771.70117000001</v>
      </c>
      <c r="AG89" s="447">
        <f>SUM(AG73:AG88)</f>
        <v>115404.89243999998</v>
      </c>
      <c r="AH89" s="447">
        <f t="shared" si="137"/>
        <v>141366.10889999999</v>
      </c>
      <c r="AI89" s="447">
        <f t="shared" si="137"/>
        <v>135964.69021999999</v>
      </c>
      <c r="AJ89" s="447">
        <f t="shared" si="137"/>
        <v>147191.88927999997</v>
      </c>
      <c r="AK89" s="447">
        <f t="shared" si="137"/>
        <v>176996.41529999999</v>
      </c>
      <c r="AL89" s="447">
        <f t="shared" si="137"/>
        <v>194352.45651999998</v>
      </c>
      <c r="AM89" s="447">
        <f t="shared" ref="AM89:AS89" si="138">SUM(AM73:AM88)</f>
        <v>208056.47766999999</v>
      </c>
      <c r="AN89" s="447">
        <f t="shared" si="138"/>
        <v>183009.28641000006</v>
      </c>
      <c r="AO89" s="447">
        <f t="shared" si="138"/>
        <v>188553.74327000001</v>
      </c>
      <c r="AP89" s="447">
        <f t="shared" si="138"/>
        <v>200692.44816999999</v>
      </c>
      <c r="AQ89" s="447">
        <f t="shared" si="138"/>
        <v>206188.01345999996</v>
      </c>
      <c r="AR89" s="447">
        <f t="shared" si="138"/>
        <v>222933.16915000003</v>
      </c>
      <c r="AS89" s="447">
        <f t="shared" si="138"/>
        <v>238674.16862000004</v>
      </c>
      <c r="AT89" s="447">
        <f t="shared" ref="AT89:AY89" si="139">SUM(AT73:AT88)</f>
        <v>236477.94807999997</v>
      </c>
      <c r="AU89" s="447">
        <f t="shared" si="139"/>
        <v>256971.40732</v>
      </c>
      <c r="AV89" s="447">
        <f t="shared" si="139"/>
        <v>283382.53022000002</v>
      </c>
      <c r="AW89" s="447">
        <f t="shared" si="139"/>
        <v>306369.52165999991</v>
      </c>
      <c r="AX89" s="447">
        <f t="shared" si="139"/>
        <v>340876.82304000005</v>
      </c>
      <c r="AY89" s="447">
        <f t="shared" si="139"/>
        <v>355659.60382999998</v>
      </c>
      <c r="AZ89" s="447">
        <f t="shared" ref="AZ89:BJ89" si="140">SUM(AZ73:AZ88)</f>
        <v>342927.67520999996</v>
      </c>
      <c r="BA89" s="447">
        <f t="shared" si="140"/>
        <v>125882.91601000002</v>
      </c>
      <c r="BB89" s="447">
        <f t="shared" si="140"/>
        <v>159450.40697000001</v>
      </c>
      <c r="BC89" s="447">
        <f t="shared" si="140"/>
        <v>186935.12643000003</v>
      </c>
      <c r="BD89" s="447">
        <f t="shared" si="140"/>
        <v>201450.12104000003</v>
      </c>
      <c r="BE89" s="474">
        <f t="shared" si="140"/>
        <v>220585.66316000003</v>
      </c>
      <c r="BF89" s="474">
        <f t="shared" si="140"/>
        <v>216210.30886000002</v>
      </c>
      <c r="BG89" s="474">
        <f t="shared" si="140"/>
        <v>232365.81930000003</v>
      </c>
      <c r="BH89" s="474">
        <f t="shared" si="140"/>
        <v>258674.50292000003</v>
      </c>
      <c r="BI89" s="474">
        <f t="shared" si="140"/>
        <v>269099.06038999994</v>
      </c>
      <c r="BJ89" s="474">
        <f t="shared" si="140"/>
        <v>305241.0482800001</v>
      </c>
      <c r="BK89" s="474">
        <f t="shared" ref="BK89:BV89" si="141">SUM(BK73:BK88)</f>
        <v>323858.68808999995</v>
      </c>
      <c r="BL89" s="474">
        <f t="shared" si="141"/>
        <v>274620.04058999999</v>
      </c>
      <c r="BM89" s="474">
        <f t="shared" si="141"/>
        <v>272878.37052</v>
      </c>
      <c r="BN89" s="474">
        <f t="shared" si="141"/>
        <v>310849.33356000012</v>
      </c>
      <c r="BO89" s="474">
        <f t="shared" si="141"/>
        <v>298902.06505000003</v>
      </c>
      <c r="BP89" s="474">
        <f t="shared" si="141"/>
        <v>318010.47997999995</v>
      </c>
      <c r="BQ89" s="474">
        <f t="shared" si="141"/>
        <v>254136.67939999996</v>
      </c>
      <c r="BR89" s="474">
        <f t="shared" si="141"/>
        <v>240352.51211000001</v>
      </c>
      <c r="BS89" s="474">
        <f t="shared" si="141"/>
        <v>270882.09479</v>
      </c>
      <c r="BT89" s="474">
        <f t="shared" si="141"/>
        <v>291821.00495999999</v>
      </c>
      <c r="BU89" s="474">
        <f t="shared" si="141"/>
        <v>284706.88065000001</v>
      </c>
      <c r="BV89" s="474">
        <f t="shared" si="141"/>
        <v>291952.66868</v>
      </c>
      <c r="BW89" s="474">
        <f t="shared" ref="BW89:CH89" si="142">SUM(BW73:BW88)</f>
        <v>311123.66009064793</v>
      </c>
      <c r="BX89" s="474">
        <f t="shared" si="142"/>
        <v>357076.62290363415</v>
      </c>
      <c r="BY89" s="474">
        <f t="shared" si="142"/>
        <v>365253.68885802274</v>
      </c>
      <c r="BZ89" s="474">
        <f t="shared" si="142"/>
        <v>394123.55323244474</v>
      </c>
      <c r="CA89" s="474">
        <f t="shared" si="142"/>
        <v>409696.01553096605</v>
      </c>
      <c r="CB89" s="474">
        <f t="shared" si="142"/>
        <v>429033.16977041372</v>
      </c>
      <c r="CC89" s="474">
        <f t="shared" si="142"/>
        <v>449442.33834961284</v>
      </c>
      <c r="CD89" s="474">
        <f t="shared" si="142"/>
        <v>449275.77484220202</v>
      </c>
      <c r="CE89" s="474">
        <f t="shared" si="142"/>
        <v>463615.60278912977</v>
      </c>
      <c r="CF89" s="474">
        <f t="shared" si="142"/>
        <v>222101.80830845682</v>
      </c>
      <c r="CG89" s="474">
        <f t="shared" si="142"/>
        <v>186690.57186664329</v>
      </c>
      <c r="CH89" s="474">
        <f t="shared" si="142"/>
        <v>210819.74957135526</v>
      </c>
      <c r="CI89" s="474">
        <f t="shared" ref="CI89" si="143">SUM(CI73:CI88)</f>
        <v>231199.5799417177</v>
      </c>
      <c r="CJ89" s="474">
        <f t="shared" ref="CJ89:CT89" si="144">SUM(CJ73:CJ88)</f>
        <v>224873.45113715428</v>
      </c>
      <c r="CK89" s="474">
        <f t="shared" si="144"/>
        <v>227202.35425978585</v>
      </c>
      <c r="CL89" s="474">
        <f t="shared" si="144"/>
        <v>245497.95610832676</v>
      </c>
      <c r="CM89" s="474">
        <f t="shared" si="144"/>
        <v>245297.49329462255</v>
      </c>
      <c r="CN89" s="474">
        <f t="shared" si="144"/>
        <v>173852.21456000945</v>
      </c>
      <c r="CO89" s="474">
        <f t="shared" si="144"/>
        <v>199211.74590779035</v>
      </c>
      <c r="CP89" s="474">
        <f t="shared" si="144"/>
        <v>191868.24622519157</v>
      </c>
      <c r="CQ89" s="474">
        <f t="shared" si="144"/>
        <v>211712.04480938372</v>
      </c>
      <c r="CR89" s="474">
        <f t="shared" si="144"/>
        <v>233151.38975413868</v>
      </c>
      <c r="CS89" s="474">
        <f t="shared" si="144"/>
        <v>216738.64921445123</v>
      </c>
      <c r="CT89" s="474">
        <f t="shared" si="144"/>
        <v>241305.82707107265</v>
      </c>
      <c r="CU89" s="698">
        <f t="shared" si="134"/>
        <v>219440.82321961538</v>
      </c>
      <c r="CV89" s="33"/>
      <c r="CW89" s="33"/>
      <c r="CX89" s="184"/>
      <c r="CY89" s="33"/>
      <c r="CZ89" s="447"/>
      <c r="DA89" s="447"/>
      <c r="DB89" s="447"/>
      <c r="DC89" s="447"/>
      <c r="DD89" s="447"/>
      <c r="DE89" s="447"/>
      <c r="DF89" s="447"/>
      <c r="DG89" s="447"/>
      <c r="DH89" s="447"/>
      <c r="DI89" s="447"/>
      <c r="DJ89" s="447"/>
      <c r="DK89" s="447"/>
      <c r="DL89" s="447"/>
    </row>
    <row r="90" spans="1:116">
      <c r="A90" s="598"/>
      <c r="B90" s="26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686"/>
      <c r="BF90" s="686"/>
      <c r="BG90" s="686"/>
      <c r="BH90" s="686"/>
      <c r="BI90" s="686"/>
      <c r="BJ90" s="686"/>
      <c r="BK90" s="686"/>
      <c r="BL90" s="686"/>
      <c r="BM90" s="686"/>
      <c r="BN90" s="686"/>
      <c r="BO90" s="686"/>
      <c r="BP90" s="686"/>
      <c r="BQ90" s="686"/>
      <c r="BR90" s="686"/>
      <c r="BS90" s="686"/>
      <c r="BT90" s="686"/>
      <c r="BU90" s="686"/>
      <c r="BV90" s="686"/>
      <c r="BW90" s="686"/>
      <c r="BX90" s="686"/>
      <c r="BY90" s="686"/>
      <c r="BZ90" s="686"/>
      <c r="CA90" s="686"/>
      <c r="CB90" s="686"/>
      <c r="CC90" s="686"/>
      <c r="CD90" s="686"/>
      <c r="CE90" s="686"/>
      <c r="CF90" s="686"/>
      <c r="CG90" s="686"/>
      <c r="CH90" s="686"/>
      <c r="CI90" s="686"/>
      <c r="CJ90" s="686"/>
      <c r="CK90" s="686"/>
      <c r="CL90" s="686"/>
      <c r="CM90" s="686"/>
      <c r="CN90" s="686"/>
      <c r="CO90" s="686"/>
      <c r="CP90" s="686"/>
      <c r="CQ90" s="686"/>
      <c r="CR90" s="686"/>
      <c r="CS90" s="686"/>
      <c r="CT90" s="686"/>
      <c r="CU90" s="698"/>
      <c r="CW90" s="33"/>
      <c r="CX90" s="184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</row>
    <row r="91" spans="1:116">
      <c r="A91" s="13" t="s">
        <v>519</v>
      </c>
      <c r="B91" s="26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686"/>
      <c r="BF91" s="686"/>
      <c r="BG91" s="686"/>
      <c r="BH91" s="686"/>
      <c r="BI91" s="686"/>
      <c r="BJ91" s="686"/>
      <c r="BK91" s="686"/>
      <c r="BL91" s="686"/>
      <c r="BM91" s="686"/>
      <c r="BN91" s="686"/>
      <c r="BO91" s="686"/>
      <c r="BP91" s="686"/>
      <c r="BQ91" s="686"/>
      <c r="BR91" s="686"/>
      <c r="BS91" s="686"/>
      <c r="BT91" s="686"/>
      <c r="BU91" s="686"/>
      <c r="BV91" s="686"/>
      <c r="BW91" s="686"/>
      <c r="BX91" s="686"/>
      <c r="BY91" s="686"/>
      <c r="BZ91" s="686"/>
      <c r="CA91" s="686"/>
      <c r="CB91" s="686"/>
      <c r="CC91" s="686"/>
      <c r="CD91" s="686"/>
      <c r="CE91" s="686"/>
      <c r="CF91" s="686"/>
      <c r="CG91" s="686"/>
      <c r="CH91" s="686"/>
      <c r="CI91" s="686"/>
      <c r="CJ91" s="686"/>
      <c r="CK91" s="686"/>
      <c r="CL91" s="686"/>
      <c r="CM91" s="686"/>
      <c r="CN91" s="686"/>
      <c r="CO91" s="686"/>
      <c r="CP91" s="686"/>
      <c r="CQ91" s="686"/>
      <c r="CR91" s="686"/>
      <c r="CS91" s="686"/>
      <c r="CT91" s="686"/>
      <c r="CU91" s="698"/>
      <c r="CW91" s="33"/>
      <c r="CX91" s="184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</row>
    <row r="92" spans="1:116">
      <c r="A92" s="616" t="s">
        <v>537</v>
      </c>
      <c r="B92" s="260">
        <f t="shared" ref="B92:B99" ca="1" si="145">SUM(OFFSET(BW92:CI92,0,$A$1-1))/13</f>
        <v>28231.65384615384</v>
      </c>
      <c r="C92" s="350">
        <v>27370.166109999998</v>
      </c>
      <c r="D92" s="350">
        <v>26799.247010000003</v>
      </c>
      <c r="E92" s="350">
        <v>26553.22307</v>
      </c>
      <c r="F92" s="350">
        <v>26544.196929999998</v>
      </c>
      <c r="G92" s="350">
        <v>26380.476620000001</v>
      </c>
      <c r="H92" s="350">
        <v>26257.939870000002</v>
      </c>
      <c r="I92" s="350">
        <v>26069.005499999999</v>
      </c>
      <c r="J92" s="350">
        <v>26037.874789999998</v>
      </c>
      <c r="K92" s="350">
        <v>25950.19557</v>
      </c>
      <c r="L92" s="350">
        <v>25955.165579999997</v>
      </c>
      <c r="M92" s="350">
        <v>25789.167710000002</v>
      </c>
      <c r="N92" s="350">
        <v>25688.398550000002</v>
      </c>
      <c r="O92" s="413">
        <v>25537.703129999998</v>
      </c>
      <c r="P92" s="413">
        <v>25569.38091</v>
      </c>
      <c r="Q92" s="413">
        <v>25629.339929999998</v>
      </c>
      <c r="R92" s="413">
        <v>25705.333899999998</v>
      </c>
      <c r="S92" s="413">
        <v>25790.760979999999</v>
      </c>
      <c r="T92" s="413">
        <v>25830.275280000002</v>
      </c>
      <c r="U92" s="413">
        <v>25852.232690000001</v>
      </c>
      <c r="V92" s="413">
        <v>25925.983190000003</v>
      </c>
      <c r="W92" s="413">
        <v>25893.012340000001</v>
      </c>
      <c r="X92" s="413">
        <v>25992.2575</v>
      </c>
      <c r="Y92" s="413">
        <v>25966.855820000001</v>
      </c>
      <c r="Z92" s="413">
        <v>25903.685430000001</v>
      </c>
      <c r="AA92" s="413">
        <v>25867.705320000001</v>
      </c>
      <c r="AB92" s="413">
        <v>25898.455109999999</v>
      </c>
      <c r="AC92" s="413">
        <v>25925.131819999999</v>
      </c>
      <c r="AD92" s="413">
        <v>25847.349969999999</v>
      </c>
      <c r="AE92" s="413">
        <v>25870.81739</v>
      </c>
      <c r="AF92" s="413">
        <v>25868.020230000002</v>
      </c>
      <c r="AG92" s="413">
        <v>25768.615089999999</v>
      </c>
      <c r="AH92" s="413">
        <v>25686.969590000001</v>
      </c>
      <c r="AI92" s="413">
        <v>25634.262850000003</v>
      </c>
      <c r="AJ92" s="413">
        <v>25695.380539999998</v>
      </c>
      <c r="AK92" s="413">
        <v>25691.903879999998</v>
      </c>
      <c r="AL92" s="413">
        <v>25704.516</v>
      </c>
      <c r="AM92" s="413">
        <v>25665.571920000002</v>
      </c>
      <c r="AN92" s="413">
        <v>25728.44166</v>
      </c>
      <c r="AO92" s="413">
        <v>25721.300809999997</v>
      </c>
      <c r="AP92" s="413">
        <v>25668.756000000001</v>
      </c>
      <c r="AQ92" s="413">
        <v>25569.201969999998</v>
      </c>
      <c r="AR92" s="413">
        <v>25464.047059999997</v>
      </c>
      <c r="AS92" s="413">
        <v>25456.79927</v>
      </c>
      <c r="AT92" s="413">
        <v>25416.773229999999</v>
      </c>
      <c r="AU92" s="413">
        <v>25432.97277</v>
      </c>
      <c r="AV92" s="413">
        <v>25393.55068</v>
      </c>
      <c r="AW92" s="413">
        <v>25333.30543</v>
      </c>
      <c r="AX92" s="413">
        <v>25075.278079999996</v>
      </c>
      <c r="AY92" s="413">
        <v>25241.811829999999</v>
      </c>
      <c r="AZ92" s="413">
        <v>25273.973249999999</v>
      </c>
      <c r="BA92" s="413">
        <v>25387.42038</v>
      </c>
      <c r="BB92" s="413">
        <v>25318.474699999999</v>
      </c>
      <c r="BC92" s="413">
        <v>25407.263769999998</v>
      </c>
      <c r="BD92" s="413">
        <v>25529.439879999998</v>
      </c>
      <c r="BE92" s="586">
        <v>25706.203600000001</v>
      </c>
      <c r="BF92" s="586">
        <v>25782.52836</v>
      </c>
      <c r="BG92" s="586">
        <v>25962.796670000003</v>
      </c>
      <c r="BH92" s="586">
        <v>26074.226340000001</v>
      </c>
      <c r="BI92" s="586">
        <v>26300.461460000002</v>
      </c>
      <c r="BJ92" s="586">
        <v>26450.409190000002</v>
      </c>
      <c r="BK92" s="586">
        <v>26724.60528</v>
      </c>
      <c r="BL92" s="586">
        <v>26837.940440000002</v>
      </c>
      <c r="BM92" s="586">
        <v>27025.575949999999</v>
      </c>
      <c r="BN92" s="586">
        <v>27142.982909999999</v>
      </c>
      <c r="BO92" s="586">
        <v>27369.426920000002</v>
      </c>
      <c r="BP92" s="586">
        <v>27734.4241</v>
      </c>
      <c r="BQ92" s="586">
        <v>27952.511770000001</v>
      </c>
      <c r="BR92" s="586">
        <v>28170.52145</v>
      </c>
      <c r="BS92" s="586">
        <v>28457.241420000002</v>
      </c>
      <c r="BT92" s="586">
        <v>28627.534520000001</v>
      </c>
      <c r="BU92" s="586">
        <v>28840.164270000001</v>
      </c>
      <c r="BV92" s="586">
        <v>29144.41906</v>
      </c>
      <c r="BW92" s="586">
        <v>28092.6</v>
      </c>
      <c r="BX92" s="586">
        <v>28116</v>
      </c>
      <c r="BY92" s="586">
        <v>28139.4</v>
      </c>
      <c r="BZ92" s="586">
        <v>28162.9</v>
      </c>
      <c r="CA92" s="586">
        <v>28186.3</v>
      </c>
      <c r="CB92" s="586">
        <v>28209.8</v>
      </c>
      <c r="CC92" s="586">
        <v>28233.3</v>
      </c>
      <c r="CD92" s="586">
        <v>28256.799999999999</v>
      </c>
      <c r="CE92" s="586">
        <v>28280.400000000001</v>
      </c>
      <c r="CF92" s="586">
        <v>28304</v>
      </c>
      <c r="CG92" s="586">
        <v>28327.599999999999</v>
      </c>
      <c r="CH92" s="586">
        <v>28351.200000000001</v>
      </c>
      <c r="CI92" s="586">
        <v>28092.6</v>
      </c>
      <c r="CJ92" s="586">
        <v>28116</v>
      </c>
      <c r="CK92" s="586">
        <v>28139.4</v>
      </c>
      <c r="CL92" s="586">
        <v>28162.9</v>
      </c>
      <c r="CM92" s="586">
        <v>28186.3</v>
      </c>
      <c r="CN92" s="586">
        <v>28209.8</v>
      </c>
      <c r="CO92" s="586">
        <v>28233.3</v>
      </c>
      <c r="CP92" s="586">
        <v>28256.799999999999</v>
      </c>
      <c r="CQ92" s="586">
        <v>28280.400000000001</v>
      </c>
      <c r="CR92" s="586">
        <v>28304</v>
      </c>
      <c r="CS92" s="586">
        <v>28327.599999999999</v>
      </c>
      <c r="CT92" s="586">
        <v>28351.200000000001</v>
      </c>
      <c r="CU92" s="698">
        <f t="shared" ref="CU92:CU99" si="146">SUM(CH92:CT92)/13</f>
        <v>28231.65384615384</v>
      </c>
      <c r="CW92" s="33"/>
      <c r="CX92" s="184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</row>
    <row r="93" spans="1:116">
      <c r="A93" s="616" t="s">
        <v>538</v>
      </c>
      <c r="B93" s="260">
        <f t="shared" ca="1" si="145"/>
        <v>20000</v>
      </c>
      <c r="C93" s="350">
        <v>12165.105750000001</v>
      </c>
      <c r="D93" s="350">
        <v>12044.118570000001</v>
      </c>
      <c r="E93" s="350">
        <v>12174.977210000001</v>
      </c>
      <c r="F93" s="350">
        <v>12309.216210000001</v>
      </c>
      <c r="G93" s="350">
        <v>12446.195210000002</v>
      </c>
      <c r="H93" s="350">
        <v>11296.197340000001</v>
      </c>
      <c r="I93" s="350">
        <v>9914.451869999999</v>
      </c>
      <c r="J93" s="350">
        <v>9831.0645199999999</v>
      </c>
      <c r="K93" s="350">
        <v>9936.8975200000004</v>
      </c>
      <c r="L93" s="350">
        <v>10007.435519999999</v>
      </c>
      <c r="M93" s="350">
        <v>10047.282519999999</v>
      </c>
      <c r="N93" s="350">
        <v>9607.0660800000005</v>
      </c>
      <c r="O93" s="413">
        <v>9573.8482899999999</v>
      </c>
      <c r="P93" s="413">
        <v>9728.9652899999983</v>
      </c>
      <c r="Q93" s="413">
        <v>9807.0702899999997</v>
      </c>
      <c r="R93" s="413">
        <v>9950.7211800000005</v>
      </c>
      <c r="S93" s="413">
        <v>10073.24718</v>
      </c>
      <c r="T93" s="413">
        <v>10218.86918</v>
      </c>
      <c r="U93" s="413">
        <v>9921.75216</v>
      </c>
      <c r="V93" s="413">
        <v>10073.764160000001</v>
      </c>
      <c r="W93" s="413">
        <v>10228.44751</v>
      </c>
      <c r="X93" s="413">
        <v>10362.89827</v>
      </c>
      <c r="Y93" s="413">
        <v>10539.340269999999</v>
      </c>
      <c r="Z93" s="413">
        <v>10634.95527</v>
      </c>
      <c r="AA93" s="413">
        <v>10826.69427</v>
      </c>
      <c r="AB93" s="413">
        <v>11003.76627</v>
      </c>
      <c r="AC93" s="413">
        <v>11120.20327</v>
      </c>
      <c r="AD93" s="413">
        <v>11325.46227</v>
      </c>
      <c r="AE93" s="413">
        <v>11511.79227</v>
      </c>
      <c r="AF93" s="413">
        <v>11785.48027</v>
      </c>
      <c r="AG93" s="413">
        <v>11862.644269999999</v>
      </c>
      <c r="AH93" s="413">
        <v>12925.400089999999</v>
      </c>
      <c r="AI93" s="413">
        <v>12405.990039999999</v>
      </c>
      <c r="AJ93" s="413">
        <v>12710.800039999998</v>
      </c>
      <c r="AK93" s="413">
        <v>12794.821320000001</v>
      </c>
      <c r="AL93" s="413">
        <v>12952.70132</v>
      </c>
      <c r="AM93" s="413">
        <v>13089.07898</v>
      </c>
      <c r="AN93" s="413">
        <v>13337.56698</v>
      </c>
      <c r="AO93" s="413">
        <v>13479.083980000001</v>
      </c>
      <c r="AP93" s="413">
        <v>13776.57998</v>
      </c>
      <c r="AQ93" s="413">
        <v>13915.894980000001</v>
      </c>
      <c r="AR93" s="413">
        <v>14332.008980000001</v>
      </c>
      <c r="AS93" s="413">
        <v>14545.07098</v>
      </c>
      <c r="AT93" s="413">
        <v>14664.98198</v>
      </c>
      <c r="AU93" s="413">
        <v>14788.22798</v>
      </c>
      <c r="AV93" s="413">
        <v>14958.396980000001</v>
      </c>
      <c r="AW93" s="413">
        <v>15370.48098</v>
      </c>
      <c r="AX93" s="413">
        <v>15681.26548</v>
      </c>
      <c r="AY93" s="413">
        <v>15814.28148</v>
      </c>
      <c r="AZ93" s="413">
        <v>15923.750480000001</v>
      </c>
      <c r="BA93" s="413">
        <v>16390.07948</v>
      </c>
      <c r="BB93" s="413">
        <v>16722.185960000003</v>
      </c>
      <c r="BC93" s="413">
        <v>16873.568960000001</v>
      </c>
      <c r="BD93" s="413">
        <v>17005.221239999999</v>
      </c>
      <c r="BE93" s="586">
        <v>17164.304239999998</v>
      </c>
      <c r="BF93" s="586">
        <v>17243.754239999998</v>
      </c>
      <c r="BG93" s="586">
        <v>17573.63164</v>
      </c>
      <c r="BH93" s="586">
        <v>17895.821640000002</v>
      </c>
      <c r="BI93" s="586">
        <v>18117.211640000001</v>
      </c>
      <c r="BJ93" s="586">
        <v>18210.107640000002</v>
      </c>
      <c r="BK93" s="586">
        <v>18325.299010000002</v>
      </c>
      <c r="BL93" s="586">
        <v>18691.975640000001</v>
      </c>
      <c r="BM93" s="586">
        <v>18995.225640000001</v>
      </c>
      <c r="BN93" s="586">
        <v>19514.099910000001</v>
      </c>
      <c r="BO93" s="586">
        <v>19823.385920000001</v>
      </c>
      <c r="BP93" s="586">
        <v>20211.822920000002</v>
      </c>
      <c r="BQ93" s="586">
        <v>20537.692920000001</v>
      </c>
      <c r="BR93" s="586">
        <v>21002.287420000001</v>
      </c>
      <c r="BS93" s="586">
        <v>21468.778420000002</v>
      </c>
      <c r="BT93" s="586">
        <v>21711.739420000002</v>
      </c>
      <c r="BU93" s="586">
        <v>21948.610420000001</v>
      </c>
      <c r="BV93" s="586">
        <v>22520.306420000001</v>
      </c>
      <c r="BW93" s="586">
        <v>20000</v>
      </c>
      <c r="BX93" s="586">
        <v>20000</v>
      </c>
      <c r="BY93" s="586">
        <v>20000</v>
      </c>
      <c r="BZ93" s="586">
        <v>20000</v>
      </c>
      <c r="CA93" s="586">
        <v>20000</v>
      </c>
      <c r="CB93" s="586">
        <v>20000</v>
      </c>
      <c r="CC93" s="586">
        <v>20000</v>
      </c>
      <c r="CD93" s="586">
        <v>20000</v>
      </c>
      <c r="CE93" s="586">
        <v>20000</v>
      </c>
      <c r="CF93" s="586">
        <v>20000</v>
      </c>
      <c r="CG93" s="586">
        <v>20000</v>
      </c>
      <c r="CH93" s="586">
        <v>20000</v>
      </c>
      <c r="CI93" s="586">
        <v>20000</v>
      </c>
      <c r="CJ93" s="586">
        <v>20000</v>
      </c>
      <c r="CK93" s="586">
        <v>20000</v>
      </c>
      <c r="CL93" s="586">
        <v>20000</v>
      </c>
      <c r="CM93" s="586">
        <v>20000</v>
      </c>
      <c r="CN93" s="586">
        <v>20000</v>
      </c>
      <c r="CO93" s="586">
        <v>20000</v>
      </c>
      <c r="CP93" s="586">
        <v>20000</v>
      </c>
      <c r="CQ93" s="586">
        <v>20000</v>
      </c>
      <c r="CR93" s="586">
        <v>20000</v>
      </c>
      <c r="CS93" s="586">
        <v>20000</v>
      </c>
      <c r="CT93" s="586">
        <v>20000</v>
      </c>
      <c r="CU93" s="698">
        <f t="shared" si="146"/>
        <v>20000</v>
      </c>
      <c r="CW93" s="33"/>
      <c r="CX93" s="184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</row>
    <row r="94" spans="1:116">
      <c r="A94" s="616" t="s">
        <v>539</v>
      </c>
      <c r="B94" s="260">
        <f t="shared" ca="1" si="145"/>
        <v>3849.2846153846158</v>
      </c>
      <c r="C94" s="352">
        <v>1760.89995</v>
      </c>
      <c r="D94" s="352">
        <v>1898.9090199999998</v>
      </c>
      <c r="E94" s="352">
        <v>1825.59401</v>
      </c>
      <c r="F94" s="352">
        <v>1794.3017499999999</v>
      </c>
      <c r="G94" s="352">
        <v>1845.4336699999999</v>
      </c>
      <c r="H94" s="352">
        <v>2018.3746100000001</v>
      </c>
      <c r="I94" s="352">
        <v>2076.7182900000003</v>
      </c>
      <c r="J94" s="352">
        <v>1876.4167499999999</v>
      </c>
      <c r="K94" s="352">
        <v>2111.3068400000002</v>
      </c>
      <c r="L94" s="352">
        <v>2357.0290999999997</v>
      </c>
      <c r="M94" s="352">
        <v>2432.58212</v>
      </c>
      <c r="N94" s="352">
        <v>2441.2042700000002</v>
      </c>
      <c r="O94" s="415">
        <v>2342.9549400000001</v>
      </c>
      <c r="P94" s="415">
        <v>2545.2114900000001</v>
      </c>
      <c r="Q94" s="415">
        <v>2880.5538200000001</v>
      </c>
      <c r="R94" s="415">
        <v>2962.1527800000003</v>
      </c>
      <c r="S94" s="415">
        <v>3141.1918599999999</v>
      </c>
      <c r="T94" s="415">
        <v>3322.6831099999999</v>
      </c>
      <c r="U94" s="415">
        <v>3482.2316900000001</v>
      </c>
      <c r="V94" s="415">
        <v>3738.1993900000002</v>
      </c>
      <c r="W94" s="415">
        <v>3968.3134700000001</v>
      </c>
      <c r="X94" s="415">
        <v>4220.12914</v>
      </c>
      <c r="Y94" s="415">
        <v>4581.2205799999992</v>
      </c>
      <c r="Z94" s="415">
        <v>3841.2331999999997</v>
      </c>
      <c r="AA94" s="415">
        <v>3833.1259700000001</v>
      </c>
      <c r="AB94" s="415">
        <v>3729.6466100000002</v>
      </c>
      <c r="AC94" s="415">
        <v>3351.1451200000001</v>
      </c>
      <c r="AD94" s="415">
        <v>3464.05852</v>
      </c>
      <c r="AE94" s="415">
        <v>3055.1441399999999</v>
      </c>
      <c r="AF94" s="415">
        <v>3820.5402199999999</v>
      </c>
      <c r="AG94" s="415">
        <v>4609.1460100000004</v>
      </c>
      <c r="AH94" s="415">
        <v>5023.2906700000003</v>
      </c>
      <c r="AI94" s="415">
        <v>5211.5989099999997</v>
      </c>
      <c r="AJ94" s="415">
        <v>5463.9063000000006</v>
      </c>
      <c r="AK94" s="415">
        <v>5442.1300699999993</v>
      </c>
      <c r="AL94" s="415">
        <v>6124.9929400000001</v>
      </c>
      <c r="AM94" s="415">
        <v>6501.64077</v>
      </c>
      <c r="AN94" s="415">
        <v>6232.6880000000001</v>
      </c>
      <c r="AO94" s="415">
        <v>5858.2771300000004</v>
      </c>
      <c r="AP94" s="415">
        <v>6950.5145599999996</v>
      </c>
      <c r="AQ94" s="415">
        <v>7816.0817300000008</v>
      </c>
      <c r="AR94" s="413">
        <v>8699.0706499999997</v>
      </c>
      <c r="AS94" s="413">
        <v>8752.3394099999987</v>
      </c>
      <c r="AT94" s="413">
        <v>8485.8856100000012</v>
      </c>
      <c r="AU94" s="413">
        <v>8613.1363500000007</v>
      </c>
      <c r="AV94" s="413">
        <v>8475.9923500000004</v>
      </c>
      <c r="AW94" s="413">
        <v>8408.2087200000005</v>
      </c>
      <c r="AX94" s="413">
        <v>8634.7723600000008</v>
      </c>
      <c r="AY94" s="413">
        <v>8653.8845200000014</v>
      </c>
      <c r="AZ94" s="413">
        <v>6915.6133899999995</v>
      </c>
      <c r="BA94" s="413">
        <v>2771.3622099999998</v>
      </c>
      <c r="BB94" s="413">
        <v>2725.0357399999998</v>
      </c>
      <c r="BC94" s="413">
        <v>2590.9693200000002</v>
      </c>
      <c r="BD94" s="413">
        <v>2233.0205799999999</v>
      </c>
      <c r="BE94" s="582">
        <v>2429.1965699999996</v>
      </c>
      <c r="BF94" s="582">
        <v>2408.3903799999998</v>
      </c>
      <c r="BG94" s="582">
        <v>3732.0723800000001</v>
      </c>
      <c r="BH94" s="582">
        <v>3789.2440999999999</v>
      </c>
      <c r="BI94" s="582">
        <v>3590.9646400000001</v>
      </c>
      <c r="BJ94" s="582">
        <v>4140.0796700000001</v>
      </c>
      <c r="BK94" s="582">
        <v>6125.1432400000003</v>
      </c>
      <c r="BL94" s="582">
        <v>6126.2050999999992</v>
      </c>
      <c r="BM94" s="582">
        <v>5238.0894900000003</v>
      </c>
      <c r="BN94" s="582">
        <v>3417.9917400000004</v>
      </c>
      <c r="BO94" s="582">
        <v>3219.5314199999998</v>
      </c>
      <c r="BP94" s="582">
        <v>3472.5968199999998</v>
      </c>
      <c r="BQ94" s="582">
        <v>3397.7953600000001</v>
      </c>
      <c r="BR94" s="582">
        <v>3326.3154800000002</v>
      </c>
      <c r="BS94" s="582">
        <v>3774.7715499999999</v>
      </c>
      <c r="BT94" s="582">
        <v>3928.7148500000003</v>
      </c>
      <c r="BU94" s="582">
        <v>3135.6864599999999</v>
      </c>
      <c r="BV94" s="582">
        <v>3322.9214500000003</v>
      </c>
      <c r="BW94" s="582">
        <v>5425.6</v>
      </c>
      <c r="BX94" s="582">
        <v>4847.3999999999996</v>
      </c>
      <c r="BY94" s="582">
        <v>3194.9000000000005</v>
      </c>
      <c r="BZ94" s="582">
        <v>3384</v>
      </c>
      <c r="CA94" s="582">
        <v>3414.5999999999995</v>
      </c>
      <c r="CB94" s="582">
        <v>3681.6</v>
      </c>
      <c r="CC94" s="582">
        <v>3706.7</v>
      </c>
      <c r="CD94" s="582">
        <v>4783.2</v>
      </c>
      <c r="CE94" s="582">
        <v>5098.2</v>
      </c>
      <c r="CF94" s="582">
        <v>5133.4000000000005</v>
      </c>
      <c r="CG94" s="582">
        <v>4421.0999999999995</v>
      </c>
      <c r="CH94" s="582">
        <v>4393.9000000000005</v>
      </c>
      <c r="CI94" s="582">
        <v>5375.2</v>
      </c>
      <c r="CJ94" s="582">
        <v>4734.3</v>
      </c>
      <c r="CK94" s="582">
        <v>2855.2</v>
      </c>
      <c r="CL94" s="582">
        <v>2928.3</v>
      </c>
      <c r="CM94" s="582">
        <v>2848.5</v>
      </c>
      <c r="CN94" s="582">
        <v>3089.3</v>
      </c>
      <c r="CO94" s="582">
        <v>3110.5</v>
      </c>
      <c r="CP94" s="582">
        <v>3615.8</v>
      </c>
      <c r="CQ94" s="582">
        <v>4645.5</v>
      </c>
      <c r="CR94" s="582">
        <v>4693.8</v>
      </c>
      <c r="CS94" s="582">
        <v>3906.5</v>
      </c>
      <c r="CT94" s="582">
        <v>3843.9</v>
      </c>
      <c r="CU94" s="698">
        <f t="shared" si="146"/>
        <v>3849.2846153846158</v>
      </c>
      <c r="CW94" s="33"/>
      <c r="CX94" s="184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</row>
    <row r="95" spans="1:116">
      <c r="A95" s="616" t="s">
        <v>540</v>
      </c>
      <c r="B95" s="260">
        <f t="shared" ca="1" si="145"/>
        <v>280846.16153846151</v>
      </c>
      <c r="C95" s="350">
        <v>213196.57134999998</v>
      </c>
      <c r="D95" s="350">
        <v>214951.19583000001</v>
      </c>
      <c r="E95" s="350">
        <v>217911.91699</v>
      </c>
      <c r="F95" s="350">
        <v>219988.53857999999</v>
      </c>
      <c r="G95" s="350">
        <v>222932.74677</v>
      </c>
      <c r="H95" s="350">
        <v>226038.26397</v>
      </c>
      <c r="I95" s="350">
        <v>228749.07180000001</v>
      </c>
      <c r="J95" s="350">
        <v>231164.54391000004</v>
      </c>
      <c r="K95" s="350">
        <v>233259.77981000001</v>
      </c>
      <c r="L95" s="350">
        <v>236650.98024999999</v>
      </c>
      <c r="M95" s="350">
        <v>239693.60222999999</v>
      </c>
      <c r="N95" s="350">
        <v>146162.85715999999</v>
      </c>
      <c r="O95" s="413">
        <v>146549.68096999999</v>
      </c>
      <c r="P95" s="413">
        <v>147270.87813000003</v>
      </c>
      <c r="Q95" s="413">
        <v>147948.91418000002</v>
      </c>
      <c r="R95" s="413">
        <v>148616.57829</v>
      </c>
      <c r="S95" s="413">
        <v>149465.65848000001</v>
      </c>
      <c r="T95" s="413">
        <v>150085.83319</v>
      </c>
      <c r="U95" s="413">
        <v>150912.73785</v>
      </c>
      <c r="V95" s="413">
        <v>152593.36723</v>
      </c>
      <c r="W95" s="413">
        <v>155101.55662000002</v>
      </c>
      <c r="X95" s="413">
        <v>156374.47521</v>
      </c>
      <c r="Y95" s="413">
        <v>159494.89270000003</v>
      </c>
      <c r="Z95" s="413">
        <v>160780.30160999999</v>
      </c>
      <c r="AA95" s="413">
        <v>161239.63977000001</v>
      </c>
      <c r="AB95" s="413">
        <v>162405.45822999999</v>
      </c>
      <c r="AC95" s="413">
        <v>163533.05152999997</v>
      </c>
      <c r="AD95" s="413">
        <v>164691.82187000001</v>
      </c>
      <c r="AE95" s="413">
        <v>165863.18413000004</v>
      </c>
      <c r="AF95" s="413">
        <v>166982.47552000001</v>
      </c>
      <c r="AG95" s="413">
        <v>168175.77171</v>
      </c>
      <c r="AH95" s="413">
        <v>169405.57754000003</v>
      </c>
      <c r="AI95" s="413">
        <v>171079.32626</v>
      </c>
      <c r="AJ95" s="413">
        <v>172087.15589000002</v>
      </c>
      <c r="AK95" s="413">
        <v>173209.55762000001</v>
      </c>
      <c r="AL95" s="413">
        <v>174788.33739999999</v>
      </c>
      <c r="AM95" s="413">
        <v>174683.97661999997</v>
      </c>
      <c r="AN95" s="413">
        <v>177571.02698</v>
      </c>
      <c r="AO95" s="413">
        <v>178948.9902</v>
      </c>
      <c r="AP95" s="413">
        <v>180087.60946000001</v>
      </c>
      <c r="AQ95" s="413">
        <v>181582.17074999999</v>
      </c>
      <c r="AR95" s="413">
        <v>182765.09826</v>
      </c>
      <c r="AS95" s="413">
        <v>184230.11306999999</v>
      </c>
      <c r="AT95" s="413">
        <v>185335.08661</v>
      </c>
      <c r="AU95" s="413">
        <v>186815.07088999997</v>
      </c>
      <c r="AV95" s="413">
        <v>186763.38746</v>
      </c>
      <c r="AW95" s="413">
        <v>187925.36473000003</v>
      </c>
      <c r="AX95" s="413">
        <v>191923.67808000001</v>
      </c>
      <c r="AY95" s="413">
        <v>193336.56522999998</v>
      </c>
      <c r="AZ95" s="413">
        <v>195015.62393</v>
      </c>
      <c r="BA95" s="413">
        <v>196272.03208999996</v>
      </c>
      <c r="BB95" s="413">
        <v>198072.55213</v>
      </c>
      <c r="BC95" s="413">
        <v>199969.53151999999</v>
      </c>
      <c r="BD95" s="413">
        <v>200077.32297000001</v>
      </c>
      <c r="BE95" s="586">
        <v>201871.48693000001</v>
      </c>
      <c r="BF95" s="586">
        <v>202952.64758000002</v>
      </c>
      <c r="BG95" s="586">
        <v>203112.40321000002</v>
      </c>
      <c r="BH95" s="586">
        <v>205646.81814000002</v>
      </c>
      <c r="BI95" s="586">
        <v>209719.24768999999</v>
      </c>
      <c r="BJ95" s="586">
        <v>211197.86616000003</v>
      </c>
      <c r="BK95" s="586">
        <v>212003.37734000001</v>
      </c>
      <c r="BL95" s="586">
        <v>212703.65291</v>
      </c>
      <c r="BM95" s="586">
        <v>214194.04084</v>
      </c>
      <c r="BN95" s="586">
        <v>215581.02207000001</v>
      </c>
      <c r="BO95" s="586">
        <v>217400.71571000002</v>
      </c>
      <c r="BP95" s="586">
        <v>219359.47608000002</v>
      </c>
      <c r="BQ95" s="586">
        <v>220915.13671000002</v>
      </c>
      <c r="BR95" s="586">
        <v>225494.48200999998</v>
      </c>
      <c r="BS95" s="586">
        <v>227522.76660999999</v>
      </c>
      <c r="BT95" s="586">
        <v>229834.20782000001</v>
      </c>
      <c r="BU95" s="586">
        <v>232132.55167000002</v>
      </c>
      <c r="BV95" s="586">
        <v>236868.09246000001</v>
      </c>
      <c r="BW95" s="586">
        <v>240447.80000000002</v>
      </c>
      <c r="BX95" s="586">
        <v>242830.49999999991</v>
      </c>
      <c r="BY95" s="586">
        <v>245322.1</v>
      </c>
      <c r="BZ95" s="586">
        <v>247594.19999999995</v>
      </c>
      <c r="CA95" s="586">
        <v>249966.59999999998</v>
      </c>
      <c r="CB95" s="586">
        <v>252560.69999999998</v>
      </c>
      <c r="CC95" s="586">
        <v>254945.9</v>
      </c>
      <c r="CD95" s="586">
        <v>257356.39999999997</v>
      </c>
      <c r="CE95" s="586">
        <v>259943.49999999994</v>
      </c>
      <c r="CF95" s="586">
        <v>262430.60000000003</v>
      </c>
      <c r="CG95" s="586">
        <v>264779.89999999997</v>
      </c>
      <c r="CH95" s="586">
        <v>267795.19999999995</v>
      </c>
      <c r="CI95" s="586">
        <v>270207.99999999994</v>
      </c>
      <c r="CJ95" s="586">
        <v>272187.59999999998</v>
      </c>
      <c r="CK95" s="586">
        <v>274544.7</v>
      </c>
      <c r="CL95" s="586">
        <v>276588</v>
      </c>
      <c r="CM95" s="586">
        <v>278646.3</v>
      </c>
      <c r="CN95" s="586">
        <v>280897.09999999998</v>
      </c>
      <c r="CO95" s="586">
        <v>282977.40000000002</v>
      </c>
      <c r="CP95" s="586">
        <v>285075.79999999993</v>
      </c>
      <c r="CQ95" s="586">
        <v>287270</v>
      </c>
      <c r="CR95" s="586">
        <v>289458.3</v>
      </c>
      <c r="CS95" s="586">
        <v>291558.69999999995</v>
      </c>
      <c r="CT95" s="586">
        <v>293793</v>
      </c>
      <c r="CU95" s="698">
        <f t="shared" si="146"/>
        <v>280846.16153846151</v>
      </c>
      <c r="CW95" s="33"/>
      <c r="CX95" s="184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</row>
    <row r="96" spans="1:116">
      <c r="A96" s="616" t="s">
        <v>541</v>
      </c>
      <c r="B96" s="260">
        <f t="shared" ca="1" si="145"/>
        <v>88855.538461538468</v>
      </c>
      <c r="C96" s="350">
        <v>0</v>
      </c>
      <c r="D96" s="350">
        <v>0</v>
      </c>
      <c r="E96" s="350">
        <v>0</v>
      </c>
      <c r="F96" s="350">
        <v>0</v>
      </c>
      <c r="G96" s="350">
        <v>0</v>
      </c>
      <c r="H96" s="350">
        <v>0</v>
      </c>
      <c r="I96" s="350">
        <v>0</v>
      </c>
      <c r="J96" s="350">
        <v>0</v>
      </c>
      <c r="K96" s="350">
        <v>0</v>
      </c>
      <c r="L96" s="350">
        <v>0</v>
      </c>
      <c r="M96" s="350">
        <v>0</v>
      </c>
      <c r="N96" s="350">
        <v>89215.247839999996</v>
      </c>
      <c r="O96" s="413">
        <v>88993.618829999992</v>
      </c>
      <c r="P96" s="413">
        <v>88772.694959999993</v>
      </c>
      <c r="Q96" s="413">
        <v>88827.824640000006</v>
      </c>
      <c r="R96" s="415">
        <v>88698.688569999998</v>
      </c>
      <c r="S96" s="415">
        <v>89028.647750000004</v>
      </c>
      <c r="T96" s="415">
        <v>88991.326840000009</v>
      </c>
      <c r="U96" s="415">
        <v>88954.00579000001</v>
      </c>
      <c r="V96" s="415">
        <v>88929.436260000002</v>
      </c>
      <c r="W96" s="415">
        <v>88893.709109999996</v>
      </c>
      <c r="X96" s="415">
        <v>88857.982060000009</v>
      </c>
      <c r="Y96" s="415">
        <v>90723.707120000006</v>
      </c>
      <c r="Z96" s="415">
        <v>90687.980009999999</v>
      </c>
      <c r="AA96" s="415">
        <v>90707.229579999999</v>
      </c>
      <c r="AB96" s="415">
        <v>90773.562260000006</v>
      </c>
      <c r="AC96" s="415">
        <v>90817.020250000001</v>
      </c>
      <c r="AD96" s="415">
        <v>90859.144520000002</v>
      </c>
      <c r="AE96" s="415">
        <v>90901.935639999996</v>
      </c>
      <c r="AF96" s="415">
        <v>90944.726750000002</v>
      </c>
      <c r="AG96" s="415">
        <v>90987.517769999991</v>
      </c>
      <c r="AH96" s="415">
        <v>91073.66936</v>
      </c>
      <c r="AI96" s="415">
        <v>89875.621409999992</v>
      </c>
      <c r="AJ96" s="415">
        <v>89923.023269999991</v>
      </c>
      <c r="AK96" s="415">
        <v>89970.425319999995</v>
      </c>
      <c r="AL96" s="415">
        <v>90472.776099999988</v>
      </c>
      <c r="AM96" s="415">
        <v>90499.955489999993</v>
      </c>
      <c r="AN96" s="415">
        <v>90518.828609999997</v>
      </c>
      <c r="AO96" s="415">
        <v>90372.737219999995</v>
      </c>
      <c r="AP96" s="415">
        <v>90395.169049999997</v>
      </c>
      <c r="AQ96" s="415">
        <v>90417.623330000002</v>
      </c>
      <c r="AR96" s="413">
        <v>90530.783329999991</v>
      </c>
      <c r="AS96" s="413">
        <v>90553.345189999993</v>
      </c>
      <c r="AT96" s="413">
        <v>90531.840559999997</v>
      </c>
      <c r="AU96" s="413">
        <v>90637.383310000005</v>
      </c>
      <c r="AV96" s="413">
        <v>93142.210879999999</v>
      </c>
      <c r="AW96" s="413">
        <v>93187.157529999997</v>
      </c>
      <c r="AX96" s="413">
        <v>93201.281370000012</v>
      </c>
      <c r="AY96" s="413">
        <v>93223.383650000003</v>
      </c>
      <c r="AZ96" s="413">
        <v>93198.140409999993</v>
      </c>
      <c r="BA96" s="413">
        <v>93042.872780000005</v>
      </c>
      <c r="BB96" s="413">
        <v>93138.408629999991</v>
      </c>
      <c r="BC96" s="413">
        <v>93162.182029999996</v>
      </c>
      <c r="BD96" s="413">
        <v>92987.853989999989</v>
      </c>
      <c r="BE96" s="582">
        <v>93010.829169999997</v>
      </c>
      <c r="BF96" s="582">
        <v>93034.141940000001</v>
      </c>
      <c r="BG96" s="582">
        <v>92792.742819999999</v>
      </c>
      <c r="BH96" s="582">
        <v>92761.579930000007</v>
      </c>
      <c r="BI96" s="582">
        <v>93212.284239999994</v>
      </c>
      <c r="BJ96" s="582">
        <v>88446.090120000008</v>
      </c>
      <c r="BK96" s="582">
        <v>88506.456180000008</v>
      </c>
      <c r="BL96" s="582">
        <v>88566.338359999994</v>
      </c>
      <c r="BM96" s="582">
        <v>88307.192769999994</v>
      </c>
      <c r="BN96" s="582">
        <v>88362.32935</v>
      </c>
      <c r="BO96" s="582">
        <v>88416.495030000005</v>
      </c>
      <c r="BP96" s="582">
        <v>88290.71759</v>
      </c>
      <c r="BQ96" s="582">
        <v>88341.331810000003</v>
      </c>
      <c r="BR96" s="582">
        <v>88539.586890000006</v>
      </c>
      <c r="BS96" s="582">
        <v>88612.189200000008</v>
      </c>
      <c r="BT96" s="582">
        <v>88681.888730000006</v>
      </c>
      <c r="BU96" s="582">
        <v>88752.43462</v>
      </c>
      <c r="BV96" s="582">
        <v>88659.849130000002</v>
      </c>
      <c r="BW96" s="582">
        <v>89616.5</v>
      </c>
      <c r="BX96" s="582">
        <v>89641.2</v>
      </c>
      <c r="BY96" s="582">
        <v>89295.6</v>
      </c>
      <c r="BZ96" s="582">
        <v>89320.3</v>
      </c>
      <c r="CA96" s="582">
        <v>89345</v>
      </c>
      <c r="CB96" s="582">
        <v>89273.1</v>
      </c>
      <c r="CC96" s="582">
        <v>89297.8</v>
      </c>
      <c r="CD96" s="582">
        <v>89322.5</v>
      </c>
      <c r="CE96" s="582">
        <v>89364.3</v>
      </c>
      <c r="CF96" s="582">
        <v>89389</v>
      </c>
      <c r="CG96" s="582">
        <v>89413.6</v>
      </c>
      <c r="CH96" s="582">
        <v>89265.3</v>
      </c>
      <c r="CI96" s="582">
        <v>89255.3</v>
      </c>
      <c r="CJ96" s="582">
        <v>89245.4</v>
      </c>
      <c r="CK96" s="582">
        <v>88544</v>
      </c>
      <c r="CL96" s="582">
        <v>88534.1</v>
      </c>
      <c r="CM96" s="582">
        <v>88524.1</v>
      </c>
      <c r="CN96" s="582">
        <v>88575.7</v>
      </c>
      <c r="CO96" s="582">
        <v>88565.8</v>
      </c>
      <c r="CP96" s="582">
        <v>88555.8</v>
      </c>
      <c r="CQ96" s="582">
        <v>88980.3</v>
      </c>
      <c r="CR96" s="582">
        <v>88970.3</v>
      </c>
      <c r="CS96" s="582">
        <v>88960.4</v>
      </c>
      <c r="CT96" s="582">
        <v>89145.5</v>
      </c>
      <c r="CU96" s="698">
        <f t="shared" si="146"/>
        <v>88855.538461538468</v>
      </c>
      <c r="CW96" s="33"/>
      <c r="CX96" s="184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</row>
    <row r="97" spans="1:117">
      <c r="A97" s="616" t="s">
        <v>1234</v>
      </c>
      <c r="B97" s="260">
        <f t="shared" ca="1" si="145"/>
        <v>0</v>
      </c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413"/>
      <c r="P97" s="413"/>
      <c r="Q97" s="413"/>
      <c r="R97" s="415"/>
      <c r="S97" s="415"/>
      <c r="T97" s="415"/>
      <c r="U97" s="415"/>
      <c r="V97" s="415"/>
      <c r="W97" s="415"/>
      <c r="X97" s="415"/>
      <c r="Y97" s="415"/>
      <c r="Z97" s="415"/>
      <c r="AA97" s="415"/>
      <c r="AB97" s="415"/>
      <c r="AC97" s="415"/>
      <c r="AD97" s="415"/>
      <c r="AE97" s="415"/>
      <c r="AF97" s="415"/>
      <c r="AG97" s="415"/>
      <c r="AH97" s="415"/>
      <c r="AI97" s="415"/>
      <c r="AJ97" s="415"/>
      <c r="AK97" s="415"/>
      <c r="AL97" s="415"/>
      <c r="AM97" s="415"/>
      <c r="AN97" s="415"/>
      <c r="AO97" s="415"/>
      <c r="AP97" s="415"/>
      <c r="AQ97" s="415"/>
      <c r="AR97" s="413"/>
      <c r="AS97" s="413"/>
      <c r="AT97" s="413"/>
      <c r="AU97" s="413"/>
      <c r="AV97" s="413"/>
      <c r="AW97" s="413"/>
      <c r="AX97" s="413"/>
      <c r="AY97" s="413"/>
      <c r="AZ97" s="413"/>
      <c r="BA97" s="413"/>
      <c r="BB97" s="413"/>
      <c r="BC97" s="413"/>
      <c r="BD97" s="413"/>
      <c r="BE97" s="582"/>
      <c r="BF97" s="582"/>
      <c r="BG97" s="582"/>
      <c r="BH97" s="582"/>
      <c r="BI97" s="582"/>
      <c r="BJ97" s="582"/>
      <c r="BK97" s="582">
        <v>0</v>
      </c>
      <c r="BL97" s="582">
        <v>0</v>
      </c>
      <c r="BM97" s="582">
        <v>0</v>
      </c>
      <c r="BN97" s="582">
        <v>0</v>
      </c>
      <c r="BO97" s="582">
        <v>0</v>
      </c>
      <c r="BP97" s="582">
        <v>0</v>
      </c>
      <c r="BQ97" s="582">
        <v>0</v>
      </c>
      <c r="BR97" s="582">
        <v>0</v>
      </c>
      <c r="BS97" s="582">
        <v>0</v>
      </c>
      <c r="BT97" s="582">
        <v>0</v>
      </c>
      <c r="BU97" s="582">
        <v>0</v>
      </c>
      <c r="BV97" s="582">
        <v>0</v>
      </c>
      <c r="BW97" s="582">
        <v>0</v>
      </c>
      <c r="BX97" s="582">
        <v>0</v>
      </c>
      <c r="BY97" s="582">
        <v>0</v>
      </c>
      <c r="BZ97" s="582">
        <v>0</v>
      </c>
      <c r="CA97" s="582">
        <v>0</v>
      </c>
      <c r="CB97" s="582">
        <v>0</v>
      </c>
      <c r="CC97" s="582">
        <v>0</v>
      </c>
      <c r="CD97" s="582">
        <v>0</v>
      </c>
      <c r="CE97" s="582">
        <v>0</v>
      </c>
      <c r="CF97" s="582">
        <v>0</v>
      </c>
      <c r="CG97" s="582">
        <v>0</v>
      </c>
      <c r="CH97" s="582">
        <v>0</v>
      </c>
      <c r="CI97" s="582">
        <v>0</v>
      </c>
      <c r="CJ97" s="582">
        <v>0</v>
      </c>
      <c r="CK97" s="582">
        <v>0</v>
      </c>
      <c r="CL97" s="582">
        <v>0</v>
      </c>
      <c r="CM97" s="582">
        <v>0</v>
      </c>
      <c r="CN97" s="582">
        <v>0</v>
      </c>
      <c r="CO97" s="582">
        <v>0</v>
      </c>
      <c r="CP97" s="582">
        <v>0</v>
      </c>
      <c r="CQ97" s="582">
        <v>0</v>
      </c>
      <c r="CR97" s="582">
        <v>0</v>
      </c>
      <c r="CS97" s="582">
        <v>0</v>
      </c>
      <c r="CT97" s="582">
        <v>0</v>
      </c>
      <c r="CU97" s="698">
        <f t="shared" si="146"/>
        <v>0</v>
      </c>
      <c r="CW97" s="33"/>
      <c r="CX97" s="184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</row>
    <row r="98" spans="1:117">
      <c r="A98" s="616" t="s">
        <v>542</v>
      </c>
      <c r="B98" s="262">
        <f t="shared" ca="1" si="145"/>
        <v>3313.3000000000006</v>
      </c>
      <c r="C98" s="354">
        <v>0</v>
      </c>
      <c r="D98" s="354">
        <v>0</v>
      </c>
      <c r="E98" s="354">
        <v>0</v>
      </c>
      <c r="F98" s="354">
        <v>0</v>
      </c>
      <c r="G98" s="354">
        <v>0</v>
      </c>
      <c r="H98" s="354">
        <v>0</v>
      </c>
      <c r="I98" s="354">
        <v>0</v>
      </c>
      <c r="J98" s="354">
        <v>0</v>
      </c>
      <c r="K98" s="354">
        <v>0</v>
      </c>
      <c r="L98" s="354">
        <v>0</v>
      </c>
      <c r="M98" s="354">
        <v>0</v>
      </c>
      <c r="N98" s="354">
        <v>0</v>
      </c>
      <c r="O98" s="417">
        <v>0</v>
      </c>
      <c r="P98" s="417">
        <v>0</v>
      </c>
      <c r="Q98" s="417">
        <v>0</v>
      </c>
      <c r="R98" s="417">
        <v>0</v>
      </c>
      <c r="S98" s="417">
        <v>0</v>
      </c>
      <c r="T98" s="417">
        <v>0</v>
      </c>
      <c r="U98" s="417">
        <v>0</v>
      </c>
      <c r="V98" s="417">
        <v>0</v>
      </c>
      <c r="W98" s="417"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v>0</v>
      </c>
      <c r="AF98" s="417">
        <v>0</v>
      </c>
      <c r="AG98" s="417"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v>0</v>
      </c>
      <c r="AN98" s="417">
        <v>0</v>
      </c>
      <c r="AO98" s="417">
        <v>0</v>
      </c>
      <c r="AP98" s="417">
        <v>0</v>
      </c>
      <c r="AQ98" s="417">
        <v>0</v>
      </c>
      <c r="AR98" s="417">
        <v>0</v>
      </c>
      <c r="AS98" s="417">
        <v>0</v>
      </c>
      <c r="AT98" s="417">
        <v>0</v>
      </c>
      <c r="AU98" s="417">
        <v>0</v>
      </c>
      <c r="AV98" s="417">
        <v>0</v>
      </c>
      <c r="AW98" s="417">
        <v>0</v>
      </c>
      <c r="AX98" s="417">
        <v>0</v>
      </c>
      <c r="AY98" s="417">
        <v>0</v>
      </c>
      <c r="AZ98" s="417">
        <v>0</v>
      </c>
      <c r="BA98" s="417">
        <v>0</v>
      </c>
      <c r="BB98" s="417">
        <v>0</v>
      </c>
      <c r="BC98" s="417">
        <v>0</v>
      </c>
      <c r="BD98" s="417">
        <v>0</v>
      </c>
      <c r="BE98" s="694">
        <v>0</v>
      </c>
      <c r="BF98" s="694">
        <v>0</v>
      </c>
      <c r="BG98" s="694">
        <v>0</v>
      </c>
      <c r="BH98" s="694">
        <v>0</v>
      </c>
      <c r="BI98" s="694">
        <v>0</v>
      </c>
      <c r="BJ98" s="694">
        <v>0</v>
      </c>
      <c r="BK98" s="694">
        <v>0</v>
      </c>
      <c r="BL98" s="694">
        <v>0</v>
      </c>
      <c r="BM98" s="694">
        <v>0</v>
      </c>
      <c r="BN98" s="694">
        <v>0</v>
      </c>
      <c r="BO98" s="694">
        <v>0</v>
      </c>
      <c r="BP98" s="694">
        <v>0</v>
      </c>
      <c r="BQ98" s="694">
        <v>0</v>
      </c>
      <c r="BR98" s="694">
        <v>0</v>
      </c>
      <c r="BS98" s="694">
        <v>0</v>
      </c>
      <c r="BT98" s="694">
        <v>0</v>
      </c>
      <c r="BU98" s="694">
        <v>0</v>
      </c>
      <c r="BV98" s="694">
        <v>0</v>
      </c>
      <c r="BW98" s="694">
        <v>3313.3</v>
      </c>
      <c r="BX98" s="694">
        <v>3313.3</v>
      </c>
      <c r="BY98" s="694">
        <v>3313.3</v>
      </c>
      <c r="BZ98" s="694">
        <v>3313.3</v>
      </c>
      <c r="CA98" s="694">
        <v>3313.3</v>
      </c>
      <c r="CB98" s="694">
        <v>3313.3</v>
      </c>
      <c r="CC98" s="694">
        <v>3313.3</v>
      </c>
      <c r="CD98" s="694">
        <v>3313.3</v>
      </c>
      <c r="CE98" s="694">
        <v>3313.3</v>
      </c>
      <c r="CF98" s="694">
        <v>3313.3</v>
      </c>
      <c r="CG98" s="694">
        <v>3313.3</v>
      </c>
      <c r="CH98" s="694">
        <v>3313.3</v>
      </c>
      <c r="CI98" s="694">
        <v>3313.3</v>
      </c>
      <c r="CJ98" s="694">
        <v>3313.3</v>
      </c>
      <c r="CK98" s="694">
        <v>3313.3</v>
      </c>
      <c r="CL98" s="694">
        <v>3313.3</v>
      </c>
      <c r="CM98" s="694">
        <v>3313.3</v>
      </c>
      <c r="CN98" s="694">
        <v>3313.3</v>
      </c>
      <c r="CO98" s="694">
        <v>3313.3</v>
      </c>
      <c r="CP98" s="694">
        <v>3313.3</v>
      </c>
      <c r="CQ98" s="694">
        <v>3313.3</v>
      </c>
      <c r="CR98" s="694">
        <v>3313.3</v>
      </c>
      <c r="CS98" s="694">
        <v>3313.3</v>
      </c>
      <c r="CT98" s="694">
        <v>3313.3</v>
      </c>
      <c r="CU98" s="699">
        <f t="shared" si="146"/>
        <v>3313.3000000000006</v>
      </c>
      <c r="CW98" s="33"/>
      <c r="CX98" s="184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</row>
    <row r="99" spans="1:117" s="19" customFormat="1">
      <c r="A99" s="598" t="s">
        <v>543</v>
      </c>
      <c r="B99" s="260">
        <f t="shared" ca="1" si="145"/>
        <v>425095.93846153846</v>
      </c>
      <c r="C99" s="89">
        <f t="shared" ref="C99:N99" si="147">SUM(C92:C98)</f>
        <v>254492.74315999998</v>
      </c>
      <c r="D99" s="89">
        <f t="shared" si="147"/>
        <v>255693.47043000002</v>
      </c>
      <c r="E99" s="89">
        <f t="shared" si="147"/>
        <v>258465.71127999999</v>
      </c>
      <c r="F99" s="89">
        <f t="shared" si="147"/>
        <v>260636.25347</v>
      </c>
      <c r="G99" s="89">
        <f t="shared" si="147"/>
        <v>263604.85227000003</v>
      </c>
      <c r="H99" s="89">
        <f t="shared" si="147"/>
        <v>265610.77578999999</v>
      </c>
      <c r="I99" s="89">
        <f t="shared" si="147"/>
        <v>266809.24745999998</v>
      </c>
      <c r="J99" s="89">
        <f t="shared" si="147"/>
        <v>268909.89997000003</v>
      </c>
      <c r="K99" s="89">
        <f t="shared" si="147"/>
        <v>271258.17973999999</v>
      </c>
      <c r="L99" s="89">
        <f t="shared" si="147"/>
        <v>274970.61044999998</v>
      </c>
      <c r="M99" s="89">
        <f t="shared" si="147"/>
        <v>277962.63458000001</v>
      </c>
      <c r="N99" s="89">
        <f t="shared" si="147"/>
        <v>273114.77390000003</v>
      </c>
      <c r="O99" s="89">
        <f t="shared" ref="O99:Z99" si="148">SUM(O92:O98)</f>
        <v>272997.80615999998</v>
      </c>
      <c r="P99" s="89">
        <f t="shared" si="148"/>
        <v>273887.13078000001</v>
      </c>
      <c r="Q99" s="89">
        <f t="shared" si="148"/>
        <v>275093.70286000002</v>
      </c>
      <c r="R99" s="89">
        <f t="shared" si="148"/>
        <v>275933.47472</v>
      </c>
      <c r="S99" s="89">
        <f t="shared" si="148"/>
        <v>277499.50624999998</v>
      </c>
      <c r="T99" s="89">
        <f t="shared" si="148"/>
        <v>278448.98759999999</v>
      </c>
      <c r="U99" s="89">
        <f t="shared" si="148"/>
        <v>279122.96017999999</v>
      </c>
      <c r="V99" s="89">
        <f t="shared" si="148"/>
        <v>281260.75023000001</v>
      </c>
      <c r="W99" s="89">
        <f t="shared" si="148"/>
        <v>284085.03905000002</v>
      </c>
      <c r="X99" s="89">
        <f t="shared" si="148"/>
        <v>285807.74218</v>
      </c>
      <c r="Y99" s="89">
        <f t="shared" si="148"/>
        <v>291306.01649000007</v>
      </c>
      <c r="Z99" s="89">
        <f t="shared" si="148"/>
        <v>291848.15552000003</v>
      </c>
      <c r="AA99" s="89">
        <f t="shared" ref="AA99:AL99" si="149">SUM(AA92:AA98)</f>
        <v>292474.39491000003</v>
      </c>
      <c r="AB99" s="89">
        <f t="shared" si="149"/>
        <v>293810.88847999997</v>
      </c>
      <c r="AC99" s="89">
        <f t="shared" si="149"/>
        <v>294746.55198999995</v>
      </c>
      <c r="AD99" s="89">
        <f t="shared" si="149"/>
        <v>296187.83715000004</v>
      </c>
      <c r="AE99" s="89">
        <f t="shared" si="149"/>
        <v>297202.87357000005</v>
      </c>
      <c r="AF99" s="89">
        <f t="shared" si="149"/>
        <v>299401.24299000006</v>
      </c>
      <c r="AG99" s="89">
        <f>SUM(AG92:AG98)</f>
        <v>301403.69484999997</v>
      </c>
      <c r="AH99" s="89">
        <f t="shared" si="149"/>
        <v>304114.90725000005</v>
      </c>
      <c r="AI99" s="89">
        <f t="shared" si="149"/>
        <v>304206.79946999997</v>
      </c>
      <c r="AJ99" s="89">
        <f t="shared" si="149"/>
        <v>305880.26604000002</v>
      </c>
      <c r="AK99" s="89">
        <f t="shared" si="149"/>
        <v>307108.83821000002</v>
      </c>
      <c r="AL99" s="89">
        <f t="shared" si="149"/>
        <v>310043.32375999994</v>
      </c>
      <c r="AM99" s="89">
        <f t="shared" ref="AM99:AS99" si="150">SUM(AM92:AM98)</f>
        <v>310440.22378</v>
      </c>
      <c r="AN99" s="89">
        <f t="shared" si="150"/>
        <v>313388.55223000003</v>
      </c>
      <c r="AO99" s="89">
        <f t="shared" si="150"/>
        <v>314380.38933999999</v>
      </c>
      <c r="AP99" s="89">
        <f t="shared" si="150"/>
        <v>316878.62904999999</v>
      </c>
      <c r="AQ99" s="89">
        <f t="shared" si="150"/>
        <v>319300.97276000003</v>
      </c>
      <c r="AR99" s="89">
        <f t="shared" si="150"/>
        <v>321791.00828000001</v>
      </c>
      <c r="AS99" s="89">
        <f t="shared" si="150"/>
        <v>323537.66791999998</v>
      </c>
      <c r="AT99" s="89">
        <f t="shared" ref="AT99:AY99" si="151">SUM(AT92:AT98)</f>
        <v>324434.56799000001</v>
      </c>
      <c r="AU99" s="89">
        <f t="shared" si="151"/>
        <v>326286.79129999998</v>
      </c>
      <c r="AV99" s="89">
        <f t="shared" si="151"/>
        <v>328733.53835000005</v>
      </c>
      <c r="AW99" s="89">
        <f t="shared" si="151"/>
        <v>330224.51739000005</v>
      </c>
      <c r="AX99" s="89">
        <f t="shared" si="151"/>
        <v>334516.27537000005</v>
      </c>
      <c r="AY99" s="89">
        <f t="shared" si="151"/>
        <v>336269.92670999997</v>
      </c>
      <c r="AZ99" s="89">
        <f t="shared" ref="AZ99:BJ99" si="152">SUM(AZ92:AZ98)</f>
        <v>336327.10145999998</v>
      </c>
      <c r="BA99" s="89">
        <f t="shared" si="152"/>
        <v>333863.76694</v>
      </c>
      <c r="BB99" s="89">
        <f t="shared" si="152"/>
        <v>335976.65715999994</v>
      </c>
      <c r="BC99" s="89">
        <f t="shared" si="152"/>
        <v>338003.51559999998</v>
      </c>
      <c r="BD99" s="89">
        <f t="shared" si="152"/>
        <v>337832.85865999997</v>
      </c>
      <c r="BE99" s="581">
        <f t="shared" si="152"/>
        <v>340182.02051</v>
      </c>
      <c r="BF99" s="581">
        <f t="shared" si="152"/>
        <v>341421.46250000002</v>
      </c>
      <c r="BG99" s="581">
        <f t="shared" si="152"/>
        <v>343173.64672000002</v>
      </c>
      <c r="BH99" s="581">
        <f t="shared" si="152"/>
        <v>346167.69015000004</v>
      </c>
      <c r="BI99" s="581">
        <f t="shared" si="152"/>
        <v>350940.16966999997</v>
      </c>
      <c r="BJ99" s="581">
        <f t="shared" si="152"/>
        <v>348444.55278000003</v>
      </c>
      <c r="BK99" s="581">
        <f t="shared" ref="BK99:BV99" si="153">SUM(BK92:BK98)</f>
        <v>351684.88104999997</v>
      </c>
      <c r="BL99" s="581">
        <f t="shared" si="153"/>
        <v>352926.11245000002</v>
      </c>
      <c r="BM99" s="581">
        <f t="shared" si="153"/>
        <v>353760.12468999997</v>
      </c>
      <c r="BN99" s="581">
        <f t="shared" si="153"/>
        <v>354018.42598</v>
      </c>
      <c r="BO99" s="581">
        <f t="shared" si="153"/>
        <v>356229.55499999999</v>
      </c>
      <c r="BP99" s="581">
        <f t="shared" si="153"/>
        <v>359069.03751000005</v>
      </c>
      <c r="BQ99" s="581">
        <f t="shared" si="153"/>
        <v>361144.46857000003</v>
      </c>
      <c r="BR99" s="581">
        <f t="shared" si="153"/>
        <v>366533.19325000001</v>
      </c>
      <c r="BS99" s="581">
        <f t="shared" si="153"/>
        <v>369835.74720000004</v>
      </c>
      <c r="BT99" s="581">
        <f t="shared" si="153"/>
        <v>372784.08533999999</v>
      </c>
      <c r="BU99" s="581">
        <f t="shared" si="153"/>
        <v>374809.44744000002</v>
      </c>
      <c r="BV99" s="581">
        <f t="shared" si="153"/>
        <v>380515.58851999999</v>
      </c>
      <c r="BW99" s="581">
        <f t="shared" ref="BW99:CH99" si="154">SUM(BW92:BW98)</f>
        <v>386895.8</v>
      </c>
      <c r="BX99" s="581">
        <f t="shared" si="154"/>
        <v>388748.39999999991</v>
      </c>
      <c r="BY99" s="581">
        <f t="shared" si="154"/>
        <v>389265.3</v>
      </c>
      <c r="BZ99" s="581">
        <f t="shared" si="154"/>
        <v>391774.69999999995</v>
      </c>
      <c r="CA99" s="581">
        <f t="shared" si="154"/>
        <v>394225.8</v>
      </c>
      <c r="CB99" s="581">
        <f t="shared" si="154"/>
        <v>397038.49999999994</v>
      </c>
      <c r="CC99" s="581">
        <f t="shared" si="154"/>
        <v>399497</v>
      </c>
      <c r="CD99" s="581">
        <f t="shared" si="154"/>
        <v>403032.19999999995</v>
      </c>
      <c r="CE99" s="581">
        <f t="shared" si="154"/>
        <v>405999.6999999999</v>
      </c>
      <c r="CF99" s="581">
        <f t="shared" si="154"/>
        <v>408570.30000000005</v>
      </c>
      <c r="CG99" s="581">
        <f t="shared" si="154"/>
        <v>410255.49999999994</v>
      </c>
      <c r="CH99" s="581">
        <f t="shared" si="154"/>
        <v>413118.89999999991</v>
      </c>
      <c r="CI99" s="581">
        <f t="shared" ref="CI99" si="155">SUM(CI92:CI98)</f>
        <v>416244.39999999991</v>
      </c>
      <c r="CJ99" s="581">
        <f t="shared" ref="CJ99:CT99" si="156">SUM(CJ92:CJ98)</f>
        <v>417596.59999999992</v>
      </c>
      <c r="CK99" s="581">
        <f t="shared" si="156"/>
        <v>417396.6</v>
      </c>
      <c r="CL99" s="581">
        <f t="shared" si="156"/>
        <v>419526.60000000003</v>
      </c>
      <c r="CM99" s="581">
        <f t="shared" si="156"/>
        <v>421518.49999999994</v>
      </c>
      <c r="CN99" s="581">
        <f t="shared" si="156"/>
        <v>424085.19999999995</v>
      </c>
      <c r="CO99" s="581">
        <f t="shared" si="156"/>
        <v>426200.3</v>
      </c>
      <c r="CP99" s="581">
        <f t="shared" si="156"/>
        <v>428817.49999999988</v>
      </c>
      <c r="CQ99" s="581">
        <f t="shared" si="156"/>
        <v>432489.5</v>
      </c>
      <c r="CR99" s="581">
        <f t="shared" si="156"/>
        <v>434739.69999999995</v>
      </c>
      <c r="CS99" s="581">
        <f t="shared" si="156"/>
        <v>436066.49999999994</v>
      </c>
      <c r="CT99" s="581">
        <f t="shared" si="156"/>
        <v>438446.89999999997</v>
      </c>
      <c r="CU99" s="698">
        <f t="shared" si="146"/>
        <v>425095.93846153846</v>
      </c>
      <c r="CV99" s="33"/>
      <c r="CW99" s="33"/>
      <c r="CX99" s="184"/>
      <c r="CY99" s="33"/>
      <c r="CZ99" s="447"/>
      <c r="DA99" s="447"/>
      <c r="DB99" s="447"/>
      <c r="DC99" s="447"/>
      <c r="DD99" s="447"/>
      <c r="DE99" s="447"/>
      <c r="DF99" s="447"/>
      <c r="DG99" s="447"/>
      <c r="DH99" s="447"/>
      <c r="DI99" s="447"/>
      <c r="DJ99" s="447"/>
      <c r="DK99" s="447"/>
      <c r="DL99" s="447"/>
      <c r="DM99" s="375"/>
    </row>
    <row r="100" spans="1:117">
      <c r="A100" s="598"/>
      <c r="B100" s="26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686"/>
      <c r="BF100" s="686"/>
      <c r="BG100" s="686"/>
      <c r="BH100" s="686"/>
      <c r="BI100" s="686"/>
      <c r="BJ100" s="686"/>
      <c r="BK100" s="686"/>
      <c r="BL100" s="686"/>
      <c r="BM100" s="686"/>
      <c r="BN100" s="686"/>
      <c r="BO100" s="686"/>
      <c r="BP100" s="686"/>
      <c r="BQ100" s="686"/>
      <c r="BR100" s="686"/>
      <c r="BS100" s="686"/>
      <c r="BT100" s="686"/>
      <c r="BU100" s="686"/>
      <c r="BV100" s="686"/>
      <c r="BW100" s="686"/>
      <c r="BX100" s="686"/>
      <c r="BY100" s="686"/>
      <c r="BZ100" s="686"/>
      <c r="CA100" s="686"/>
      <c r="CB100" s="686"/>
      <c r="CC100" s="686"/>
      <c r="CD100" s="686"/>
      <c r="CE100" s="686"/>
      <c r="CF100" s="686"/>
      <c r="CG100" s="686"/>
      <c r="CH100" s="686"/>
      <c r="CI100" s="686"/>
      <c r="CJ100" s="686"/>
      <c r="CK100" s="686"/>
      <c r="CL100" s="686"/>
      <c r="CM100" s="686"/>
      <c r="CN100" s="686"/>
      <c r="CO100" s="686"/>
      <c r="CP100" s="686"/>
      <c r="CQ100" s="686"/>
      <c r="CR100" s="686"/>
      <c r="CS100" s="686"/>
      <c r="CT100" s="686"/>
      <c r="CU100" s="698"/>
      <c r="CW100" s="33"/>
      <c r="CX100" s="184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</row>
    <row r="101" spans="1:117">
      <c r="A101" s="616" t="s">
        <v>544</v>
      </c>
      <c r="B101" s="260">
        <f t="shared" ref="B101:B105" ca="1" si="157">SUM(OFFSET(BW101:CI101,0,$A$1-1))/13</f>
        <v>35604.892307692309</v>
      </c>
      <c r="C101" s="352">
        <v>33232.551169999999</v>
      </c>
      <c r="D101" s="352">
        <v>32814.977719999995</v>
      </c>
      <c r="E101" s="352">
        <v>32356.243689999999</v>
      </c>
      <c r="F101" s="352">
        <v>32537.237589999997</v>
      </c>
      <c r="G101" s="352">
        <v>32611.938400000003</v>
      </c>
      <c r="H101" s="352">
        <v>33329.017630000002</v>
      </c>
      <c r="I101" s="352">
        <v>33406.819600000003</v>
      </c>
      <c r="J101" s="352">
        <v>33463.907770000005</v>
      </c>
      <c r="K101" s="352">
        <v>33316.9444</v>
      </c>
      <c r="L101" s="352">
        <v>33390.140930000001</v>
      </c>
      <c r="M101" s="352">
        <v>33438.184299999994</v>
      </c>
      <c r="N101" s="352">
        <v>31177.312839999995</v>
      </c>
      <c r="O101" s="415">
        <v>31376.518619999999</v>
      </c>
      <c r="P101" s="415">
        <v>31163.232049999999</v>
      </c>
      <c r="Q101" s="415">
        <v>30755.33726</v>
      </c>
      <c r="R101" s="415">
        <v>30807.307420000001</v>
      </c>
      <c r="S101" s="415">
        <v>30775.087789999998</v>
      </c>
      <c r="T101" s="415">
        <v>30308.419610000001</v>
      </c>
      <c r="U101" s="415">
        <v>30393.484840000001</v>
      </c>
      <c r="V101" s="415">
        <v>30443.54896</v>
      </c>
      <c r="W101" s="415">
        <v>29638.7284</v>
      </c>
      <c r="X101" s="415">
        <v>29686.634049999997</v>
      </c>
      <c r="Y101" s="415">
        <v>29725.090929999998</v>
      </c>
      <c r="Z101" s="415">
        <v>35590.311590000005</v>
      </c>
      <c r="AA101" s="415">
        <v>35580.073530000001</v>
      </c>
      <c r="AB101" s="415">
        <v>35936.726539999996</v>
      </c>
      <c r="AC101" s="415">
        <v>35399.9663</v>
      </c>
      <c r="AD101" s="415">
        <v>35501.154719999999</v>
      </c>
      <c r="AE101" s="415">
        <v>35557.995280000003</v>
      </c>
      <c r="AF101" s="415">
        <v>35202.79681</v>
      </c>
      <c r="AG101" s="415">
        <v>35457.040970000002</v>
      </c>
      <c r="AH101" s="415">
        <v>35395.493570000006</v>
      </c>
      <c r="AI101" s="415">
        <v>34997.089570000004</v>
      </c>
      <c r="AJ101" s="415">
        <v>35090.72984</v>
      </c>
      <c r="AK101" s="415">
        <v>35184.564019999998</v>
      </c>
      <c r="AL101" s="415">
        <v>35443.422120000003</v>
      </c>
      <c r="AM101" s="415">
        <v>35507.218290000004</v>
      </c>
      <c r="AN101" s="415">
        <v>35601.645599999996</v>
      </c>
      <c r="AO101" s="415">
        <v>35272.63496000001</v>
      </c>
      <c r="AP101" s="415">
        <v>35224.527670000003</v>
      </c>
      <c r="AQ101" s="415">
        <v>35345.569620000002</v>
      </c>
      <c r="AR101" s="413">
        <v>34853.14884999999</v>
      </c>
      <c r="AS101" s="413">
        <v>34963.662409999997</v>
      </c>
      <c r="AT101" s="413">
        <v>34979.036870000004</v>
      </c>
      <c r="AU101" s="413">
        <v>34527.22481</v>
      </c>
      <c r="AV101" s="413">
        <v>34622.990109999999</v>
      </c>
      <c r="AW101" s="413">
        <v>34771.98979</v>
      </c>
      <c r="AX101" s="413">
        <v>41453.739150000009</v>
      </c>
      <c r="AY101" s="413">
        <v>41521.220939999999</v>
      </c>
      <c r="AZ101" s="413">
        <v>41646.103440000006</v>
      </c>
      <c r="BA101" s="413">
        <v>40033.396829999998</v>
      </c>
      <c r="BB101" s="413">
        <v>40142.611369999999</v>
      </c>
      <c r="BC101" s="413">
        <v>40250.912710000004</v>
      </c>
      <c r="BD101" s="413">
        <v>39881.427500000005</v>
      </c>
      <c r="BE101" s="582">
        <v>40010.225060000004</v>
      </c>
      <c r="BF101" s="582">
        <v>40090.886680000003</v>
      </c>
      <c r="BG101" s="582">
        <v>39764.307420000005</v>
      </c>
      <c r="BH101" s="582">
        <v>40002.90638</v>
      </c>
      <c r="BI101" s="582">
        <v>40158.910090000005</v>
      </c>
      <c r="BJ101" s="582">
        <v>31953.972819999999</v>
      </c>
      <c r="BK101" s="582">
        <v>31996.468939999999</v>
      </c>
      <c r="BL101" s="582">
        <v>32089.228980000004</v>
      </c>
      <c r="BM101" s="582">
        <v>31835.970140000005</v>
      </c>
      <c r="BN101" s="582">
        <v>31945.962179999999</v>
      </c>
      <c r="BO101" s="582">
        <v>31942.49985</v>
      </c>
      <c r="BP101" s="582">
        <v>29362.78008</v>
      </c>
      <c r="BQ101" s="582">
        <v>29737.614130000002</v>
      </c>
      <c r="BR101" s="582">
        <v>29255.497570000003</v>
      </c>
      <c r="BS101" s="582">
        <v>28446.930640000002</v>
      </c>
      <c r="BT101" s="582">
        <v>28056.460999999999</v>
      </c>
      <c r="BU101" s="582">
        <v>27898.777239999999</v>
      </c>
      <c r="BV101" s="582">
        <v>35259.064810000003</v>
      </c>
      <c r="BW101" s="582">
        <v>35115.299999999996</v>
      </c>
      <c r="BX101" s="582">
        <v>35142.799999999996</v>
      </c>
      <c r="BY101" s="582">
        <v>35170.299999999996</v>
      </c>
      <c r="BZ101" s="582">
        <v>35197.799999999996</v>
      </c>
      <c r="CA101" s="582">
        <v>35225.200000000004</v>
      </c>
      <c r="CB101" s="582">
        <v>35252.700000000004</v>
      </c>
      <c r="CC101" s="582">
        <v>35280.1</v>
      </c>
      <c r="CD101" s="582">
        <v>35307.599999999999</v>
      </c>
      <c r="CE101" s="582">
        <v>35335</v>
      </c>
      <c r="CF101" s="582">
        <v>35362.5</v>
      </c>
      <c r="CG101" s="582">
        <v>35390</v>
      </c>
      <c r="CH101" s="582">
        <v>35417.4</v>
      </c>
      <c r="CI101" s="582">
        <v>35449.299999999996</v>
      </c>
      <c r="CJ101" s="582">
        <v>35476.1</v>
      </c>
      <c r="CK101" s="582">
        <v>35503</v>
      </c>
      <c r="CL101" s="582">
        <v>35529.799999999996</v>
      </c>
      <c r="CM101" s="582">
        <v>35556.6</v>
      </c>
      <c r="CN101" s="582">
        <v>35583.4</v>
      </c>
      <c r="CO101" s="582">
        <v>35610.399999999994</v>
      </c>
      <c r="CP101" s="582">
        <v>35637.199999999997</v>
      </c>
      <c r="CQ101" s="582">
        <v>35672.400000000001</v>
      </c>
      <c r="CR101" s="582">
        <v>35740.800000000003</v>
      </c>
      <c r="CS101" s="582">
        <v>35809.299999999996</v>
      </c>
      <c r="CT101" s="582">
        <v>35877.9</v>
      </c>
      <c r="CU101" s="698">
        <f t="shared" ref="CU101:CU103" si="158">SUM(CH101:CT101)/13</f>
        <v>35604.892307692309</v>
      </c>
      <c r="CW101" s="33"/>
      <c r="CX101" s="184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</row>
    <row r="102" spans="1:117">
      <c r="A102" s="616" t="s">
        <v>545</v>
      </c>
      <c r="B102" s="262">
        <f t="shared" ca="1" si="157"/>
        <v>0</v>
      </c>
      <c r="C102" s="354">
        <v>0</v>
      </c>
      <c r="D102" s="354">
        <v>0</v>
      </c>
      <c r="E102" s="354">
        <v>0</v>
      </c>
      <c r="F102" s="354">
        <v>0</v>
      </c>
      <c r="G102" s="354">
        <v>0</v>
      </c>
      <c r="H102" s="354">
        <v>0</v>
      </c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417">
        <v>0</v>
      </c>
      <c r="P102" s="417">
        <v>0</v>
      </c>
      <c r="Q102" s="417">
        <v>0</v>
      </c>
      <c r="R102" s="417">
        <v>0</v>
      </c>
      <c r="S102" s="417">
        <v>0</v>
      </c>
      <c r="T102" s="417">
        <v>0</v>
      </c>
      <c r="U102" s="417">
        <v>0</v>
      </c>
      <c r="V102" s="417">
        <v>0</v>
      </c>
      <c r="W102" s="417"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v>0</v>
      </c>
      <c r="AF102" s="417">
        <v>0</v>
      </c>
      <c r="AG102" s="417"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v>0</v>
      </c>
      <c r="AN102" s="417">
        <v>0</v>
      </c>
      <c r="AO102" s="417">
        <v>0</v>
      </c>
      <c r="AP102" s="417">
        <v>0</v>
      </c>
      <c r="AQ102" s="417">
        <v>0</v>
      </c>
      <c r="AR102" s="417">
        <v>0</v>
      </c>
      <c r="AS102" s="417">
        <v>0</v>
      </c>
      <c r="AT102" s="417">
        <v>0</v>
      </c>
      <c r="AU102" s="417">
        <v>0</v>
      </c>
      <c r="AV102" s="417">
        <v>0</v>
      </c>
      <c r="AW102" s="417">
        <v>0</v>
      </c>
      <c r="AX102" s="417">
        <v>0</v>
      </c>
      <c r="AY102" s="417">
        <v>0</v>
      </c>
      <c r="AZ102" s="417">
        <v>0</v>
      </c>
      <c r="BA102" s="417">
        <v>0</v>
      </c>
      <c r="BB102" s="417">
        <v>0</v>
      </c>
      <c r="BC102" s="417">
        <v>0</v>
      </c>
      <c r="BD102" s="417">
        <v>0</v>
      </c>
      <c r="BE102" s="694">
        <v>0</v>
      </c>
      <c r="BF102" s="694">
        <v>0</v>
      </c>
      <c r="BG102" s="694">
        <v>0</v>
      </c>
      <c r="BH102" s="694">
        <v>0</v>
      </c>
      <c r="BI102" s="694">
        <v>0</v>
      </c>
      <c r="BJ102" s="694">
        <v>0</v>
      </c>
      <c r="BK102" s="694">
        <v>0</v>
      </c>
      <c r="BL102" s="694">
        <v>0</v>
      </c>
      <c r="BM102" s="694">
        <v>0</v>
      </c>
      <c r="BN102" s="694">
        <v>0</v>
      </c>
      <c r="BO102" s="694">
        <v>0</v>
      </c>
      <c r="BP102" s="694">
        <v>0</v>
      </c>
      <c r="BQ102" s="694">
        <v>0</v>
      </c>
      <c r="BR102" s="694">
        <v>0</v>
      </c>
      <c r="BS102" s="694">
        <v>0</v>
      </c>
      <c r="BT102" s="694">
        <v>0</v>
      </c>
      <c r="BU102" s="694">
        <v>0</v>
      </c>
      <c r="BV102" s="694">
        <v>0</v>
      </c>
      <c r="BW102" s="694">
        <v>0</v>
      </c>
      <c r="BX102" s="694">
        <v>0</v>
      </c>
      <c r="BY102" s="694">
        <v>0</v>
      </c>
      <c r="BZ102" s="694">
        <v>0</v>
      </c>
      <c r="CA102" s="694">
        <v>0</v>
      </c>
      <c r="CB102" s="694">
        <v>0</v>
      </c>
      <c r="CC102" s="694">
        <v>0</v>
      </c>
      <c r="CD102" s="694">
        <v>0</v>
      </c>
      <c r="CE102" s="694">
        <v>0</v>
      </c>
      <c r="CF102" s="694">
        <v>0</v>
      </c>
      <c r="CG102" s="694">
        <v>0</v>
      </c>
      <c r="CH102" s="694">
        <v>0</v>
      </c>
      <c r="CI102" s="694">
        <v>0</v>
      </c>
      <c r="CJ102" s="694">
        <v>0</v>
      </c>
      <c r="CK102" s="694">
        <v>0</v>
      </c>
      <c r="CL102" s="694">
        <v>0</v>
      </c>
      <c r="CM102" s="694">
        <v>0</v>
      </c>
      <c r="CN102" s="694">
        <v>0</v>
      </c>
      <c r="CO102" s="694">
        <v>0</v>
      </c>
      <c r="CP102" s="694">
        <v>0</v>
      </c>
      <c r="CQ102" s="694">
        <v>0</v>
      </c>
      <c r="CR102" s="694">
        <v>0</v>
      </c>
      <c r="CS102" s="694">
        <v>0</v>
      </c>
      <c r="CT102" s="694">
        <v>0</v>
      </c>
      <c r="CU102" s="699">
        <f t="shared" si="158"/>
        <v>0</v>
      </c>
      <c r="CW102" s="33"/>
      <c r="CX102" s="184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</row>
    <row r="103" spans="1:117" s="19" customFormat="1">
      <c r="A103" s="598" t="s">
        <v>546</v>
      </c>
      <c r="B103" s="260">
        <f t="shared" ca="1" si="157"/>
        <v>35604.892307692309</v>
      </c>
      <c r="C103" s="89">
        <f t="shared" ref="C103:N103" si="159">SUM(C101:C102)</f>
        <v>33232.551169999999</v>
      </c>
      <c r="D103" s="89">
        <f t="shared" si="159"/>
        <v>32814.977719999995</v>
      </c>
      <c r="E103" s="89">
        <f t="shared" si="159"/>
        <v>32356.243689999999</v>
      </c>
      <c r="F103" s="89">
        <f t="shared" si="159"/>
        <v>32537.237589999997</v>
      </c>
      <c r="G103" s="89">
        <f t="shared" si="159"/>
        <v>32611.938400000003</v>
      </c>
      <c r="H103" s="89">
        <f t="shared" si="159"/>
        <v>33329.017630000002</v>
      </c>
      <c r="I103" s="89">
        <f t="shared" si="159"/>
        <v>33406.819600000003</v>
      </c>
      <c r="J103" s="89">
        <f t="shared" si="159"/>
        <v>33463.907770000005</v>
      </c>
      <c r="K103" s="89">
        <f t="shared" si="159"/>
        <v>33316.9444</v>
      </c>
      <c r="L103" s="89">
        <f t="shared" si="159"/>
        <v>33390.140930000001</v>
      </c>
      <c r="M103" s="89">
        <f t="shared" si="159"/>
        <v>33438.184299999994</v>
      </c>
      <c r="N103" s="89">
        <f t="shared" si="159"/>
        <v>31177.312839999995</v>
      </c>
      <c r="O103" s="89">
        <f t="shared" ref="O103:Z103" si="160">SUM(O101:O102)</f>
        <v>31376.518619999999</v>
      </c>
      <c r="P103" s="89">
        <f t="shared" si="160"/>
        <v>31163.232049999999</v>
      </c>
      <c r="Q103" s="89">
        <f t="shared" si="160"/>
        <v>30755.33726</v>
      </c>
      <c r="R103" s="89">
        <f t="shared" si="160"/>
        <v>30807.307420000001</v>
      </c>
      <c r="S103" s="89">
        <f t="shared" si="160"/>
        <v>30775.087789999998</v>
      </c>
      <c r="T103" s="89">
        <f t="shared" si="160"/>
        <v>30308.419610000001</v>
      </c>
      <c r="U103" s="89">
        <f t="shared" si="160"/>
        <v>30393.484840000001</v>
      </c>
      <c r="V103" s="89">
        <f t="shared" si="160"/>
        <v>30443.54896</v>
      </c>
      <c r="W103" s="89">
        <f t="shared" si="160"/>
        <v>29638.7284</v>
      </c>
      <c r="X103" s="89">
        <f t="shared" si="160"/>
        <v>29686.634049999997</v>
      </c>
      <c r="Y103" s="89">
        <f t="shared" si="160"/>
        <v>29725.090929999998</v>
      </c>
      <c r="Z103" s="89">
        <f t="shared" si="160"/>
        <v>35590.311590000005</v>
      </c>
      <c r="AA103" s="89">
        <f t="shared" ref="AA103:AL103" si="161">SUM(AA101:AA102)</f>
        <v>35580.073530000001</v>
      </c>
      <c r="AB103" s="89">
        <f t="shared" si="161"/>
        <v>35936.726539999996</v>
      </c>
      <c r="AC103" s="89">
        <f t="shared" si="161"/>
        <v>35399.9663</v>
      </c>
      <c r="AD103" s="89">
        <f t="shared" si="161"/>
        <v>35501.154719999999</v>
      </c>
      <c r="AE103" s="89">
        <f t="shared" si="161"/>
        <v>35557.995280000003</v>
      </c>
      <c r="AF103" s="89">
        <f t="shared" si="161"/>
        <v>35202.79681</v>
      </c>
      <c r="AG103" s="89">
        <f t="shared" si="161"/>
        <v>35457.040970000002</v>
      </c>
      <c r="AH103" s="89">
        <f t="shared" si="161"/>
        <v>35395.493570000006</v>
      </c>
      <c r="AI103" s="89">
        <f t="shared" si="161"/>
        <v>34997.089570000004</v>
      </c>
      <c r="AJ103" s="89">
        <f t="shared" si="161"/>
        <v>35090.72984</v>
      </c>
      <c r="AK103" s="89">
        <f t="shared" si="161"/>
        <v>35184.564019999998</v>
      </c>
      <c r="AL103" s="89">
        <f t="shared" si="161"/>
        <v>35443.422120000003</v>
      </c>
      <c r="AM103" s="89">
        <f t="shared" ref="AM103:AS103" si="162">SUM(AM101:AM102)</f>
        <v>35507.218290000004</v>
      </c>
      <c r="AN103" s="89">
        <f t="shared" si="162"/>
        <v>35601.645599999996</v>
      </c>
      <c r="AO103" s="89">
        <f t="shared" si="162"/>
        <v>35272.63496000001</v>
      </c>
      <c r="AP103" s="89">
        <f t="shared" si="162"/>
        <v>35224.527670000003</v>
      </c>
      <c r="AQ103" s="89">
        <f t="shared" si="162"/>
        <v>35345.569620000002</v>
      </c>
      <c r="AR103" s="89">
        <f t="shared" si="162"/>
        <v>34853.14884999999</v>
      </c>
      <c r="AS103" s="89">
        <f t="shared" si="162"/>
        <v>34963.662409999997</v>
      </c>
      <c r="AT103" s="89">
        <f t="shared" ref="AT103:AY103" si="163">SUM(AT101:AT102)</f>
        <v>34979.036870000004</v>
      </c>
      <c r="AU103" s="89">
        <f t="shared" si="163"/>
        <v>34527.22481</v>
      </c>
      <c r="AV103" s="89">
        <f t="shared" si="163"/>
        <v>34622.990109999999</v>
      </c>
      <c r="AW103" s="89">
        <f t="shared" si="163"/>
        <v>34771.98979</v>
      </c>
      <c r="AX103" s="89">
        <f t="shared" si="163"/>
        <v>41453.739150000009</v>
      </c>
      <c r="AY103" s="89">
        <f t="shared" si="163"/>
        <v>41521.220939999999</v>
      </c>
      <c r="AZ103" s="89">
        <f t="shared" ref="AZ103:BJ103" si="164">SUM(AZ101:AZ102)</f>
        <v>41646.103440000006</v>
      </c>
      <c r="BA103" s="89">
        <f t="shared" si="164"/>
        <v>40033.396829999998</v>
      </c>
      <c r="BB103" s="89">
        <f t="shared" si="164"/>
        <v>40142.611369999999</v>
      </c>
      <c r="BC103" s="89">
        <f t="shared" si="164"/>
        <v>40250.912710000004</v>
      </c>
      <c r="BD103" s="89">
        <f t="shared" si="164"/>
        <v>39881.427500000005</v>
      </c>
      <c r="BE103" s="581">
        <f t="shared" si="164"/>
        <v>40010.225060000004</v>
      </c>
      <c r="BF103" s="581">
        <f t="shared" si="164"/>
        <v>40090.886680000003</v>
      </c>
      <c r="BG103" s="581">
        <f t="shared" si="164"/>
        <v>39764.307420000005</v>
      </c>
      <c r="BH103" s="581">
        <f t="shared" si="164"/>
        <v>40002.90638</v>
      </c>
      <c r="BI103" s="581">
        <f t="shared" si="164"/>
        <v>40158.910090000005</v>
      </c>
      <c r="BJ103" s="581">
        <f t="shared" si="164"/>
        <v>31953.972819999999</v>
      </c>
      <c r="BK103" s="581">
        <f t="shared" ref="BK103:BV103" si="165">SUM(BK101:BK102)</f>
        <v>31996.468939999999</v>
      </c>
      <c r="BL103" s="581">
        <f t="shared" si="165"/>
        <v>32089.228980000004</v>
      </c>
      <c r="BM103" s="581">
        <f t="shared" si="165"/>
        <v>31835.970140000005</v>
      </c>
      <c r="BN103" s="581">
        <f t="shared" si="165"/>
        <v>31945.962179999999</v>
      </c>
      <c r="BO103" s="581">
        <f t="shared" si="165"/>
        <v>31942.49985</v>
      </c>
      <c r="BP103" s="581">
        <f t="shared" si="165"/>
        <v>29362.78008</v>
      </c>
      <c r="BQ103" s="581">
        <f t="shared" si="165"/>
        <v>29737.614130000002</v>
      </c>
      <c r="BR103" s="581">
        <f t="shared" si="165"/>
        <v>29255.497570000003</v>
      </c>
      <c r="BS103" s="581">
        <f t="shared" si="165"/>
        <v>28446.930640000002</v>
      </c>
      <c r="BT103" s="581">
        <f t="shared" si="165"/>
        <v>28056.460999999999</v>
      </c>
      <c r="BU103" s="581">
        <f t="shared" si="165"/>
        <v>27898.777239999999</v>
      </c>
      <c r="BV103" s="581">
        <f t="shared" si="165"/>
        <v>35259.064810000003</v>
      </c>
      <c r="BW103" s="581">
        <f t="shared" ref="BW103:CH103" si="166">SUM(BW101:BW102)</f>
        <v>35115.299999999996</v>
      </c>
      <c r="BX103" s="581">
        <f t="shared" si="166"/>
        <v>35142.799999999996</v>
      </c>
      <c r="BY103" s="581">
        <f t="shared" si="166"/>
        <v>35170.299999999996</v>
      </c>
      <c r="BZ103" s="581">
        <f t="shared" si="166"/>
        <v>35197.799999999996</v>
      </c>
      <c r="CA103" s="581">
        <f t="shared" si="166"/>
        <v>35225.200000000004</v>
      </c>
      <c r="CB103" s="581">
        <f t="shared" si="166"/>
        <v>35252.700000000004</v>
      </c>
      <c r="CC103" s="581">
        <f t="shared" si="166"/>
        <v>35280.1</v>
      </c>
      <c r="CD103" s="581">
        <f t="shared" si="166"/>
        <v>35307.599999999999</v>
      </c>
      <c r="CE103" s="581">
        <f t="shared" si="166"/>
        <v>35335</v>
      </c>
      <c r="CF103" s="581">
        <f t="shared" si="166"/>
        <v>35362.5</v>
      </c>
      <c r="CG103" s="581">
        <f t="shared" si="166"/>
        <v>35390</v>
      </c>
      <c r="CH103" s="581">
        <f t="shared" si="166"/>
        <v>35417.4</v>
      </c>
      <c r="CI103" s="581">
        <f t="shared" ref="CI103" si="167">SUM(CI101:CI102)</f>
        <v>35449.299999999996</v>
      </c>
      <c r="CJ103" s="581">
        <f t="shared" ref="CJ103:CT103" si="168">SUM(CJ101:CJ102)</f>
        <v>35476.1</v>
      </c>
      <c r="CK103" s="581">
        <f t="shared" si="168"/>
        <v>35503</v>
      </c>
      <c r="CL103" s="581">
        <f t="shared" si="168"/>
        <v>35529.799999999996</v>
      </c>
      <c r="CM103" s="581">
        <f t="shared" si="168"/>
        <v>35556.6</v>
      </c>
      <c r="CN103" s="581">
        <f t="shared" si="168"/>
        <v>35583.4</v>
      </c>
      <c r="CO103" s="581">
        <f t="shared" si="168"/>
        <v>35610.399999999994</v>
      </c>
      <c r="CP103" s="581">
        <f t="shared" si="168"/>
        <v>35637.199999999997</v>
      </c>
      <c r="CQ103" s="581">
        <f t="shared" si="168"/>
        <v>35672.400000000001</v>
      </c>
      <c r="CR103" s="581">
        <f t="shared" si="168"/>
        <v>35740.800000000003</v>
      </c>
      <c r="CS103" s="581">
        <f t="shared" si="168"/>
        <v>35809.299999999996</v>
      </c>
      <c r="CT103" s="581">
        <f t="shared" si="168"/>
        <v>35877.9</v>
      </c>
      <c r="CU103" s="698">
        <f t="shared" si="158"/>
        <v>35604.892307692309</v>
      </c>
      <c r="CV103" s="33"/>
      <c r="CW103" s="33"/>
      <c r="CX103" s="184"/>
      <c r="CY103" s="33"/>
      <c r="CZ103" s="447"/>
      <c r="DA103" s="447"/>
      <c r="DB103" s="447"/>
      <c r="DC103" s="447"/>
      <c r="DD103" s="447"/>
      <c r="DE103" s="447"/>
      <c r="DF103" s="447"/>
      <c r="DG103" s="447"/>
      <c r="DH103" s="447"/>
      <c r="DI103" s="447"/>
      <c r="DJ103" s="447"/>
      <c r="DK103" s="447"/>
      <c r="DL103" s="447"/>
      <c r="DM103" s="375"/>
    </row>
    <row r="104" spans="1:117">
      <c r="A104" s="598"/>
      <c r="B104" s="26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686"/>
      <c r="BF104" s="686"/>
      <c r="BG104" s="686"/>
      <c r="BH104" s="686"/>
      <c r="BI104" s="686"/>
      <c r="BJ104" s="686"/>
      <c r="BK104" s="686"/>
      <c r="BL104" s="686"/>
      <c r="BM104" s="686"/>
      <c r="BN104" s="686"/>
      <c r="BO104" s="686"/>
      <c r="BP104" s="686"/>
      <c r="BQ104" s="686"/>
      <c r="BR104" s="686"/>
      <c r="BS104" s="686"/>
      <c r="BT104" s="686"/>
      <c r="BU104" s="686"/>
      <c r="BV104" s="686"/>
      <c r="BW104" s="686"/>
      <c r="BX104" s="686"/>
      <c r="BY104" s="686"/>
      <c r="BZ104" s="686"/>
      <c r="CA104" s="686"/>
      <c r="CB104" s="686"/>
      <c r="CC104" s="686"/>
      <c r="CD104" s="686"/>
      <c r="CE104" s="686"/>
      <c r="CF104" s="686"/>
      <c r="CG104" s="686"/>
      <c r="CH104" s="686"/>
      <c r="CI104" s="686"/>
      <c r="CJ104" s="686"/>
      <c r="CK104" s="686"/>
      <c r="CL104" s="686"/>
      <c r="CM104" s="686"/>
      <c r="CN104" s="686"/>
      <c r="CO104" s="686"/>
      <c r="CP104" s="686"/>
      <c r="CQ104" s="686"/>
      <c r="CR104" s="686"/>
      <c r="CS104" s="686"/>
      <c r="CT104" s="686"/>
      <c r="CU104" s="698"/>
      <c r="CW104" s="33"/>
      <c r="CX104" s="184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</row>
    <row r="105" spans="1:117" s="19" customFormat="1" ht="13.5" thickBot="1">
      <c r="A105" s="598" t="s">
        <v>547</v>
      </c>
      <c r="B105" s="558">
        <f t="shared" ca="1" si="157"/>
        <v>2749996.9461538461</v>
      </c>
      <c r="C105" s="181">
        <f t="shared" ref="C105:N105" si="169">C70+C89+C99+C103</f>
        <v>1027437.33795</v>
      </c>
      <c r="D105" s="181">
        <f t="shared" si="169"/>
        <v>1035745.09141</v>
      </c>
      <c r="E105" s="181">
        <f t="shared" si="169"/>
        <v>1036332.5189800001</v>
      </c>
      <c r="F105" s="181">
        <f t="shared" si="169"/>
        <v>1046983.3606000001</v>
      </c>
      <c r="G105" s="181">
        <f t="shared" si="169"/>
        <v>1052134.9567799999</v>
      </c>
      <c r="H105" s="181">
        <f t="shared" si="169"/>
        <v>1047551.60808</v>
      </c>
      <c r="I105" s="181">
        <f t="shared" si="169"/>
        <v>1056362.1461499999</v>
      </c>
      <c r="J105" s="181">
        <f t="shared" si="169"/>
        <v>1075627.1228799999</v>
      </c>
      <c r="K105" s="181">
        <f t="shared" si="169"/>
        <v>1077460.4412999998</v>
      </c>
      <c r="L105" s="181">
        <f t="shared" si="169"/>
        <v>1081661.1270000001</v>
      </c>
      <c r="M105" s="181">
        <f t="shared" si="169"/>
        <v>1092238.76303</v>
      </c>
      <c r="N105" s="181">
        <f t="shared" si="169"/>
        <v>1109086.22707</v>
      </c>
      <c r="O105" s="181">
        <f t="shared" ref="O105:Z105" si="170">O70+O89+O99+O103</f>
        <v>1124220.4602699999</v>
      </c>
      <c r="P105" s="181">
        <f t="shared" si="170"/>
        <v>1117203.8633999999</v>
      </c>
      <c r="Q105" s="181">
        <f t="shared" si="170"/>
        <v>1114893.87439</v>
      </c>
      <c r="R105" s="181">
        <f t="shared" si="170"/>
        <v>1118672.52892</v>
      </c>
      <c r="S105" s="181">
        <f t="shared" si="170"/>
        <v>1126393.3693500001</v>
      </c>
      <c r="T105" s="181">
        <f t="shared" si="170"/>
        <v>1133533.4225199998</v>
      </c>
      <c r="U105" s="181">
        <f t="shared" si="170"/>
        <v>1140836.44371</v>
      </c>
      <c r="V105" s="181">
        <f t="shared" si="170"/>
        <v>1147765.9900200001</v>
      </c>
      <c r="W105" s="181">
        <f t="shared" si="170"/>
        <v>1160834.0952499998</v>
      </c>
      <c r="X105" s="181">
        <f t="shared" si="170"/>
        <v>1180935.26844</v>
      </c>
      <c r="Y105" s="181">
        <f t="shared" si="170"/>
        <v>1201359.64811</v>
      </c>
      <c r="Z105" s="181">
        <f t="shared" si="170"/>
        <v>1224685.8870099999</v>
      </c>
      <c r="AA105" s="181">
        <f t="shared" ref="AA105:AL105" si="171">AA70+AA89+AA99+AA103</f>
        <v>1245851.9252299999</v>
      </c>
      <c r="AB105" s="181">
        <f t="shared" si="171"/>
        <v>1246408.9092299999</v>
      </c>
      <c r="AC105" s="181">
        <f t="shared" si="171"/>
        <v>1257593.64787</v>
      </c>
      <c r="AD105" s="181">
        <f t="shared" si="171"/>
        <v>1261451.99141</v>
      </c>
      <c r="AE105" s="181">
        <f t="shared" si="171"/>
        <v>1273924.8077199999</v>
      </c>
      <c r="AF105" s="181">
        <f t="shared" si="171"/>
        <v>1285251.3940600001</v>
      </c>
      <c r="AG105" s="181">
        <f t="shared" si="171"/>
        <v>1298898.81721</v>
      </c>
      <c r="AH105" s="181">
        <f t="shared" si="171"/>
        <v>1317782.3628099998</v>
      </c>
      <c r="AI105" s="181">
        <f t="shared" si="171"/>
        <v>1340764.3386000001</v>
      </c>
      <c r="AJ105" s="181">
        <f t="shared" si="171"/>
        <v>1357190.3002299999</v>
      </c>
      <c r="AK105" s="181">
        <f t="shared" si="171"/>
        <v>1382140.3599399999</v>
      </c>
      <c r="AL105" s="181">
        <f t="shared" si="171"/>
        <v>1406757.1951299997</v>
      </c>
      <c r="AM105" s="181">
        <f t="shared" ref="AM105:AS105" si="172">AM70+AM89+AM99+AM103</f>
        <v>1428603.57672</v>
      </c>
      <c r="AN105" s="181">
        <f t="shared" si="172"/>
        <v>1440657.0037799999</v>
      </c>
      <c r="AO105" s="181">
        <f t="shared" si="172"/>
        <v>1451715.1169099999</v>
      </c>
      <c r="AP105" s="181">
        <f t="shared" si="172"/>
        <v>1470020.7291400002</v>
      </c>
      <c r="AQ105" s="181">
        <f t="shared" ref="AQ105:AR105" si="173">AQ70+AQ89+AQ99+AQ103</f>
        <v>1493213.2055599999</v>
      </c>
      <c r="AR105" s="181">
        <f t="shared" si="173"/>
        <v>1515171.8157800001</v>
      </c>
      <c r="AS105" s="181">
        <f t="shared" si="172"/>
        <v>1535872.1685000001</v>
      </c>
      <c r="AT105" s="181">
        <f t="shared" ref="AT105:AY105" si="174">AT70+AT89+AT99+AT103</f>
        <v>1572823.2239700002</v>
      </c>
      <c r="AU105" s="181">
        <f t="shared" si="174"/>
        <v>1598138.4987300001</v>
      </c>
      <c r="AV105" s="181">
        <f t="shared" si="174"/>
        <v>1630045.0579200001</v>
      </c>
      <c r="AW105" s="181">
        <f t="shared" si="174"/>
        <v>1664498.6577900001</v>
      </c>
      <c r="AX105" s="181">
        <f t="shared" si="174"/>
        <v>1714605.07812</v>
      </c>
      <c r="AY105" s="181">
        <f t="shared" si="174"/>
        <v>1742610.5260000001</v>
      </c>
      <c r="AZ105" s="181">
        <f t="shared" ref="AZ105:BJ105" si="175">AZ70+AZ89+AZ99+AZ103</f>
        <v>1765420.00037</v>
      </c>
      <c r="BA105" s="181">
        <f t="shared" si="175"/>
        <v>1781368.53366</v>
      </c>
      <c r="BB105" s="181">
        <f t="shared" si="175"/>
        <v>1797765.6539400001</v>
      </c>
      <c r="BC105" s="181">
        <f t="shared" si="175"/>
        <v>1806154.1584800002</v>
      </c>
      <c r="BD105" s="181">
        <f t="shared" si="175"/>
        <v>1825581.51229</v>
      </c>
      <c r="BE105" s="695">
        <f t="shared" si="175"/>
        <v>1851639.4994400002</v>
      </c>
      <c r="BF105" s="695">
        <f t="shared" si="175"/>
        <v>1869701.88534</v>
      </c>
      <c r="BG105" s="695">
        <f t="shared" si="175"/>
        <v>1892848.8117600002</v>
      </c>
      <c r="BH105" s="695">
        <f t="shared" si="175"/>
        <v>1927505.7080900003</v>
      </c>
      <c r="BI105" s="695">
        <f t="shared" si="175"/>
        <v>1958911.4607199999</v>
      </c>
      <c r="BJ105" s="695">
        <f t="shared" si="175"/>
        <v>1990225.3774000003</v>
      </c>
      <c r="BK105" s="695">
        <f t="shared" ref="BK105:BV105" si="176">BK70+BK89+BK99+BK103</f>
        <v>2021923.6622199998</v>
      </c>
      <c r="BL105" s="695">
        <f t="shared" si="176"/>
        <v>2041108.1496899996</v>
      </c>
      <c r="BM105" s="695">
        <f t="shared" si="176"/>
        <v>2050863.7480400002</v>
      </c>
      <c r="BN105" s="695">
        <f t="shared" si="176"/>
        <v>2066379.0249000003</v>
      </c>
      <c r="BO105" s="695">
        <f t="shared" si="176"/>
        <v>2092904.6505500001</v>
      </c>
      <c r="BP105" s="695">
        <f t="shared" si="176"/>
        <v>2118941.27122</v>
      </c>
      <c r="BQ105" s="695">
        <f t="shared" si="176"/>
        <v>2136862.7293099998</v>
      </c>
      <c r="BR105" s="695">
        <f t="shared" si="176"/>
        <v>2152934.8937300001</v>
      </c>
      <c r="BS105" s="695">
        <f t="shared" si="176"/>
        <v>2168239.0799400001</v>
      </c>
      <c r="BT105" s="695">
        <f t="shared" si="176"/>
        <v>2180322.91206</v>
      </c>
      <c r="BU105" s="695">
        <f t="shared" si="176"/>
        <v>2206019.8390700002</v>
      </c>
      <c r="BV105" s="695">
        <f t="shared" si="176"/>
        <v>2267449.5295999995</v>
      </c>
      <c r="BW105" s="695">
        <f t="shared" ref="BW105:CH105" si="177">BW70+BW89+BW99+BW103</f>
        <v>2302709.4292306476</v>
      </c>
      <c r="BX105" s="695">
        <f t="shared" si="177"/>
        <v>2364866.6920436341</v>
      </c>
      <c r="BY105" s="695">
        <f t="shared" si="177"/>
        <v>2384396.5579980225</v>
      </c>
      <c r="BZ105" s="695">
        <f t="shared" si="177"/>
        <v>2422815.5223724442</v>
      </c>
      <c r="CA105" s="695">
        <f t="shared" si="177"/>
        <v>2442154.584670966</v>
      </c>
      <c r="CB105" s="695">
        <f t="shared" si="177"/>
        <v>2471217.938910414</v>
      </c>
      <c r="CC105" s="695">
        <f t="shared" si="177"/>
        <v>2498544.0074896128</v>
      </c>
      <c r="CD105" s="695">
        <f t="shared" si="177"/>
        <v>2516972.2439822019</v>
      </c>
      <c r="CE105" s="695">
        <f t="shared" si="177"/>
        <v>2540577.2719291295</v>
      </c>
      <c r="CF105" s="695">
        <f t="shared" si="177"/>
        <v>2561395.2000000002</v>
      </c>
      <c r="CG105" s="695">
        <f t="shared" si="177"/>
        <v>2576095.4</v>
      </c>
      <c r="CH105" s="695">
        <f t="shared" si="177"/>
        <v>2615700.2999999998</v>
      </c>
      <c r="CI105" s="695">
        <f t="shared" ref="CI105" si="178">CI70+CI89+CI99+CI103</f>
        <v>2644715.5</v>
      </c>
      <c r="CJ105" s="695">
        <f t="shared" ref="CJ105:CT105" si="179">CJ70+CJ89+CJ99+CJ103</f>
        <v>2663024.4</v>
      </c>
      <c r="CK105" s="695">
        <f t="shared" si="179"/>
        <v>2668619.8000000003</v>
      </c>
      <c r="CL105" s="695">
        <f t="shared" si="179"/>
        <v>2691931.8999999994</v>
      </c>
      <c r="CM105" s="695">
        <f t="shared" si="179"/>
        <v>2716366</v>
      </c>
      <c r="CN105" s="695">
        <f t="shared" si="179"/>
        <v>2747927.6</v>
      </c>
      <c r="CO105" s="695">
        <f t="shared" si="179"/>
        <v>2775808.4000000004</v>
      </c>
      <c r="CP105" s="695">
        <f t="shared" si="179"/>
        <v>2796974.1000000006</v>
      </c>
      <c r="CQ105" s="695">
        <f t="shared" si="179"/>
        <v>2820859.0999999996</v>
      </c>
      <c r="CR105" s="695">
        <f t="shared" si="179"/>
        <v>2845249</v>
      </c>
      <c r="CS105" s="695">
        <f t="shared" si="179"/>
        <v>2866051.9999999995</v>
      </c>
      <c r="CT105" s="695">
        <f t="shared" si="179"/>
        <v>2896732.1999999993</v>
      </c>
      <c r="CU105" s="703">
        <f t="shared" ref="CU105:CU107" si="180">SUM(CH105:CT105)/13</f>
        <v>2749996.9461538461</v>
      </c>
      <c r="CV105" s="33"/>
      <c r="CW105" s="33"/>
      <c r="CX105" s="184"/>
      <c r="CY105" s="33"/>
      <c r="CZ105" s="447"/>
      <c r="DA105" s="447"/>
      <c r="DB105" s="447"/>
      <c r="DC105" s="447"/>
      <c r="DD105" s="447"/>
      <c r="DE105" s="447"/>
      <c r="DF105" s="447"/>
      <c r="DG105" s="447"/>
      <c r="DH105" s="447"/>
      <c r="DI105" s="447"/>
      <c r="DJ105" s="447"/>
      <c r="DK105" s="447"/>
      <c r="DL105" s="447"/>
      <c r="DM105" s="375"/>
    </row>
    <row r="106" spans="1:117" ht="13.5" thickTop="1">
      <c r="A106" s="598"/>
      <c r="B106" s="27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>
        <v>-1448.9827900000382</v>
      </c>
      <c r="AH106" s="79">
        <v>-1457.8371900003403</v>
      </c>
      <c r="AI106" s="79">
        <v>-1465.6613999996334</v>
      </c>
      <c r="AJ106" s="79">
        <v>-1473.9997700001113</v>
      </c>
      <c r="AK106" s="79">
        <v>-1482.340060000075</v>
      </c>
      <c r="AL106" s="79">
        <v>-1490.3048700001091</v>
      </c>
      <c r="AM106" s="79">
        <v>-1497.823279999895</v>
      </c>
      <c r="AN106" s="79">
        <v>-1503.7962200001348</v>
      </c>
      <c r="AO106" s="79">
        <v>-1510.2830900000408</v>
      </c>
      <c r="AP106" s="79">
        <v>-1531.9708599995356</v>
      </c>
      <c r="AQ106" s="79">
        <v>-1552.6944400002249</v>
      </c>
      <c r="AR106" s="79">
        <v>-1574.4842199997511</v>
      </c>
      <c r="AS106" s="79">
        <v>-1595.431499999715</v>
      </c>
      <c r="AT106" s="79">
        <v>-1615.9760300000198</v>
      </c>
      <c r="AU106" s="79">
        <v>-1636.9012700000312</v>
      </c>
      <c r="AV106" s="79">
        <v>-1662.9420799999498</v>
      </c>
      <c r="AW106" s="79">
        <v>-1688.7422099998221</v>
      </c>
      <c r="AX106" s="79">
        <v>802.5781199997291</v>
      </c>
      <c r="AY106" s="79">
        <v>-1738.7739999999758</v>
      </c>
      <c r="AZ106" s="79">
        <v>-1763.6996300001629</v>
      </c>
      <c r="BA106" s="79">
        <v>-1788.2663399998564</v>
      </c>
      <c r="BB106" s="79">
        <v>-1812.9460599999875</v>
      </c>
      <c r="BC106" s="79">
        <v>-1836.4415199998766</v>
      </c>
      <c r="BD106" s="79">
        <v>-1860.8877100001555</v>
      </c>
      <c r="BE106" s="686">
        <v>-1884.40055999998</v>
      </c>
      <c r="BF106" s="686">
        <v>-1908.0146600003354</v>
      </c>
      <c r="BG106" s="686">
        <v>-1931.5882399999537</v>
      </c>
      <c r="BH106" s="686">
        <v>-1955.3919100000057</v>
      </c>
      <c r="BI106" s="686">
        <v>-1977.9392800000496</v>
      </c>
      <c r="BJ106" s="686">
        <v>-2001.4225999999326</v>
      </c>
      <c r="BK106" s="686">
        <v>-2023.5377800001297</v>
      </c>
      <c r="BL106" s="686">
        <v>-2045.0503100007772</v>
      </c>
      <c r="BM106" s="686">
        <v>-1556.8519599998835</v>
      </c>
      <c r="BN106" s="686">
        <v>-1572.4750999999233</v>
      </c>
      <c r="BO106" s="686">
        <v>-1587.9494499997236</v>
      </c>
      <c r="BP106" s="686">
        <v>-1603.6287799999118</v>
      </c>
      <c r="BQ106" s="686">
        <v>0</v>
      </c>
      <c r="BR106" s="686">
        <v>0</v>
      </c>
      <c r="BS106" s="686">
        <v>0</v>
      </c>
      <c r="BT106" s="686">
        <v>0</v>
      </c>
      <c r="BU106" s="686">
        <v>-0.19999999972060323</v>
      </c>
      <c r="BV106" s="686">
        <v>0.29999999981373549</v>
      </c>
      <c r="BW106" s="686">
        <v>1.400000000372529</v>
      </c>
      <c r="BX106" s="686">
        <v>3.3000000002793968</v>
      </c>
      <c r="BY106" s="686">
        <v>5.7999999998137355</v>
      </c>
      <c r="BZ106" s="686">
        <v>9</v>
      </c>
      <c r="CA106" s="686">
        <v>12.899999999906868</v>
      </c>
      <c r="CB106" s="686">
        <v>17.599999999627471</v>
      </c>
      <c r="CC106" s="686">
        <v>22.900000000372529</v>
      </c>
      <c r="CD106" s="686">
        <v>28.899999999906868</v>
      </c>
      <c r="CE106" s="686">
        <v>35.699999999254942</v>
      </c>
      <c r="CF106" s="686">
        <v>43.200000000186265</v>
      </c>
      <c r="CG106" s="686">
        <v>51.399999999441206</v>
      </c>
      <c r="CH106" s="686">
        <v>60.299999999813735</v>
      </c>
      <c r="CI106" s="686">
        <v>56.200000000186265</v>
      </c>
      <c r="CJ106" s="686">
        <v>65.600000000093132</v>
      </c>
      <c r="CK106" s="686">
        <v>75.600000000558794</v>
      </c>
      <c r="CL106" s="686">
        <v>86.5</v>
      </c>
      <c r="CM106" s="686">
        <v>98</v>
      </c>
      <c r="CN106" s="686">
        <v>110.3000000002794</v>
      </c>
      <c r="CO106" s="686">
        <v>123.39999999990687</v>
      </c>
      <c r="CP106" s="686">
        <v>137.20000000018626</v>
      </c>
      <c r="CQ106" s="686">
        <v>151.8000000002794</v>
      </c>
      <c r="CR106" s="686">
        <v>167.10000000009313</v>
      </c>
      <c r="CS106" s="686">
        <v>183.20000000018626</v>
      </c>
      <c r="CT106" s="686">
        <v>199.99999999953434</v>
      </c>
      <c r="CU106" s="700">
        <f t="shared" si="180"/>
        <v>116.55384615393213</v>
      </c>
      <c r="CV106" s="33">
        <f>+CU105-CU106</f>
        <v>2749880.3923076922</v>
      </c>
      <c r="CW106" s="33"/>
      <c r="CX106" s="184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</row>
    <row r="107" spans="1:117">
      <c r="A107" s="766" t="s">
        <v>548</v>
      </c>
      <c r="B107" s="89">
        <f ca="1">B55-B105</f>
        <v>0.72307692328467965</v>
      </c>
      <c r="C107" s="89">
        <f>C55-C105</f>
        <v>0</v>
      </c>
      <c r="D107" s="89">
        <f t="shared" ref="D107:M107" si="181">D55-D105</f>
        <v>0</v>
      </c>
      <c r="E107" s="89">
        <f t="shared" si="181"/>
        <v>0</v>
      </c>
      <c r="F107" s="89">
        <f>F55-F105</f>
        <v>0</v>
      </c>
      <c r="G107" s="89">
        <f t="shared" si="181"/>
        <v>0</v>
      </c>
      <c r="H107" s="89">
        <f t="shared" si="181"/>
        <v>0</v>
      </c>
      <c r="I107" s="89">
        <f t="shared" si="181"/>
        <v>0</v>
      </c>
      <c r="J107" s="89">
        <f t="shared" si="181"/>
        <v>0</v>
      </c>
      <c r="K107" s="89">
        <f t="shared" si="181"/>
        <v>0</v>
      </c>
      <c r="L107" s="89">
        <f t="shared" si="181"/>
        <v>0</v>
      </c>
      <c r="M107" s="89">
        <f t="shared" si="181"/>
        <v>0</v>
      </c>
      <c r="N107" s="89">
        <f>N55-N105</f>
        <v>0</v>
      </c>
      <c r="O107" s="89">
        <f>O55-O105</f>
        <v>0</v>
      </c>
      <c r="P107" s="89">
        <f t="shared" ref="P107:Z107" si="182">P55-P105</f>
        <v>-9.9999993108212948E-4</v>
      </c>
      <c r="Q107" s="89">
        <f t="shared" si="182"/>
        <v>0</v>
      </c>
      <c r="R107" s="89">
        <f t="shared" si="182"/>
        <v>0</v>
      </c>
      <c r="S107" s="89">
        <f t="shared" si="182"/>
        <v>0</v>
      </c>
      <c r="T107" s="89">
        <f t="shared" si="182"/>
        <v>9.9999993108212948E-4</v>
      </c>
      <c r="U107" s="89">
        <f t="shared" si="182"/>
        <v>0</v>
      </c>
      <c r="V107" s="89">
        <f t="shared" si="182"/>
        <v>0</v>
      </c>
      <c r="W107" s="89">
        <f t="shared" si="182"/>
        <v>0</v>
      </c>
      <c r="X107" s="89">
        <f t="shared" si="182"/>
        <v>0</v>
      </c>
      <c r="Y107" s="89">
        <f t="shared" si="182"/>
        <v>0</v>
      </c>
      <c r="Z107" s="89">
        <f t="shared" si="182"/>
        <v>0</v>
      </c>
      <c r="AA107" s="89">
        <f t="shared" ref="AA107:AL107" si="183">AA55-AA105</f>
        <v>0</v>
      </c>
      <c r="AB107" s="89">
        <f t="shared" si="183"/>
        <v>0</v>
      </c>
      <c r="AC107" s="89">
        <f t="shared" si="183"/>
        <v>0</v>
      </c>
      <c r="AD107" s="89">
        <f t="shared" si="183"/>
        <v>0</v>
      </c>
      <c r="AE107" s="89">
        <f t="shared" si="183"/>
        <v>0</v>
      </c>
      <c r="AF107" s="89">
        <f t="shared" si="183"/>
        <v>0</v>
      </c>
      <c r="AG107" s="89">
        <f>AG55-AG105</f>
        <v>0</v>
      </c>
      <c r="AH107" s="89">
        <f>AH55-AH105</f>
        <v>0</v>
      </c>
      <c r="AI107" s="89">
        <f t="shared" si="183"/>
        <v>0</v>
      </c>
      <c r="AJ107" s="89">
        <f t="shared" si="183"/>
        <v>-9.9999969825148582E-4</v>
      </c>
      <c r="AK107" s="89">
        <f t="shared" si="183"/>
        <v>-9.9999993108212948E-4</v>
      </c>
      <c r="AL107" s="89">
        <f t="shared" si="183"/>
        <v>0</v>
      </c>
      <c r="AM107" s="89">
        <f t="shared" ref="AM107:AS107" si="184">AM55-AM105</f>
        <v>0</v>
      </c>
      <c r="AN107" s="89">
        <f t="shared" si="184"/>
        <v>0</v>
      </c>
      <c r="AO107" s="89">
        <f t="shared" si="184"/>
        <v>0</v>
      </c>
      <c r="AP107" s="89">
        <f t="shared" si="184"/>
        <v>0</v>
      </c>
      <c r="AQ107" s="89">
        <f t="shared" ref="AQ107:AR107" si="185">AQ55-AQ105</f>
        <v>0</v>
      </c>
      <c r="AR107" s="89">
        <f t="shared" si="185"/>
        <v>0</v>
      </c>
      <c r="AS107" s="89">
        <f t="shared" si="184"/>
        <v>0</v>
      </c>
      <c r="AT107" s="89">
        <f t="shared" ref="AT107:AY107" si="186">AT55-AT105</f>
        <v>0</v>
      </c>
      <c r="AU107" s="89">
        <f t="shared" si="186"/>
        <v>0</v>
      </c>
      <c r="AV107" s="89">
        <f t="shared" si="186"/>
        <v>0</v>
      </c>
      <c r="AW107" s="89">
        <f t="shared" si="186"/>
        <v>0</v>
      </c>
      <c r="AX107" s="89">
        <f t="shared" si="186"/>
        <v>0</v>
      </c>
      <c r="AY107" s="89">
        <f t="shared" si="186"/>
        <v>0</v>
      </c>
      <c r="AZ107" s="89">
        <f t="shared" ref="AZ107:BJ107" si="187">AZ55-AZ105</f>
        <v>0</v>
      </c>
      <c r="BA107" s="89">
        <f t="shared" si="187"/>
        <v>0</v>
      </c>
      <c r="BB107" s="89">
        <f t="shared" si="187"/>
        <v>0</v>
      </c>
      <c r="BC107" s="89">
        <f t="shared" si="187"/>
        <v>0</v>
      </c>
      <c r="BD107" s="89">
        <f t="shared" si="187"/>
        <v>0</v>
      </c>
      <c r="BE107" s="581">
        <f t="shared" si="187"/>
        <v>0</v>
      </c>
      <c r="BF107" s="581">
        <f t="shared" si="187"/>
        <v>0</v>
      </c>
      <c r="BG107" s="581">
        <f t="shared" si="187"/>
        <v>0</v>
      </c>
      <c r="BH107" s="581">
        <f t="shared" si="187"/>
        <v>0</v>
      </c>
      <c r="BI107" s="581">
        <f t="shared" si="187"/>
        <v>0</v>
      </c>
      <c r="BJ107" s="581">
        <f t="shared" si="187"/>
        <v>0</v>
      </c>
      <c r="BK107" s="581">
        <f t="shared" ref="BK107:BP107" si="188">BK55-BK105</f>
        <v>0</v>
      </c>
      <c r="BL107" s="581">
        <f t="shared" si="188"/>
        <v>0</v>
      </c>
      <c r="BM107" s="581">
        <f t="shared" si="188"/>
        <v>0</v>
      </c>
      <c r="BN107" s="581">
        <f t="shared" si="188"/>
        <v>0</v>
      </c>
      <c r="BO107" s="581">
        <f t="shared" si="188"/>
        <v>0</v>
      </c>
      <c r="BP107" s="581">
        <f t="shared" si="188"/>
        <v>0</v>
      </c>
      <c r="BQ107" s="581">
        <v>0.2999999993480742</v>
      </c>
      <c r="BR107" s="581">
        <v>-4.3999999999068677</v>
      </c>
      <c r="BS107" s="581">
        <v>0.10000000009313226</v>
      </c>
      <c r="BT107" s="581">
        <v>-35227.299999999814</v>
      </c>
      <c r="BU107" s="581">
        <v>102.89999999990687</v>
      </c>
      <c r="BV107" s="581">
        <v>102.90000000037253</v>
      </c>
      <c r="BW107" s="581">
        <v>102.89999999990687</v>
      </c>
      <c r="BX107" s="581">
        <v>102.90000000037253</v>
      </c>
      <c r="BY107" s="581">
        <v>103.00000000046566</v>
      </c>
      <c r="BZ107" s="581">
        <v>103.00000000046566</v>
      </c>
      <c r="CA107" s="581">
        <v>103.10000000009313</v>
      </c>
      <c r="CB107" s="581">
        <v>103.00000000046566</v>
      </c>
      <c r="CC107" s="581">
        <v>102.99999999953434</v>
      </c>
      <c r="CD107" s="581">
        <v>103.20000000018626</v>
      </c>
      <c r="CE107" s="581">
        <v>103.20000000065193</v>
      </c>
      <c r="CF107" s="581">
        <v>103.20000000065193</v>
      </c>
      <c r="CG107" s="581">
        <v>103.20000000065193</v>
      </c>
      <c r="CH107" s="581">
        <v>103.20000000065193</v>
      </c>
      <c r="CI107" s="581">
        <f t="shared" ref="CI107" si="189">CI55-CI105</f>
        <v>0.80000000027939677</v>
      </c>
      <c r="CJ107" s="581">
        <f t="shared" ref="CJ107:CT107" si="190">CJ55-CJ105</f>
        <v>0.80000000027939677</v>
      </c>
      <c r="CK107" s="581">
        <f t="shared" si="190"/>
        <v>0.80000000027939677</v>
      </c>
      <c r="CL107" s="581">
        <f t="shared" si="190"/>
        <v>0.70000000111758709</v>
      </c>
      <c r="CM107" s="581">
        <f t="shared" si="190"/>
        <v>0.70000000018626451</v>
      </c>
      <c r="CN107" s="581">
        <f t="shared" si="190"/>
        <v>0.79999999981373549</v>
      </c>
      <c r="CO107" s="581">
        <f t="shared" si="190"/>
        <v>0.69999999972060323</v>
      </c>
      <c r="CP107" s="581">
        <f t="shared" si="190"/>
        <v>0.69999999925494194</v>
      </c>
      <c r="CQ107" s="581">
        <f t="shared" si="190"/>
        <v>0.60000000055879354</v>
      </c>
      <c r="CR107" s="581">
        <f t="shared" si="190"/>
        <v>0.60000000055879354</v>
      </c>
      <c r="CS107" s="581">
        <f t="shared" si="190"/>
        <v>0.70000000111758709</v>
      </c>
      <c r="CT107" s="581">
        <f t="shared" si="190"/>
        <v>0.70000000158324838</v>
      </c>
      <c r="CU107" s="700">
        <f t="shared" si="180"/>
        <v>8.6000000004155126</v>
      </c>
      <c r="CW107" s="33"/>
      <c r="CX107" s="184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</row>
    <row r="108" spans="1:117">
      <c r="A108" s="598"/>
      <c r="B108" s="27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686"/>
      <c r="BF108" s="686"/>
      <c r="BG108" s="686"/>
      <c r="BH108" s="686"/>
      <c r="BI108" s="686"/>
      <c r="BJ108" s="686"/>
      <c r="BK108" s="686"/>
      <c r="BL108" s="686"/>
      <c r="BM108" s="686"/>
      <c r="BN108" s="686"/>
      <c r="BO108" s="686"/>
      <c r="BP108" s="686"/>
      <c r="BQ108" s="686"/>
      <c r="BR108" s="686"/>
      <c r="BS108" s="686"/>
      <c r="BT108" s="686"/>
      <c r="BU108" s="686"/>
      <c r="BV108" s="686"/>
      <c r="BW108" s="686"/>
      <c r="BX108" s="686"/>
      <c r="BY108" s="686"/>
      <c r="BZ108" s="686"/>
      <c r="CA108" s="686"/>
      <c r="CB108" s="686"/>
      <c r="CC108" s="686"/>
      <c r="CD108" s="686"/>
      <c r="CE108" s="686"/>
      <c r="CF108" s="686"/>
      <c r="CG108" s="686"/>
      <c r="CH108" s="686"/>
      <c r="CI108" s="686"/>
      <c r="CJ108" s="686"/>
      <c r="CK108" s="686"/>
      <c r="CL108" s="686"/>
      <c r="CM108" s="686"/>
      <c r="CN108" s="686"/>
      <c r="CO108" s="686"/>
      <c r="CP108" s="686"/>
      <c r="CQ108" s="686"/>
      <c r="CR108" s="686"/>
      <c r="CS108" s="686"/>
      <c r="CT108" s="686"/>
      <c r="CU108" s="447"/>
      <c r="CW108" s="33"/>
      <c r="CX108" s="184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</row>
    <row r="109" spans="1:117">
      <c r="A109" s="598" t="s">
        <v>549</v>
      </c>
      <c r="B109" s="27"/>
      <c r="C109" s="79">
        <v>0</v>
      </c>
      <c r="D109" s="79">
        <v>0</v>
      </c>
      <c r="E109" s="79">
        <v>0</v>
      </c>
      <c r="F109" s="79">
        <v>0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/>
      <c r="AB109" s="79"/>
      <c r="AC109" s="79"/>
      <c r="AD109" s="79"/>
      <c r="AE109" s="79"/>
      <c r="AF109" s="79"/>
      <c r="AG109" s="79" t="e">
        <v>#N/A</v>
      </c>
      <c r="AH109" s="79" t="e">
        <v>#N/A</v>
      </c>
      <c r="AI109" s="79" t="e">
        <v>#N/A</v>
      </c>
      <c r="AJ109" s="79" t="e">
        <v>#N/A</v>
      </c>
      <c r="AK109" s="79" t="e">
        <v>#N/A</v>
      </c>
      <c r="AL109" s="79">
        <v>-1490.5</v>
      </c>
      <c r="AM109" s="79">
        <v>-1497.3</v>
      </c>
      <c r="AN109" s="79">
        <v>-1503.9</v>
      </c>
      <c r="AO109" s="79">
        <v>-1510.1</v>
      </c>
      <c r="AP109" s="79">
        <v>-1531.7</v>
      </c>
      <c r="AQ109" s="79">
        <v>-1553.1</v>
      </c>
      <c r="AR109" s="79">
        <v>-1574.4</v>
      </c>
      <c r="AS109" s="79">
        <v>-1595.4</v>
      </c>
      <c r="AT109" s="79">
        <v>-1616.2</v>
      </c>
      <c r="AU109" s="79">
        <v>-1636.9</v>
      </c>
      <c r="AV109" s="79">
        <v>-1662.8</v>
      </c>
      <c r="AW109" s="79">
        <v>-1688.6</v>
      </c>
      <c r="AX109" s="79">
        <v>-1739.1</v>
      </c>
      <c r="AY109" s="79">
        <v>-1739.1</v>
      </c>
      <c r="AZ109" s="79">
        <v>-1763.8</v>
      </c>
      <c r="BA109" s="79">
        <v>-1788.3</v>
      </c>
      <c r="BB109" s="79">
        <v>-1812.6</v>
      </c>
      <c r="BC109" s="79">
        <v>-1836.8</v>
      </c>
      <c r="BD109" s="79">
        <v>-1860.8</v>
      </c>
      <c r="BE109" s="686">
        <v>-1884.6</v>
      </c>
      <c r="BF109" s="686">
        <v>-1908.3</v>
      </c>
      <c r="BG109" s="686">
        <v>-1931.8</v>
      </c>
      <c r="BH109" s="686">
        <v>-1955.2</v>
      </c>
      <c r="BI109" s="686">
        <v>-1978.3</v>
      </c>
      <c r="BJ109" s="686">
        <v>-2001.3</v>
      </c>
      <c r="BK109" s="686">
        <v>-2023.5</v>
      </c>
      <c r="BL109" s="686">
        <v>-2045.5</v>
      </c>
      <c r="BM109" s="686">
        <v>-1557.2</v>
      </c>
      <c r="BN109" s="686">
        <v>-1572.9</v>
      </c>
      <c r="BO109" s="686">
        <v>-1588.5</v>
      </c>
      <c r="BP109" s="686">
        <v>-1604</v>
      </c>
      <c r="BQ109" s="686">
        <v>0</v>
      </c>
      <c r="BR109" s="686">
        <v>0</v>
      </c>
      <c r="BS109" s="686">
        <v>0</v>
      </c>
      <c r="BT109" s="686">
        <v>0</v>
      </c>
      <c r="BU109" s="686">
        <v>-0.2</v>
      </c>
      <c r="BV109" s="686">
        <v>0.3</v>
      </c>
      <c r="BW109" s="686">
        <v>1.4</v>
      </c>
      <c r="BX109" s="686">
        <v>3.3</v>
      </c>
      <c r="BY109" s="686">
        <v>5.8</v>
      </c>
      <c r="BZ109" s="686">
        <v>9</v>
      </c>
      <c r="CA109" s="686">
        <v>12.9</v>
      </c>
      <c r="CB109" s="686">
        <v>17.600000000000001</v>
      </c>
      <c r="CC109" s="686">
        <v>22.9</v>
      </c>
      <c r="CD109" s="686">
        <v>28.9</v>
      </c>
      <c r="CE109" s="686">
        <v>35.700000000000003</v>
      </c>
      <c r="CF109" s="686">
        <v>43.2</v>
      </c>
      <c r="CG109" s="686">
        <v>51.4</v>
      </c>
      <c r="CH109" s="686">
        <v>60.3</v>
      </c>
      <c r="CI109" s="686">
        <v>56.2</v>
      </c>
      <c r="CJ109" s="686">
        <v>65.599999999999994</v>
      </c>
      <c r="CK109" s="686">
        <v>75.599999999999994</v>
      </c>
      <c r="CL109" s="686">
        <v>86.5</v>
      </c>
      <c r="CM109" s="686">
        <v>98</v>
      </c>
      <c r="CN109" s="686">
        <v>110.3</v>
      </c>
      <c r="CO109" s="686">
        <v>123.4</v>
      </c>
      <c r="CP109" s="686">
        <v>137.19999999999999</v>
      </c>
      <c r="CQ109" s="686">
        <v>151.80000000000001</v>
      </c>
      <c r="CR109" s="686">
        <v>167.1</v>
      </c>
      <c r="CS109" s="686">
        <v>183.2</v>
      </c>
      <c r="CT109" s="686">
        <v>200</v>
      </c>
      <c r="CU109" s="700">
        <f t="shared" ref="CU109:CU110" si="191">SUM(CH109:CT109)/13</f>
        <v>116.55384615384614</v>
      </c>
      <c r="CW109" s="33"/>
      <c r="CX109" s="184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</row>
    <row r="110" spans="1:117">
      <c r="A110" s="767" t="s">
        <v>550</v>
      </c>
      <c r="B110" s="27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 t="e">
        <f>+AG106-AG109</f>
        <v>#N/A</v>
      </c>
      <c r="AH110" s="79" t="e">
        <f t="shared" ref="AH110:AS110" si="192">+AH106-AH109</f>
        <v>#N/A</v>
      </c>
      <c r="AI110" s="79" t="e">
        <f t="shared" si="192"/>
        <v>#N/A</v>
      </c>
      <c r="AJ110" s="79" t="e">
        <f t="shared" si="192"/>
        <v>#N/A</v>
      </c>
      <c r="AK110" s="79" t="e">
        <f t="shared" si="192"/>
        <v>#N/A</v>
      </c>
      <c r="AL110" s="79">
        <f t="shared" si="192"/>
        <v>0.1951299998909235</v>
      </c>
      <c r="AM110" s="79">
        <f t="shared" si="192"/>
        <v>-0.52327999989506679</v>
      </c>
      <c r="AN110" s="79">
        <f t="shared" si="192"/>
        <v>0.10377999986530995</v>
      </c>
      <c r="AO110" s="79">
        <f>+AO106-AO109</f>
        <v>-0.18309000004092013</v>
      </c>
      <c r="AP110" s="79">
        <f>+AP106-AP109</f>
        <v>-0.27085999953555984</v>
      </c>
      <c r="AQ110" s="79">
        <f t="shared" ref="AQ110:AR110" si="193">+AQ106-AQ109</f>
        <v>0.40555999977505053</v>
      </c>
      <c r="AR110" s="79">
        <f t="shared" si="193"/>
        <v>-8.4219999750985153E-2</v>
      </c>
      <c r="AS110" s="79">
        <f t="shared" si="192"/>
        <v>-3.1499999714924343E-2</v>
      </c>
      <c r="AT110" s="79">
        <f t="shared" ref="AT110:AY110" si="194">+AT106-AT109</f>
        <v>0.22396999998022693</v>
      </c>
      <c r="AU110" s="79">
        <f t="shared" si="194"/>
        <v>-1.2700000311269832E-3</v>
      </c>
      <c r="AV110" s="79">
        <f t="shared" si="194"/>
        <v>-0.14207999994982856</v>
      </c>
      <c r="AW110" s="79">
        <f t="shared" si="194"/>
        <v>-0.14220999982217108</v>
      </c>
      <c r="AX110" s="79">
        <f t="shared" si="194"/>
        <v>2541.678119999729</v>
      </c>
      <c r="AY110" s="79">
        <f t="shared" si="194"/>
        <v>0.32600000002412344</v>
      </c>
      <c r="AZ110" s="79">
        <f t="shared" ref="AZ110:BJ110" si="195">+AZ106-AZ109</f>
        <v>0.10036999983708483</v>
      </c>
      <c r="BA110" s="79">
        <f t="shared" si="195"/>
        <v>3.3660000143527213E-2</v>
      </c>
      <c r="BB110" s="79">
        <f t="shared" si="195"/>
        <v>-0.34605999998757397</v>
      </c>
      <c r="BC110" s="79">
        <f t="shared" si="195"/>
        <v>0.35848000012333614</v>
      </c>
      <c r="BD110" s="79">
        <f t="shared" si="195"/>
        <v>-8.7710000155539092E-2</v>
      </c>
      <c r="BE110" s="686">
        <f t="shared" si="195"/>
        <v>0.19944000001987661</v>
      </c>
      <c r="BF110" s="686">
        <f t="shared" si="195"/>
        <v>0.28533999966452939</v>
      </c>
      <c r="BG110" s="686">
        <f t="shared" si="195"/>
        <v>0.21176000004629714</v>
      </c>
      <c r="BH110" s="686">
        <f t="shared" si="195"/>
        <v>-0.19191000000569147</v>
      </c>
      <c r="BI110" s="686">
        <f t="shared" si="195"/>
        <v>0.36071999995033366</v>
      </c>
      <c r="BJ110" s="686">
        <f t="shared" si="195"/>
        <v>-0.12259999993261772</v>
      </c>
      <c r="BK110" s="686">
        <f t="shared" ref="BK110:BP110" si="196">+BK106-BK109</f>
        <v>-3.7780000129714608E-2</v>
      </c>
      <c r="BL110" s="686">
        <f t="shared" si="196"/>
        <v>0.44968999922275543</v>
      </c>
      <c r="BM110" s="686">
        <f t="shared" si="196"/>
        <v>0.34804000011649805</v>
      </c>
      <c r="BN110" s="686">
        <f t="shared" si="196"/>
        <v>0.42490000007683193</v>
      </c>
      <c r="BO110" s="686">
        <f t="shared" si="196"/>
        <v>0.55055000027641654</v>
      </c>
      <c r="BP110" s="686">
        <f t="shared" si="196"/>
        <v>0.37122000008821487</v>
      </c>
      <c r="BQ110" s="686">
        <v>0</v>
      </c>
      <c r="BR110" s="686">
        <v>0</v>
      </c>
      <c r="BS110" s="686">
        <v>0</v>
      </c>
      <c r="BT110" s="686">
        <v>0</v>
      </c>
      <c r="BU110" s="686">
        <v>2.793967834868738E-10</v>
      </c>
      <c r="BV110" s="686">
        <v>-1.8626450382086546E-10</v>
      </c>
      <c r="BW110" s="686">
        <v>3.7252911866403338E-10</v>
      </c>
      <c r="BX110" s="686">
        <v>2.7939695002032749E-10</v>
      </c>
      <c r="BY110" s="686">
        <v>-1.8626433728741176E-10</v>
      </c>
      <c r="BZ110" s="686">
        <v>0</v>
      </c>
      <c r="CA110" s="686">
        <v>-9.3132612732915732E-11</v>
      </c>
      <c r="CB110" s="686">
        <v>-3.7253045093166293E-10</v>
      </c>
      <c r="CC110" s="686">
        <v>3.7253045093166293E-10</v>
      </c>
      <c r="CD110" s="686">
        <v>-9.3130836376076331E-11</v>
      </c>
      <c r="CE110" s="686">
        <v>-7.4506090186332585E-10</v>
      </c>
      <c r="CF110" s="686">
        <v>1.8626167275215266E-10</v>
      </c>
      <c r="CG110" s="686">
        <v>-5.5879212368381559E-10</v>
      </c>
      <c r="CH110" s="686">
        <v>-1.8626167275215266E-10</v>
      </c>
      <c r="CI110" s="686">
        <f t="shared" ref="CI110" si="197">+CI106-CI109</f>
        <v>1.8626167275215266E-10</v>
      </c>
      <c r="CJ110" s="686">
        <f t="shared" ref="CJ110:CT110" si="198">+CJ106-CJ109</f>
        <v>9.3137941803433932E-11</v>
      </c>
      <c r="CK110" s="686">
        <f t="shared" si="198"/>
        <v>5.5879922911117319E-10</v>
      </c>
      <c r="CL110" s="686">
        <f t="shared" si="198"/>
        <v>0</v>
      </c>
      <c r="CM110" s="686">
        <f t="shared" si="198"/>
        <v>0</v>
      </c>
      <c r="CN110" s="686">
        <f t="shared" si="198"/>
        <v>2.793996145555866E-10</v>
      </c>
      <c r="CO110" s="686">
        <f t="shared" si="198"/>
        <v>-9.3137941803433932E-11</v>
      </c>
      <c r="CP110" s="686">
        <f t="shared" si="198"/>
        <v>1.8627588360686786E-10</v>
      </c>
      <c r="CQ110" s="686">
        <f t="shared" si="198"/>
        <v>2.7938540370087139E-10</v>
      </c>
      <c r="CR110" s="686">
        <f t="shared" si="198"/>
        <v>9.3137941803433932E-11</v>
      </c>
      <c r="CS110" s="686">
        <f t="shared" si="198"/>
        <v>1.8627588360686786E-10</v>
      </c>
      <c r="CT110" s="686">
        <f t="shared" si="198"/>
        <v>-4.6566128730773926E-10</v>
      </c>
      <c r="CU110" s="700">
        <f t="shared" si="191"/>
        <v>8.5970205313620124E-11</v>
      </c>
      <c r="CW110" s="33"/>
      <c r="CX110" s="184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</row>
    <row r="111" spans="1:117">
      <c r="A111" s="27"/>
      <c r="B111" s="27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686"/>
      <c r="BF111" s="686"/>
      <c r="BG111" s="686"/>
      <c r="BH111" s="686"/>
      <c r="BI111" s="686"/>
      <c r="BJ111" s="686"/>
      <c r="BK111" s="686"/>
      <c r="BL111" s="686"/>
      <c r="BM111" s="686"/>
      <c r="BN111" s="686"/>
      <c r="BO111" s="686"/>
      <c r="BP111" s="686"/>
      <c r="BQ111" s="686"/>
      <c r="BR111" s="686"/>
      <c r="BS111" s="686"/>
      <c r="BT111" s="686"/>
      <c r="BU111" s="686"/>
      <c r="BV111" s="686"/>
      <c r="BW111" s="686"/>
      <c r="BX111" s="686"/>
      <c r="BY111" s="686"/>
      <c r="BZ111" s="686"/>
      <c r="CA111" s="686"/>
      <c r="CB111" s="686"/>
      <c r="CC111" s="686"/>
      <c r="CD111" s="686"/>
      <c r="CE111" s="686"/>
      <c r="CF111" s="686"/>
      <c r="CG111" s="686"/>
      <c r="CH111" s="686"/>
      <c r="CI111" s="686"/>
      <c r="CJ111" s="686"/>
      <c r="CK111" s="686"/>
      <c r="CL111" s="686"/>
      <c r="CM111" s="686"/>
      <c r="CN111" s="686"/>
      <c r="CO111" s="686"/>
      <c r="CP111" s="686"/>
      <c r="CQ111" s="686"/>
      <c r="CR111" s="686"/>
      <c r="CS111" s="686"/>
      <c r="CT111" s="686"/>
      <c r="CU111" s="447"/>
      <c r="CW111" s="33"/>
      <c r="CX111" s="184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</row>
    <row r="112" spans="1:117"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596"/>
      <c r="BF112" s="596"/>
      <c r="BG112" s="596"/>
      <c r="BH112" s="596"/>
      <c r="BI112" s="596"/>
      <c r="BJ112" s="596"/>
      <c r="BK112" s="596"/>
      <c r="BL112" s="596"/>
      <c r="BM112" s="596"/>
      <c r="BN112" s="596"/>
      <c r="BO112" s="596"/>
      <c r="BP112" s="596"/>
      <c r="BQ112" s="596"/>
      <c r="BR112" s="596"/>
      <c r="BS112" s="596"/>
      <c r="BT112" s="596"/>
      <c r="BU112" s="596"/>
      <c r="BV112" s="596"/>
      <c r="BW112" s="596"/>
      <c r="BX112" s="596"/>
      <c r="BY112" s="596"/>
      <c r="BZ112" s="596"/>
      <c r="CA112" s="596"/>
      <c r="CB112" s="596"/>
      <c r="CC112" s="596"/>
      <c r="CD112" s="596"/>
      <c r="CE112" s="596"/>
      <c r="CF112" s="596"/>
      <c r="CG112" s="596"/>
      <c r="CH112" s="596"/>
      <c r="CI112" s="596">
        <f t="shared" ref="CI112" si="199">+CI107*1000</f>
        <v>800.00000027939677</v>
      </c>
      <c r="CJ112" s="596">
        <f t="shared" ref="CJ112:CT112" si="200">+CJ107*1000</f>
        <v>800.00000027939677</v>
      </c>
      <c r="CK112" s="596">
        <f t="shared" si="200"/>
        <v>800.00000027939677</v>
      </c>
      <c r="CL112" s="596">
        <f t="shared" si="200"/>
        <v>700.00000111758709</v>
      </c>
      <c r="CM112" s="596">
        <f t="shared" si="200"/>
        <v>700.00000018626451</v>
      </c>
      <c r="CN112" s="596">
        <f t="shared" si="200"/>
        <v>799.99999981373549</v>
      </c>
      <c r="CO112" s="596">
        <f t="shared" si="200"/>
        <v>699.99999972060323</v>
      </c>
      <c r="CP112" s="596">
        <f t="shared" si="200"/>
        <v>699.99999925494194</v>
      </c>
      <c r="CQ112" s="596">
        <f t="shared" si="200"/>
        <v>600.00000055879354</v>
      </c>
      <c r="CR112" s="596">
        <f t="shared" si="200"/>
        <v>600.00000055879354</v>
      </c>
      <c r="CS112" s="596">
        <f t="shared" si="200"/>
        <v>700.00000111758709</v>
      </c>
      <c r="CT112" s="596">
        <f t="shared" si="200"/>
        <v>700.00000158324838</v>
      </c>
      <c r="CU112" s="447">
        <f>+CU107*1000</f>
        <v>8600.0000004155117</v>
      </c>
      <c r="CW112" s="33"/>
      <c r="CX112" s="184"/>
      <c r="DH112" s="178"/>
      <c r="DI112" s="178"/>
      <c r="DJ112" s="178"/>
      <c r="DK112" s="33"/>
      <c r="DL112" s="33"/>
      <c r="DM112" s="33"/>
    </row>
    <row r="113" spans="1:114" ht="15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696"/>
      <c r="AY113" s="696"/>
      <c r="AZ113" s="696"/>
      <c r="BA113" s="696"/>
      <c r="BB113" s="696"/>
      <c r="BC113" s="696"/>
      <c r="BD113" s="696"/>
      <c r="BE113" s="696"/>
      <c r="BF113" s="696"/>
      <c r="BG113" s="696"/>
      <c r="BH113" s="696"/>
      <c r="BI113" s="696"/>
      <c r="BJ113" s="696"/>
      <c r="BK113" s="696"/>
      <c r="BL113" s="696"/>
      <c r="BM113" s="696"/>
      <c r="BN113" s="696"/>
      <c r="BO113" s="696"/>
      <c r="BP113" s="696"/>
      <c r="BQ113" s="696"/>
      <c r="BR113" s="696"/>
      <c r="BS113" s="696"/>
      <c r="BT113" s="696"/>
      <c r="BU113" s="696"/>
      <c r="BV113" s="696"/>
      <c r="BW113" s="696"/>
      <c r="BX113" s="696"/>
      <c r="BY113" s="696"/>
      <c r="BZ113" s="696"/>
      <c r="CA113" s="696"/>
      <c r="CB113" s="696"/>
      <c r="CC113" s="696"/>
      <c r="CD113" s="696"/>
      <c r="CE113" s="696"/>
      <c r="CF113" s="696"/>
      <c r="CG113" s="696"/>
      <c r="CH113" s="696"/>
      <c r="CI113" s="696"/>
      <c r="CJ113" s="696"/>
      <c r="CK113" s="696"/>
      <c r="CL113" s="696"/>
      <c r="CM113" s="696"/>
      <c r="CN113" s="696"/>
      <c r="CO113" s="696"/>
      <c r="CP113" s="696"/>
      <c r="CQ113" s="696"/>
      <c r="CR113" s="696"/>
      <c r="CS113" s="696"/>
      <c r="CT113" s="696"/>
      <c r="CU113" s="603"/>
      <c r="CW113" s="33"/>
      <c r="DH113" s="941"/>
      <c r="DI113" s="941"/>
      <c r="DJ113" s="941"/>
    </row>
    <row r="114" spans="1:114" ht="15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696"/>
      <c r="AY114" s="696"/>
      <c r="AZ114" s="696"/>
      <c r="BA114" s="696"/>
      <c r="BB114" s="696"/>
      <c r="BC114" s="696"/>
      <c r="BD114" s="696"/>
      <c r="BE114" s="696"/>
      <c r="BF114" s="696"/>
      <c r="BG114" s="696"/>
      <c r="BH114" s="696"/>
      <c r="BI114" s="696"/>
      <c r="BJ114" s="696"/>
      <c r="BK114" s="696"/>
      <c r="BL114" s="696"/>
      <c r="BM114" s="696"/>
      <c r="BN114" s="696"/>
      <c r="BO114" s="696"/>
      <c r="BP114" s="696"/>
      <c r="BQ114" s="696"/>
      <c r="BR114" s="696"/>
      <c r="BS114" s="696"/>
      <c r="BT114" s="696"/>
      <c r="BU114" s="696"/>
      <c r="BV114" s="696"/>
      <c r="BW114" s="696"/>
      <c r="BX114" s="696"/>
      <c r="BY114" s="696"/>
      <c r="BZ114" s="696"/>
      <c r="CA114" s="696"/>
      <c r="CB114" s="696"/>
      <c r="CC114" s="696"/>
      <c r="CD114" s="696"/>
      <c r="CE114" s="696"/>
      <c r="CF114" s="696"/>
      <c r="CG114" s="696"/>
      <c r="CH114" s="696"/>
      <c r="CI114" s="696"/>
      <c r="CJ114" s="696"/>
      <c r="CK114" s="696"/>
      <c r="CL114" s="696"/>
      <c r="CM114" s="696"/>
      <c r="CN114" s="696"/>
      <c r="CO114" s="696"/>
      <c r="CP114" s="696"/>
      <c r="CQ114" s="696"/>
      <c r="CR114" s="696"/>
      <c r="CS114" s="696"/>
      <c r="CT114" s="696"/>
      <c r="CU114" s="603"/>
      <c r="CW114" s="33"/>
      <c r="DH114" s="941"/>
      <c r="DI114" s="941"/>
      <c r="DJ114" s="941"/>
    </row>
    <row r="115" spans="1:114" ht="15">
      <c r="A115" t="s">
        <v>551</v>
      </c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696"/>
      <c r="AY115" s="696"/>
      <c r="AZ115" s="696"/>
      <c r="BA115" s="696"/>
      <c r="BB115" s="696"/>
      <c r="BC115" s="696"/>
      <c r="BD115" s="696"/>
      <c r="BE115" s="696"/>
      <c r="BF115" s="696"/>
      <c r="BG115" s="696"/>
      <c r="BH115" s="696"/>
      <c r="BI115" s="696"/>
      <c r="BJ115" s="427"/>
      <c r="BK115" s="427"/>
      <c r="BL115" s="427"/>
      <c r="BM115" s="427"/>
      <c r="BN115" s="427"/>
      <c r="BO115" s="427"/>
      <c r="BP115" s="427"/>
      <c r="BQ115" s="427"/>
      <c r="BR115" s="427"/>
      <c r="BS115" s="427"/>
      <c r="BT115" s="427"/>
      <c r="BU115" s="427"/>
      <c r="BV115" s="427"/>
      <c r="BW115" s="1057"/>
      <c r="BX115" s="1057"/>
      <c r="BY115" s="1057"/>
      <c r="BZ115" s="1057"/>
      <c r="CA115" s="1057"/>
      <c r="CB115" s="1057"/>
      <c r="CC115" s="1057"/>
      <c r="CD115" s="1057"/>
      <c r="CE115" s="1057"/>
      <c r="CF115" s="1057"/>
      <c r="CG115" s="1057"/>
      <c r="CH115" s="1057"/>
      <c r="CI115" s="1057"/>
      <c r="CJ115" s="1057"/>
      <c r="CK115" s="1057"/>
      <c r="CL115" s="1057"/>
      <c r="CM115" s="1057"/>
      <c r="CN115" s="1057"/>
      <c r="CO115" s="1057"/>
      <c r="CP115" s="1057"/>
      <c r="CQ115" s="1057"/>
      <c r="CR115" s="1057"/>
      <c r="CS115" s="1057"/>
      <c r="CT115" s="1057"/>
      <c r="CU115" s="603"/>
      <c r="CV115" s="447"/>
      <c r="CW115" s="33"/>
      <c r="DH115" s="941"/>
      <c r="DI115" s="941"/>
      <c r="DJ115" s="941"/>
    </row>
    <row r="116" spans="1:114" ht="15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696"/>
      <c r="AY116" s="696"/>
      <c r="AZ116" s="696"/>
      <c r="BA116" s="696"/>
      <c r="BB116" s="696"/>
      <c r="BC116" s="696"/>
      <c r="BD116" s="696"/>
      <c r="BE116" s="696"/>
      <c r="BF116" s="696"/>
      <c r="BG116" s="696"/>
      <c r="BH116" s="696"/>
      <c r="BI116" s="696"/>
      <c r="BJ116" s="696"/>
      <c r="BK116" s="696"/>
      <c r="BL116" s="696"/>
      <c r="BM116" s="696"/>
      <c r="BN116" s="696"/>
      <c r="BO116" s="696"/>
      <c r="BP116" s="696"/>
      <c r="BQ116" s="696"/>
      <c r="BR116" s="696"/>
      <c r="BS116" s="696"/>
      <c r="BT116" s="696"/>
      <c r="BU116" s="696"/>
      <c r="BV116" s="696"/>
      <c r="BW116" s="696"/>
      <c r="BX116" s="696"/>
      <c r="BY116" s="696"/>
      <c r="BZ116" s="696"/>
      <c r="CA116" s="696"/>
      <c r="CB116" s="696"/>
      <c r="CC116" s="696"/>
      <c r="CD116" s="696"/>
      <c r="CE116" s="696"/>
      <c r="CF116" s="696"/>
      <c r="CG116" s="696"/>
      <c r="CH116" s="696"/>
      <c r="CI116" s="696"/>
      <c r="CJ116" s="696"/>
      <c r="CK116" s="696"/>
      <c r="CL116" s="696"/>
      <c r="CM116" s="696"/>
      <c r="CN116" s="696"/>
      <c r="CO116" s="696"/>
      <c r="CP116" s="696"/>
      <c r="CQ116" s="696"/>
      <c r="CR116" s="696"/>
      <c r="CS116" s="696"/>
      <c r="CT116" s="696"/>
      <c r="CU116" s="603"/>
      <c r="CW116" s="33"/>
      <c r="DH116" s="941"/>
      <c r="DI116" s="941"/>
      <c r="DJ116" s="941"/>
    </row>
    <row r="117" spans="1:114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696"/>
      <c r="AY117" s="696"/>
      <c r="AZ117" s="696"/>
      <c r="BA117" s="696"/>
      <c r="BB117" s="696"/>
      <c r="BC117" s="696"/>
      <c r="BD117" s="696"/>
      <c r="BE117" s="696"/>
      <c r="BF117" s="696"/>
      <c r="BG117" s="696"/>
      <c r="BH117" s="696"/>
      <c r="BI117" s="696"/>
      <c r="BJ117" s="696"/>
      <c r="BK117" s="696"/>
      <c r="BL117" s="696"/>
      <c r="BM117" s="696"/>
      <c r="BN117" s="696"/>
      <c r="BO117" s="696"/>
      <c r="BP117" s="696"/>
      <c r="BQ117" s="696"/>
      <c r="BR117" s="696"/>
      <c r="BS117" s="696"/>
      <c r="BT117" s="696"/>
      <c r="BU117" s="696"/>
      <c r="BV117" s="696"/>
      <c r="BW117" s="696"/>
      <c r="BX117" s="696"/>
      <c r="BY117" s="696"/>
      <c r="BZ117" s="696"/>
      <c r="CA117" s="696"/>
      <c r="CB117" s="696"/>
      <c r="CC117" s="696"/>
      <c r="CD117" s="696"/>
      <c r="CE117" s="696"/>
      <c r="CF117" s="696"/>
      <c r="CG117" s="696"/>
      <c r="CH117" s="696"/>
      <c r="CI117" s="696"/>
      <c r="CJ117" s="696"/>
      <c r="CK117" s="696"/>
      <c r="CL117" s="696"/>
      <c r="CM117" s="696"/>
      <c r="CN117" s="696"/>
      <c r="CO117" s="696"/>
      <c r="CP117" s="696"/>
      <c r="CQ117" s="696"/>
      <c r="CR117" s="696"/>
      <c r="CS117" s="696"/>
      <c r="CT117" s="696"/>
      <c r="CU117" s="375"/>
      <c r="CW117" s="33"/>
    </row>
    <row r="118" spans="1:114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AX118" s="449"/>
      <c r="AY118" s="449"/>
      <c r="AZ118" s="449"/>
      <c r="BA118" s="449"/>
      <c r="BB118" s="449"/>
      <c r="BC118" s="449"/>
      <c r="BD118" s="449"/>
      <c r="BW118" s="449">
        <v>1917.6823000001</v>
      </c>
      <c r="BX118" s="449">
        <f>BX121-BW121</f>
        <v>1917.6823000001023</v>
      </c>
      <c r="BY118" s="449">
        <f t="shared" ref="BY118:CA118" si="201">BY121-BX121</f>
        <v>1917.6822999999858</v>
      </c>
      <c r="BZ118" s="449">
        <f t="shared" si="201"/>
        <v>1916.9437199999811</v>
      </c>
      <c r="CA118" s="449">
        <f t="shared" si="201"/>
        <v>1916.9436599999899</v>
      </c>
      <c r="CB118" s="474" t="s">
        <v>432</v>
      </c>
      <c r="CN118" s="474"/>
      <c r="CU118" s="603"/>
      <c r="CW118" s="33"/>
      <c r="DI118" s="75"/>
      <c r="DJ118" s="375"/>
    </row>
    <row r="119" spans="1:114"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696"/>
      <c r="AY119" s="696"/>
      <c r="AZ119" s="696"/>
      <c r="BA119" s="696"/>
      <c r="BB119" s="696"/>
      <c r="BC119" s="696"/>
      <c r="BD119" s="696"/>
      <c r="BE119" s="696"/>
      <c r="BF119" s="696"/>
      <c r="BG119" s="696"/>
      <c r="BH119" s="696"/>
      <c r="BI119" s="696"/>
      <c r="BJ119" s="696"/>
      <c r="BK119" s="696"/>
      <c r="BL119" s="696"/>
      <c r="BM119" s="696"/>
      <c r="BN119" s="696"/>
      <c r="BO119" s="696"/>
      <c r="BP119" s="696"/>
      <c r="BQ119" s="696"/>
      <c r="BR119" s="696"/>
      <c r="BS119" s="696"/>
      <c r="BT119" s="696"/>
      <c r="BU119" s="696"/>
      <c r="BV119" s="696"/>
      <c r="BW119" s="696"/>
      <c r="BX119" s="696"/>
      <c r="BY119" s="696"/>
      <c r="BZ119" s="696"/>
      <c r="CA119" s="696"/>
      <c r="CB119" s="696"/>
      <c r="CC119" s="696"/>
      <c r="CD119" s="696"/>
      <c r="CE119" s="696"/>
      <c r="CF119" s="696"/>
      <c r="CG119" s="696"/>
      <c r="CH119" s="696"/>
      <c r="CI119" s="696"/>
      <c r="CJ119" s="696"/>
      <c r="CK119" s="696"/>
      <c r="CL119" s="696"/>
      <c r="CM119" s="696"/>
      <c r="CN119" s="696"/>
      <c r="CO119" s="696"/>
      <c r="CP119" s="696"/>
      <c r="CQ119" s="696"/>
      <c r="CR119" s="696"/>
      <c r="CS119" s="696"/>
      <c r="CT119" s="696"/>
      <c r="CU119" s="447"/>
      <c r="CW119" s="33"/>
      <c r="DI119" s="75"/>
      <c r="DJ119" s="375"/>
    </row>
    <row r="120" spans="1:114">
      <c r="AX120" s="449"/>
      <c r="AY120" s="449"/>
      <c r="AZ120" s="449"/>
      <c r="BA120" s="449"/>
      <c r="BB120" s="449"/>
      <c r="BC120" s="449"/>
      <c r="BD120" s="449"/>
      <c r="BW120" s="449">
        <v>830816.5</v>
      </c>
      <c r="BX120" s="449">
        <v>829098.3</v>
      </c>
      <c r="BY120" s="449">
        <v>844963</v>
      </c>
      <c r="BZ120" s="449">
        <v>851949.8</v>
      </c>
      <c r="CA120" s="449">
        <v>840854.3</v>
      </c>
      <c r="CU120" s="447"/>
      <c r="CV120" s="178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33"/>
      <c r="DG120" s="33"/>
      <c r="DH120" s="33"/>
    </row>
    <row r="121" spans="1:114">
      <c r="AX121" s="449"/>
      <c r="AY121" s="449"/>
      <c r="AZ121" s="449"/>
      <c r="BA121" s="449"/>
      <c r="BB121" s="449"/>
      <c r="BC121" s="449"/>
      <c r="BD121" s="449"/>
      <c r="BV121" s="449" t="s">
        <v>1200</v>
      </c>
      <c r="BW121" s="449">
        <v>568937.5080501209</v>
      </c>
      <c r="BX121" s="449">
        <v>570855.190350121</v>
      </c>
      <c r="BY121" s="449">
        <v>572772.87265012099</v>
      </c>
      <c r="BZ121" s="449">
        <v>574689.81637012097</v>
      </c>
      <c r="CA121" s="449">
        <v>576606.76003012096</v>
      </c>
      <c r="CU121" s="447"/>
      <c r="CV121" s="178"/>
      <c r="CW121" s="406"/>
      <c r="CX121" s="406"/>
      <c r="CY121" s="406"/>
      <c r="CZ121" s="406"/>
      <c r="DA121" s="406"/>
      <c r="DB121" s="406"/>
      <c r="DC121" s="406"/>
      <c r="DD121" s="406"/>
      <c r="DE121" s="406"/>
      <c r="DF121" s="406"/>
      <c r="DG121" s="406"/>
      <c r="DH121" s="406"/>
    </row>
    <row r="122" spans="1:114">
      <c r="AX122" s="449"/>
      <c r="AY122" s="449"/>
      <c r="AZ122" s="449"/>
      <c r="BA122" s="449"/>
      <c r="BB122" s="449"/>
      <c r="BC122" s="449"/>
      <c r="BD122" s="449"/>
      <c r="BV122" s="449" t="s">
        <v>1201</v>
      </c>
      <c r="BW122" s="449">
        <f>BW120-BW121</f>
        <v>261878.9919498791</v>
      </c>
      <c r="BX122" s="449">
        <f t="shared" ref="BX122:CA122" si="202">BX120-BX121</f>
        <v>258243.10964987904</v>
      </c>
      <c r="BY122" s="449">
        <f t="shared" si="202"/>
        <v>272190.12734987901</v>
      </c>
      <c r="BZ122" s="449">
        <f t="shared" si="202"/>
        <v>277259.98362987908</v>
      </c>
      <c r="CA122" s="449">
        <f t="shared" si="202"/>
        <v>264247.53996987909</v>
      </c>
      <c r="CU122" s="375"/>
      <c r="CW122" s="33"/>
      <c r="DH122" s="178"/>
      <c r="DI122" s="178"/>
      <c r="DJ122" s="178"/>
    </row>
    <row r="123" spans="1:114" ht="15">
      <c r="N123" s="421"/>
      <c r="O123" s="421"/>
      <c r="P123" s="421"/>
      <c r="Q123" s="421"/>
      <c r="R123" s="421"/>
      <c r="S123" s="421"/>
      <c r="T123" s="421"/>
      <c r="U123" s="421"/>
      <c r="V123" s="421"/>
      <c r="W123" s="421"/>
      <c r="X123" s="421"/>
      <c r="Y123" s="421"/>
      <c r="Z123" s="421"/>
      <c r="AA123" s="421"/>
      <c r="AB123" s="421"/>
      <c r="AC123" s="421"/>
      <c r="AD123" s="421"/>
      <c r="AE123" s="421"/>
      <c r="AF123" s="421"/>
      <c r="AG123" s="421"/>
      <c r="AH123" s="421"/>
      <c r="AI123" s="421"/>
      <c r="AJ123" s="421"/>
      <c r="AK123" s="421"/>
      <c r="AL123" s="421"/>
      <c r="AM123" s="421"/>
      <c r="AN123" s="421"/>
      <c r="AO123" s="421"/>
      <c r="AP123" s="421"/>
      <c r="AQ123" s="421"/>
      <c r="AR123" s="421"/>
      <c r="AS123" s="421"/>
      <c r="AT123" s="421"/>
      <c r="AU123" s="421"/>
      <c r="AV123" s="421"/>
      <c r="AW123" s="421"/>
      <c r="AX123" s="421"/>
      <c r="AY123" s="421"/>
      <c r="AZ123" s="421"/>
      <c r="BA123" s="421"/>
      <c r="BB123" s="421"/>
      <c r="BC123" s="421"/>
      <c r="BD123" s="421"/>
      <c r="BE123" s="421"/>
      <c r="BF123" s="421"/>
      <c r="BG123" s="421"/>
      <c r="BH123" s="421"/>
      <c r="BI123" s="421"/>
      <c r="BJ123" s="421"/>
      <c r="BK123" s="421"/>
      <c r="BL123" s="421"/>
      <c r="BM123" s="421"/>
      <c r="BN123" s="421"/>
      <c r="BO123" s="421"/>
      <c r="BP123" s="421"/>
      <c r="BQ123" s="421"/>
      <c r="BR123" s="421"/>
      <c r="BS123" s="421"/>
      <c r="BT123" s="421"/>
      <c r="BU123" s="421"/>
      <c r="BV123" s="421"/>
      <c r="BW123" s="421"/>
      <c r="BX123" s="421"/>
      <c r="BY123" s="421"/>
      <c r="BZ123" s="421"/>
      <c r="CA123" s="421"/>
      <c r="CB123" s="421"/>
      <c r="CC123" s="421"/>
      <c r="CD123" s="421"/>
      <c r="CE123" s="421"/>
      <c r="CF123" s="421"/>
      <c r="CG123" s="421"/>
      <c r="CH123" s="421"/>
      <c r="CI123" s="421"/>
      <c r="CJ123" s="421"/>
      <c r="CK123" s="421"/>
      <c r="CL123" s="421"/>
      <c r="CM123" s="421"/>
      <c r="CN123" s="421"/>
      <c r="CO123" s="421"/>
      <c r="CP123" s="421"/>
      <c r="CQ123" s="421"/>
      <c r="CR123" s="421"/>
      <c r="CS123" s="421"/>
      <c r="CT123" s="421"/>
      <c r="CU123" s="421"/>
      <c r="CV123" s="421"/>
      <c r="CW123" s="421"/>
      <c r="CX123" s="421"/>
      <c r="CY123" s="421"/>
      <c r="CZ123" s="421"/>
      <c r="DA123" s="421"/>
      <c r="DB123" s="421"/>
      <c r="DC123" s="421"/>
      <c r="DD123" s="421"/>
      <c r="DE123" s="421"/>
      <c r="DF123" s="421"/>
      <c r="DH123" s="941"/>
      <c r="DI123" s="941"/>
      <c r="DJ123" s="941"/>
    </row>
    <row r="124" spans="1:114"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1060"/>
      <c r="BV124" s="1060"/>
      <c r="BW124" s="1060"/>
      <c r="BX124" s="1060"/>
      <c r="BY124" s="1060"/>
      <c r="BZ124" s="1060"/>
      <c r="CA124" s="1060"/>
      <c r="CB124" s="1060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75"/>
      <c r="CR124" s="75"/>
      <c r="CS124" s="75"/>
      <c r="CT124" s="75"/>
      <c r="CU124" s="450"/>
      <c r="CV124" s="75"/>
      <c r="CW124" s="75"/>
      <c r="CX124" s="75"/>
      <c r="CY124" s="75"/>
      <c r="CZ124" s="75"/>
      <c r="DA124" s="75"/>
      <c r="DB124" s="75"/>
      <c r="DC124" s="75"/>
      <c r="DD124" s="75"/>
      <c r="DE124" s="75"/>
      <c r="DF124" s="75"/>
    </row>
    <row r="125" spans="1:114">
      <c r="AX125" s="449"/>
      <c r="AY125" s="449"/>
      <c r="AZ125" s="449"/>
      <c r="BA125" s="449"/>
      <c r="BB125" s="449"/>
      <c r="BC125" s="449"/>
      <c r="BD125" s="449"/>
      <c r="BV125" s="474" t="s">
        <v>1206</v>
      </c>
      <c r="BW125" s="449">
        <v>568937.5080501209</v>
      </c>
      <c r="BX125" s="449">
        <v>570855.190350121</v>
      </c>
      <c r="BY125" s="449">
        <v>572772.87265012099</v>
      </c>
      <c r="BZ125" s="449">
        <v>574689.81637012097</v>
      </c>
      <c r="CA125" s="449">
        <v>576606.76003012096</v>
      </c>
      <c r="CU125" s="447"/>
      <c r="CW125" s="33"/>
      <c r="DF125" s="75"/>
      <c r="DI125" s="75"/>
      <c r="DJ125" s="375"/>
    </row>
    <row r="126" spans="1:114">
      <c r="AX126" s="449"/>
      <c r="AY126" s="449"/>
      <c r="AZ126" s="449"/>
      <c r="BA126" s="449"/>
      <c r="BB126" s="449"/>
      <c r="BC126" s="449"/>
      <c r="BD126" s="449"/>
      <c r="BW126" s="449">
        <v>261878.97077921798</v>
      </c>
      <c r="BX126" s="449">
        <v>258243.07549115899</v>
      </c>
      <c r="BY126" s="449">
        <v>272190.08760814002</v>
      </c>
      <c r="BZ126" s="449">
        <v>277260.00103609002</v>
      </c>
      <c r="CA126" s="449">
        <v>264247.497136891</v>
      </c>
      <c r="CU126" s="447"/>
      <c r="CW126" s="33"/>
      <c r="DI126" s="75"/>
      <c r="DJ126" s="375"/>
    </row>
    <row r="127" spans="1:114">
      <c r="AX127" s="449"/>
      <c r="AY127" s="449"/>
      <c r="AZ127" s="449"/>
      <c r="BA127" s="449"/>
      <c r="BB127" s="449"/>
      <c r="BC127" s="449"/>
      <c r="BD127" s="449"/>
      <c r="BW127" s="449">
        <f>SUM(BW125:BW126)</f>
        <v>830816.47882933891</v>
      </c>
      <c r="BX127" s="449">
        <f t="shared" ref="BX127:CA127" si="203">SUM(BX125:BX126)</f>
        <v>829098.26584127999</v>
      </c>
      <c r="BY127" s="449">
        <f t="shared" si="203"/>
        <v>844962.96025826107</v>
      </c>
      <c r="BZ127" s="449">
        <f t="shared" si="203"/>
        <v>851949.81740621105</v>
      </c>
      <c r="CA127" s="449">
        <f t="shared" si="203"/>
        <v>840854.25716701197</v>
      </c>
      <c r="CU127" s="450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</row>
    <row r="128" spans="1:114">
      <c r="CU128" s="447"/>
      <c r="CW128" s="33"/>
      <c r="DF128" s="33"/>
    </row>
    <row r="129" spans="27:110">
      <c r="CU129" s="447"/>
      <c r="CW129" s="33"/>
    </row>
    <row r="130" spans="27:110">
      <c r="BW130" s="449">
        <f>570000-BW125</f>
        <v>1062.4919498790987</v>
      </c>
      <c r="BX130" s="449">
        <f t="shared" ref="BX130:CA130" si="204">570000-BX125</f>
        <v>-855.19035012100358</v>
      </c>
      <c r="BY130" s="449">
        <f t="shared" si="204"/>
        <v>-2772.8726501209894</v>
      </c>
      <c r="BZ130" s="449">
        <f t="shared" si="204"/>
        <v>-4689.8163701209705</v>
      </c>
      <c r="CA130" s="449">
        <f t="shared" si="204"/>
        <v>-6606.7600301209604</v>
      </c>
      <c r="CU130" s="447"/>
      <c r="CW130" s="293"/>
      <c r="CX130" s="28"/>
      <c r="CY130" s="28"/>
      <c r="CZ130" s="293"/>
      <c r="DA130" s="28"/>
      <c r="DB130" s="28"/>
      <c r="DC130" s="293"/>
      <c r="DD130" s="28"/>
      <c r="DE130" s="28"/>
      <c r="DF130" s="293"/>
    </row>
    <row r="131" spans="27:110">
      <c r="CU131" s="447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</row>
    <row r="132" spans="27:110">
      <c r="BV132" s="1063" t="s">
        <v>1207</v>
      </c>
      <c r="BW132" s="1064">
        <v>570000</v>
      </c>
      <c r="BX132" s="1064">
        <v>570000</v>
      </c>
      <c r="BY132" s="1064">
        <v>570000</v>
      </c>
      <c r="BZ132" s="1064">
        <v>570000</v>
      </c>
      <c r="CA132" s="1064">
        <v>570000</v>
      </c>
      <c r="CU132" s="447"/>
      <c r="CW132" s="33"/>
      <c r="DF132" s="75"/>
    </row>
    <row r="133" spans="27:110">
      <c r="BV133" s="474" t="s">
        <v>1208</v>
      </c>
      <c r="BW133" s="1067">
        <f>BW67</f>
        <v>-1604.0308600000001</v>
      </c>
      <c r="BX133" s="1067">
        <f t="shared" ref="BX133:CA133" si="205">BX67</f>
        <v>-1596.0308600000001</v>
      </c>
      <c r="BY133" s="1067">
        <f t="shared" si="205"/>
        <v>-1588.0308600000001</v>
      </c>
      <c r="BZ133" s="1067">
        <f t="shared" si="205"/>
        <v>-1580.0308600000001</v>
      </c>
      <c r="CA133" s="1067">
        <f t="shared" si="205"/>
        <v>-1572.0308600000001</v>
      </c>
      <c r="CU133" s="704"/>
      <c r="CV133" s="422"/>
      <c r="CW133" s="422"/>
      <c r="CX133" s="422"/>
      <c r="CY133" s="422"/>
      <c r="CZ133" s="422"/>
      <c r="DA133" s="422"/>
      <c r="DB133" s="422"/>
      <c r="DC133" s="422"/>
      <c r="DD133" s="422"/>
      <c r="DE133" s="422"/>
      <c r="DF133" s="423"/>
    </row>
    <row r="134" spans="27:110">
      <c r="BV134" s="474"/>
      <c r="BW134" s="449">
        <f>SUM(BW132:BW133)</f>
        <v>568395.96913999994</v>
      </c>
      <c r="BX134" s="449">
        <f t="shared" ref="BX134:CA134" si="206">SUM(BX132:BX133)</f>
        <v>568403.96913999994</v>
      </c>
      <c r="BY134" s="449">
        <f t="shared" si="206"/>
        <v>568411.96913999994</v>
      </c>
      <c r="BZ134" s="449">
        <f t="shared" si="206"/>
        <v>568419.96913999994</v>
      </c>
      <c r="CA134" s="449">
        <f t="shared" si="206"/>
        <v>568427.96913999994</v>
      </c>
      <c r="CU134" s="704"/>
      <c r="CV134" s="422"/>
      <c r="CW134" s="422"/>
      <c r="CX134" s="422"/>
      <c r="CY134" s="422"/>
      <c r="CZ134" s="422"/>
      <c r="DA134" s="422"/>
      <c r="DB134" s="422"/>
      <c r="DC134" s="422"/>
      <c r="DD134" s="422"/>
      <c r="DE134" s="422"/>
      <c r="DF134" s="423"/>
    </row>
    <row r="135" spans="27:110">
      <c r="BV135" s="474"/>
      <c r="CU135" s="704"/>
      <c r="CV135" s="422"/>
      <c r="CW135" s="422"/>
      <c r="CX135" s="422"/>
      <c r="CY135" s="422"/>
      <c r="CZ135" s="422"/>
      <c r="DA135" s="422"/>
      <c r="DB135" s="422"/>
      <c r="DC135" s="422"/>
      <c r="DD135" s="422"/>
      <c r="DE135" s="422"/>
      <c r="DF135" s="423"/>
    </row>
    <row r="136" spans="27:110"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596"/>
      <c r="BF136" s="596"/>
      <c r="BG136" s="596"/>
      <c r="BH136" s="596"/>
      <c r="BI136" s="596"/>
      <c r="BJ136" s="596"/>
      <c r="BK136" s="596"/>
      <c r="BL136" s="596"/>
      <c r="BM136" s="596"/>
      <c r="BN136" s="596"/>
      <c r="BO136" s="596"/>
      <c r="BP136" s="596"/>
      <c r="BQ136" s="596"/>
      <c r="BR136" s="596"/>
      <c r="BS136" s="596"/>
      <c r="BT136" s="596"/>
      <c r="BU136" s="596"/>
      <c r="BV136" s="596" t="s">
        <v>1209</v>
      </c>
      <c r="BW136" s="1066">
        <f>BW122</f>
        <v>261878.9919498791</v>
      </c>
      <c r="BX136" s="1066">
        <f>BX122</f>
        <v>258243.10964987904</v>
      </c>
      <c r="BY136" s="1066">
        <f>BY122</f>
        <v>272190.12734987901</v>
      </c>
      <c r="BZ136" s="1066">
        <f>BZ122</f>
        <v>277259.98362987908</v>
      </c>
      <c r="CA136" s="1066">
        <f>CA122</f>
        <v>264247.53996987909</v>
      </c>
      <c r="CB136" s="596"/>
      <c r="CC136" s="596"/>
      <c r="CD136" s="596"/>
      <c r="CE136" s="596"/>
      <c r="CF136" s="596"/>
      <c r="CG136" s="596"/>
      <c r="CH136" s="596"/>
      <c r="CI136" s="596"/>
      <c r="CJ136" s="596"/>
      <c r="CK136" s="596"/>
      <c r="CL136" s="596"/>
      <c r="CM136" s="596"/>
      <c r="CN136" s="596"/>
      <c r="CO136" s="596"/>
      <c r="CP136" s="596"/>
      <c r="CQ136" s="596"/>
      <c r="CR136" s="596"/>
      <c r="CS136" s="596"/>
      <c r="CT136" s="596"/>
      <c r="CU136" s="450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</row>
    <row r="137" spans="27:110"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596"/>
      <c r="BF137" s="596"/>
      <c r="BG137" s="596"/>
      <c r="BH137" s="596"/>
      <c r="BI137" s="596"/>
      <c r="BJ137" s="596"/>
      <c r="BK137" s="596"/>
      <c r="BL137" s="596"/>
      <c r="BM137" s="596"/>
      <c r="BN137" s="596"/>
      <c r="BO137" s="596"/>
      <c r="BP137" s="596"/>
      <c r="BQ137" s="596"/>
      <c r="BR137" s="596"/>
      <c r="BS137" s="596"/>
      <c r="BT137" s="596"/>
      <c r="BU137" s="596"/>
      <c r="BV137" s="596"/>
      <c r="BW137" s="596"/>
      <c r="BX137" s="596"/>
      <c r="BY137" s="596"/>
      <c r="BZ137" s="596"/>
      <c r="CA137" s="596"/>
      <c r="CB137" s="596"/>
      <c r="CC137" s="596"/>
      <c r="CD137" s="596"/>
      <c r="CE137" s="596"/>
      <c r="CF137" s="596"/>
      <c r="CG137" s="596"/>
      <c r="CH137" s="596"/>
      <c r="CI137" s="596"/>
      <c r="CJ137" s="596"/>
      <c r="CK137" s="596"/>
      <c r="CL137" s="596"/>
      <c r="CM137" s="596"/>
      <c r="CN137" s="596"/>
      <c r="CO137" s="596"/>
      <c r="CP137" s="596"/>
      <c r="CQ137" s="596"/>
      <c r="CR137" s="596"/>
      <c r="CS137" s="596"/>
      <c r="CT137" s="596"/>
      <c r="CU137" s="450"/>
      <c r="CV137" s="75"/>
      <c r="CW137" s="75"/>
      <c r="CX137" s="75"/>
      <c r="CY137" s="75"/>
      <c r="CZ137" s="75"/>
      <c r="DA137" s="75"/>
      <c r="DB137" s="75"/>
      <c r="DC137" s="75"/>
      <c r="DD137" s="75"/>
      <c r="DE137" s="75"/>
      <c r="DF137" s="75"/>
    </row>
    <row r="138" spans="27:110"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596"/>
      <c r="BF138" s="596"/>
      <c r="BG138" s="596"/>
      <c r="BH138" s="596"/>
      <c r="BI138" s="596"/>
      <c r="BJ138" s="596"/>
      <c r="BK138" s="596"/>
      <c r="BL138" s="596"/>
      <c r="BM138" s="596"/>
      <c r="BN138" s="596"/>
      <c r="BO138" s="596"/>
      <c r="BP138" s="596"/>
      <c r="BQ138" s="596"/>
      <c r="BR138" s="596"/>
      <c r="BS138" s="596"/>
      <c r="BT138" s="596"/>
      <c r="BU138" s="596"/>
      <c r="BV138" s="596" t="s">
        <v>1212</v>
      </c>
      <c r="BW138" s="596">
        <f>BW143</f>
        <v>541.50805012090132</v>
      </c>
      <c r="BX138" s="596">
        <f t="shared" ref="BX138:CA138" si="207">BX143</f>
        <v>2451.1903501210036</v>
      </c>
      <c r="BY138" s="596">
        <f t="shared" si="207"/>
        <v>4360.8726501209894</v>
      </c>
      <c r="BZ138" s="596">
        <f t="shared" si="207"/>
        <v>6269.8163701209705</v>
      </c>
      <c r="CA138" s="596">
        <f t="shared" si="207"/>
        <v>8178.7600301209604</v>
      </c>
      <c r="CB138" s="596"/>
      <c r="CC138" s="596"/>
      <c r="CD138" s="596"/>
      <c r="CE138" s="596"/>
      <c r="CF138" s="596"/>
      <c r="CG138" s="596"/>
      <c r="CH138" s="596"/>
      <c r="CI138" s="596"/>
      <c r="CJ138" s="596"/>
      <c r="CK138" s="596"/>
      <c r="CL138" s="596"/>
      <c r="CM138" s="596"/>
      <c r="CN138" s="596"/>
      <c r="CO138" s="596"/>
      <c r="CP138" s="596"/>
      <c r="CQ138" s="596"/>
      <c r="CR138" s="596"/>
      <c r="CS138" s="596"/>
      <c r="CT138" s="596"/>
      <c r="CU138" s="450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</row>
    <row r="139" spans="27:110"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596"/>
      <c r="BF139" s="596"/>
      <c r="BG139" s="596"/>
      <c r="BH139" s="596"/>
      <c r="BI139" s="596"/>
      <c r="BJ139" s="596"/>
      <c r="BK139" s="596"/>
      <c r="BL139" s="596"/>
      <c r="BM139" s="596"/>
      <c r="BN139" s="596"/>
      <c r="BO139" s="596"/>
      <c r="BP139" s="596"/>
      <c r="BQ139" s="596"/>
      <c r="BR139" s="596"/>
      <c r="BS139" s="596"/>
      <c r="BT139" s="596"/>
      <c r="BU139" s="596"/>
      <c r="BV139" s="596"/>
      <c r="BW139" s="1062">
        <f>SUM(BW134,BW136,BW138)</f>
        <v>830816.46913999994</v>
      </c>
      <c r="BX139" s="1062">
        <f t="shared" ref="BX139:CA139" si="208">SUM(BX134,BX136,BX138)</f>
        <v>829098.26913999999</v>
      </c>
      <c r="BY139" s="1062">
        <f t="shared" si="208"/>
        <v>844962.96913999994</v>
      </c>
      <c r="BZ139" s="1062">
        <f t="shared" si="208"/>
        <v>851949.76913999999</v>
      </c>
      <c r="CA139" s="1062">
        <f t="shared" si="208"/>
        <v>840854.26913999999</v>
      </c>
      <c r="CB139" s="596"/>
      <c r="CC139" s="596"/>
      <c r="CD139" s="596"/>
      <c r="CE139" s="596"/>
      <c r="CF139" s="596"/>
      <c r="CG139" s="596"/>
      <c r="CH139" s="596"/>
      <c r="CI139" s="1062"/>
      <c r="CJ139" s="1062"/>
      <c r="CK139" s="1062"/>
      <c r="CL139" s="1062"/>
      <c r="CM139" s="1062"/>
      <c r="CN139" s="596"/>
      <c r="CO139" s="596"/>
      <c r="CP139" s="596"/>
      <c r="CQ139" s="596"/>
      <c r="CR139" s="596"/>
      <c r="CS139" s="596"/>
      <c r="CT139" s="596"/>
      <c r="CU139" s="450"/>
      <c r="CV139" s="75"/>
      <c r="CW139" s="75"/>
      <c r="CX139" s="75"/>
      <c r="CY139" s="75"/>
      <c r="CZ139" s="75"/>
      <c r="DA139" s="75"/>
      <c r="DB139" s="75"/>
      <c r="DC139" s="75"/>
      <c r="DD139" s="75"/>
      <c r="DE139" s="75"/>
      <c r="DF139" s="75"/>
    </row>
    <row r="140" spans="27:110"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596"/>
      <c r="BF140" s="596"/>
      <c r="BG140" s="596"/>
      <c r="BH140" s="596"/>
      <c r="BI140" s="596"/>
      <c r="BJ140" s="596"/>
      <c r="BK140" s="596"/>
      <c r="BL140" s="596"/>
      <c r="BM140" s="596"/>
      <c r="BN140" s="596"/>
      <c r="BO140" s="596"/>
      <c r="BP140" s="596"/>
      <c r="BQ140" s="596"/>
      <c r="BR140" s="596"/>
      <c r="BS140" s="596"/>
      <c r="BT140" s="596"/>
      <c r="BU140" s="596"/>
      <c r="BV140" s="596"/>
      <c r="BW140" s="596"/>
      <c r="BX140" s="596"/>
      <c r="BY140" s="596"/>
      <c r="BZ140" s="596"/>
      <c r="CA140" s="596"/>
      <c r="CB140" s="596"/>
      <c r="CC140" s="596"/>
      <c r="CD140" s="596"/>
      <c r="CE140" s="596"/>
      <c r="CF140" s="596"/>
      <c r="CG140" s="596"/>
      <c r="CH140" s="596"/>
      <c r="CI140" s="596"/>
      <c r="CJ140" s="596"/>
      <c r="CK140" s="596"/>
      <c r="CL140" s="596"/>
      <c r="CM140" s="596"/>
      <c r="CN140" s="596"/>
      <c r="CO140" s="596"/>
      <c r="CP140" s="596"/>
      <c r="CQ140" s="596"/>
      <c r="CR140" s="596"/>
      <c r="CS140" s="596"/>
      <c r="CT140" s="596"/>
      <c r="CU140" s="450"/>
      <c r="CV140" s="75"/>
      <c r="CW140" s="75"/>
      <c r="CX140" s="75"/>
      <c r="CY140" s="75"/>
      <c r="CZ140" s="75"/>
      <c r="DA140" s="75"/>
      <c r="DB140" s="75"/>
      <c r="DC140" s="75"/>
      <c r="DD140" s="75"/>
      <c r="DE140" s="75"/>
      <c r="DF140" s="75"/>
    </row>
    <row r="141" spans="27:110">
      <c r="BV141" s="474" t="s">
        <v>1211</v>
      </c>
      <c r="BW141" s="449">
        <v>541.50805012090132</v>
      </c>
      <c r="BX141" s="449">
        <v>1909.6823000001023</v>
      </c>
      <c r="BY141" s="449">
        <v>1909.6822999999858</v>
      </c>
      <c r="BZ141" s="449">
        <v>1908.9437199999811</v>
      </c>
      <c r="CA141" s="449">
        <v>1908.9436599999899</v>
      </c>
      <c r="CU141" s="705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</row>
    <row r="142" spans="27:110">
      <c r="CU142" s="705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</row>
    <row r="143" spans="27:110">
      <c r="BV143" s="604" t="s">
        <v>1210</v>
      </c>
      <c r="BW143" s="1061">
        <f>BW141</f>
        <v>541.50805012090132</v>
      </c>
      <c r="BX143" s="1061">
        <f>BW143+BX141</f>
        <v>2451.1903501210036</v>
      </c>
      <c r="BY143" s="1061">
        <f>BX143+BY141</f>
        <v>4360.8726501209894</v>
      </c>
      <c r="BZ143" s="1061">
        <f>BY143+BZ141</f>
        <v>6269.8163701209705</v>
      </c>
      <c r="CA143" s="1061">
        <f>BZ143+CA141</f>
        <v>8178.7600301209604</v>
      </c>
      <c r="CI143" s="474"/>
      <c r="CU143" s="547"/>
      <c r="CV143" s="425"/>
      <c r="CW143" s="425"/>
      <c r="CX143" s="425"/>
      <c r="CY143" s="425"/>
      <c r="CZ143" s="425"/>
      <c r="DA143" s="425"/>
      <c r="DB143" s="425"/>
      <c r="DC143" s="425"/>
      <c r="DD143" s="425"/>
      <c r="DE143" s="425"/>
      <c r="DF143" s="425"/>
    </row>
    <row r="144" spans="27:110">
      <c r="CU144" s="375"/>
      <c r="CV144"/>
    </row>
    <row r="145" spans="27:110"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596"/>
      <c r="BF145" s="596"/>
      <c r="BG145" s="596"/>
      <c r="BH145" s="596"/>
      <c r="BI145" s="596"/>
      <c r="BJ145" s="596"/>
      <c r="BK145" s="596"/>
      <c r="BL145" s="596"/>
      <c r="BM145" s="596"/>
      <c r="BN145" s="596"/>
      <c r="BO145" s="596"/>
      <c r="BP145" s="596"/>
      <c r="BQ145" s="596"/>
      <c r="BR145" s="596"/>
      <c r="BS145" s="596"/>
      <c r="BT145" s="596"/>
      <c r="BU145" s="596"/>
      <c r="BV145" s="596" t="s">
        <v>550</v>
      </c>
      <c r="BW145" s="596">
        <f>BW120-BW139</f>
        <v>3.0860000057145953E-2</v>
      </c>
      <c r="BX145" s="596">
        <f t="shared" ref="BX145:CA145" si="209">BX120-BX139</f>
        <v>3.0860000057145953E-2</v>
      </c>
      <c r="BY145" s="596">
        <f t="shared" si="209"/>
        <v>3.0860000057145953E-2</v>
      </c>
      <c r="BZ145" s="596">
        <f t="shared" si="209"/>
        <v>3.0860000057145953E-2</v>
      </c>
      <c r="CA145" s="596">
        <f t="shared" si="209"/>
        <v>3.0860000057145953E-2</v>
      </c>
      <c r="CB145" s="596"/>
      <c r="CC145" s="596"/>
      <c r="CD145" s="596"/>
      <c r="CE145" s="596"/>
      <c r="CF145" s="596"/>
      <c r="CG145" s="596"/>
      <c r="CH145" s="596"/>
      <c r="CI145" s="596"/>
      <c r="CJ145" s="596"/>
      <c r="CK145" s="596"/>
      <c r="CL145" s="596"/>
      <c r="CM145" s="596"/>
      <c r="CN145" s="596"/>
      <c r="CO145" s="596"/>
      <c r="CP145" s="596"/>
      <c r="CQ145" s="596"/>
      <c r="CR145" s="596"/>
      <c r="CS145" s="596"/>
      <c r="CT145" s="596"/>
      <c r="CU145" s="547"/>
      <c r="CV145" s="425"/>
      <c r="CW145" s="425"/>
      <c r="CX145" s="425"/>
      <c r="CY145" s="425"/>
      <c r="CZ145" s="425"/>
      <c r="DA145" s="425"/>
      <c r="DB145" s="425"/>
      <c r="DC145" s="425"/>
      <c r="DD145" s="425"/>
      <c r="DE145" s="425"/>
      <c r="DF145" s="425"/>
    </row>
    <row r="146" spans="27:110">
      <c r="CW146" s="33"/>
    </row>
    <row r="147" spans="27:110"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596"/>
      <c r="BF147" s="596"/>
      <c r="BG147" s="596"/>
      <c r="BH147" s="596"/>
      <c r="BI147" s="596"/>
      <c r="BJ147" s="596"/>
      <c r="BK147" s="596"/>
      <c r="BL147" s="596"/>
      <c r="BM147" s="596"/>
      <c r="BN147" s="596"/>
      <c r="BO147" s="596"/>
      <c r="BP147" s="596"/>
      <c r="BQ147" s="596"/>
      <c r="BR147" s="596"/>
      <c r="BS147" s="596"/>
      <c r="BT147" s="596"/>
      <c r="BU147" s="596"/>
      <c r="BV147" s="596"/>
      <c r="BW147" s="596"/>
      <c r="BX147" s="596"/>
      <c r="BY147" s="596"/>
      <c r="BZ147" s="596"/>
      <c r="CA147" s="596"/>
      <c r="CB147" s="596"/>
      <c r="CC147" s="596"/>
      <c r="CD147" s="596"/>
      <c r="CE147" s="596"/>
      <c r="CF147" s="596"/>
      <c r="CG147" s="596"/>
      <c r="CH147" s="596"/>
      <c r="CI147" s="596"/>
      <c r="CJ147" s="596"/>
      <c r="CK147" s="596"/>
      <c r="CL147" s="596"/>
      <c r="CM147" s="596"/>
      <c r="CN147" s="596"/>
      <c r="CO147" s="596"/>
      <c r="CP147" s="596"/>
      <c r="CQ147" s="596"/>
      <c r="CR147" s="596"/>
      <c r="CS147" s="596"/>
      <c r="CT147" s="596"/>
      <c r="CU147" s="424"/>
      <c r="CV147" s="424"/>
      <c r="CW147" s="424"/>
      <c r="CX147" s="424"/>
      <c r="CY147" s="424"/>
      <c r="CZ147" s="424"/>
      <c r="DA147" s="424"/>
      <c r="DB147" s="424"/>
      <c r="DC147" s="424"/>
      <c r="DD147" s="424"/>
      <c r="DE147" s="424"/>
      <c r="DF147" s="424"/>
    </row>
    <row r="148" spans="27:110">
      <c r="CW148" s="33"/>
    </row>
    <row r="149" spans="27:110"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596"/>
      <c r="BF149" s="596"/>
      <c r="BG149" s="596"/>
      <c r="BH149" s="596"/>
      <c r="BI149" s="596"/>
      <c r="BJ149" s="596"/>
      <c r="BK149" s="596"/>
      <c r="BL149" s="596"/>
      <c r="BM149" s="596"/>
      <c r="BN149" s="596"/>
      <c r="BO149" s="596"/>
      <c r="BP149" s="596"/>
      <c r="BQ149" s="596"/>
      <c r="BR149" s="596"/>
      <c r="BS149" s="596"/>
      <c r="BT149" s="596"/>
      <c r="BU149" s="596"/>
      <c r="BV149" s="596"/>
      <c r="BW149" s="596"/>
      <c r="BX149" s="596"/>
      <c r="BY149" s="596"/>
      <c r="BZ149" s="596"/>
      <c r="CA149" s="596"/>
      <c r="CB149" s="596"/>
      <c r="CC149" s="596"/>
      <c r="CD149" s="596"/>
      <c r="CE149" s="596"/>
      <c r="CF149" s="596"/>
      <c r="CG149" s="596"/>
      <c r="CH149" s="596"/>
      <c r="CI149" s="596"/>
      <c r="CJ149" s="596"/>
      <c r="CK149" s="596"/>
      <c r="CL149" s="596"/>
      <c r="CM149" s="596"/>
      <c r="CN149" s="596"/>
      <c r="CO149" s="596"/>
      <c r="CP149" s="596"/>
      <c r="CQ149" s="596"/>
      <c r="CR149" s="596"/>
      <c r="CS149" s="596"/>
      <c r="CT149" s="596"/>
      <c r="CU149" s="424"/>
      <c r="CV149" s="424"/>
      <c r="CW149" s="424"/>
      <c r="CX149" s="424"/>
      <c r="CY149" s="424"/>
      <c r="CZ149" s="424"/>
      <c r="DA149" s="424"/>
      <c r="DB149" s="424"/>
      <c r="DC149" s="424"/>
      <c r="DD149" s="424"/>
      <c r="DE149" s="424"/>
      <c r="DF149" s="424"/>
    </row>
    <row r="153" spans="27:110"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596"/>
      <c r="BF153" s="596"/>
      <c r="BG153" s="596"/>
      <c r="BH153" s="596"/>
      <c r="BI153" s="596"/>
      <c r="BJ153" s="596"/>
      <c r="BK153" s="596"/>
      <c r="BL153" s="596"/>
      <c r="BM153" s="596"/>
      <c r="BN153" s="596"/>
      <c r="BO153" s="596"/>
      <c r="BP153" s="596"/>
      <c r="BQ153" s="596"/>
      <c r="BR153" s="596"/>
      <c r="BS153" s="596"/>
      <c r="BT153" s="596"/>
      <c r="BU153" s="596"/>
      <c r="BV153" s="596"/>
      <c r="BW153" s="596"/>
      <c r="BX153" s="596"/>
      <c r="BY153" s="596"/>
      <c r="BZ153" s="596"/>
      <c r="CA153" s="596"/>
      <c r="CB153" s="596"/>
      <c r="CC153" s="596"/>
      <c r="CD153" s="596"/>
      <c r="CE153" s="596"/>
      <c r="CF153" s="596"/>
      <c r="CG153" s="596"/>
      <c r="CH153" s="596"/>
      <c r="CI153" s="596"/>
      <c r="CJ153" s="596"/>
      <c r="CK153" s="596"/>
      <c r="CL153" s="596"/>
      <c r="CM153" s="596"/>
      <c r="CN153" s="596"/>
      <c r="CO153" s="596"/>
      <c r="CP153" s="596"/>
      <c r="CQ153" s="596"/>
      <c r="CR153" s="596"/>
      <c r="CS153" s="596"/>
      <c r="CT153" s="596"/>
      <c r="CU153" s="424"/>
    </row>
    <row r="154" spans="27:110"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596"/>
      <c r="BF154" s="596"/>
      <c r="BG154" s="596"/>
      <c r="BH154" s="596"/>
      <c r="BI154" s="596"/>
      <c r="BJ154" s="596"/>
      <c r="BK154" s="596"/>
      <c r="BL154" s="596"/>
      <c r="BM154" s="596"/>
      <c r="BN154" s="596"/>
      <c r="BO154" s="596"/>
      <c r="BP154" s="596"/>
      <c r="BQ154" s="596"/>
      <c r="BR154" s="596"/>
      <c r="BS154" s="596"/>
      <c r="BT154" s="596"/>
      <c r="BU154" s="596"/>
      <c r="BV154" s="596"/>
      <c r="BW154" s="596"/>
      <c r="BX154" s="596"/>
      <c r="BY154" s="596"/>
      <c r="BZ154" s="596"/>
      <c r="CA154" s="596"/>
      <c r="CB154" s="596"/>
      <c r="CC154" s="596"/>
      <c r="CD154" s="596"/>
      <c r="CE154" s="596"/>
      <c r="CF154" s="596"/>
      <c r="CG154" s="596"/>
      <c r="CH154" s="596"/>
      <c r="CI154" s="596"/>
      <c r="CJ154" s="596"/>
      <c r="CK154" s="596"/>
      <c r="CL154" s="596"/>
      <c r="CM154" s="596"/>
      <c r="CN154" s="596"/>
      <c r="CO154" s="596"/>
      <c r="CP154" s="596"/>
      <c r="CQ154" s="596"/>
      <c r="CR154" s="596"/>
      <c r="CS154" s="596"/>
      <c r="CT154" s="596"/>
      <c r="CU154" s="424"/>
    </row>
    <row r="155" spans="27:110"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596"/>
      <c r="BF155" s="596"/>
      <c r="BG155" s="596"/>
      <c r="BH155" s="596"/>
      <c r="BI155" s="596"/>
      <c r="BJ155" s="596"/>
      <c r="BK155" s="596"/>
      <c r="BL155" s="596"/>
      <c r="BM155" s="596"/>
      <c r="BN155" s="596"/>
      <c r="BO155" s="596"/>
      <c r="BP155" s="596"/>
      <c r="BQ155" s="596"/>
      <c r="BR155" s="596"/>
      <c r="BS155" s="596"/>
      <c r="BT155" s="596"/>
      <c r="BU155" s="596"/>
      <c r="BV155" s="596"/>
      <c r="BW155" s="596"/>
      <c r="BX155" s="596"/>
      <c r="BY155" s="596"/>
      <c r="BZ155" s="596"/>
      <c r="CA155" s="596"/>
      <c r="CB155" s="596"/>
      <c r="CC155" s="596"/>
      <c r="CD155" s="596"/>
      <c r="CE155" s="596"/>
      <c r="CF155" s="596"/>
      <c r="CG155" s="596"/>
      <c r="CH155" s="596"/>
      <c r="CI155" s="596"/>
      <c r="CJ155" s="596"/>
      <c r="CK155" s="596"/>
      <c r="CL155" s="596"/>
      <c r="CM155" s="596"/>
      <c r="CN155" s="596"/>
      <c r="CO155" s="596"/>
      <c r="CP155" s="596"/>
      <c r="CQ155" s="596"/>
      <c r="CR155" s="596"/>
      <c r="CS155" s="596"/>
      <c r="CT155" s="596"/>
      <c r="CU155" s="424"/>
    </row>
  </sheetData>
  <phoneticPr fontId="0" type="noConversion"/>
  <printOptions horizontalCentered="1"/>
  <pageMargins left="0.25" right="0.25" top="0.75" bottom="0.75" header="0.3" footer="0.3"/>
  <pageSetup paperSize="5" scale="35" orientation="landscape" blackAndWhite="1" r:id="rId1"/>
  <headerFooter alignWithMargins="0">
    <oddFooter>&amp;L&amp;Z&amp;F
&amp;D</oddFooter>
  </headerFooter>
  <rowBreaks count="1" manualBreakCount="1">
    <brk id="55" max="35" man="1"/>
  </rowBreaks>
  <customProperties>
    <customPr name="FPMExcelClientCellBasedFunctionStatus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  <pageSetUpPr fitToPage="1"/>
  </sheetPr>
  <dimension ref="A1:DE103"/>
  <sheetViews>
    <sheetView zoomScale="70" zoomScaleNormal="70" workbookViewId="0">
      <pane xSplit="53" ySplit="8" topLeftCell="BW9" activePane="bottomRight" state="frozen"/>
      <selection pane="topRight" activeCell="BB1" sqref="BB1"/>
      <selection pane="bottomLeft" activeCell="A9" sqref="A9"/>
      <selection pane="bottomRight" activeCell="C34" sqref="C34"/>
    </sheetView>
  </sheetViews>
  <sheetFormatPr defaultRowHeight="12.75"/>
  <cols>
    <col min="1" max="1" width="14.5703125" customWidth="1"/>
    <col min="2" max="2" width="39.42578125" customWidth="1"/>
    <col min="3" max="3" width="13.42578125" bestFit="1" customWidth="1"/>
    <col min="4" max="26" width="12.42578125" hidden="1" customWidth="1"/>
    <col min="27" max="27" width="12.5703125" hidden="1" customWidth="1"/>
    <col min="28" max="50" width="12.140625" hidden="1" customWidth="1"/>
    <col min="51" max="53" width="11.140625" hidden="1" customWidth="1"/>
    <col min="54" max="62" width="12.140625" hidden="1" customWidth="1"/>
    <col min="63" max="99" width="12.140625" customWidth="1"/>
  </cols>
  <sheetData>
    <row r="1" spans="1:99" ht="15">
      <c r="A1" s="206" t="s">
        <v>232</v>
      </c>
      <c r="B1" s="206"/>
      <c r="C1" s="206"/>
    </row>
    <row r="2" spans="1:99" ht="15">
      <c r="A2" s="15" t="s">
        <v>552</v>
      </c>
      <c r="B2" s="15"/>
      <c r="C2" s="15"/>
      <c r="CP2">
        <v>118</v>
      </c>
      <c r="CQ2">
        <v>119</v>
      </c>
      <c r="CR2">
        <v>120</v>
      </c>
      <c r="CS2">
        <v>121</v>
      </c>
      <c r="CT2">
        <v>122</v>
      </c>
      <c r="CU2">
        <v>123</v>
      </c>
    </row>
    <row r="3" spans="1:99" ht="15">
      <c r="A3" s="261">
        <f>+'Bal Sheet'!A1</f>
        <v>12</v>
      </c>
      <c r="B3" s="15"/>
      <c r="C3" s="15"/>
      <c r="CK3" s="28"/>
      <c r="CL3" s="28"/>
      <c r="CM3" s="28"/>
      <c r="CN3" s="28"/>
      <c r="CO3" s="28"/>
      <c r="CP3" s="28">
        <v>130</v>
      </c>
      <c r="CQ3" s="28">
        <v>131</v>
      </c>
      <c r="CR3" s="28">
        <v>132</v>
      </c>
      <c r="CS3" s="28">
        <v>133</v>
      </c>
      <c r="CT3" s="28">
        <v>134</v>
      </c>
      <c r="CU3" s="28">
        <v>135</v>
      </c>
    </row>
    <row r="4" spans="1:99" ht="15">
      <c r="A4" s="15"/>
      <c r="B4" s="15"/>
      <c r="C4" s="15"/>
    </row>
    <row r="5" spans="1:99" ht="15">
      <c r="B5" s="213"/>
      <c r="C5" s="213"/>
    </row>
    <row r="6" spans="1:99" ht="15.75">
      <c r="A6" s="746" t="s">
        <v>553</v>
      </c>
      <c r="B6" s="747"/>
      <c r="C6" s="74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577"/>
      <c r="X6" s="577"/>
      <c r="Y6" s="577"/>
      <c r="Z6" s="577"/>
      <c r="AA6" s="577"/>
      <c r="AB6" s="577"/>
      <c r="AC6" s="577"/>
      <c r="AD6" s="577"/>
      <c r="AE6" s="577"/>
      <c r="AF6" s="577"/>
      <c r="AG6" s="577"/>
      <c r="AH6" s="577"/>
      <c r="AI6" s="577"/>
      <c r="AJ6" s="577"/>
      <c r="AK6" s="577"/>
      <c r="AL6" s="577"/>
      <c r="AM6" s="577"/>
      <c r="AN6" s="577"/>
      <c r="AO6" s="577"/>
      <c r="AP6" s="577"/>
      <c r="AQ6" s="577"/>
      <c r="AR6" s="577"/>
      <c r="AS6" s="577"/>
      <c r="AT6" s="577"/>
      <c r="AU6" s="577"/>
      <c r="AV6" s="577"/>
      <c r="AW6" s="577"/>
      <c r="AX6" s="577"/>
      <c r="AY6" s="577"/>
      <c r="AZ6" s="577"/>
      <c r="BA6" s="577"/>
      <c r="BB6" s="577"/>
      <c r="BC6" s="577"/>
      <c r="BD6" s="577"/>
      <c r="BE6" s="577"/>
      <c r="BF6" s="577"/>
      <c r="BG6" s="577"/>
      <c r="BH6" s="577"/>
      <c r="BI6" s="577"/>
      <c r="BJ6" s="577"/>
      <c r="BK6" s="577"/>
      <c r="BL6" s="577"/>
      <c r="BM6" s="577"/>
      <c r="BN6" s="577"/>
      <c r="BO6" s="577"/>
      <c r="BP6" s="577"/>
      <c r="BQ6" s="577"/>
      <c r="BR6" s="577"/>
      <c r="BS6" s="577"/>
      <c r="BT6" s="577"/>
      <c r="BU6" s="577"/>
      <c r="BV6" s="577"/>
      <c r="BW6" s="577"/>
      <c r="BX6" s="577"/>
      <c r="BY6" s="577"/>
      <c r="BZ6" s="577"/>
      <c r="CA6" s="577"/>
      <c r="CB6" s="577"/>
      <c r="CC6" s="577"/>
      <c r="CD6" s="577"/>
      <c r="CE6" s="577"/>
      <c r="CF6" s="577"/>
      <c r="CG6" s="577"/>
      <c r="CH6" s="577"/>
      <c r="CI6" s="577"/>
      <c r="CJ6" s="577"/>
      <c r="CK6" s="577"/>
      <c r="CL6" s="577"/>
      <c r="CM6" s="577"/>
      <c r="CN6" s="577"/>
      <c r="CO6" s="577"/>
      <c r="CP6" s="577"/>
      <c r="CQ6" s="577"/>
      <c r="CR6" s="577"/>
      <c r="CS6" s="577"/>
      <c r="CT6" s="577"/>
      <c r="CU6" s="577"/>
    </row>
    <row r="7" spans="1:99" ht="15">
      <c r="A7" s="15"/>
      <c r="B7" s="15"/>
      <c r="C7" s="290" t="s">
        <v>151</v>
      </c>
      <c r="D7" s="16" t="str">
        <f>+'Bal Sheet'!C5</f>
        <v>Actual</v>
      </c>
      <c r="E7" s="16" t="str">
        <f>+'Bal Sheet'!D5</f>
        <v>Actual</v>
      </c>
      <c r="F7" s="16" t="str">
        <f>+'Bal Sheet'!E5</f>
        <v>Actual</v>
      </c>
      <c r="G7" s="16" t="str">
        <f>+'Bal Sheet'!F5</f>
        <v>Actual</v>
      </c>
      <c r="H7" s="16" t="str">
        <f>+'Bal Sheet'!G5</f>
        <v>Actual</v>
      </c>
      <c r="I7" s="16" t="str">
        <f>+'Bal Sheet'!H5</f>
        <v>Actual</v>
      </c>
      <c r="J7" s="16" t="str">
        <f>+'Bal Sheet'!I5</f>
        <v>Actual</v>
      </c>
      <c r="K7" s="16" t="str">
        <f>+'Bal Sheet'!J5</f>
        <v>Actual</v>
      </c>
      <c r="L7" s="16" t="str">
        <f>+'Bal Sheet'!K5</f>
        <v>Actual</v>
      </c>
      <c r="M7" s="16" t="str">
        <f>+'Bal Sheet'!L5</f>
        <v>Actual</v>
      </c>
      <c r="N7" s="16" t="str">
        <f>+'Bal Sheet'!M5</f>
        <v>Actual</v>
      </c>
      <c r="O7" s="16" t="str">
        <f>+'Bal Sheet'!N5</f>
        <v>Actual</v>
      </c>
      <c r="P7" s="16" t="str">
        <f>+'Bal Sheet'!O5</f>
        <v>Actual</v>
      </c>
      <c r="Q7" s="16" t="str">
        <f>+'Bal Sheet'!P5</f>
        <v>Actual</v>
      </c>
      <c r="R7" s="16" t="str">
        <f>+'Bal Sheet'!Q5</f>
        <v>Actual</v>
      </c>
      <c r="S7" s="16" t="str">
        <f>+'Bal Sheet'!R5</f>
        <v>Actual</v>
      </c>
      <c r="T7" s="16" t="str">
        <f>+'Bal Sheet'!S5</f>
        <v>Actual</v>
      </c>
      <c r="U7" s="16" t="str">
        <f>+'Bal Sheet'!T5</f>
        <v>Actual</v>
      </c>
      <c r="V7" s="16" t="str">
        <f>+'Bal Sheet'!U5</f>
        <v>Actual</v>
      </c>
      <c r="W7" s="16" t="str">
        <f>+'Bal Sheet'!V5</f>
        <v>Actual</v>
      </c>
      <c r="X7" s="16" t="str">
        <f>+'Bal Sheet'!W5</f>
        <v>Actual</v>
      </c>
      <c r="Y7" s="16" t="str">
        <f>+'Bal Sheet'!X5</f>
        <v>Actual</v>
      </c>
      <c r="Z7" s="16" t="str">
        <f>+'Bal Sheet'!Y5</f>
        <v>Actual</v>
      </c>
      <c r="AA7" s="16" t="str">
        <f>+'Bal Sheet'!Z5</f>
        <v>Actual</v>
      </c>
      <c r="AB7" s="16" t="str">
        <f>+'Bal Sheet'!AA5</f>
        <v>Actual</v>
      </c>
      <c r="AC7" s="16" t="str">
        <f>+'Bal Sheet'!AB5</f>
        <v>Actual</v>
      </c>
      <c r="AD7" s="16" t="str">
        <f>+'Bal Sheet'!AC5</f>
        <v>Actual</v>
      </c>
      <c r="AE7" s="16" t="str">
        <f>+'Bal Sheet'!AD5</f>
        <v>Actual</v>
      </c>
      <c r="AF7" s="16" t="str">
        <f>+'Bal Sheet'!AE5</f>
        <v>Actual</v>
      </c>
      <c r="AG7" s="16" t="str">
        <f>+'Bal Sheet'!AF5</f>
        <v>Actual</v>
      </c>
      <c r="AH7" s="16" t="str">
        <f>+'Bal Sheet'!AG5</f>
        <v>Actual</v>
      </c>
      <c r="AI7" s="16" t="str">
        <f>+'Bal Sheet'!AH5</f>
        <v>Actual</v>
      </c>
      <c r="AJ7" s="16" t="str">
        <f>+'Bal Sheet'!AI5</f>
        <v>Actual</v>
      </c>
      <c r="AK7" s="16" t="str">
        <f>+'Bal Sheet'!AJ5</f>
        <v>Actual</v>
      </c>
      <c r="AL7" s="16" t="str">
        <f>+'Bal Sheet'!AK5</f>
        <v>Actual</v>
      </c>
      <c r="AM7" s="16" t="str">
        <f>+'Bal Sheet'!AL5</f>
        <v>Actual</v>
      </c>
      <c r="AN7" s="16" t="str">
        <f>+'Bal Sheet'!AM5</f>
        <v>Actual</v>
      </c>
      <c r="AO7" s="16" t="str">
        <f>+'Bal Sheet'!AN5</f>
        <v>Actual</v>
      </c>
      <c r="AP7" s="16" t="str">
        <f>+'Bal Sheet'!AO5</f>
        <v>Actual</v>
      </c>
      <c r="AQ7" s="16" t="str">
        <f>+'Bal Sheet'!AP5</f>
        <v>Actual</v>
      </c>
      <c r="AR7" s="16" t="str">
        <f>+'Bal Sheet'!AQ5</f>
        <v>Actual</v>
      </c>
      <c r="AS7" s="16" t="str">
        <f>+'Bal Sheet'!AR5</f>
        <v>Actual</v>
      </c>
      <c r="AT7" s="16" t="str">
        <f>+'Bal Sheet'!AS5</f>
        <v>Actual</v>
      </c>
      <c r="AU7" s="16" t="str">
        <f>+'Bal Sheet'!AT5</f>
        <v>Actual</v>
      </c>
      <c r="AV7" s="16" t="str">
        <f>+'Bal Sheet'!AU5</f>
        <v>Actual</v>
      </c>
      <c r="AW7" s="16" t="str">
        <f>+'Bal Sheet'!AV5</f>
        <v>Actual</v>
      </c>
      <c r="AX7" s="741" t="str">
        <f>+'Bal Sheet'!AW5</f>
        <v>Actual</v>
      </c>
      <c r="AY7" s="741" t="str">
        <f>+'Bal Sheet'!AX5</f>
        <v>Actual</v>
      </c>
      <c r="AZ7" s="741" t="str">
        <f>+'Bal Sheet'!AY5</f>
        <v>Actual</v>
      </c>
      <c r="BA7" s="741" t="str">
        <f>+'Bal Sheet'!AZ5</f>
        <v>Actual</v>
      </c>
      <c r="BB7" s="741" t="str">
        <f>+'Bal Sheet'!BA5</f>
        <v>Actual</v>
      </c>
      <c r="BC7" s="741" t="str">
        <f>+'Bal Sheet'!BB5</f>
        <v>Actual</v>
      </c>
      <c r="BD7" s="741" t="str">
        <f>+'Bal Sheet'!BC5</f>
        <v>Actual</v>
      </c>
      <c r="BE7" s="741" t="str">
        <f>+'Bal Sheet'!BD5</f>
        <v>Actual</v>
      </c>
      <c r="BF7" s="741" t="str">
        <f>+'Bal Sheet'!BE5</f>
        <v>Actual</v>
      </c>
      <c r="BG7" s="741" t="str">
        <f>+'Bal Sheet'!BF5</f>
        <v>Actual</v>
      </c>
      <c r="BH7" s="741" t="str">
        <f>+'Bal Sheet'!BG5</f>
        <v>Actual</v>
      </c>
      <c r="BI7" s="741" t="str">
        <f>+'Bal Sheet'!BH5</f>
        <v>Actual</v>
      </c>
      <c r="BJ7" s="741" t="str">
        <f>+'Bal Sheet'!BI5</f>
        <v>Actual</v>
      </c>
      <c r="BK7" s="741" t="str">
        <f>+'Bal Sheet'!BJ5</f>
        <v>Actual</v>
      </c>
      <c r="BL7" s="741" t="str">
        <f>+'Bal Sheet'!BK5</f>
        <v>Actual</v>
      </c>
      <c r="BM7" s="741" t="str">
        <f>+'Bal Sheet'!BL5</f>
        <v>Actual</v>
      </c>
      <c r="BN7" s="741" t="str">
        <f>+'Bal Sheet'!BM5</f>
        <v>Actual</v>
      </c>
      <c r="BO7" s="741" t="str">
        <f>+'Bal Sheet'!BN5</f>
        <v>Actual</v>
      </c>
      <c r="BP7" s="741" t="str">
        <f>+'Bal Sheet'!BO5</f>
        <v>Actual</v>
      </c>
      <c r="BQ7" s="741" t="str">
        <f>+'Bal Sheet'!BP5</f>
        <v>Actual</v>
      </c>
      <c r="BR7" s="741" t="str">
        <f>+'Bal Sheet'!BQ5</f>
        <v>Actual</v>
      </c>
      <c r="BS7" s="741" t="str">
        <f>+'Bal Sheet'!BR5</f>
        <v>Actual</v>
      </c>
      <c r="BT7" s="741" t="str">
        <f>+'Bal Sheet'!BS5</f>
        <v>Actual</v>
      </c>
      <c r="BU7" s="741" t="str">
        <f>+'Bal Sheet'!BT5</f>
        <v>Actual</v>
      </c>
      <c r="BV7" s="741" t="str">
        <f>+'Bal Sheet'!BU5</f>
        <v>Actual</v>
      </c>
      <c r="BW7" s="741" t="str">
        <f>+'Bal Sheet'!BV5</f>
        <v>Actual</v>
      </c>
      <c r="BX7" s="741" t="str">
        <f>+'Bal Sheet'!BW5</f>
        <v>Budget</v>
      </c>
      <c r="BY7" s="741" t="str">
        <f>+'Bal Sheet'!BX5</f>
        <v>Budget</v>
      </c>
      <c r="BZ7" s="741" t="str">
        <f>+'Bal Sheet'!BY5</f>
        <v>Budget</v>
      </c>
      <c r="CA7" s="741" t="str">
        <f>+'Bal Sheet'!BZ5</f>
        <v>Budget</v>
      </c>
      <c r="CB7" s="741" t="str">
        <f>+'Bal Sheet'!CA5</f>
        <v>Budget</v>
      </c>
      <c r="CC7" s="741" t="str">
        <f>+'Bal Sheet'!CB5</f>
        <v>Budget</v>
      </c>
      <c r="CD7" s="741" t="str">
        <f>+'Bal Sheet'!CC5</f>
        <v>Budget</v>
      </c>
      <c r="CE7" s="741" t="str">
        <f>+'Bal Sheet'!CD5</f>
        <v>Budget</v>
      </c>
      <c r="CF7" s="741" t="str">
        <f>+'Bal Sheet'!CE5</f>
        <v>Budget</v>
      </c>
      <c r="CG7" s="741" t="str">
        <f>+'Bal Sheet'!CF5</f>
        <v>Budget</v>
      </c>
      <c r="CH7" s="741" t="str">
        <f>+'Bal Sheet'!CG5</f>
        <v>Budget</v>
      </c>
      <c r="CI7" s="741" t="str">
        <f>+'Bal Sheet'!CH5</f>
        <v>Budget</v>
      </c>
      <c r="CJ7" s="741" t="str">
        <f>+'Bal Sheet'!CI5</f>
        <v>Budget</v>
      </c>
      <c r="CK7" s="741" t="str">
        <f>+'Bal Sheet'!CJ5</f>
        <v>Budget</v>
      </c>
      <c r="CL7" s="741" t="str">
        <f>+'Bal Sheet'!CK5</f>
        <v>Budget</v>
      </c>
      <c r="CM7" s="741" t="str">
        <f>+'Bal Sheet'!CL5</f>
        <v>Budget</v>
      </c>
      <c r="CN7" s="741" t="str">
        <f>+'Bal Sheet'!CM5</f>
        <v>Budget</v>
      </c>
      <c r="CO7" s="741" t="str">
        <f>+'Bal Sheet'!CN5</f>
        <v>Budget</v>
      </c>
      <c r="CP7" s="741" t="str">
        <f>+'Bal Sheet'!CO5</f>
        <v>Budget</v>
      </c>
      <c r="CQ7" s="741" t="str">
        <f>+'Bal Sheet'!CP5</f>
        <v>Budget</v>
      </c>
      <c r="CR7" s="741" t="str">
        <f>+'Bal Sheet'!CQ5</f>
        <v>Budget</v>
      </c>
      <c r="CS7" s="741" t="str">
        <f>+'Bal Sheet'!CR5</f>
        <v>Budget</v>
      </c>
      <c r="CT7" s="741" t="str">
        <f>+'Bal Sheet'!CS5</f>
        <v>Budget</v>
      </c>
      <c r="CU7" s="741" t="str">
        <f>+'Bal Sheet'!CT5</f>
        <v>Budget</v>
      </c>
    </row>
    <row r="8" spans="1:99">
      <c r="A8" s="207"/>
      <c r="B8" s="597" t="s">
        <v>554</v>
      </c>
      <c r="C8" s="291" t="s">
        <v>153</v>
      </c>
      <c r="D8" s="421">
        <f>+'Bal Sheet'!C6</f>
        <v>42736</v>
      </c>
      <c r="E8" s="421">
        <f>+'Bal Sheet'!D6</f>
        <v>42767</v>
      </c>
      <c r="F8" s="421">
        <f>+'Bal Sheet'!E6</f>
        <v>42798</v>
      </c>
      <c r="G8" s="421">
        <f>+'Bal Sheet'!F6</f>
        <v>42829</v>
      </c>
      <c r="H8" s="421">
        <f>+'Bal Sheet'!G6</f>
        <v>42860</v>
      </c>
      <c r="I8" s="421">
        <f>+'Bal Sheet'!H6</f>
        <v>42891</v>
      </c>
      <c r="J8" s="421">
        <f>+'Bal Sheet'!I6</f>
        <v>42922</v>
      </c>
      <c r="K8" s="421">
        <f>+'Bal Sheet'!J6</f>
        <v>42953</v>
      </c>
      <c r="L8" s="421">
        <f>+'Bal Sheet'!K6</f>
        <v>42984</v>
      </c>
      <c r="M8" s="421">
        <f>+'Bal Sheet'!L6</f>
        <v>43015</v>
      </c>
      <c r="N8" s="421">
        <f>+'Bal Sheet'!M6</f>
        <v>43046</v>
      </c>
      <c r="O8" s="421">
        <f>+'Bal Sheet'!N6</f>
        <v>43077</v>
      </c>
      <c r="P8" s="421">
        <f>+'Bal Sheet'!O6</f>
        <v>43108</v>
      </c>
      <c r="Q8" s="421">
        <f>+'Bal Sheet'!P6</f>
        <v>43139</v>
      </c>
      <c r="R8" s="421">
        <f>+'Bal Sheet'!Q6</f>
        <v>43170</v>
      </c>
      <c r="S8" s="421">
        <f>+'Bal Sheet'!R6</f>
        <v>43201</v>
      </c>
      <c r="T8" s="421">
        <f>+'Bal Sheet'!S6</f>
        <v>43232</v>
      </c>
      <c r="U8" s="421">
        <f>+'Bal Sheet'!T6</f>
        <v>43263</v>
      </c>
      <c r="V8" s="421">
        <f>+'Bal Sheet'!U6</f>
        <v>43294</v>
      </c>
      <c r="W8" s="421">
        <f>+'Bal Sheet'!V6</f>
        <v>43325</v>
      </c>
      <c r="X8" s="421">
        <f>+'Bal Sheet'!W6</f>
        <v>43356</v>
      </c>
      <c r="Y8" s="421">
        <f>+'Bal Sheet'!X6</f>
        <v>43387</v>
      </c>
      <c r="Z8" s="421">
        <f>+'Bal Sheet'!Y6</f>
        <v>43418</v>
      </c>
      <c r="AA8" s="421">
        <f>+'Bal Sheet'!Z6</f>
        <v>43449</v>
      </c>
      <c r="AB8" s="421">
        <f>+'Bal Sheet'!AA6</f>
        <v>43480</v>
      </c>
      <c r="AC8" s="421">
        <f>+'Bal Sheet'!AB6</f>
        <v>43511</v>
      </c>
      <c r="AD8" s="421">
        <f>+'Bal Sheet'!AC6</f>
        <v>43542</v>
      </c>
      <c r="AE8" s="421">
        <f>+'Bal Sheet'!AD6</f>
        <v>43573</v>
      </c>
      <c r="AF8" s="421">
        <f>+'Bal Sheet'!AE6</f>
        <v>43604</v>
      </c>
      <c r="AG8" s="421">
        <f>+'Bal Sheet'!AF6</f>
        <v>43635</v>
      </c>
      <c r="AH8" s="421">
        <f>+'Bal Sheet'!AG6</f>
        <v>43666</v>
      </c>
      <c r="AI8" s="421">
        <f>+'Bal Sheet'!AH6</f>
        <v>43697</v>
      </c>
      <c r="AJ8" s="421">
        <f>+'Bal Sheet'!AI6</f>
        <v>43728</v>
      </c>
      <c r="AK8" s="421">
        <f>+'Bal Sheet'!AJ6</f>
        <v>43759</v>
      </c>
      <c r="AL8" s="421">
        <f>+'Bal Sheet'!AK6</f>
        <v>43790</v>
      </c>
      <c r="AM8" s="421">
        <f>+'Bal Sheet'!AL6</f>
        <v>43821</v>
      </c>
      <c r="AN8" s="421">
        <f>+'Bal Sheet'!AM6</f>
        <v>43852</v>
      </c>
      <c r="AO8" s="421">
        <f>+'Bal Sheet'!AN6</f>
        <v>43883</v>
      </c>
      <c r="AP8" s="421">
        <f>+'Bal Sheet'!AO6</f>
        <v>43914</v>
      </c>
      <c r="AQ8" s="421">
        <f>+'Bal Sheet'!AP6</f>
        <v>43945</v>
      </c>
      <c r="AR8" s="421">
        <f>+'Bal Sheet'!AQ6</f>
        <v>43976</v>
      </c>
      <c r="AS8" s="421">
        <f>+'Bal Sheet'!AR6</f>
        <v>44007</v>
      </c>
      <c r="AT8" s="421">
        <f>+'Bal Sheet'!AS6</f>
        <v>44038</v>
      </c>
      <c r="AU8" s="421">
        <f>+'Bal Sheet'!AT6</f>
        <v>44069</v>
      </c>
      <c r="AV8" s="421">
        <f>+'Bal Sheet'!AU6</f>
        <v>44100</v>
      </c>
      <c r="AW8" s="421">
        <f>+'Bal Sheet'!AV6</f>
        <v>44131</v>
      </c>
      <c r="AX8" s="960">
        <f>+'Bal Sheet'!AW6</f>
        <v>44162</v>
      </c>
      <c r="AY8" s="960">
        <f>+'Bal Sheet'!AX6</f>
        <v>44193</v>
      </c>
      <c r="AZ8" s="960">
        <f>+'Bal Sheet'!AY6</f>
        <v>44224</v>
      </c>
      <c r="BA8" s="960">
        <f>+'Bal Sheet'!AZ6</f>
        <v>44255</v>
      </c>
      <c r="BB8" s="960">
        <f>+'Bal Sheet'!BA6</f>
        <v>44285</v>
      </c>
      <c r="BC8" s="960">
        <f>+'Bal Sheet'!BB6</f>
        <v>44316</v>
      </c>
      <c r="BD8" s="960">
        <f>+'Bal Sheet'!BC6</f>
        <v>44347</v>
      </c>
      <c r="BE8" s="960">
        <f>+'Bal Sheet'!BD6</f>
        <v>44377</v>
      </c>
      <c r="BF8" s="960">
        <f>+'Bal Sheet'!BE6</f>
        <v>44408</v>
      </c>
      <c r="BG8" s="960">
        <f>+'Bal Sheet'!BF6</f>
        <v>44439</v>
      </c>
      <c r="BH8" s="960">
        <f>+'Bal Sheet'!BG6</f>
        <v>44469</v>
      </c>
      <c r="BI8" s="960">
        <f>+'Bal Sheet'!BH6</f>
        <v>44500</v>
      </c>
      <c r="BJ8" s="960">
        <f>+'Bal Sheet'!BI6</f>
        <v>44530</v>
      </c>
      <c r="BK8" s="960">
        <f>+'Bal Sheet'!BJ6</f>
        <v>44561</v>
      </c>
      <c r="BL8" s="960">
        <f>+'Bal Sheet'!BK6</f>
        <v>44592</v>
      </c>
      <c r="BM8" s="960">
        <f>+'Bal Sheet'!BL6</f>
        <v>44620</v>
      </c>
      <c r="BN8" s="960">
        <f>+'Bal Sheet'!BM6</f>
        <v>44651</v>
      </c>
      <c r="BO8" s="960">
        <f>+'Bal Sheet'!BN6</f>
        <v>44681</v>
      </c>
      <c r="BP8" s="960">
        <f>+'Bal Sheet'!BO6</f>
        <v>44712</v>
      </c>
      <c r="BQ8" s="960">
        <f>+'Bal Sheet'!BP6</f>
        <v>44742</v>
      </c>
      <c r="BR8" s="960">
        <f>+'Bal Sheet'!BQ6</f>
        <v>44773</v>
      </c>
      <c r="BS8" s="960">
        <f>+'Bal Sheet'!BR6</f>
        <v>44804</v>
      </c>
      <c r="BT8" s="960">
        <f>+'Bal Sheet'!BS6</f>
        <v>44834</v>
      </c>
      <c r="BU8" s="960">
        <f>+'Bal Sheet'!BT6</f>
        <v>44865</v>
      </c>
      <c r="BV8" s="960">
        <f>+'Bal Sheet'!BU6</f>
        <v>44895</v>
      </c>
      <c r="BW8" s="960">
        <f>+'Bal Sheet'!BV6</f>
        <v>44926</v>
      </c>
      <c r="BX8" s="960">
        <f>+'Bal Sheet'!BW6</f>
        <v>44957</v>
      </c>
      <c r="BY8" s="960">
        <f>+'Bal Sheet'!BX6</f>
        <v>44985</v>
      </c>
      <c r="BZ8" s="960">
        <f>+'Bal Sheet'!BY6</f>
        <v>45016</v>
      </c>
      <c r="CA8" s="960">
        <f>+'Bal Sheet'!BZ6</f>
        <v>45046</v>
      </c>
      <c r="CB8" s="960">
        <f>+'Bal Sheet'!CA6</f>
        <v>45077</v>
      </c>
      <c r="CC8" s="960">
        <f>+'Bal Sheet'!CB6</f>
        <v>45107</v>
      </c>
      <c r="CD8" s="960">
        <f>+'Bal Sheet'!CC6</f>
        <v>45138</v>
      </c>
      <c r="CE8" s="960">
        <f>+'Bal Sheet'!CD6</f>
        <v>45169</v>
      </c>
      <c r="CF8" s="960">
        <f>+'Bal Sheet'!CE6</f>
        <v>45199</v>
      </c>
      <c r="CG8" s="960">
        <f>+'Bal Sheet'!CF6</f>
        <v>45230</v>
      </c>
      <c r="CH8" s="960">
        <f>+'Bal Sheet'!CG6</f>
        <v>45260</v>
      </c>
      <c r="CI8" s="960">
        <f>+'Bal Sheet'!CH6</f>
        <v>45291</v>
      </c>
      <c r="CJ8" s="960">
        <f>+'Bal Sheet'!CI6</f>
        <v>45322</v>
      </c>
      <c r="CK8" s="960">
        <f>+'Bal Sheet'!CJ6</f>
        <v>45350</v>
      </c>
      <c r="CL8" s="960">
        <f>+'Bal Sheet'!CK6</f>
        <v>45382</v>
      </c>
      <c r="CM8" s="960">
        <f>+'Bal Sheet'!CL6</f>
        <v>45412</v>
      </c>
      <c r="CN8" s="960">
        <f>+'Bal Sheet'!CM6</f>
        <v>45443</v>
      </c>
      <c r="CO8" s="960">
        <f>+'Bal Sheet'!CN6</f>
        <v>45473</v>
      </c>
      <c r="CP8" s="960">
        <f>+'Bal Sheet'!CO6</f>
        <v>45504</v>
      </c>
      <c r="CQ8" s="960">
        <f>+'Bal Sheet'!CP6</f>
        <v>45535</v>
      </c>
      <c r="CR8" s="960">
        <f>+'Bal Sheet'!CQ6</f>
        <v>45565</v>
      </c>
      <c r="CS8" s="960">
        <f>+'Bal Sheet'!CR6</f>
        <v>45596</v>
      </c>
      <c r="CT8" s="960">
        <f>+'Bal Sheet'!CS6</f>
        <v>45626</v>
      </c>
      <c r="CU8" s="960">
        <f>+'Bal Sheet'!CT6</f>
        <v>45657</v>
      </c>
    </row>
    <row r="10" spans="1:99">
      <c r="A10" s="208">
        <v>224</v>
      </c>
      <c r="B10" s="447" t="s">
        <v>555</v>
      </c>
      <c r="C10" s="287">
        <f ca="1">SUM(OFFSET(BX10:CJ10,0,'Bal Sheet'!$A$1-1))/13</f>
        <v>878846.15384615387</v>
      </c>
      <c r="D10" s="33">
        <v>261764.68</v>
      </c>
      <c r="E10" s="33">
        <v>261764.68</v>
      </c>
      <c r="F10" s="33">
        <v>261764.68</v>
      </c>
      <c r="G10" s="33">
        <v>261764.68</v>
      </c>
      <c r="H10" s="33">
        <v>261764.68</v>
      </c>
      <c r="I10" s="33">
        <v>261764.68</v>
      </c>
      <c r="J10" s="33">
        <v>261764.68</v>
      </c>
      <c r="K10" s="33">
        <v>261764.68</v>
      </c>
      <c r="L10" s="33">
        <v>261764.68</v>
      </c>
      <c r="M10" s="33">
        <v>261764.68</v>
      </c>
      <c r="N10" s="33">
        <v>261764.68</v>
      </c>
      <c r="O10" s="33">
        <v>261764.68</v>
      </c>
      <c r="P10" s="33">
        <v>261764.68</v>
      </c>
      <c r="Q10" s="33">
        <v>261764.68</v>
      </c>
      <c r="R10" s="33">
        <v>261764.68</v>
      </c>
      <c r="S10" s="33">
        <v>261764.68</v>
      </c>
      <c r="T10" s="33">
        <v>211764.68</v>
      </c>
      <c r="U10" s="33">
        <v>286764.68</v>
      </c>
      <c r="V10" s="33">
        <v>286764.68</v>
      </c>
      <c r="W10" s="33">
        <v>286764.68</v>
      </c>
      <c r="X10" s="33">
        <v>286764.68</v>
      </c>
      <c r="Y10" s="33">
        <v>311764.68</v>
      </c>
      <c r="Z10" s="33">
        <v>311764.68</v>
      </c>
      <c r="AA10" s="463">
        <v>311764.68</v>
      </c>
      <c r="AB10" s="463">
        <v>311764.68</v>
      </c>
      <c r="AC10" s="463">
        <v>311764.68</v>
      </c>
      <c r="AD10" s="463">
        <v>311764.68</v>
      </c>
      <c r="AE10" s="463">
        <v>311764.68</v>
      </c>
      <c r="AF10" s="463">
        <v>311764.68</v>
      </c>
      <c r="AG10" s="463">
        <v>311764.68</v>
      </c>
      <c r="AH10" s="463">
        <v>336764.68</v>
      </c>
      <c r="AI10" s="463">
        <v>336764.68</v>
      </c>
      <c r="AJ10" s="463">
        <v>336764.68</v>
      </c>
      <c r="AK10" s="463">
        <v>336764.68</v>
      </c>
      <c r="AL10" s="463">
        <v>336764.68</v>
      </c>
      <c r="AM10" s="463">
        <v>336764.68</v>
      </c>
      <c r="AN10" s="463">
        <v>336764.68</v>
      </c>
      <c r="AO10" s="463">
        <v>336764.68</v>
      </c>
      <c r="AP10" s="463">
        <v>336764.68</v>
      </c>
      <c r="AQ10" s="463">
        <v>336764.68</v>
      </c>
      <c r="AR10" s="463">
        <v>336764.68</v>
      </c>
      <c r="AS10" s="463">
        <v>336764.68</v>
      </c>
      <c r="AT10" s="463">
        <v>336764.68</v>
      </c>
      <c r="AU10" s="463">
        <v>336764.68</v>
      </c>
      <c r="AV10" s="463">
        <v>336764.68</v>
      </c>
      <c r="AW10" s="463">
        <v>336764.7</v>
      </c>
      <c r="AX10" s="587">
        <f>'Bal Sheet'!AW65</f>
        <v>336764.68</v>
      </c>
      <c r="AY10" s="587">
        <v>336764.68</v>
      </c>
      <c r="AZ10" s="587">
        <v>336764.68</v>
      </c>
      <c r="BA10" s="679">
        <v>336764.68</v>
      </c>
      <c r="BB10" s="679">
        <v>566764.68000000005</v>
      </c>
      <c r="BC10" s="679">
        <v>566764.68000000005</v>
      </c>
      <c r="BD10" s="679">
        <v>520000</v>
      </c>
      <c r="BE10" s="679">
        <v>520000</v>
      </c>
      <c r="BF10" s="585">
        <f>'Bal Sheet'!BE65</f>
        <v>520000</v>
      </c>
      <c r="BG10" s="585">
        <f>'Bal Sheet'!BF65</f>
        <v>520000</v>
      </c>
      <c r="BH10" s="585">
        <f>'Bal Sheet'!BG65</f>
        <v>520000</v>
      </c>
      <c r="BI10" s="585">
        <f>'Bal Sheet'!BH65</f>
        <v>520000</v>
      </c>
      <c r="BJ10" s="585">
        <f>'Bal Sheet'!BI65</f>
        <v>520000</v>
      </c>
      <c r="BK10" s="585">
        <f>'Bal Sheet'!BJ65</f>
        <v>520000</v>
      </c>
      <c r="BL10" s="585">
        <v>520000</v>
      </c>
      <c r="BM10" s="585">
        <v>520000</v>
      </c>
      <c r="BN10" s="585">
        <v>520000</v>
      </c>
      <c r="BO10" s="585">
        <v>520000</v>
      </c>
      <c r="BP10" s="585">
        <v>520000</v>
      </c>
      <c r="BQ10" s="585">
        <v>520000</v>
      </c>
      <c r="BR10" s="585">
        <v>595000</v>
      </c>
      <c r="BS10" s="585">
        <v>595000</v>
      </c>
      <c r="BT10" s="585">
        <v>570000</v>
      </c>
      <c r="BU10" s="585">
        <v>570000</v>
      </c>
      <c r="BV10" s="585">
        <v>570000</v>
      </c>
      <c r="BW10" s="585">
        <v>570000</v>
      </c>
      <c r="BX10" s="585">
        <v>570000</v>
      </c>
      <c r="BY10" s="585">
        <v>570000</v>
      </c>
      <c r="BZ10" s="585">
        <v>570000</v>
      </c>
      <c r="CA10" s="585">
        <v>570000</v>
      </c>
      <c r="CB10" s="585">
        <v>570000</v>
      </c>
      <c r="CC10" s="585">
        <v>570000</v>
      </c>
      <c r="CD10" s="585">
        <v>570000</v>
      </c>
      <c r="CE10" s="585">
        <v>570000</v>
      </c>
      <c r="CF10" s="585">
        <v>570000</v>
      </c>
      <c r="CG10" s="585">
        <v>825000</v>
      </c>
      <c r="CH10" s="585">
        <v>825000</v>
      </c>
      <c r="CI10" s="585">
        <v>825000</v>
      </c>
      <c r="CJ10" s="585">
        <f>'Bal Sheet'!CI65</f>
        <v>825000</v>
      </c>
      <c r="CK10" s="585">
        <f>'Bal Sheet'!CJ65</f>
        <v>825000</v>
      </c>
      <c r="CL10" s="585">
        <f>'Bal Sheet'!CK65</f>
        <v>825000</v>
      </c>
      <c r="CM10" s="585">
        <f>'Bal Sheet'!CL65</f>
        <v>825000</v>
      </c>
      <c r="CN10" s="585">
        <f>'Bal Sheet'!CM65</f>
        <v>825000</v>
      </c>
      <c r="CO10" s="585">
        <f>'Bal Sheet'!CN65</f>
        <v>925000</v>
      </c>
      <c r="CP10" s="585">
        <f>'Bal Sheet'!CO65</f>
        <v>925000</v>
      </c>
      <c r="CQ10" s="585">
        <f>'Bal Sheet'!CP65</f>
        <v>925000</v>
      </c>
      <c r="CR10" s="585">
        <f>'Bal Sheet'!CQ65</f>
        <v>925000</v>
      </c>
      <c r="CS10" s="585">
        <f>'Bal Sheet'!CR65</f>
        <v>925000</v>
      </c>
      <c r="CT10" s="585">
        <f>'Bal Sheet'!CS65</f>
        <v>925000</v>
      </c>
      <c r="CU10" s="585">
        <f>'Bal Sheet'!CT65</f>
        <v>925000</v>
      </c>
    </row>
    <row r="11" spans="1:99">
      <c r="A11" s="208">
        <v>226</v>
      </c>
      <c r="B11" s="447" t="s">
        <v>516</v>
      </c>
      <c r="C11" s="287">
        <f ca="1">SUM(OFFSET(BX11:CJ11,0,'Bal Sheet'!$A$1-1))/13</f>
        <v>0</v>
      </c>
      <c r="D11" s="33">
        <v>-405.43504999999999</v>
      </c>
      <c r="E11" s="33">
        <v>-403.73061000000001</v>
      </c>
      <c r="F11" s="33">
        <v>-402.02616999999998</v>
      </c>
      <c r="G11" s="33">
        <v>-400.32173</v>
      </c>
      <c r="H11" s="33">
        <v>-398.61728999999997</v>
      </c>
      <c r="I11" s="33">
        <v>-396.91284999999999</v>
      </c>
      <c r="J11" s="33">
        <v>-395.20840999999996</v>
      </c>
      <c r="K11" s="33">
        <v>-393.50396999999998</v>
      </c>
      <c r="L11" s="33">
        <v>-391.79953</v>
      </c>
      <c r="M11" s="33">
        <v>-390.09509000000003</v>
      </c>
      <c r="N11" s="33">
        <v>-388.39065000000005</v>
      </c>
      <c r="O11" s="33">
        <v>-386.68621000000002</v>
      </c>
      <c r="P11" s="33">
        <v>-384.98177000000004</v>
      </c>
      <c r="Q11" s="33">
        <v>-383.27733000000001</v>
      </c>
      <c r="R11" s="33">
        <v>-381.57289000000003</v>
      </c>
      <c r="S11" s="33">
        <v>-379.86845</v>
      </c>
      <c r="T11" s="33">
        <v>-378.16401000000002</v>
      </c>
      <c r="U11" s="33">
        <v>-571.30250999999998</v>
      </c>
      <c r="V11" s="33">
        <v>-774.52298999999994</v>
      </c>
      <c r="W11" s="33">
        <v>-771.70187999999996</v>
      </c>
      <c r="X11" s="33">
        <v>-768.88076999999998</v>
      </c>
      <c r="Y11" s="33">
        <v>-893.46370999999999</v>
      </c>
      <c r="Z11" s="33">
        <v>-890.29544999999996</v>
      </c>
      <c r="AA11" s="463">
        <v>-887.12718999999993</v>
      </c>
      <c r="AB11" s="463">
        <v>-883.95893000000001</v>
      </c>
      <c r="AC11" s="463">
        <v>-880.79067000000009</v>
      </c>
      <c r="AD11" s="463">
        <v>-877.62241000000006</v>
      </c>
      <c r="AE11" s="463">
        <v>-874.45415000000003</v>
      </c>
      <c r="AF11" s="463">
        <v>-871.28588999999999</v>
      </c>
      <c r="AG11" s="463">
        <v>-868.11762999999996</v>
      </c>
      <c r="AH11" s="463">
        <v>-1171.44937</v>
      </c>
      <c r="AI11" s="463">
        <v>-1167.4566100000002</v>
      </c>
      <c r="AJ11" s="463">
        <v>-1163.4621999999999</v>
      </c>
      <c r="AK11" s="463">
        <v>-1159.4677900000002</v>
      </c>
      <c r="AL11" s="463">
        <v>-1155.4733799999999</v>
      </c>
      <c r="AM11" s="463">
        <v>-1151.4789699999999</v>
      </c>
      <c r="AN11" s="463">
        <v>-1147.4845600000001</v>
      </c>
      <c r="AO11" s="463">
        <v>-1143.4901499999999</v>
      </c>
      <c r="AP11" s="463">
        <v>-1139.4957400000001</v>
      </c>
      <c r="AQ11" s="463">
        <v>-1135.5013300000001</v>
      </c>
      <c r="AR11" s="463">
        <v>-1131.50692</v>
      </c>
      <c r="AS11" s="463">
        <v>-1127.51251</v>
      </c>
      <c r="AT11" s="463">
        <v>-1123.5181</v>
      </c>
      <c r="AU11" s="463">
        <v>-1119.52369</v>
      </c>
      <c r="AV11" s="463">
        <v>-1115.52928</v>
      </c>
      <c r="AW11" s="463">
        <v>-1111.5</v>
      </c>
      <c r="AX11" s="587">
        <f>'Bal Sheet'!AW67</f>
        <v>-1107.5404599999999</v>
      </c>
      <c r="AY11" s="587">
        <v>-1103.5460500000002</v>
      </c>
      <c r="AZ11" s="587">
        <v>-1099.5516399999999</v>
      </c>
      <c r="BA11" s="679">
        <v>-1095.5572299999999</v>
      </c>
      <c r="BB11" s="679">
        <v>-1719.07629</v>
      </c>
      <c r="BC11" s="679">
        <v>-1711.4238500000001</v>
      </c>
      <c r="BD11" s="679">
        <v>-1703.5929099999998</v>
      </c>
      <c r="BE11" s="679">
        <v>-1695.76197</v>
      </c>
      <c r="BF11" s="585">
        <f>'Bal Sheet'!BE67</f>
        <v>-1687.93103</v>
      </c>
      <c r="BG11" s="585">
        <f>'Bal Sheet'!BF67</f>
        <v>-1680.1000900000001</v>
      </c>
      <c r="BH11" s="585">
        <f>'Bal Sheet'!BG67</f>
        <v>-1672.2691499999999</v>
      </c>
      <c r="BI11" s="585">
        <f>'Bal Sheet'!BH67</f>
        <v>-1664.43821</v>
      </c>
      <c r="BJ11" s="585">
        <f>'Bal Sheet'!BI67</f>
        <v>-1656.60727</v>
      </c>
      <c r="BK11" s="585">
        <f>'Bal Sheet'!BJ67</f>
        <v>-1648.7763300000001</v>
      </c>
      <c r="BL11" s="585">
        <v>-1640.9453899999999</v>
      </c>
      <c r="BM11" s="585">
        <v>-1633.11445</v>
      </c>
      <c r="BN11" s="585">
        <v>-1625.28351</v>
      </c>
      <c r="BO11" s="585">
        <v>-1617.4525700000002</v>
      </c>
      <c r="BP11" s="585">
        <v>-1609.6216299999999</v>
      </c>
      <c r="BQ11" s="585">
        <v>-1601.79069</v>
      </c>
      <c r="BR11" s="585">
        <v>-1654.0476999999998</v>
      </c>
      <c r="BS11" s="585">
        <v>-1645.4918300000002</v>
      </c>
      <c r="BT11" s="585">
        <v>-1636.93596</v>
      </c>
      <c r="BU11" s="585">
        <v>-1628.63426</v>
      </c>
      <c r="BV11" s="585">
        <v>-1620.3325600000001</v>
      </c>
      <c r="BW11" s="585">
        <v>-1612.0308600000001</v>
      </c>
      <c r="BX11" s="585">
        <v>-1604.0308600000001</v>
      </c>
      <c r="BY11" s="585">
        <v>-1596.0308600000001</v>
      </c>
      <c r="BZ11" s="585">
        <v>-1588.0308600000001</v>
      </c>
      <c r="CA11" s="585">
        <v>-1580.0308600000001</v>
      </c>
      <c r="CB11" s="585">
        <v>-1572.0308600000001</v>
      </c>
      <c r="CC11" s="585">
        <v>-1564.0308600000001</v>
      </c>
      <c r="CD11" s="585">
        <v>-1556.0308600000001</v>
      </c>
      <c r="CE11" s="585">
        <v>-1548.0308600000001</v>
      </c>
      <c r="CF11" s="585">
        <v>-1540.0308600000001</v>
      </c>
      <c r="CG11" s="585">
        <v>0</v>
      </c>
      <c r="CH11" s="585">
        <v>0</v>
      </c>
      <c r="CI11" s="585">
        <v>0</v>
      </c>
      <c r="CJ11" s="585">
        <f>'Bal Sheet'!CI67</f>
        <v>0</v>
      </c>
      <c r="CK11" s="585">
        <f>'Bal Sheet'!CJ67</f>
        <v>0</v>
      </c>
      <c r="CL11" s="585">
        <f>'Bal Sheet'!CK67</f>
        <v>0</v>
      </c>
      <c r="CM11" s="585">
        <f>'Bal Sheet'!CL67</f>
        <v>0</v>
      </c>
      <c r="CN11" s="585">
        <f>'Bal Sheet'!CM67</f>
        <v>0</v>
      </c>
      <c r="CO11" s="585">
        <f>'Bal Sheet'!CN67</f>
        <v>0</v>
      </c>
      <c r="CP11" s="585">
        <f>'Bal Sheet'!CO67</f>
        <v>0</v>
      </c>
      <c r="CQ11" s="585">
        <f>'Bal Sheet'!CP67</f>
        <v>0</v>
      </c>
      <c r="CR11" s="585">
        <f>'Bal Sheet'!CQ67</f>
        <v>0</v>
      </c>
      <c r="CS11" s="585">
        <f>'Bal Sheet'!CR67</f>
        <v>0</v>
      </c>
      <c r="CT11" s="585">
        <f>'Bal Sheet'!CS67</f>
        <v>0</v>
      </c>
      <c r="CU11" s="585">
        <f>'Bal Sheet'!CT67</f>
        <v>0</v>
      </c>
    </row>
    <row r="12" spans="1:99">
      <c r="A12" s="376" t="s">
        <v>556</v>
      </c>
      <c r="B12" s="447" t="s">
        <v>496</v>
      </c>
      <c r="C12" s="418">
        <f ca="1">SUM(OFFSET(BX12:CJ12,0,'Bal Sheet'!$A$1-1))/13</f>
        <v>0</v>
      </c>
      <c r="D12" s="33">
        <v>-1135.33413</v>
      </c>
      <c r="E12" s="33">
        <v>-1127.24026</v>
      </c>
      <c r="F12" s="33">
        <v>-1119.1463899999999</v>
      </c>
      <c r="G12" s="33">
        <v>-1111.05252</v>
      </c>
      <c r="H12" s="33">
        <v>-1102.9586499999998</v>
      </c>
      <c r="I12" s="33">
        <v>-1094.8647800000001</v>
      </c>
      <c r="J12" s="33">
        <v>-1086.77091</v>
      </c>
      <c r="K12" s="33">
        <v>-1078.67704</v>
      </c>
      <c r="L12" s="33">
        <v>-1070.5831699999999</v>
      </c>
      <c r="M12" s="33">
        <v>-1062.4893</v>
      </c>
      <c r="N12" s="33">
        <v>-1054.39543</v>
      </c>
      <c r="O12" s="33">
        <v>-1046.3015600000001</v>
      </c>
      <c r="P12" s="33">
        <v>-1038.20769</v>
      </c>
      <c r="Q12" s="33">
        <v>-1030.11382</v>
      </c>
      <c r="R12" s="33">
        <v>-1067.87933</v>
      </c>
      <c r="S12" s="33">
        <v>-1053.2341200000001</v>
      </c>
      <c r="T12" s="33">
        <v>-1040.1659300000001</v>
      </c>
      <c r="U12" s="33">
        <v>-1785.06277</v>
      </c>
      <c r="V12" s="33">
        <v>-1787.67147</v>
      </c>
      <c r="W12" s="33">
        <v>-1779.1369099999999</v>
      </c>
      <c r="X12" s="33">
        <v>-1807.0138899999999</v>
      </c>
      <c r="Y12" s="33">
        <v>-2037.07448</v>
      </c>
      <c r="Z12" s="33">
        <v>-2030.6094499999999</v>
      </c>
      <c r="AA12" s="463">
        <v>-2027.97783</v>
      </c>
      <c r="AB12" s="463">
        <v>-2020.07215</v>
      </c>
      <c r="AC12" s="463">
        <v>-2012.1834799999999</v>
      </c>
      <c r="AD12" s="463">
        <v>-2018.04828</v>
      </c>
      <c r="AE12" s="463">
        <v>-2010.10456</v>
      </c>
      <c r="AF12" s="463">
        <v>-2002.16084</v>
      </c>
      <c r="AG12" s="463">
        <v>-1994.21712</v>
      </c>
      <c r="AH12" s="463">
        <v>-2205.5789</v>
      </c>
      <c r="AI12" s="463">
        <v>-2242.15967</v>
      </c>
      <c r="AJ12" s="463">
        <v>-2244.4437000000003</v>
      </c>
      <c r="AK12" s="463">
        <v>-2235.7572300000002</v>
      </c>
      <c r="AL12" s="463">
        <v>-2227.0707599999996</v>
      </c>
      <c r="AM12" s="463">
        <v>-2233.0608900000002</v>
      </c>
      <c r="AN12" s="463">
        <v>-2224.3343199999999</v>
      </c>
      <c r="AO12" s="463">
        <v>-2226.9272999999998</v>
      </c>
      <c r="AP12" s="463">
        <v>-2222.0164199999999</v>
      </c>
      <c r="AQ12" s="463">
        <v>-2211.8215099999998</v>
      </c>
      <c r="AR12" s="463">
        <v>-2201.6266000000001</v>
      </c>
      <c r="AS12" s="463">
        <v>-2191.4316899999999</v>
      </c>
      <c r="AT12" s="463">
        <v>-2181.2367799999997</v>
      </c>
      <c r="AU12" s="463">
        <v>-2171.04187</v>
      </c>
      <c r="AV12" s="463">
        <v>-2160.8469599999999</v>
      </c>
      <c r="AW12" s="463">
        <v>-2150.7000000000003</v>
      </c>
      <c r="AX12" s="587">
        <f>-'Bal Sheet'!AW43</f>
        <v>-2140.45714</v>
      </c>
      <c r="AY12" s="587">
        <v>-2130.2622299999998</v>
      </c>
      <c r="AZ12" s="587">
        <v>-2126.6312200000002</v>
      </c>
      <c r="BA12" s="679">
        <v>-2115.7154100000002</v>
      </c>
      <c r="BB12" s="679">
        <v>-3962.9508900000001</v>
      </c>
      <c r="BC12" s="679">
        <v>-4083.4283599999999</v>
      </c>
      <c r="BD12" s="679">
        <v>-4214.9540700000007</v>
      </c>
      <c r="BE12" s="679">
        <v>-4360.24496</v>
      </c>
      <c r="BF12" s="585">
        <f>-'Bal Sheet'!BE43</f>
        <v>-4339.27621</v>
      </c>
      <c r="BG12" s="585">
        <f>-'Bal Sheet'!BF43</f>
        <v>-4318.30746</v>
      </c>
      <c r="BH12" s="585">
        <f>-'Bal Sheet'!BG43</f>
        <v>-4297.33871</v>
      </c>
      <c r="BI12" s="585">
        <f>-'Bal Sheet'!BH43</f>
        <v>-4276.36996</v>
      </c>
      <c r="BJ12" s="585">
        <f>-'Bal Sheet'!BI43</f>
        <v>-4255.40121</v>
      </c>
      <c r="BK12" s="585">
        <f>-'Bal Sheet'!BJ43</f>
        <v>-4248.9452799999999</v>
      </c>
      <c r="BL12" s="585">
        <v>-4226.5231299999996</v>
      </c>
      <c r="BM12" s="585">
        <v>-4204.3671599999998</v>
      </c>
      <c r="BN12" s="585">
        <v>-4182.21119</v>
      </c>
      <c r="BO12" s="585">
        <v>-4161.0365000000002</v>
      </c>
      <c r="BP12" s="585">
        <v>-4138.7578700000004</v>
      </c>
      <c r="BQ12" s="585">
        <v>-4116.4792400000006</v>
      </c>
      <c r="BR12" s="585">
        <v>-4568.2277899999999</v>
      </c>
      <c r="BS12" s="585">
        <v>-4607.0475999999999</v>
      </c>
      <c r="BT12" s="585">
        <v>-4577.8456399999995</v>
      </c>
      <c r="BU12" s="585">
        <v>-4562.2672300000004</v>
      </c>
      <c r="BV12" s="585">
        <v>-4533.6203099999993</v>
      </c>
      <c r="BW12" s="585">
        <v>-4543.2443700000003</v>
      </c>
      <c r="BX12" s="585">
        <v>0</v>
      </c>
      <c r="BY12" s="585">
        <v>0</v>
      </c>
      <c r="BZ12" s="585">
        <v>0</v>
      </c>
      <c r="CA12" s="585">
        <v>0</v>
      </c>
      <c r="CB12" s="585">
        <v>0</v>
      </c>
      <c r="CC12" s="585">
        <v>0</v>
      </c>
      <c r="CD12" s="585">
        <v>0</v>
      </c>
      <c r="CE12" s="585">
        <v>0</v>
      </c>
      <c r="CF12" s="585">
        <v>0</v>
      </c>
      <c r="CG12" s="585">
        <v>0</v>
      </c>
      <c r="CH12" s="585">
        <v>0</v>
      </c>
      <c r="CI12" s="585">
        <v>0</v>
      </c>
      <c r="CJ12" s="585">
        <f>-'Bal Sheet'!CI43</f>
        <v>0</v>
      </c>
      <c r="CK12" s="585">
        <f>-'Bal Sheet'!CJ43</f>
        <v>0</v>
      </c>
      <c r="CL12" s="585">
        <f>-'Bal Sheet'!CK43</f>
        <v>0</v>
      </c>
      <c r="CM12" s="585">
        <f>-'Bal Sheet'!CL43</f>
        <v>0</v>
      </c>
      <c r="CN12" s="585">
        <f>-'Bal Sheet'!CM43</f>
        <v>0</v>
      </c>
      <c r="CO12" s="585">
        <f>-'Bal Sheet'!CN43</f>
        <v>0</v>
      </c>
      <c r="CP12" s="585">
        <f>-'Bal Sheet'!CO43</f>
        <v>0</v>
      </c>
      <c r="CQ12" s="585">
        <f>-'Bal Sheet'!CP43</f>
        <v>0</v>
      </c>
      <c r="CR12" s="585">
        <f>-'Bal Sheet'!CQ43</f>
        <v>0</v>
      </c>
      <c r="CS12" s="585">
        <f>-'Bal Sheet'!CR43</f>
        <v>0</v>
      </c>
      <c r="CT12" s="585">
        <f>-'Bal Sheet'!CS43</f>
        <v>0</v>
      </c>
      <c r="CU12" s="585">
        <f>-'Bal Sheet'!CT43</f>
        <v>0</v>
      </c>
    </row>
    <row r="13" spans="1:99">
      <c r="A13" s="376">
        <v>233</v>
      </c>
      <c r="B13" s="447" t="s">
        <v>1191</v>
      </c>
      <c r="C13" s="418">
        <f ca="1">SUM(OFFSET(BX13:CJ13,0,'Bal Sheet'!$A$1-1))/13</f>
        <v>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463"/>
      <c r="AB13" s="463"/>
      <c r="AC13" s="463"/>
      <c r="AD13" s="463"/>
      <c r="AE13" s="463"/>
      <c r="AF13" s="463"/>
      <c r="AG13" s="463"/>
      <c r="AH13" s="463"/>
      <c r="AI13" s="463"/>
      <c r="AJ13" s="463"/>
      <c r="AK13" s="463"/>
      <c r="AL13" s="463"/>
      <c r="AM13" s="463"/>
      <c r="AN13" s="463"/>
      <c r="AO13" s="463"/>
      <c r="AP13" s="463"/>
      <c r="AQ13" s="463"/>
      <c r="AR13" s="463"/>
      <c r="AS13" s="463"/>
      <c r="AT13" s="463"/>
      <c r="AU13" s="463"/>
      <c r="AV13" s="463"/>
      <c r="AW13" s="463"/>
      <c r="AX13" s="587"/>
      <c r="AY13" s="587"/>
      <c r="AZ13" s="587"/>
      <c r="BA13" s="679"/>
      <c r="BB13" s="679"/>
      <c r="BC13" s="679"/>
      <c r="BD13" s="679"/>
      <c r="BE13" s="679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85"/>
      <c r="BT13" s="585"/>
      <c r="BU13" s="585"/>
      <c r="BV13" s="585"/>
      <c r="BW13" s="585"/>
      <c r="BX13" s="585"/>
      <c r="BY13" s="585"/>
      <c r="BZ13" s="585"/>
      <c r="CA13" s="585"/>
      <c r="CB13" s="585"/>
      <c r="CC13" s="585"/>
      <c r="CD13" s="585"/>
      <c r="CE13" s="585"/>
      <c r="CF13" s="585"/>
      <c r="CG13" s="585"/>
      <c r="CH13" s="585"/>
      <c r="CI13" s="585"/>
      <c r="CJ13" s="585"/>
      <c r="CK13" s="585"/>
      <c r="CL13" s="585"/>
      <c r="CM13" s="585"/>
      <c r="CN13" s="585"/>
      <c r="CO13" s="585"/>
      <c r="CP13" s="585"/>
      <c r="CQ13" s="585"/>
      <c r="CR13" s="585"/>
      <c r="CS13" s="585"/>
      <c r="CT13" s="585"/>
      <c r="CU13" s="585"/>
    </row>
    <row r="14" spans="1:99">
      <c r="A14" s="208" t="s">
        <v>557</v>
      </c>
      <c r="B14" s="447" t="s">
        <v>558</v>
      </c>
      <c r="C14" s="292">
        <f ca="1">SUM(OFFSET(BX14:CJ14,0,'Bal Sheet'!$A$1-1))/13</f>
        <v>0</v>
      </c>
      <c r="D14" s="330">
        <v>-1310</v>
      </c>
      <c r="E14" s="330">
        <v>-1274.5</v>
      </c>
      <c r="F14" s="330">
        <v>-1238.9000000000001</v>
      </c>
      <c r="G14" s="330">
        <v>-1203.4000000000001</v>
      </c>
      <c r="H14" s="330">
        <v>-1167.8</v>
      </c>
      <c r="I14" s="330">
        <v>-1132.3</v>
      </c>
      <c r="J14" s="330">
        <v>-1096.7</v>
      </c>
      <c r="K14" s="330">
        <v>-1061.2</v>
      </c>
      <c r="L14" s="330">
        <v>-1025.5999999999999</v>
      </c>
      <c r="M14" s="330">
        <v>-990.1</v>
      </c>
      <c r="N14" s="330">
        <v>-954.5</v>
      </c>
      <c r="O14" s="330">
        <v>-919</v>
      </c>
      <c r="P14" s="409">
        <v>-883.5</v>
      </c>
      <c r="Q14" s="409">
        <v>-847.9</v>
      </c>
      <c r="R14" s="409">
        <v>-812.4</v>
      </c>
      <c r="S14" s="409">
        <v>-776.8</v>
      </c>
      <c r="T14" s="409">
        <v>-757.7</v>
      </c>
      <c r="U14" s="409">
        <v>-754.9</v>
      </c>
      <c r="V14" s="409">
        <v>-752.2</v>
      </c>
      <c r="W14" s="409">
        <v>-749.4</v>
      </c>
      <c r="X14" s="403">
        <v>-746.7</v>
      </c>
      <c r="Y14" s="403">
        <v>-743.9</v>
      </c>
      <c r="Z14" s="403">
        <v>-741.2</v>
      </c>
      <c r="AA14" s="464">
        <v>-738.4</v>
      </c>
      <c r="AB14" s="464">
        <v>-735.7</v>
      </c>
      <c r="AC14" s="464">
        <v>-732.9</v>
      </c>
      <c r="AD14" s="464">
        <v>-730.2</v>
      </c>
      <c r="AE14" s="464">
        <v>-727.4</v>
      </c>
      <c r="AF14" s="464">
        <v>-724.7</v>
      </c>
      <c r="AG14" s="464">
        <v>-721.9</v>
      </c>
      <c r="AH14" s="464">
        <v>-719.2</v>
      </c>
      <c r="AI14" s="464">
        <v>-716.4</v>
      </c>
      <c r="AJ14" s="464">
        <v>-713.7</v>
      </c>
      <c r="AK14" s="464">
        <v>-710.9</v>
      </c>
      <c r="AL14" s="464">
        <v>-708.2</v>
      </c>
      <c r="AM14" s="464">
        <v>-705.4</v>
      </c>
      <c r="AN14" s="464">
        <v>-702.7</v>
      </c>
      <c r="AO14" s="464">
        <v>-699.9</v>
      </c>
      <c r="AP14" s="464">
        <v>-697.2</v>
      </c>
      <c r="AQ14" s="464">
        <v>-694.4384</v>
      </c>
      <c r="AR14" s="464">
        <v>-691.68945999999994</v>
      </c>
      <c r="AS14" s="464">
        <v>-688.94051999999999</v>
      </c>
      <c r="AT14" s="464">
        <v>-686.19157999999993</v>
      </c>
      <c r="AU14" s="464">
        <v>-683.44263999999998</v>
      </c>
      <c r="AV14" s="464">
        <v>-680.69369999999992</v>
      </c>
      <c r="AW14" s="464">
        <v>-677.9</v>
      </c>
      <c r="AX14" s="330">
        <v>-675.2</v>
      </c>
      <c r="AY14" s="330">
        <v>-672.44687999999996</v>
      </c>
      <c r="AZ14" s="330">
        <v>-669.6979399999999</v>
      </c>
      <c r="BA14" s="330">
        <v>-666.94899999999996</v>
      </c>
      <c r="BB14" s="330">
        <v>-664.20006000000001</v>
      </c>
      <c r="BC14" s="330">
        <v>-661.43832999999995</v>
      </c>
      <c r="BD14" s="330">
        <v>-658.68939</v>
      </c>
      <c r="BE14" s="330">
        <v>-655.94044999999994</v>
      </c>
      <c r="BF14" s="584">
        <v>-653.20000000000005</v>
      </c>
      <c r="BG14" s="584">
        <v>-650.4</v>
      </c>
      <c r="BH14" s="584">
        <v>-647.70000000000005</v>
      </c>
      <c r="BI14" s="584">
        <v>-644.9</v>
      </c>
      <c r="BJ14" s="584">
        <v>-642.20000000000005</v>
      </c>
      <c r="BK14" s="584">
        <v>-639.4</v>
      </c>
      <c r="BL14" s="584">
        <v>-636.69786999999997</v>
      </c>
      <c r="BM14" s="584">
        <v>-633.94893000000002</v>
      </c>
      <c r="BN14" s="584">
        <v>-631.19998999999996</v>
      </c>
      <c r="BO14" s="584">
        <v>-628.45105000000001</v>
      </c>
      <c r="BP14" s="584">
        <v>-625.70210999999995</v>
      </c>
      <c r="BQ14" s="584">
        <v>-622.95317</v>
      </c>
      <c r="BR14" s="584">
        <v>-620.20422999999994</v>
      </c>
      <c r="BS14" s="584">
        <v>-617.45528999999999</v>
      </c>
      <c r="BT14" s="584">
        <v>-614.70634999999993</v>
      </c>
      <c r="BU14" s="584">
        <v>-611.95740999999998</v>
      </c>
      <c r="BV14" s="584">
        <v>-609.20846999999992</v>
      </c>
      <c r="BW14" s="584">
        <v>-606.45952999999997</v>
      </c>
      <c r="BX14" s="584">
        <v>0</v>
      </c>
      <c r="BY14" s="584">
        <v>0</v>
      </c>
      <c r="BZ14" s="584">
        <v>0</v>
      </c>
      <c r="CA14" s="584">
        <v>0</v>
      </c>
      <c r="CB14" s="584">
        <v>0</v>
      </c>
      <c r="CC14" s="584">
        <v>0</v>
      </c>
      <c r="CD14" s="584">
        <v>0</v>
      </c>
      <c r="CE14" s="584">
        <v>0</v>
      </c>
      <c r="CF14" s="584">
        <v>0</v>
      </c>
      <c r="CG14" s="584">
        <v>0</v>
      </c>
      <c r="CH14" s="584">
        <v>0</v>
      </c>
      <c r="CI14" s="584">
        <v>0</v>
      </c>
      <c r="CJ14" s="584">
        <v>0</v>
      </c>
      <c r="CK14" s="584">
        <v>0</v>
      </c>
      <c r="CL14" s="584">
        <v>0</v>
      </c>
      <c r="CM14" s="584">
        <v>0</v>
      </c>
      <c r="CN14" s="584">
        <v>0</v>
      </c>
      <c r="CO14" s="584">
        <v>0</v>
      </c>
      <c r="CP14" s="584">
        <v>0</v>
      </c>
      <c r="CQ14" s="584">
        <v>0</v>
      </c>
      <c r="CR14" s="584">
        <v>0</v>
      </c>
      <c r="CS14" s="584">
        <v>0</v>
      </c>
      <c r="CT14" s="584">
        <v>0</v>
      </c>
      <c r="CU14" s="584">
        <v>0</v>
      </c>
    </row>
    <row r="15" spans="1:99">
      <c r="B15" s="742" t="s">
        <v>554</v>
      </c>
      <c r="C15" s="293">
        <f ca="1">SUM(C10:C14)</f>
        <v>878846.15384615387</v>
      </c>
      <c r="D15" s="33">
        <f t="shared" ref="D15:O15" si="0">SUM(D10:D14)</f>
        <v>258913.91081999999</v>
      </c>
      <c r="E15" s="33">
        <f t="shared" si="0"/>
        <v>258959.20913</v>
      </c>
      <c r="F15" s="33">
        <f t="shared" si="0"/>
        <v>259004.60743999999</v>
      </c>
      <c r="G15" s="33">
        <f t="shared" si="0"/>
        <v>259049.90575000001</v>
      </c>
      <c r="H15" s="33">
        <f t="shared" si="0"/>
        <v>259095.30406000002</v>
      </c>
      <c r="I15" s="33">
        <f t="shared" si="0"/>
        <v>259140.60237000001</v>
      </c>
      <c r="J15" s="33">
        <f t="shared" si="0"/>
        <v>259186.00068</v>
      </c>
      <c r="K15" s="33">
        <f t="shared" si="0"/>
        <v>259231.29898999998</v>
      </c>
      <c r="L15" s="33">
        <f t="shared" si="0"/>
        <v>259276.6973</v>
      </c>
      <c r="M15" s="33">
        <f t="shared" si="0"/>
        <v>259321.99561000001</v>
      </c>
      <c r="N15" s="33">
        <f t="shared" si="0"/>
        <v>259367.39392</v>
      </c>
      <c r="O15" s="33">
        <f t="shared" si="0"/>
        <v>259412.69222999999</v>
      </c>
      <c r="P15" s="33">
        <f t="shared" ref="P15:AA15" si="1">SUM(P10:P14)</f>
        <v>259457.99053999997</v>
      </c>
      <c r="Q15" s="33">
        <f t="shared" si="1"/>
        <v>259503.38884999999</v>
      </c>
      <c r="R15" s="33">
        <f t="shared" si="1"/>
        <v>259502.82777999999</v>
      </c>
      <c r="S15" s="33">
        <f t="shared" si="1"/>
        <v>259554.77742999999</v>
      </c>
      <c r="T15" s="33">
        <f t="shared" si="1"/>
        <v>209588.65005999999</v>
      </c>
      <c r="U15" s="33">
        <f t="shared" si="1"/>
        <v>283653.41471999994</v>
      </c>
      <c r="V15" s="33">
        <f t="shared" si="1"/>
        <v>283450.28553999995</v>
      </c>
      <c r="W15" s="33">
        <f t="shared" si="1"/>
        <v>283464.44120999996</v>
      </c>
      <c r="X15" s="33">
        <f t="shared" si="1"/>
        <v>283442.08533999999</v>
      </c>
      <c r="Y15" s="33">
        <f t="shared" si="1"/>
        <v>308090.24180999998</v>
      </c>
      <c r="Z15" s="33">
        <f t="shared" si="1"/>
        <v>308102.57510000002</v>
      </c>
      <c r="AA15" s="33">
        <f t="shared" si="1"/>
        <v>308111.17497999995</v>
      </c>
      <c r="AB15" s="33">
        <f t="shared" ref="AB15:AM15" si="2">SUM(AB10:AB14)</f>
        <v>308124.94891999994</v>
      </c>
      <c r="AC15" s="33">
        <f t="shared" si="2"/>
        <v>308138.80584999995</v>
      </c>
      <c r="AD15" s="33">
        <f t="shared" si="2"/>
        <v>308138.80930999998</v>
      </c>
      <c r="AE15" s="33">
        <f t="shared" si="2"/>
        <v>308152.72128999996</v>
      </c>
      <c r="AF15" s="33">
        <f t="shared" si="2"/>
        <v>308166.53326999996</v>
      </c>
      <c r="AG15" s="33">
        <f t="shared" si="2"/>
        <v>308180.44524999999</v>
      </c>
      <c r="AH15" s="33">
        <f t="shared" si="2"/>
        <v>332668.45172999997</v>
      </c>
      <c r="AI15" s="33">
        <f t="shared" si="2"/>
        <v>332638.66371999995</v>
      </c>
      <c r="AJ15" s="33">
        <f t="shared" si="2"/>
        <v>332643.07409999997</v>
      </c>
      <c r="AK15" s="33">
        <f t="shared" si="2"/>
        <v>332658.55497999996</v>
      </c>
      <c r="AL15" s="33">
        <f t="shared" si="2"/>
        <v>332673.93586000003</v>
      </c>
      <c r="AM15" s="33">
        <f t="shared" si="2"/>
        <v>332674.74013999995</v>
      </c>
      <c r="AN15" s="33">
        <f t="shared" ref="AN15:AY15" si="3">SUM(AN10:AN14)</f>
        <v>332690.16111999995</v>
      </c>
      <c r="AO15" s="33">
        <f t="shared" si="3"/>
        <v>332694.36254999996</v>
      </c>
      <c r="AP15" s="33">
        <f t="shared" si="3"/>
        <v>332705.96784</v>
      </c>
      <c r="AQ15" s="33">
        <f t="shared" si="3"/>
        <v>332722.91876000003</v>
      </c>
      <c r="AR15" s="33">
        <f t="shared" si="3"/>
        <v>332739.85701999994</v>
      </c>
      <c r="AS15" s="33">
        <f t="shared" si="3"/>
        <v>332756.79528000002</v>
      </c>
      <c r="AT15" s="33">
        <f t="shared" si="3"/>
        <v>332773.73354000004</v>
      </c>
      <c r="AU15" s="33">
        <f t="shared" si="3"/>
        <v>332790.67179999995</v>
      </c>
      <c r="AV15" s="33">
        <f t="shared" si="3"/>
        <v>332807.61005999998</v>
      </c>
      <c r="AW15" s="33">
        <f t="shared" si="3"/>
        <v>332824.59999999998</v>
      </c>
      <c r="AX15" s="33">
        <f t="shared" si="3"/>
        <v>332841.48239999998</v>
      </c>
      <c r="AY15" s="33">
        <f t="shared" si="3"/>
        <v>332858.42483999999</v>
      </c>
      <c r="AZ15" s="33">
        <f t="shared" ref="AZ15:BI15" si="4">SUM(AZ10:AZ14)</f>
        <v>332868.79920000001</v>
      </c>
      <c r="BA15" s="33">
        <f t="shared" si="4"/>
        <v>332886.45835999999</v>
      </c>
      <c r="BB15" s="33">
        <f t="shared" si="4"/>
        <v>560418.45276000013</v>
      </c>
      <c r="BC15" s="33">
        <f t="shared" si="4"/>
        <v>560308.38945999998</v>
      </c>
      <c r="BD15" s="33">
        <f t="shared" si="4"/>
        <v>513422.76363</v>
      </c>
      <c r="BE15" s="33">
        <f t="shared" si="4"/>
        <v>513288.05262000003</v>
      </c>
      <c r="BF15" s="33">
        <f t="shared" si="4"/>
        <v>513319.59276000003</v>
      </c>
      <c r="BG15" s="33">
        <f t="shared" si="4"/>
        <v>513351.19244999997</v>
      </c>
      <c r="BH15" s="33">
        <f t="shared" si="4"/>
        <v>513382.69214</v>
      </c>
      <c r="BI15" s="33">
        <f t="shared" si="4"/>
        <v>513414.29183</v>
      </c>
      <c r="BJ15" s="33">
        <f t="shared" ref="BJ15:BK15" si="5">SUM(BJ10:BJ14)</f>
        <v>513445.79152000003</v>
      </c>
      <c r="BK15" s="33">
        <f t="shared" si="5"/>
        <v>513462.87838999997</v>
      </c>
      <c r="BL15" s="33">
        <f t="shared" ref="BL15:BW15" si="6">SUM(BL10:BL14)</f>
        <v>513495.83361000003</v>
      </c>
      <c r="BM15" s="33">
        <f t="shared" si="6"/>
        <v>513528.56945999997</v>
      </c>
      <c r="BN15" s="33">
        <f t="shared" si="6"/>
        <v>513561.30531000003</v>
      </c>
      <c r="BO15" s="33">
        <f t="shared" si="6"/>
        <v>513593.05988000002</v>
      </c>
      <c r="BP15" s="33">
        <f t="shared" si="6"/>
        <v>513625.91839000001</v>
      </c>
      <c r="BQ15" s="33">
        <f t="shared" si="6"/>
        <v>513658.7769</v>
      </c>
      <c r="BR15" s="33">
        <f t="shared" si="6"/>
        <v>588157.52027999994</v>
      </c>
      <c r="BS15" s="33">
        <f t="shared" si="6"/>
        <v>588130.00528000004</v>
      </c>
      <c r="BT15" s="33">
        <f t="shared" si="6"/>
        <v>563170.51205000002</v>
      </c>
      <c r="BU15" s="33">
        <f t="shared" si="6"/>
        <v>563197.14110000001</v>
      </c>
      <c r="BV15" s="33">
        <f t="shared" si="6"/>
        <v>563236.83866000001</v>
      </c>
      <c r="BW15" s="33">
        <f t="shared" si="6"/>
        <v>563238.26523999998</v>
      </c>
      <c r="BX15" s="33">
        <f t="shared" ref="BX15:CI15" si="7">SUM(BX10:BX14)</f>
        <v>568395.96913999994</v>
      </c>
      <c r="BY15" s="33">
        <f t="shared" si="7"/>
        <v>568403.96913999994</v>
      </c>
      <c r="BZ15" s="33">
        <f t="shared" si="7"/>
        <v>568411.96913999994</v>
      </c>
      <c r="CA15" s="33">
        <f t="shared" si="7"/>
        <v>568419.96913999994</v>
      </c>
      <c r="CB15" s="33">
        <f t="shared" si="7"/>
        <v>568427.96913999994</v>
      </c>
      <c r="CC15" s="33">
        <f t="shared" si="7"/>
        <v>568435.96913999994</v>
      </c>
      <c r="CD15" s="33">
        <f t="shared" si="7"/>
        <v>568443.96913999994</v>
      </c>
      <c r="CE15" s="33">
        <f t="shared" si="7"/>
        <v>568451.96913999994</v>
      </c>
      <c r="CF15" s="33">
        <f t="shared" si="7"/>
        <v>568459.96913999994</v>
      </c>
      <c r="CG15" s="33">
        <f t="shared" si="7"/>
        <v>825000</v>
      </c>
      <c r="CH15" s="33">
        <f t="shared" si="7"/>
        <v>825000</v>
      </c>
      <c r="CI15" s="33">
        <f t="shared" si="7"/>
        <v>825000</v>
      </c>
      <c r="CJ15" s="33">
        <f t="shared" ref="CJ15:CU15" si="8">SUM(CJ10:CJ14)</f>
        <v>825000</v>
      </c>
      <c r="CK15" s="33">
        <f t="shared" si="8"/>
        <v>825000</v>
      </c>
      <c r="CL15" s="33">
        <f t="shared" si="8"/>
        <v>825000</v>
      </c>
      <c r="CM15" s="33">
        <f t="shared" si="8"/>
        <v>825000</v>
      </c>
      <c r="CN15" s="33">
        <f t="shared" si="8"/>
        <v>825000</v>
      </c>
      <c r="CO15" s="33">
        <f t="shared" si="8"/>
        <v>925000</v>
      </c>
      <c r="CP15" s="33">
        <f t="shared" si="8"/>
        <v>925000</v>
      </c>
      <c r="CQ15" s="33">
        <f t="shared" si="8"/>
        <v>925000</v>
      </c>
      <c r="CR15" s="33">
        <f t="shared" si="8"/>
        <v>925000</v>
      </c>
      <c r="CS15" s="33">
        <f t="shared" si="8"/>
        <v>925000</v>
      </c>
      <c r="CT15" s="33">
        <f t="shared" si="8"/>
        <v>925000</v>
      </c>
      <c r="CU15" s="33">
        <f t="shared" si="8"/>
        <v>925000</v>
      </c>
    </row>
    <row r="16" spans="1:99"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</row>
    <row r="17" spans="1:99">
      <c r="B17" s="375" t="s">
        <v>559</v>
      </c>
      <c r="C17" s="447"/>
      <c r="D17" s="380">
        <v>258641.82812000002</v>
      </c>
      <c r="E17" s="380">
        <v>258687.17314999999</v>
      </c>
      <c r="F17" s="381">
        <v>258732.51817999998</v>
      </c>
      <c r="G17" s="381">
        <v>258777.86320999998</v>
      </c>
      <c r="H17" s="381">
        <v>258823.20823999995</v>
      </c>
      <c r="I17" s="381">
        <v>258868.55326999997</v>
      </c>
      <c r="J17" s="381">
        <v>258913.89829999997</v>
      </c>
      <c r="K17" s="381">
        <v>258959.24332999997</v>
      </c>
      <c r="L17" s="381">
        <v>259004.58835999997</v>
      </c>
      <c r="M17" s="381">
        <v>259049.93339000002</v>
      </c>
      <c r="N17" s="381">
        <v>259095.27842000002</v>
      </c>
      <c r="O17" s="380">
        <v>259140.62345000004</v>
      </c>
      <c r="P17" s="427">
        <f>SUM(D15:P15)/13</f>
        <v>259185.96991076929</v>
      </c>
      <c r="Q17" s="427">
        <f>SUM(E15:Q15)/13</f>
        <v>259231.31437461544</v>
      </c>
      <c r="R17" s="427">
        <f t="shared" ref="R17:Z17" si="9">SUM(F15:R15)/13</f>
        <v>259273.13119384617</v>
      </c>
      <c r="S17" s="427">
        <f t="shared" si="9"/>
        <v>259315.45196230768</v>
      </c>
      <c r="T17" s="427">
        <f>SUM(H15:T15)/13</f>
        <v>255510.73998615381</v>
      </c>
      <c r="U17" s="427">
        <f t="shared" si="9"/>
        <v>257399.82542153841</v>
      </c>
      <c r="V17" s="427">
        <f t="shared" si="9"/>
        <v>259269.80104999995</v>
      </c>
      <c r="W17" s="427">
        <f t="shared" si="9"/>
        <v>261137.3733984615</v>
      </c>
      <c r="X17" s="427">
        <f t="shared" si="9"/>
        <v>262999.74157923076</v>
      </c>
      <c r="Y17" s="427">
        <f t="shared" si="9"/>
        <v>266754.62961846148</v>
      </c>
      <c r="Z17" s="427">
        <f t="shared" si="9"/>
        <v>270506.98188692308</v>
      </c>
      <c r="AA17" s="427">
        <f>SUM(O15:AA15)/13</f>
        <v>274256.50350692309</v>
      </c>
      <c r="AB17" s="174">
        <f>SUM(P15:AB15)/13</f>
        <v>278003.60017538461</v>
      </c>
      <c r="AC17" s="174">
        <f t="shared" ref="AC17:AM17" si="10">SUM(Q15:AC15)/13</f>
        <v>281748.27827615378</v>
      </c>
      <c r="AD17" s="174">
        <f>SUM(R15:AD15)/13</f>
        <v>285489.4644653846</v>
      </c>
      <c r="AE17" s="174">
        <f t="shared" si="10"/>
        <v>289231.76396615384</v>
      </c>
      <c r="AF17" s="174">
        <f t="shared" si="10"/>
        <v>292971.1298</v>
      </c>
      <c r="AG17" s="174">
        <f t="shared" si="10"/>
        <v>300555.11404538457</v>
      </c>
      <c r="AH17" s="174">
        <f t="shared" si="10"/>
        <v>304325.50150769227</v>
      </c>
      <c r="AI17" s="174">
        <f t="shared" si="10"/>
        <v>308109.22290615377</v>
      </c>
      <c r="AJ17" s="174">
        <f t="shared" si="10"/>
        <v>311892.19466692302</v>
      </c>
      <c r="AK17" s="174">
        <f t="shared" si="10"/>
        <v>315678.07694692299</v>
      </c>
      <c r="AL17" s="174">
        <f t="shared" si="10"/>
        <v>317569.13033538457</v>
      </c>
      <c r="AM17" s="174">
        <f t="shared" si="10"/>
        <v>319459.29687692306</v>
      </c>
      <c r="AN17" s="174">
        <f>SUM(AB15:AN15)/13</f>
        <v>321349.98811846151</v>
      </c>
      <c r="AO17" s="174">
        <f t="shared" ref="AO17" si="11">SUM(AC15:AO15)/13</f>
        <v>323239.9430130769</v>
      </c>
      <c r="AP17" s="174">
        <f t="shared" ref="AP17" si="12">SUM(AD15:AP15)/13</f>
        <v>325129.72470461536</v>
      </c>
      <c r="AQ17" s="174">
        <f t="shared" ref="AQ17" si="13">SUM(AE15:AQ15)/13</f>
        <v>327020.81004692306</v>
      </c>
      <c r="AR17" s="174">
        <f t="shared" ref="AR17" si="14">SUM(AF15:AR15)/13</f>
        <v>328912.12817999994</v>
      </c>
      <c r="AS17" s="174">
        <f t="shared" ref="AS17" si="15">SUM(AG15:AS15)/13</f>
        <v>330803.68679615384</v>
      </c>
      <c r="AT17" s="174">
        <f t="shared" ref="AT17" si="16">SUM(AH15:AT15)/13</f>
        <v>332695.47820307693</v>
      </c>
      <c r="AU17" s="174">
        <f t="shared" ref="AU17" si="17">SUM(AI15:AU15)/13</f>
        <v>332704.87974692311</v>
      </c>
      <c r="AV17" s="174">
        <f t="shared" ref="AV17" si="18">SUM(AJ15:AV15)/13</f>
        <v>332717.87561923073</v>
      </c>
      <c r="AW17" s="174">
        <f t="shared" ref="AW17" si="19">SUM(AK15:AW15)/13</f>
        <v>332731.83915000001</v>
      </c>
      <c r="AX17" s="174">
        <f t="shared" ref="AX17" si="20">SUM(AL15:AX15)/13</f>
        <v>332745.91048999998</v>
      </c>
      <c r="AY17" s="174">
        <f>SUM(AM15:AY15)/13</f>
        <v>332760.10194999998</v>
      </c>
      <c r="AZ17" s="174">
        <f t="shared" ref="AZ17:BH17" si="21">SUM(AN15:AZ15)/13</f>
        <v>332775.02957000001</v>
      </c>
      <c r="BA17" s="174">
        <f t="shared" si="21"/>
        <v>332790.12935769226</v>
      </c>
      <c r="BB17" s="174">
        <f t="shared" si="21"/>
        <v>350307.36706615391</v>
      </c>
      <c r="BC17" s="174">
        <f t="shared" si="21"/>
        <v>367815.24565230776</v>
      </c>
      <c r="BD17" s="174">
        <f t="shared" si="21"/>
        <v>381715.23371923086</v>
      </c>
      <c r="BE17" s="174">
        <f t="shared" si="21"/>
        <v>395603.55645769241</v>
      </c>
      <c r="BF17" s="174">
        <f t="shared" si="21"/>
        <v>409493.00241769239</v>
      </c>
      <c r="BG17" s="174">
        <f t="shared" si="21"/>
        <v>423383.57618000009</v>
      </c>
      <c r="BH17" s="174">
        <f t="shared" si="21"/>
        <v>437275.27005230769</v>
      </c>
      <c r="BI17" s="174">
        <f>SUM(AW15:BI15)/13</f>
        <v>451168.09172692307</v>
      </c>
      <c r="BJ17" s="174">
        <f t="shared" ref="BJ17" si="22">SUM(AX15:BJ15)/13</f>
        <v>465062.02953615389</v>
      </c>
      <c r="BK17" s="174">
        <f t="shared" ref="BK17" si="23">SUM(AY15:BK15)/13</f>
        <v>478955.9830738462</v>
      </c>
      <c r="BL17" s="174">
        <f t="shared" ref="BL17" si="24">SUM(AZ15:BL15)/13</f>
        <v>492851.16836384626</v>
      </c>
      <c r="BM17" s="174">
        <f t="shared" ref="BM17" si="25">SUM(BA15:BM15)/13</f>
        <v>506748.07376846165</v>
      </c>
      <c r="BN17" s="174">
        <f t="shared" ref="BN17" si="26">SUM(BB15:BN15)/13</f>
        <v>520646.13891846157</v>
      </c>
      <c r="BO17" s="174">
        <f t="shared" ref="BO17" si="27">SUM(BC15:BO15)/13</f>
        <v>517044.18561999995</v>
      </c>
      <c r="BP17" s="174">
        <f t="shared" ref="BP17" si="28">SUM(BD15:BP15)/13</f>
        <v>513453.22630692302</v>
      </c>
      <c r="BQ17" s="174">
        <f t="shared" ref="BQ17" si="29">SUM(BE15:BQ15)/13</f>
        <v>513471.38117384608</v>
      </c>
      <c r="BR17" s="174">
        <f t="shared" ref="BR17" si="30">SUM(BF15:BR15)/13</f>
        <v>519230.57099384617</v>
      </c>
      <c r="BS17" s="174">
        <f t="shared" ref="BS17" si="31">SUM(BG15:BS15)/13</f>
        <v>524985.21811076929</v>
      </c>
      <c r="BT17" s="174">
        <f t="shared" ref="BT17" si="32">SUM(BH15:BT15)/13</f>
        <v>528817.47346461541</v>
      </c>
      <c r="BU17" s="174">
        <f t="shared" ref="BU17" si="33">SUM(BI15:BU15)/13</f>
        <v>532649.35415384616</v>
      </c>
      <c r="BV17" s="174">
        <f t="shared" ref="BV17" si="34">SUM(BJ15:BV15)/13</f>
        <v>536481.8577561538</v>
      </c>
      <c r="BW17" s="174">
        <f t="shared" ref="BW17" si="35">SUM(BK15:BW15)/13</f>
        <v>540312.04804230761</v>
      </c>
      <c r="BX17" s="174">
        <f t="shared" ref="BX17" si="36">SUM(BL15:BX15)/13</f>
        <v>544537.6704076922</v>
      </c>
      <c r="BY17" s="174">
        <f t="shared" ref="BY17" si="37">SUM(BM15:BY15)/13</f>
        <v>548761.37314076908</v>
      </c>
      <c r="BZ17" s="174">
        <f t="shared" ref="BZ17" si="38">SUM(BN15:BZ15)/13</f>
        <v>552983.1731161538</v>
      </c>
      <c r="CA17" s="174">
        <f t="shared" ref="CA17" si="39">SUM(BO15:CA15)/13</f>
        <v>557203.07033384603</v>
      </c>
      <c r="CB17" s="174">
        <f t="shared" ref="CB17" si="40">SUM(BP15:CB15)/13</f>
        <v>561421.14027692296</v>
      </c>
      <c r="CC17" s="174">
        <f t="shared" ref="CC17" si="41">SUM(BQ15:CC15)/13</f>
        <v>565637.29802692297</v>
      </c>
      <c r="CD17" s="174">
        <f t="shared" ref="CD17" si="42">SUM(BR15:CD15)/13</f>
        <v>569851.54358384595</v>
      </c>
      <c r="CE17" s="174">
        <f t="shared" ref="CE17" si="43">SUM(BS15:CE15)/13</f>
        <v>568335.73195769219</v>
      </c>
      <c r="CF17" s="174">
        <f t="shared" ref="CF17" si="44">SUM(BT15:CF15)/13</f>
        <v>566822.65225461521</v>
      </c>
      <c r="CG17" s="174">
        <f t="shared" ref="CG17" si="45">SUM(BU15:CG15)/13</f>
        <v>586963.38209692284</v>
      </c>
      <c r="CH17" s="174">
        <f t="shared" ref="CH17" si="46">SUM(BV15:CH15)/13</f>
        <v>607102.06355076912</v>
      </c>
      <c r="CI17" s="174">
        <f t="shared" ref="CI17" si="47">SUM(BW15:CI15)/13</f>
        <v>627237.69134615373</v>
      </c>
      <c r="CJ17" s="174">
        <f t="shared" ref="CJ17" si="48">SUM(BX15:CJ15)/13</f>
        <v>647373.20940461522</v>
      </c>
      <c r="CK17" s="174">
        <f t="shared" ref="CK17" si="49">SUM(BY15:CK15)/13</f>
        <v>667111.9810092306</v>
      </c>
      <c r="CL17" s="174">
        <f t="shared" ref="CL17" si="50">SUM(BZ15:CL15)/13</f>
        <v>686850.13722923072</v>
      </c>
      <c r="CM17" s="174">
        <f t="shared" ref="CM17" si="51">SUM(CA15:CM15)/13</f>
        <v>706587.67806461535</v>
      </c>
      <c r="CN17" s="174">
        <f t="shared" ref="CN17" si="52">SUM(CB15:CN15)/13</f>
        <v>726324.6035153846</v>
      </c>
      <c r="CO17" s="174">
        <f t="shared" ref="CO17" si="53">SUM(CC15:CO15)/13</f>
        <v>753753.22127384611</v>
      </c>
      <c r="CP17" s="174">
        <f t="shared" ref="CP17" si="54">SUM(CD15:CP15)/13</f>
        <v>781181.22364769236</v>
      </c>
      <c r="CQ17" s="174">
        <f t="shared" ref="CQ17" si="55">SUM(CE15:CQ15)/13</f>
        <v>808608.610636923</v>
      </c>
      <c r="CR17" s="174">
        <f t="shared" ref="CR17" si="56">SUM(CF15:CR15)/13</f>
        <v>836035.38224153849</v>
      </c>
      <c r="CS17" s="174">
        <f t="shared" ref="CS17" si="57">SUM(CG15:CS15)/13</f>
        <v>863461.5384615385</v>
      </c>
      <c r="CT17" s="174">
        <f t="shared" ref="CT17" si="58">SUM(CH15:CT15)/13</f>
        <v>871153.84615384613</v>
      </c>
      <c r="CU17" s="174">
        <f t="shared" ref="CU17" si="59">SUM(CI15:CU15)/13</f>
        <v>878846.15384615387</v>
      </c>
    </row>
    <row r="18" spans="1:99"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</row>
    <row r="19" spans="1:99"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</row>
    <row r="20" spans="1:99"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</row>
    <row r="21" spans="1:99">
      <c r="B21" s="597" t="s">
        <v>560</v>
      </c>
      <c r="C21" s="212"/>
      <c r="D21" s="421">
        <f t="shared" ref="D21:O21" si="60">D8</f>
        <v>42736</v>
      </c>
      <c r="E21" s="421">
        <f t="shared" si="60"/>
        <v>42767</v>
      </c>
      <c r="F21" s="421">
        <f t="shared" si="60"/>
        <v>42798</v>
      </c>
      <c r="G21" s="421">
        <f t="shared" si="60"/>
        <v>42829</v>
      </c>
      <c r="H21" s="421">
        <f t="shared" si="60"/>
        <v>42860</v>
      </c>
      <c r="I21" s="421">
        <f t="shared" si="60"/>
        <v>42891</v>
      </c>
      <c r="J21" s="421">
        <f t="shared" si="60"/>
        <v>42922</v>
      </c>
      <c r="K21" s="421">
        <f t="shared" si="60"/>
        <v>42953</v>
      </c>
      <c r="L21" s="421">
        <f t="shared" si="60"/>
        <v>42984</v>
      </c>
      <c r="M21" s="421">
        <f t="shared" si="60"/>
        <v>43015</v>
      </c>
      <c r="N21" s="421">
        <f t="shared" si="60"/>
        <v>43046</v>
      </c>
      <c r="O21" s="421">
        <f t="shared" si="60"/>
        <v>43077</v>
      </c>
      <c r="P21" s="421">
        <f t="shared" ref="P21:AA21" si="61">P8</f>
        <v>43108</v>
      </c>
      <c r="Q21" s="421">
        <f t="shared" si="61"/>
        <v>43139</v>
      </c>
      <c r="R21" s="421">
        <f t="shared" si="61"/>
        <v>43170</v>
      </c>
      <c r="S21" s="421">
        <f t="shared" si="61"/>
        <v>43201</v>
      </c>
      <c r="T21" s="421">
        <f t="shared" si="61"/>
        <v>43232</v>
      </c>
      <c r="U21" s="421">
        <f t="shared" si="61"/>
        <v>43263</v>
      </c>
      <c r="V21" s="421">
        <f t="shared" si="61"/>
        <v>43294</v>
      </c>
      <c r="W21" s="421">
        <f t="shared" si="61"/>
        <v>43325</v>
      </c>
      <c r="X21" s="421">
        <f t="shared" si="61"/>
        <v>43356</v>
      </c>
      <c r="Y21" s="421">
        <f t="shared" si="61"/>
        <v>43387</v>
      </c>
      <c r="Z21" s="421">
        <f t="shared" si="61"/>
        <v>43418</v>
      </c>
      <c r="AA21" s="421">
        <f t="shared" si="61"/>
        <v>43449</v>
      </c>
      <c r="AB21" s="421">
        <f t="shared" ref="AB21:AM21" si="62">AB8</f>
        <v>43480</v>
      </c>
      <c r="AC21" s="421">
        <f t="shared" si="62"/>
        <v>43511</v>
      </c>
      <c r="AD21" s="421">
        <f t="shared" si="62"/>
        <v>43542</v>
      </c>
      <c r="AE21" s="421">
        <f t="shared" si="62"/>
        <v>43573</v>
      </c>
      <c r="AF21" s="421">
        <f t="shared" si="62"/>
        <v>43604</v>
      </c>
      <c r="AG21" s="421">
        <f t="shared" si="62"/>
        <v>43635</v>
      </c>
      <c r="AH21" s="421">
        <f t="shared" si="62"/>
        <v>43666</v>
      </c>
      <c r="AI21" s="421">
        <f t="shared" si="62"/>
        <v>43697</v>
      </c>
      <c r="AJ21" s="421">
        <f t="shared" si="62"/>
        <v>43728</v>
      </c>
      <c r="AK21" s="421">
        <f t="shared" si="62"/>
        <v>43759</v>
      </c>
      <c r="AL21" s="421">
        <f t="shared" si="62"/>
        <v>43790</v>
      </c>
      <c r="AM21" s="421">
        <f t="shared" si="62"/>
        <v>43821</v>
      </c>
      <c r="AN21" s="421">
        <f t="shared" ref="AN21:AY21" si="63">AN8</f>
        <v>43852</v>
      </c>
      <c r="AO21" s="421">
        <f t="shared" si="63"/>
        <v>43883</v>
      </c>
      <c r="AP21" s="421">
        <f t="shared" si="63"/>
        <v>43914</v>
      </c>
      <c r="AQ21" s="421">
        <f t="shared" si="63"/>
        <v>43945</v>
      </c>
      <c r="AR21" s="421">
        <f t="shared" si="63"/>
        <v>43976</v>
      </c>
      <c r="AS21" s="421">
        <f t="shared" si="63"/>
        <v>44007</v>
      </c>
      <c r="AT21" s="421">
        <f t="shared" si="63"/>
        <v>44038</v>
      </c>
      <c r="AU21" s="421">
        <f t="shared" si="63"/>
        <v>44069</v>
      </c>
      <c r="AV21" s="421">
        <f t="shared" si="63"/>
        <v>44100</v>
      </c>
      <c r="AW21" s="421">
        <f t="shared" si="63"/>
        <v>44131</v>
      </c>
      <c r="AX21" s="421">
        <f t="shared" si="63"/>
        <v>44162</v>
      </c>
      <c r="AY21" s="421">
        <f t="shared" si="63"/>
        <v>44193</v>
      </c>
      <c r="AZ21" s="421">
        <f t="shared" ref="AZ21:BI21" si="64">AZ8</f>
        <v>44224</v>
      </c>
      <c r="BA21" s="421">
        <f t="shared" si="64"/>
        <v>44255</v>
      </c>
      <c r="BB21" s="421">
        <f t="shared" si="64"/>
        <v>44285</v>
      </c>
      <c r="BC21" s="421">
        <f t="shared" si="64"/>
        <v>44316</v>
      </c>
      <c r="BD21" s="421">
        <f t="shared" si="64"/>
        <v>44347</v>
      </c>
      <c r="BE21" s="421">
        <f t="shared" si="64"/>
        <v>44377</v>
      </c>
      <c r="BF21" s="421">
        <f t="shared" si="64"/>
        <v>44408</v>
      </c>
      <c r="BG21" s="421">
        <f t="shared" si="64"/>
        <v>44439</v>
      </c>
      <c r="BH21" s="421">
        <f t="shared" si="64"/>
        <v>44469</v>
      </c>
      <c r="BI21" s="421">
        <f t="shared" si="64"/>
        <v>44500</v>
      </c>
      <c r="BJ21" s="421">
        <f t="shared" ref="BJ21:BK21" si="65">BJ8</f>
        <v>44530</v>
      </c>
      <c r="BK21" s="421">
        <f t="shared" si="65"/>
        <v>44561</v>
      </c>
      <c r="BL21" s="421">
        <f t="shared" ref="BL21:BW21" si="66">BL8</f>
        <v>44592</v>
      </c>
      <c r="BM21" s="421">
        <f t="shared" si="66"/>
        <v>44620</v>
      </c>
      <c r="BN21" s="421">
        <f t="shared" si="66"/>
        <v>44651</v>
      </c>
      <c r="BO21" s="421">
        <f t="shared" si="66"/>
        <v>44681</v>
      </c>
      <c r="BP21" s="421">
        <f t="shared" si="66"/>
        <v>44712</v>
      </c>
      <c r="BQ21" s="421">
        <f t="shared" si="66"/>
        <v>44742</v>
      </c>
      <c r="BR21" s="421">
        <f t="shared" si="66"/>
        <v>44773</v>
      </c>
      <c r="BS21" s="421">
        <f t="shared" si="66"/>
        <v>44804</v>
      </c>
      <c r="BT21" s="421">
        <f t="shared" si="66"/>
        <v>44834</v>
      </c>
      <c r="BU21" s="421">
        <f t="shared" si="66"/>
        <v>44865</v>
      </c>
      <c r="BV21" s="421">
        <f t="shared" si="66"/>
        <v>44895</v>
      </c>
      <c r="BW21" s="421">
        <f t="shared" si="66"/>
        <v>44926</v>
      </c>
      <c r="BX21" s="421">
        <f t="shared" ref="BX21:CI21" si="67">BX8</f>
        <v>44957</v>
      </c>
      <c r="BY21" s="421">
        <f t="shared" si="67"/>
        <v>44985</v>
      </c>
      <c r="BZ21" s="421">
        <f t="shared" si="67"/>
        <v>45016</v>
      </c>
      <c r="CA21" s="421">
        <f t="shared" si="67"/>
        <v>45046</v>
      </c>
      <c r="CB21" s="421">
        <f t="shared" si="67"/>
        <v>45077</v>
      </c>
      <c r="CC21" s="421">
        <f t="shared" si="67"/>
        <v>45107</v>
      </c>
      <c r="CD21" s="421">
        <f t="shared" si="67"/>
        <v>45138</v>
      </c>
      <c r="CE21" s="421">
        <f t="shared" si="67"/>
        <v>45169</v>
      </c>
      <c r="CF21" s="421">
        <f t="shared" si="67"/>
        <v>45199</v>
      </c>
      <c r="CG21" s="421">
        <f t="shared" si="67"/>
        <v>45230</v>
      </c>
      <c r="CH21" s="421">
        <f t="shared" si="67"/>
        <v>45260</v>
      </c>
      <c r="CI21" s="421">
        <f t="shared" si="67"/>
        <v>45291</v>
      </c>
      <c r="CJ21" s="421">
        <f t="shared" ref="CJ21:CU21" si="68">CJ8</f>
        <v>45322</v>
      </c>
      <c r="CK21" s="421">
        <f t="shared" si="68"/>
        <v>45350</v>
      </c>
      <c r="CL21" s="421">
        <f t="shared" si="68"/>
        <v>45382</v>
      </c>
      <c r="CM21" s="421">
        <f t="shared" si="68"/>
        <v>45412</v>
      </c>
      <c r="CN21" s="421">
        <f t="shared" si="68"/>
        <v>45443</v>
      </c>
      <c r="CO21" s="421">
        <f t="shared" si="68"/>
        <v>45473</v>
      </c>
      <c r="CP21" s="421">
        <f t="shared" si="68"/>
        <v>45504</v>
      </c>
      <c r="CQ21" s="421">
        <f t="shared" si="68"/>
        <v>45535</v>
      </c>
      <c r="CR21" s="421">
        <f t="shared" si="68"/>
        <v>45565</v>
      </c>
      <c r="CS21" s="421">
        <f t="shared" si="68"/>
        <v>45596</v>
      </c>
      <c r="CT21" s="421">
        <f t="shared" si="68"/>
        <v>45626</v>
      </c>
      <c r="CU21" s="421">
        <f t="shared" si="68"/>
        <v>45657</v>
      </c>
    </row>
    <row r="22" spans="1:99">
      <c r="B22" s="212"/>
      <c r="C22" s="212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1"/>
      <c r="AS22" s="421"/>
      <c r="AT22" s="421"/>
      <c r="AU22" s="421"/>
      <c r="AV22" s="421"/>
      <c r="AW22" s="421"/>
      <c r="AX22" s="421"/>
      <c r="AY22" s="421"/>
      <c r="AZ22" s="421"/>
      <c r="BA22" s="421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  <c r="BR22" s="421"/>
      <c r="BS22" s="421"/>
      <c r="BT22" s="421"/>
      <c r="BU22" s="421"/>
      <c r="BV22" s="421"/>
      <c r="BW22" s="421"/>
      <c r="BX22" s="421"/>
      <c r="BY22" s="421"/>
      <c r="BZ22" s="421"/>
      <c r="CA22" s="421"/>
      <c r="CB22" s="421"/>
      <c r="CC22" s="421"/>
      <c r="CD22" s="421"/>
      <c r="CE22" s="421"/>
      <c r="CF22" s="421"/>
      <c r="CG22" s="421"/>
      <c r="CH22" s="421"/>
      <c r="CI22" s="421"/>
      <c r="CJ22" s="421"/>
      <c r="CK22" s="421"/>
      <c r="CL22" s="421"/>
      <c r="CM22" s="421"/>
      <c r="CN22" s="421"/>
      <c r="CO22" s="421"/>
      <c r="CP22" s="421"/>
      <c r="CQ22" s="421"/>
      <c r="CR22" s="421"/>
      <c r="CS22" s="421"/>
      <c r="CT22" s="421"/>
      <c r="CU22" s="421"/>
    </row>
    <row r="23" spans="1:99">
      <c r="A23" s="376" t="s">
        <v>561</v>
      </c>
      <c r="B23" s="447" t="s">
        <v>562</v>
      </c>
      <c r="C23" s="286">
        <f ca="1">SUM(OFFSET(BX23:CI23,0,'Bal Sheet'!$A$1))</f>
        <v>48645</v>
      </c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>
        <v>1286.2</v>
      </c>
      <c r="AX23" s="210">
        <v>1286.2</v>
      </c>
      <c r="AY23" s="210">
        <v>1286.17022</v>
      </c>
      <c r="AZ23" s="210">
        <v>1286.17022</v>
      </c>
      <c r="BA23" s="210">
        <v>1286.17022</v>
      </c>
      <c r="BB23" s="210">
        <v>1603.85772</v>
      </c>
      <c r="BC23" s="210">
        <v>1846.79522</v>
      </c>
      <c r="BD23" s="210">
        <v>1636.3541599999999</v>
      </c>
      <c r="BE23" s="210">
        <v>1741.5746899999999</v>
      </c>
      <c r="BF23" s="583">
        <v>1636.4</v>
      </c>
      <c r="BG23" s="583">
        <v>1636.4</v>
      </c>
      <c r="BH23" s="583">
        <v>1542.9</v>
      </c>
      <c r="BI23" s="583">
        <v>1636.4</v>
      </c>
      <c r="BJ23" s="583">
        <v>1636.4</v>
      </c>
      <c r="BK23" s="583">
        <v>1636.4</v>
      </c>
      <c r="BL23" s="583">
        <v>1636.3541599999999</v>
      </c>
      <c r="BM23" s="583">
        <v>1636.3541599999999</v>
      </c>
      <c r="BN23" s="583">
        <v>1636.3541599999999</v>
      </c>
      <c r="BO23" s="583">
        <v>1636.3541599999999</v>
      </c>
      <c r="BP23" s="583">
        <v>1636.3541599999999</v>
      </c>
      <c r="BQ23" s="583">
        <v>1636.3541599999999</v>
      </c>
      <c r="BR23" s="583">
        <v>1802.7604099999999</v>
      </c>
      <c r="BS23" s="583">
        <v>1913.6979099999999</v>
      </c>
      <c r="BT23" s="583">
        <v>1886.61445</v>
      </c>
      <c r="BU23" s="583">
        <v>1859.53124</v>
      </c>
      <c r="BV23" s="583">
        <v>1859.53124</v>
      </c>
      <c r="BW23" s="583">
        <v>1859.53124</v>
      </c>
      <c r="BX23" s="583">
        <v>0</v>
      </c>
      <c r="BY23" s="583">
        <v>0</v>
      </c>
      <c r="BZ23" s="583">
        <v>0</v>
      </c>
      <c r="CA23" s="583">
        <v>0</v>
      </c>
      <c r="CB23" s="583">
        <v>0</v>
      </c>
      <c r="CC23" s="583">
        <v>0</v>
      </c>
      <c r="CD23" s="583">
        <v>0</v>
      </c>
      <c r="CE23" s="583">
        <v>0</v>
      </c>
      <c r="CF23" s="583">
        <v>0</v>
      </c>
      <c r="CG23" s="583">
        <v>3830</v>
      </c>
      <c r="CH23" s="583">
        <v>3830</v>
      </c>
      <c r="CI23" s="583">
        <v>3830</v>
      </c>
      <c r="CJ23" s="583">
        <v>3830</v>
      </c>
      <c r="CK23" s="583">
        <v>3830</v>
      </c>
      <c r="CL23" s="583">
        <v>3830</v>
      </c>
      <c r="CM23" s="583">
        <v>3830</v>
      </c>
      <c r="CN23" s="583">
        <v>3830</v>
      </c>
      <c r="CO23" s="583">
        <v>3830</v>
      </c>
      <c r="CP23" s="583">
        <v>4277.5</v>
      </c>
      <c r="CQ23" s="583">
        <v>4277.5</v>
      </c>
      <c r="CR23" s="583">
        <v>4277.5</v>
      </c>
      <c r="CS23" s="583">
        <v>4277.5</v>
      </c>
      <c r="CT23" s="583">
        <v>4277.5</v>
      </c>
      <c r="CU23" s="583">
        <v>4277.5</v>
      </c>
    </row>
    <row r="24" spans="1:99">
      <c r="A24" s="376" t="s">
        <v>563</v>
      </c>
      <c r="B24" s="447" t="s">
        <v>564</v>
      </c>
      <c r="C24" s="286">
        <f ca="1">SUM(OFFSET(BX24:CI24,0,'Bal Sheet'!$A$1))</f>
        <v>0</v>
      </c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65"/>
      <c r="AO24" s="465"/>
      <c r="AP24" s="465"/>
      <c r="AQ24" s="465"/>
      <c r="AR24" s="465"/>
      <c r="AS24" s="465"/>
      <c r="AT24" s="465"/>
      <c r="AU24" s="465"/>
      <c r="AV24" s="465"/>
      <c r="AW24" s="465">
        <v>4</v>
      </c>
      <c r="AX24" s="210">
        <v>4</v>
      </c>
      <c r="AY24" s="210">
        <v>3.9944099999999998</v>
      </c>
      <c r="AZ24" s="210">
        <v>3.9944099999999998</v>
      </c>
      <c r="BA24" s="210">
        <v>3.9944099999999998</v>
      </c>
      <c r="BB24" s="210">
        <v>7.83094</v>
      </c>
      <c r="BC24" s="210">
        <v>7.6524399999999995</v>
      </c>
      <c r="BD24" s="210">
        <v>7.83094</v>
      </c>
      <c r="BE24" s="210">
        <v>7.83094</v>
      </c>
      <c r="BF24" s="583">
        <v>7.8</v>
      </c>
      <c r="BG24" s="583">
        <v>7.8</v>
      </c>
      <c r="BH24" s="583">
        <v>7.8</v>
      </c>
      <c r="BI24" s="583">
        <v>7.8</v>
      </c>
      <c r="BJ24" s="583">
        <v>7.8</v>
      </c>
      <c r="BK24" s="583">
        <v>7.8</v>
      </c>
      <c r="BL24" s="583">
        <v>7.83094</v>
      </c>
      <c r="BM24" s="583">
        <v>7.83094</v>
      </c>
      <c r="BN24" s="583">
        <v>7.83094</v>
      </c>
      <c r="BO24" s="583">
        <v>7.83094</v>
      </c>
      <c r="BP24" s="583">
        <v>7.83094</v>
      </c>
      <c r="BQ24" s="583">
        <v>7.83094</v>
      </c>
      <c r="BR24" s="583">
        <v>8.5574899999999996</v>
      </c>
      <c r="BS24" s="583">
        <v>8.5558700000000005</v>
      </c>
      <c r="BT24" s="583">
        <v>8.5558700000000005</v>
      </c>
      <c r="BU24" s="583">
        <v>8.3017000000000003</v>
      </c>
      <c r="BV24" s="583">
        <v>8.3017000000000003</v>
      </c>
      <c r="BW24" s="583">
        <v>8.3017000000000003</v>
      </c>
      <c r="BX24" s="583">
        <v>0</v>
      </c>
      <c r="BY24" s="583">
        <v>0</v>
      </c>
      <c r="BZ24" s="583">
        <v>0</v>
      </c>
      <c r="CA24" s="583">
        <v>0</v>
      </c>
      <c r="CB24" s="583">
        <v>0</v>
      </c>
      <c r="CC24" s="583">
        <v>0</v>
      </c>
      <c r="CD24" s="583">
        <v>0</v>
      </c>
      <c r="CE24" s="583">
        <v>0</v>
      </c>
      <c r="CF24" s="583">
        <v>0</v>
      </c>
      <c r="CG24" s="583">
        <v>0</v>
      </c>
      <c r="CH24" s="583">
        <v>0</v>
      </c>
      <c r="CI24" s="583">
        <v>0</v>
      </c>
      <c r="CJ24" s="583">
        <v>0</v>
      </c>
      <c r="CK24" s="583">
        <v>0</v>
      </c>
      <c r="CL24" s="583">
        <v>0</v>
      </c>
      <c r="CM24" s="583">
        <v>0</v>
      </c>
      <c r="CN24" s="583">
        <v>0</v>
      </c>
      <c r="CO24" s="583">
        <v>0</v>
      </c>
      <c r="CP24" s="583">
        <v>0</v>
      </c>
      <c r="CQ24" s="583">
        <v>0</v>
      </c>
      <c r="CR24" s="583">
        <v>0</v>
      </c>
      <c r="CS24" s="583">
        <v>0</v>
      </c>
      <c r="CT24" s="583">
        <v>0</v>
      </c>
      <c r="CU24" s="583">
        <v>0</v>
      </c>
    </row>
    <row r="25" spans="1:99">
      <c r="A25" s="376" t="s">
        <v>565</v>
      </c>
      <c r="B25" s="447" t="s">
        <v>566</v>
      </c>
      <c r="C25" s="286">
        <f ca="1">SUM(OFFSET(BX25:CI25,0,'Bal Sheet'!$A$1))</f>
        <v>0</v>
      </c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65"/>
      <c r="AO25" s="465"/>
      <c r="AP25" s="465"/>
      <c r="AQ25" s="465"/>
      <c r="AR25" s="465"/>
      <c r="AS25" s="465"/>
      <c r="AT25" s="465"/>
      <c r="AU25" s="465"/>
      <c r="AV25" s="465"/>
      <c r="AW25" s="465">
        <v>11.5</v>
      </c>
      <c r="AX25" s="210">
        <v>11.5</v>
      </c>
      <c r="AY25" s="210">
        <v>11.476790000000001</v>
      </c>
      <c r="AZ25" s="210">
        <v>11.476790000000001</v>
      </c>
      <c r="BA25" s="210">
        <v>11.476790000000001</v>
      </c>
      <c r="BB25" s="210">
        <v>21.131589999999999</v>
      </c>
      <c r="BC25" s="210">
        <v>22.693210000000001</v>
      </c>
      <c r="BD25" s="210">
        <v>24.477970000000003</v>
      </c>
      <c r="BE25" s="210">
        <v>26.535630000000001</v>
      </c>
      <c r="BF25" s="583">
        <v>23.7</v>
      </c>
      <c r="BG25" s="583">
        <v>23.7</v>
      </c>
      <c r="BH25" s="583">
        <v>23.7</v>
      </c>
      <c r="BI25" s="583">
        <v>23.7</v>
      </c>
      <c r="BJ25" s="583">
        <v>25.2</v>
      </c>
      <c r="BK25" s="583">
        <v>23.7</v>
      </c>
      <c r="BL25" s="583">
        <v>23.717689999999997</v>
      </c>
      <c r="BM25" s="583">
        <v>23.717689999999997</v>
      </c>
      <c r="BN25" s="583">
        <v>23.717689999999997</v>
      </c>
      <c r="BO25" s="583">
        <v>23.717689999999997</v>
      </c>
      <c r="BP25" s="583">
        <v>23.717689999999997</v>
      </c>
      <c r="BQ25" s="583">
        <v>23.717689999999997</v>
      </c>
      <c r="BR25" s="583">
        <v>29.831289999999999</v>
      </c>
      <c r="BS25" s="583">
        <v>32.956739999999996</v>
      </c>
      <c r="BT25" s="583">
        <v>31.44614</v>
      </c>
      <c r="BU25" s="583">
        <v>31.017469999999999</v>
      </c>
      <c r="BV25" s="583">
        <v>30.085979999999999</v>
      </c>
      <c r="BW25" s="583">
        <v>30.085979999999999</v>
      </c>
      <c r="BX25" s="583">
        <v>0</v>
      </c>
      <c r="BY25" s="583">
        <v>0</v>
      </c>
      <c r="BZ25" s="583">
        <v>0</v>
      </c>
      <c r="CA25" s="583">
        <v>0</v>
      </c>
      <c r="CB25" s="583">
        <v>0</v>
      </c>
      <c r="CC25" s="583">
        <v>0</v>
      </c>
      <c r="CD25" s="583">
        <v>0</v>
      </c>
      <c r="CE25" s="583">
        <v>0</v>
      </c>
      <c r="CF25" s="583">
        <v>0</v>
      </c>
      <c r="CG25" s="583">
        <v>0</v>
      </c>
      <c r="CH25" s="583">
        <v>0</v>
      </c>
      <c r="CI25" s="583">
        <v>0</v>
      </c>
      <c r="CJ25" s="583">
        <v>0</v>
      </c>
      <c r="CK25" s="583">
        <v>0</v>
      </c>
      <c r="CL25" s="583">
        <v>0</v>
      </c>
      <c r="CM25" s="583">
        <v>0</v>
      </c>
      <c r="CN25" s="583">
        <v>0</v>
      </c>
      <c r="CO25" s="583">
        <v>0</v>
      </c>
      <c r="CP25" s="583">
        <v>0</v>
      </c>
      <c r="CQ25" s="583">
        <v>0</v>
      </c>
      <c r="CR25" s="583">
        <v>0</v>
      </c>
      <c r="CS25" s="583">
        <v>0</v>
      </c>
      <c r="CT25" s="583">
        <v>0</v>
      </c>
      <c r="CU25" s="583">
        <v>0</v>
      </c>
    </row>
    <row r="26" spans="1:99">
      <c r="A26" s="376" t="s">
        <v>567</v>
      </c>
      <c r="B26" s="447" t="s">
        <v>562</v>
      </c>
      <c r="C26" s="286">
        <f ca="1">SUM(OFFSET(BX26:CI26,0,'Bal Sheet'!$A$1))</f>
        <v>0</v>
      </c>
      <c r="D26" s="210">
        <v>1103.4000000000001</v>
      </c>
      <c r="E26" s="210">
        <v>1103.4000000000001</v>
      </c>
      <c r="F26" s="210">
        <v>1103.4000000000001</v>
      </c>
      <c r="G26" s="210">
        <v>1103.4000000000001</v>
      </c>
      <c r="H26" s="210">
        <v>1103.4000000000001</v>
      </c>
      <c r="I26" s="210">
        <v>1103.4000000000001</v>
      </c>
      <c r="J26" s="210">
        <v>1103.4000000000001</v>
      </c>
      <c r="K26" s="210">
        <v>1103.4000000000001</v>
      </c>
      <c r="L26" s="210">
        <v>1103.4000000000001</v>
      </c>
      <c r="M26" s="210">
        <v>1103.4000000000001</v>
      </c>
      <c r="N26" s="210">
        <v>1103.4000000000001</v>
      </c>
      <c r="O26" s="210">
        <v>1103.4000000000001</v>
      </c>
      <c r="P26" s="408">
        <v>1103.4000000000001</v>
      </c>
      <c r="Q26" s="408">
        <v>1103.4000000000001</v>
      </c>
      <c r="R26" s="408">
        <v>1103.4000000000001</v>
      </c>
      <c r="S26" s="408">
        <v>1103.4000000000001</v>
      </c>
      <c r="T26" s="408">
        <v>976.3</v>
      </c>
      <c r="U26" s="408">
        <v>1055.2</v>
      </c>
      <c r="V26" s="408">
        <v>1117.9000000000001</v>
      </c>
      <c r="W26" s="408">
        <v>1117.9000000000001</v>
      </c>
      <c r="X26" s="404">
        <v>1117.9000000000001</v>
      </c>
      <c r="Y26" s="404">
        <v>1198.3</v>
      </c>
      <c r="Z26" s="404">
        <v>1210.5999999999999</v>
      </c>
      <c r="AA26" s="404">
        <v>1210.5999999999999</v>
      </c>
      <c r="AB26" s="404">
        <v>1210.5999999999999</v>
      </c>
      <c r="AC26" s="404">
        <v>1210.5999999999999</v>
      </c>
      <c r="AD26" s="465">
        <v>1210.6493899999998</v>
      </c>
      <c r="AE26" s="465">
        <v>1210.6493899999998</v>
      </c>
      <c r="AF26" s="465">
        <v>1210.6493899999998</v>
      </c>
      <c r="AG26" s="465">
        <v>1210.6493899999998</v>
      </c>
      <c r="AH26" s="465">
        <v>1230.78828</v>
      </c>
      <c r="AI26" s="465">
        <v>1286.17022</v>
      </c>
      <c r="AJ26" s="465">
        <v>1286.17022</v>
      </c>
      <c r="AK26" s="465">
        <v>1286.17022</v>
      </c>
      <c r="AL26" s="465">
        <v>1286.17022</v>
      </c>
      <c r="AM26" s="465">
        <v>1286.17022</v>
      </c>
      <c r="AN26" s="465">
        <v>1286.17022</v>
      </c>
      <c r="AO26" s="465">
        <v>1286.17022</v>
      </c>
      <c r="AP26" s="465">
        <v>1281.1355100000001</v>
      </c>
      <c r="AQ26" s="465">
        <v>1286.17022</v>
      </c>
      <c r="AR26" s="465">
        <v>1286.17022</v>
      </c>
      <c r="AS26" s="465">
        <v>1286.17022</v>
      </c>
      <c r="AT26" s="465">
        <v>1286.17022</v>
      </c>
      <c r="AU26" s="465">
        <v>1286.17022</v>
      </c>
      <c r="AV26" s="465">
        <v>1286.17022</v>
      </c>
      <c r="AW26" s="465">
        <v>0</v>
      </c>
      <c r="AX26" s="210" t="e">
        <v>#N/A</v>
      </c>
      <c r="AY26" s="210" t="e">
        <v>#N/A</v>
      </c>
      <c r="AZ26" s="210" t="e">
        <v>#N/A</v>
      </c>
      <c r="BA26" s="210">
        <v>0</v>
      </c>
      <c r="BB26" s="210">
        <v>0</v>
      </c>
      <c r="BC26" s="210">
        <v>0</v>
      </c>
      <c r="BD26" s="210">
        <v>0</v>
      </c>
      <c r="BE26" s="210">
        <v>0</v>
      </c>
      <c r="BF26" s="583">
        <v>0</v>
      </c>
      <c r="BG26" s="583">
        <v>0</v>
      </c>
      <c r="BH26" s="583">
        <v>0</v>
      </c>
      <c r="BI26" s="583">
        <v>0</v>
      </c>
      <c r="BJ26" s="583">
        <v>0</v>
      </c>
      <c r="BK26" s="583">
        <v>0</v>
      </c>
      <c r="BL26" s="583">
        <v>0</v>
      </c>
      <c r="BM26" s="583">
        <v>0</v>
      </c>
      <c r="BN26" s="583">
        <v>0</v>
      </c>
      <c r="BO26" s="583">
        <v>0</v>
      </c>
      <c r="BP26" s="583">
        <v>0</v>
      </c>
      <c r="BQ26" s="583">
        <v>0</v>
      </c>
      <c r="BR26" s="583">
        <v>0</v>
      </c>
      <c r="BS26" s="583">
        <v>0</v>
      </c>
      <c r="BT26" s="583">
        <v>0</v>
      </c>
      <c r="BU26" s="583">
        <v>0</v>
      </c>
      <c r="BV26" s="583">
        <v>0</v>
      </c>
      <c r="BW26" s="583">
        <v>0</v>
      </c>
      <c r="BX26" s="583">
        <v>0</v>
      </c>
      <c r="BY26" s="583">
        <v>0</v>
      </c>
      <c r="BZ26" s="583">
        <v>0</v>
      </c>
      <c r="CA26" s="583">
        <v>0</v>
      </c>
      <c r="CB26" s="583">
        <v>0</v>
      </c>
      <c r="CC26" s="583">
        <v>0</v>
      </c>
      <c r="CD26" s="583">
        <v>0</v>
      </c>
      <c r="CE26" s="583">
        <v>0</v>
      </c>
      <c r="CF26" s="583">
        <v>0</v>
      </c>
      <c r="CG26" s="583">
        <v>0</v>
      </c>
      <c r="CH26" s="583">
        <v>0</v>
      </c>
      <c r="CI26" s="583">
        <v>0</v>
      </c>
      <c r="CJ26" s="583">
        <v>0</v>
      </c>
      <c r="CK26" s="583">
        <v>0</v>
      </c>
      <c r="CL26" s="583">
        <v>0</v>
      </c>
      <c r="CM26" s="583">
        <v>0</v>
      </c>
      <c r="CN26" s="583">
        <v>0</v>
      </c>
      <c r="CO26" s="583">
        <v>0</v>
      </c>
      <c r="CP26" s="583">
        <v>0</v>
      </c>
      <c r="CQ26" s="583">
        <v>0</v>
      </c>
      <c r="CR26" s="583">
        <v>0</v>
      </c>
      <c r="CS26" s="583">
        <v>0</v>
      </c>
      <c r="CT26" s="583">
        <v>0</v>
      </c>
      <c r="CU26" s="583">
        <v>0</v>
      </c>
    </row>
    <row r="27" spans="1:99">
      <c r="A27" s="376" t="s">
        <v>1202</v>
      </c>
      <c r="B27" s="447" t="s">
        <v>1203</v>
      </c>
      <c r="C27" s="286">
        <f ca="1">SUM(OFFSET(BX27:CI27,0,'Bal Sheet'!$A$1))</f>
        <v>0</v>
      </c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408"/>
      <c r="Q27" s="408"/>
      <c r="R27" s="408"/>
      <c r="S27" s="408"/>
      <c r="T27" s="408"/>
      <c r="U27" s="408"/>
      <c r="V27" s="408"/>
      <c r="W27" s="408"/>
      <c r="X27" s="404"/>
      <c r="Y27" s="404"/>
      <c r="Z27" s="404"/>
      <c r="AA27" s="404"/>
      <c r="AB27" s="404"/>
      <c r="AC27" s="404"/>
      <c r="AD27" s="465"/>
      <c r="AE27" s="465"/>
      <c r="AF27" s="465"/>
      <c r="AG27" s="465"/>
      <c r="AH27" s="465"/>
      <c r="AI27" s="465"/>
      <c r="AJ27" s="465"/>
      <c r="AK27" s="465"/>
      <c r="AL27" s="465"/>
      <c r="AM27" s="465"/>
      <c r="AN27" s="465"/>
      <c r="AO27" s="465"/>
      <c r="AP27" s="465"/>
      <c r="AQ27" s="465"/>
      <c r="AR27" s="465"/>
      <c r="AS27" s="465"/>
      <c r="AT27" s="465"/>
      <c r="AU27" s="465"/>
      <c r="AV27" s="465"/>
      <c r="AW27" s="465"/>
      <c r="AX27" s="210"/>
      <c r="AY27" s="210"/>
      <c r="AZ27" s="210"/>
      <c r="BA27" s="210"/>
      <c r="BB27" s="210"/>
      <c r="BC27" s="210"/>
      <c r="BD27" s="210"/>
      <c r="BE27" s="210"/>
      <c r="BF27" s="583"/>
      <c r="BG27" s="583"/>
      <c r="BH27" s="583"/>
      <c r="BI27" s="583"/>
      <c r="BJ27" s="583"/>
      <c r="BK27" s="583"/>
      <c r="BL27" s="583">
        <v>0</v>
      </c>
      <c r="BM27" s="583">
        <v>0</v>
      </c>
      <c r="BN27" s="583">
        <v>0</v>
      </c>
      <c r="BO27" s="583">
        <v>0</v>
      </c>
      <c r="BP27" s="583">
        <v>0</v>
      </c>
      <c r="BQ27" s="583">
        <v>0</v>
      </c>
      <c r="BR27" s="583">
        <v>0</v>
      </c>
      <c r="BS27" s="583">
        <v>0</v>
      </c>
      <c r="BT27" s="583">
        <v>0</v>
      </c>
      <c r="BU27" s="583">
        <v>0</v>
      </c>
      <c r="BV27" s="583">
        <v>0</v>
      </c>
      <c r="BW27" s="583">
        <v>0</v>
      </c>
      <c r="BX27" s="583">
        <v>1917.7</v>
      </c>
      <c r="BY27" s="583">
        <v>1917.7</v>
      </c>
      <c r="BZ27" s="583">
        <v>1917.7</v>
      </c>
      <c r="CA27" s="583">
        <v>1916.9</v>
      </c>
      <c r="CB27" s="583">
        <v>1916.9</v>
      </c>
      <c r="CC27" s="583">
        <v>1916.9</v>
      </c>
      <c r="CD27" s="583">
        <v>1916.9</v>
      </c>
      <c r="CE27" s="583">
        <v>1916.9</v>
      </c>
      <c r="CF27" s="583">
        <v>1916.9</v>
      </c>
      <c r="CG27" s="583">
        <v>0</v>
      </c>
      <c r="CH27" s="583">
        <v>0</v>
      </c>
      <c r="CI27" s="583">
        <v>0</v>
      </c>
      <c r="CJ27" s="583">
        <v>0</v>
      </c>
      <c r="CK27" s="583">
        <v>0</v>
      </c>
      <c r="CL27" s="583">
        <v>0</v>
      </c>
      <c r="CM27" s="583">
        <v>0</v>
      </c>
      <c r="CN27" s="583">
        <v>0</v>
      </c>
      <c r="CO27" s="583">
        <v>0</v>
      </c>
      <c r="CP27" s="583">
        <v>0</v>
      </c>
      <c r="CQ27" s="583">
        <v>0</v>
      </c>
      <c r="CR27" s="583">
        <v>0</v>
      </c>
      <c r="CS27" s="583">
        <v>0</v>
      </c>
      <c r="CT27" s="583">
        <v>0</v>
      </c>
      <c r="CU27" s="583">
        <v>0</v>
      </c>
    </row>
    <row r="28" spans="1:99">
      <c r="A28" s="376" t="s">
        <v>568</v>
      </c>
      <c r="B28" s="447" t="s">
        <v>564</v>
      </c>
      <c r="C28" s="286">
        <f ca="1">SUM(OFFSET(BX28:CI28,0,'Bal Sheet'!$A$1))</f>
        <v>0</v>
      </c>
      <c r="D28" s="210">
        <v>1.7</v>
      </c>
      <c r="E28" s="210">
        <v>1.7</v>
      </c>
      <c r="F28" s="210">
        <v>1.7</v>
      </c>
      <c r="G28" s="210">
        <v>1.7</v>
      </c>
      <c r="H28" s="210">
        <v>1.7</v>
      </c>
      <c r="I28" s="210">
        <v>1.7</v>
      </c>
      <c r="J28" s="210">
        <v>1.7</v>
      </c>
      <c r="K28" s="210">
        <v>1.7</v>
      </c>
      <c r="L28" s="210">
        <v>1.7</v>
      </c>
      <c r="M28" s="210">
        <v>1.7</v>
      </c>
      <c r="N28" s="210">
        <v>1.7</v>
      </c>
      <c r="O28" s="210">
        <v>1.7</v>
      </c>
      <c r="P28" s="408">
        <v>1.7</v>
      </c>
      <c r="Q28" s="408">
        <v>1.7</v>
      </c>
      <c r="R28" s="408">
        <v>1.7</v>
      </c>
      <c r="S28" s="408">
        <v>1.7</v>
      </c>
      <c r="T28" s="408">
        <v>1.7</v>
      </c>
      <c r="U28" s="408">
        <v>2.8</v>
      </c>
      <c r="V28" s="408">
        <v>2.8</v>
      </c>
      <c r="W28" s="408">
        <v>2.8</v>
      </c>
      <c r="X28" s="404">
        <v>2.8</v>
      </c>
      <c r="Y28" s="404">
        <v>3.2</v>
      </c>
      <c r="Z28" s="404">
        <v>3.2</v>
      </c>
      <c r="AA28" s="404">
        <v>3.2</v>
      </c>
      <c r="AB28" s="404">
        <v>3.2</v>
      </c>
      <c r="AC28" s="404">
        <v>3.2</v>
      </c>
      <c r="AD28" s="465">
        <v>3.1682600000000001</v>
      </c>
      <c r="AE28" s="465">
        <v>3.1682600000000001</v>
      </c>
      <c r="AF28" s="465">
        <v>3.1682600000000001</v>
      </c>
      <c r="AG28" s="465">
        <v>3.1682600000000001</v>
      </c>
      <c r="AH28" s="465">
        <v>3.1682600000000001</v>
      </c>
      <c r="AI28" s="465">
        <v>3.9927600000000001</v>
      </c>
      <c r="AJ28" s="465">
        <v>3.9944099999999998</v>
      </c>
      <c r="AK28" s="465">
        <v>3.9944099999999998</v>
      </c>
      <c r="AL28" s="465">
        <v>3.9944099999999998</v>
      </c>
      <c r="AM28" s="465">
        <v>3.9944099999999998</v>
      </c>
      <c r="AN28" s="465">
        <v>3.9944099999999998</v>
      </c>
      <c r="AO28" s="465">
        <v>3.9944099999999998</v>
      </c>
      <c r="AP28" s="465">
        <v>3.9944099999999998</v>
      </c>
      <c r="AQ28" s="465">
        <v>3.9944099999999998</v>
      </c>
      <c r="AR28" s="465">
        <v>3.9944099999999998</v>
      </c>
      <c r="AS28" s="465">
        <v>3.9944099999999998</v>
      </c>
      <c r="AT28" s="465">
        <v>3.9944099999999998</v>
      </c>
      <c r="AU28" s="465">
        <v>3.9944099999999998</v>
      </c>
      <c r="AV28" s="465">
        <v>3.9944099999999998</v>
      </c>
      <c r="AW28" s="465">
        <v>0</v>
      </c>
      <c r="AX28" s="210" t="e">
        <v>#N/A</v>
      </c>
      <c r="AY28" s="210" t="e">
        <v>#N/A</v>
      </c>
      <c r="AZ28" s="210" t="e">
        <v>#N/A</v>
      </c>
      <c r="BA28" s="210">
        <v>0</v>
      </c>
      <c r="BB28" s="210">
        <v>0</v>
      </c>
      <c r="BC28" s="210">
        <v>0</v>
      </c>
      <c r="BD28" s="210">
        <v>0</v>
      </c>
      <c r="BE28" s="210">
        <v>0</v>
      </c>
      <c r="BF28" s="583">
        <v>0</v>
      </c>
      <c r="BG28" s="583">
        <v>0</v>
      </c>
      <c r="BH28" s="583">
        <v>0</v>
      </c>
      <c r="BI28" s="583">
        <v>0</v>
      </c>
      <c r="BJ28" s="583">
        <v>0</v>
      </c>
      <c r="BK28" s="583">
        <v>0</v>
      </c>
      <c r="BL28" s="583">
        <v>0</v>
      </c>
      <c r="BM28" s="583">
        <v>0</v>
      </c>
      <c r="BN28" s="583">
        <v>0</v>
      </c>
      <c r="BO28" s="583">
        <v>0</v>
      </c>
      <c r="BP28" s="583">
        <v>0</v>
      </c>
      <c r="BQ28" s="583">
        <v>0</v>
      </c>
      <c r="BR28" s="583">
        <v>0</v>
      </c>
      <c r="BS28" s="583">
        <v>0</v>
      </c>
      <c r="BT28" s="583">
        <v>0</v>
      </c>
      <c r="BU28" s="583">
        <v>0</v>
      </c>
      <c r="BV28" s="583">
        <v>0</v>
      </c>
      <c r="BW28" s="583">
        <v>0</v>
      </c>
      <c r="BX28" s="583">
        <v>0</v>
      </c>
      <c r="BY28" s="583">
        <v>0</v>
      </c>
      <c r="BZ28" s="583">
        <v>0</v>
      </c>
      <c r="CA28" s="583">
        <v>0</v>
      </c>
      <c r="CB28" s="583">
        <v>0</v>
      </c>
      <c r="CC28" s="583">
        <v>0</v>
      </c>
      <c r="CD28" s="583">
        <v>0</v>
      </c>
      <c r="CE28" s="583">
        <v>0</v>
      </c>
      <c r="CF28" s="583">
        <v>0</v>
      </c>
      <c r="CG28" s="583">
        <v>0</v>
      </c>
      <c r="CH28" s="583">
        <v>0</v>
      </c>
      <c r="CI28" s="583">
        <v>0</v>
      </c>
      <c r="CJ28" s="583">
        <v>0</v>
      </c>
      <c r="CK28" s="583">
        <v>0</v>
      </c>
      <c r="CL28" s="583">
        <v>0</v>
      </c>
      <c r="CM28" s="583">
        <v>0</v>
      </c>
      <c r="CN28" s="583">
        <v>0</v>
      </c>
      <c r="CO28" s="583">
        <v>0</v>
      </c>
      <c r="CP28" s="583">
        <v>0</v>
      </c>
      <c r="CQ28" s="583">
        <v>0</v>
      </c>
      <c r="CR28" s="583">
        <v>0</v>
      </c>
      <c r="CS28" s="583">
        <v>0</v>
      </c>
      <c r="CT28" s="583">
        <v>0</v>
      </c>
      <c r="CU28" s="583">
        <v>0</v>
      </c>
    </row>
    <row r="29" spans="1:99" ht="13.9" customHeight="1">
      <c r="A29" s="376" t="s">
        <v>569</v>
      </c>
      <c r="B29" s="447" t="s">
        <v>566</v>
      </c>
      <c r="C29" s="294">
        <f ca="1">SUM(OFFSET(BX29:CI29,0,'Bal Sheet'!$A$1))</f>
        <v>0</v>
      </c>
      <c r="D29" s="330">
        <v>43.6</v>
      </c>
      <c r="E29" s="330">
        <v>43.6</v>
      </c>
      <c r="F29" s="330">
        <v>43.6</v>
      </c>
      <c r="G29" s="330">
        <v>43.6</v>
      </c>
      <c r="H29" s="330">
        <v>43.6</v>
      </c>
      <c r="I29" s="330">
        <v>43.6</v>
      </c>
      <c r="J29" s="330">
        <v>43.6</v>
      </c>
      <c r="K29" s="330">
        <v>43.6</v>
      </c>
      <c r="L29" s="330">
        <v>43.6</v>
      </c>
      <c r="M29" s="330">
        <v>43.6</v>
      </c>
      <c r="N29" s="330">
        <v>43.6</v>
      </c>
      <c r="O29" s="330">
        <v>43.6</v>
      </c>
      <c r="P29" s="409">
        <v>43.6</v>
      </c>
      <c r="Q29" s="409">
        <v>43.6</v>
      </c>
      <c r="R29" s="409">
        <v>43.6</v>
      </c>
      <c r="S29" s="409">
        <v>43.6</v>
      </c>
      <c r="T29" s="409">
        <v>25.7</v>
      </c>
      <c r="U29" s="409">
        <v>9.8000000000000007</v>
      </c>
      <c r="V29" s="409">
        <v>9.9</v>
      </c>
      <c r="W29" s="409">
        <v>9.9</v>
      </c>
      <c r="X29" s="403">
        <v>10.3</v>
      </c>
      <c r="Y29" s="403">
        <v>10.6</v>
      </c>
      <c r="Z29" s="403">
        <v>10.7</v>
      </c>
      <c r="AA29" s="403">
        <v>10.7</v>
      </c>
      <c r="AB29" s="403">
        <v>10.7</v>
      </c>
      <c r="AC29" s="403">
        <v>10.7</v>
      </c>
      <c r="AD29" s="464">
        <v>10.884139999999999</v>
      </c>
      <c r="AE29" s="464">
        <v>10.69266</v>
      </c>
      <c r="AF29" s="464">
        <v>10.69266</v>
      </c>
      <c r="AG29" s="464">
        <v>10.69266</v>
      </c>
      <c r="AH29" s="464">
        <v>10.69266</v>
      </c>
      <c r="AI29" s="464">
        <v>11.405860000000001</v>
      </c>
      <c r="AJ29" s="464">
        <v>11.465909999999999</v>
      </c>
      <c r="AK29" s="464">
        <v>11.435409999999999</v>
      </c>
      <c r="AL29" s="464">
        <v>11.435409999999999</v>
      </c>
      <c r="AM29" s="464">
        <v>11.633809999999999</v>
      </c>
      <c r="AN29" s="464">
        <v>11.47551</v>
      </c>
      <c r="AO29" s="464">
        <v>11.47551</v>
      </c>
      <c r="AP29" s="464">
        <v>11.486870000000001</v>
      </c>
      <c r="AQ29" s="464">
        <v>11.476790000000001</v>
      </c>
      <c r="AR29" s="464">
        <v>11.476790000000001</v>
      </c>
      <c r="AS29" s="464">
        <v>11.476790000000001</v>
      </c>
      <c r="AT29" s="464">
        <v>11.476790000000001</v>
      </c>
      <c r="AU29" s="464">
        <v>11.476790000000001</v>
      </c>
      <c r="AV29" s="464">
        <v>11.476790000000001</v>
      </c>
      <c r="AW29" s="464">
        <v>0</v>
      </c>
      <c r="AX29" s="330" t="e">
        <v>#N/A</v>
      </c>
      <c r="AY29" s="330" t="e">
        <v>#N/A</v>
      </c>
      <c r="AZ29" s="330" t="e">
        <v>#N/A</v>
      </c>
      <c r="BA29" s="330">
        <v>0</v>
      </c>
      <c r="BB29" s="330">
        <v>0</v>
      </c>
      <c r="BC29" s="330">
        <v>0</v>
      </c>
      <c r="BD29" s="330">
        <v>0</v>
      </c>
      <c r="BE29" s="330">
        <v>0</v>
      </c>
      <c r="BF29" s="584">
        <v>0</v>
      </c>
      <c r="BG29" s="584">
        <v>0</v>
      </c>
      <c r="BH29" s="584">
        <v>0</v>
      </c>
      <c r="BI29" s="584">
        <v>0</v>
      </c>
      <c r="BJ29" s="584">
        <v>0</v>
      </c>
      <c r="BK29" s="584">
        <v>0</v>
      </c>
      <c r="BL29" s="584">
        <v>0</v>
      </c>
      <c r="BM29" s="584">
        <v>0</v>
      </c>
      <c r="BN29" s="584">
        <v>0</v>
      </c>
      <c r="BO29" s="584">
        <v>0</v>
      </c>
      <c r="BP29" s="584">
        <v>0</v>
      </c>
      <c r="BQ29" s="584">
        <v>0</v>
      </c>
      <c r="BR29" s="584">
        <v>0</v>
      </c>
      <c r="BS29" s="584">
        <v>0</v>
      </c>
      <c r="BT29" s="584">
        <v>0</v>
      </c>
      <c r="BU29" s="584">
        <v>0</v>
      </c>
      <c r="BV29" s="584">
        <v>0</v>
      </c>
      <c r="BW29" s="584">
        <v>0</v>
      </c>
      <c r="BX29" s="584">
        <v>0</v>
      </c>
      <c r="BY29" s="584">
        <v>0</v>
      </c>
      <c r="BZ29" s="584">
        <v>0</v>
      </c>
      <c r="CA29" s="584">
        <v>0</v>
      </c>
      <c r="CB29" s="584">
        <v>0</v>
      </c>
      <c r="CC29" s="584">
        <v>0</v>
      </c>
      <c r="CD29" s="584">
        <v>0</v>
      </c>
      <c r="CE29" s="584">
        <v>0</v>
      </c>
      <c r="CF29" s="584">
        <v>0</v>
      </c>
      <c r="CG29" s="584">
        <v>0</v>
      </c>
      <c r="CH29" s="584">
        <v>0</v>
      </c>
      <c r="CI29" s="584">
        <v>0</v>
      </c>
      <c r="CJ29" s="584">
        <v>0</v>
      </c>
      <c r="CK29" s="584">
        <v>0</v>
      </c>
      <c r="CL29" s="584">
        <v>0</v>
      </c>
      <c r="CM29" s="584">
        <v>0</v>
      </c>
      <c r="CN29" s="584">
        <v>0</v>
      </c>
      <c r="CO29" s="584">
        <v>0</v>
      </c>
      <c r="CP29" s="584">
        <v>0</v>
      </c>
      <c r="CQ29" s="584">
        <v>0</v>
      </c>
      <c r="CR29" s="584">
        <v>0</v>
      </c>
      <c r="CS29" s="584">
        <v>0</v>
      </c>
      <c r="CT29" s="584">
        <v>0</v>
      </c>
      <c r="CU29" s="584">
        <v>0</v>
      </c>
    </row>
    <row r="30" spans="1:99">
      <c r="B30" s="742" t="s">
        <v>570</v>
      </c>
      <c r="C30" s="293">
        <f ca="1">SUM(C23:C29)</f>
        <v>48645</v>
      </c>
      <c r="D30" s="33">
        <f t="shared" ref="D30:AV30" si="69">SUM(D26:D29)</f>
        <v>1148.7</v>
      </c>
      <c r="E30" s="33">
        <f t="shared" si="69"/>
        <v>1148.7</v>
      </c>
      <c r="F30" s="33">
        <f t="shared" si="69"/>
        <v>1148.7</v>
      </c>
      <c r="G30" s="33">
        <f t="shared" si="69"/>
        <v>1148.7</v>
      </c>
      <c r="H30" s="33">
        <f t="shared" si="69"/>
        <v>1148.7</v>
      </c>
      <c r="I30" s="33">
        <f t="shared" si="69"/>
        <v>1148.7</v>
      </c>
      <c r="J30" s="33">
        <f t="shared" si="69"/>
        <v>1148.7</v>
      </c>
      <c r="K30" s="33">
        <f t="shared" si="69"/>
        <v>1148.7</v>
      </c>
      <c r="L30" s="33">
        <f t="shared" si="69"/>
        <v>1148.7</v>
      </c>
      <c r="M30" s="33">
        <f t="shared" si="69"/>
        <v>1148.7</v>
      </c>
      <c r="N30" s="33">
        <f t="shared" si="69"/>
        <v>1148.7</v>
      </c>
      <c r="O30" s="33">
        <f t="shared" si="69"/>
        <v>1148.7</v>
      </c>
      <c r="P30" s="33">
        <f t="shared" si="69"/>
        <v>1148.7</v>
      </c>
      <c r="Q30" s="33">
        <f t="shared" si="69"/>
        <v>1148.7</v>
      </c>
      <c r="R30" s="33">
        <f t="shared" si="69"/>
        <v>1148.7</v>
      </c>
      <c r="S30" s="33">
        <f t="shared" si="69"/>
        <v>1148.7</v>
      </c>
      <c r="T30" s="33">
        <f t="shared" si="69"/>
        <v>1003.7</v>
      </c>
      <c r="U30" s="33">
        <f t="shared" si="69"/>
        <v>1067.8</v>
      </c>
      <c r="V30" s="33">
        <f t="shared" si="69"/>
        <v>1130.6000000000001</v>
      </c>
      <c r="W30" s="33">
        <f t="shared" si="69"/>
        <v>1130.6000000000001</v>
      </c>
      <c r="X30" s="33">
        <f t="shared" si="69"/>
        <v>1131</v>
      </c>
      <c r="Y30" s="33">
        <f t="shared" si="69"/>
        <v>1212.0999999999999</v>
      </c>
      <c r="Z30" s="33">
        <f t="shared" si="69"/>
        <v>1224.5</v>
      </c>
      <c r="AA30" s="33">
        <f t="shared" si="69"/>
        <v>1224.5</v>
      </c>
      <c r="AB30" s="33">
        <f t="shared" si="69"/>
        <v>1224.5</v>
      </c>
      <c r="AC30" s="33">
        <f t="shared" si="69"/>
        <v>1224.5</v>
      </c>
      <c r="AD30" s="33">
        <f t="shared" si="69"/>
        <v>1224.7017899999996</v>
      </c>
      <c r="AE30" s="33">
        <f t="shared" si="69"/>
        <v>1224.5103099999997</v>
      </c>
      <c r="AF30" s="33">
        <f t="shared" si="69"/>
        <v>1224.5103099999997</v>
      </c>
      <c r="AG30" s="33">
        <f t="shared" si="69"/>
        <v>1224.5103099999997</v>
      </c>
      <c r="AH30" s="33">
        <f t="shared" si="69"/>
        <v>1244.6491999999998</v>
      </c>
      <c r="AI30" s="33">
        <f t="shared" si="69"/>
        <v>1301.5688400000001</v>
      </c>
      <c r="AJ30" s="33">
        <f t="shared" si="69"/>
        <v>1301.6305399999999</v>
      </c>
      <c r="AK30" s="33">
        <f t="shared" si="69"/>
        <v>1301.60004</v>
      </c>
      <c r="AL30" s="33">
        <f t="shared" si="69"/>
        <v>1301.60004</v>
      </c>
      <c r="AM30" s="33">
        <f t="shared" si="69"/>
        <v>1301.79844</v>
      </c>
      <c r="AN30" s="33">
        <f t="shared" si="69"/>
        <v>1301.64014</v>
      </c>
      <c r="AO30" s="33">
        <f t="shared" si="69"/>
        <v>1301.64014</v>
      </c>
      <c r="AP30" s="33">
        <f t="shared" si="69"/>
        <v>1296.61679</v>
      </c>
      <c r="AQ30" s="33">
        <f t="shared" si="69"/>
        <v>1301.6414199999999</v>
      </c>
      <c r="AR30" s="33">
        <f t="shared" si="69"/>
        <v>1301.6414199999999</v>
      </c>
      <c r="AS30" s="33">
        <f t="shared" si="69"/>
        <v>1301.6414199999999</v>
      </c>
      <c r="AT30" s="33">
        <f t="shared" si="69"/>
        <v>1301.6414199999999</v>
      </c>
      <c r="AU30" s="33">
        <f t="shared" si="69"/>
        <v>1301.6414199999999</v>
      </c>
      <c r="AV30" s="33">
        <f t="shared" si="69"/>
        <v>1301.6414199999999</v>
      </c>
      <c r="AW30" s="33">
        <f t="shared" ref="AW30:CI30" si="70">SUM(AW23:AW29)</f>
        <v>1301.7</v>
      </c>
      <c r="AX30" s="33" t="e">
        <f t="shared" si="70"/>
        <v>#N/A</v>
      </c>
      <c r="AY30" s="33" t="e">
        <f t="shared" si="70"/>
        <v>#N/A</v>
      </c>
      <c r="AZ30" s="33" t="e">
        <f t="shared" si="70"/>
        <v>#N/A</v>
      </c>
      <c r="BA30" s="33">
        <f t="shared" si="70"/>
        <v>1301.6414199999999</v>
      </c>
      <c r="BB30" s="33">
        <f t="shared" si="70"/>
        <v>1632.82025</v>
      </c>
      <c r="BC30" s="33">
        <f t="shared" si="70"/>
        <v>1877.1408699999999</v>
      </c>
      <c r="BD30" s="33">
        <f t="shared" si="70"/>
        <v>1668.6630699999998</v>
      </c>
      <c r="BE30" s="33">
        <f t="shared" si="70"/>
        <v>1775.9412600000001</v>
      </c>
      <c r="BF30" s="33">
        <f t="shared" si="70"/>
        <v>1667.9</v>
      </c>
      <c r="BG30" s="33">
        <f t="shared" si="70"/>
        <v>1667.9</v>
      </c>
      <c r="BH30" s="33">
        <f t="shared" si="70"/>
        <v>1574.4</v>
      </c>
      <c r="BI30" s="33">
        <f t="shared" si="70"/>
        <v>1667.9</v>
      </c>
      <c r="BJ30" s="33">
        <f t="shared" si="70"/>
        <v>1669.4</v>
      </c>
      <c r="BK30" s="33">
        <f t="shared" si="70"/>
        <v>1667.9</v>
      </c>
      <c r="BL30" s="33">
        <f t="shared" si="70"/>
        <v>1667.9027899999999</v>
      </c>
      <c r="BM30" s="33">
        <f t="shared" si="70"/>
        <v>1667.9027899999999</v>
      </c>
      <c r="BN30" s="33">
        <f t="shared" si="70"/>
        <v>1667.9027899999999</v>
      </c>
      <c r="BO30" s="33">
        <f t="shared" si="70"/>
        <v>1667.9027899999999</v>
      </c>
      <c r="BP30" s="33">
        <f t="shared" si="70"/>
        <v>1667.9027899999999</v>
      </c>
      <c r="BQ30" s="33">
        <f t="shared" si="70"/>
        <v>1667.9027899999999</v>
      </c>
      <c r="BR30" s="33">
        <f t="shared" si="70"/>
        <v>1841.1491899999999</v>
      </c>
      <c r="BS30" s="33">
        <f t="shared" si="70"/>
        <v>1955.2105199999999</v>
      </c>
      <c r="BT30" s="33">
        <f t="shared" si="70"/>
        <v>1926.61646</v>
      </c>
      <c r="BU30" s="33">
        <f t="shared" si="70"/>
        <v>1898.85041</v>
      </c>
      <c r="BV30" s="33">
        <f t="shared" si="70"/>
        <v>1897.9189200000001</v>
      </c>
      <c r="BW30" s="33">
        <f t="shared" si="70"/>
        <v>1897.9189200000001</v>
      </c>
      <c r="BX30" s="33">
        <f t="shared" si="70"/>
        <v>1917.7</v>
      </c>
      <c r="BY30" s="33">
        <f t="shared" si="70"/>
        <v>1917.7</v>
      </c>
      <c r="BZ30" s="33">
        <f t="shared" si="70"/>
        <v>1917.7</v>
      </c>
      <c r="CA30" s="33">
        <f t="shared" si="70"/>
        <v>1916.9</v>
      </c>
      <c r="CB30" s="33">
        <f t="shared" si="70"/>
        <v>1916.9</v>
      </c>
      <c r="CC30" s="33">
        <f t="shared" si="70"/>
        <v>1916.9</v>
      </c>
      <c r="CD30" s="33">
        <f t="shared" si="70"/>
        <v>1916.9</v>
      </c>
      <c r="CE30" s="33">
        <f t="shared" si="70"/>
        <v>1916.9</v>
      </c>
      <c r="CF30" s="33">
        <f t="shared" si="70"/>
        <v>1916.9</v>
      </c>
      <c r="CG30" s="33">
        <f t="shared" si="70"/>
        <v>3830</v>
      </c>
      <c r="CH30" s="33">
        <f t="shared" si="70"/>
        <v>3830</v>
      </c>
      <c r="CI30" s="33">
        <f t="shared" si="70"/>
        <v>3830</v>
      </c>
      <c r="CJ30" s="33">
        <f t="shared" ref="CJ30:CU30" si="71">SUM(CJ23:CJ29)</f>
        <v>3830</v>
      </c>
      <c r="CK30" s="33">
        <f t="shared" si="71"/>
        <v>3830</v>
      </c>
      <c r="CL30" s="33">
        <f t="shared" si="71"/>
        <v>3830</v>
      </c>
      <c r="CM30" s="33">
        <f t="shared" si="71"/>
        <v>3830</v>
      </c>
      <c r="CN30" s="33">
        <f t="shared" si="71"/>
        <v>3830</v>
      </c>
      <c r="CO30" s="33">
        <f t="shared" si="71"/>
        <v>3830</v>
      </c>
      <c r="CP30" s="33">
        <f t="shared" si="71"/>
        <v>4277.5</v>
      </c>
      <c r="CQ30" s="33">
        <f t="shared" si="71"/>
        <v>4277.5</v>
      </c>
      <c r="CR30" s="33">
        <f t="shared" si="71"/>
        <v>4277.5</v>
      </c>
      <c r="CS30" s="33">
        <f t="shared" si="71"/>
        <v>4277.5</v>
      </c>
      <c r="CT30" s="33">
        <f t="shared" si="71"/>
        <v>4277.5</v>
      </c>
      <c r="CU30" s="33">
        <f t="shared" si="71"/>
        <v>4277.5</v>
      </c>
    </row>
    <row r="31" spans="1:99"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1:99">
      <c r="B32" s="375" t="s">
        <v>571</v>
      </c>
      <c r="C32" s="447"/>
      <c r="D32" s="381">
        <v>13774.18312</v>
      </c>
      <c r="E32" s="381">
        <v>13774.18312</v>
      </c>
      <c r="F32" s="381">
        <v>13774.18312</v>
      </c>
      <c r="G32" s="381">
        <v>13774.18312</v>
      </c>
      <c r="H32" s="381">
        <v>13774.18312</v>
      </c>
      <c r="I32" s="381">
        <v>13774.18312</v>
      </c>
      <c r="J32" s="381">
        <v>13774.18312</v>
      </c>
      <c r="K32" s="381">
        <v>13784.43312</v>
      </c>
      <c r="L32" s="381">
        <v>13784.43312</v>
      </c>
      <c r="M32" s="381">
        <v>13784.43312</v>
      </c>
      <c r="N32" s="381">
        <v>13784.43312</v>
      </c>
      <c r="O32" s="381">
        <v>13784.43312</v>
      </c>
      <c r="P32" s="428">
        <f>SUM(E30:P30)</f>
        <v>13784.400000000003</v>
      </c>
      <c r="Q32" s="428">
        <f t="shared" ref="Q32:AA32" si="72">SUM(F30:Q30)</f>
        <v>13784.400000000003</v>
      </c>
      <c r="R32" s="428">
        <f t="shared" si="72"/>
        <v>13784.400000000003</v>
      </c>
      <c r="S32" s="428">
        <f t="shared" si="72"/>
        <v>13784.400000000003</v>
      </c>
      <c r="T32" s="428">
        <f>SUM(I30:T30)</f>
        <v>13639.400000000003</v>
      </c>
      <c r="U32" s="428">
        <f t="shared" si="72"/>
        <v>13558.500000000002</v>
      </c>
      <c r="V32" s="428">
        <f>SUM(K30:V30)</f>
        <v>13540.400000000001</v>
      </c>
      <c r="W32" s="428">
        <f t="shared" si="72"/>
        <v>13522.300000000001</v>
      </c>
      <c r="X32" s="428">
        <f t="shared" si="72"/>
        <v>13504.6</v>
      </c>
      <c r="Y32" s="428">
        <f t="shared" si="72"/>
        <v>13568</v>
      </c>
      <c r="Z32" s="428">
        <f t="shared" si="72"/>
        <v>13643.800000000001</v>
      </c>
      <c r="AA32" s="428">
        <f t="shared" si="72"/>
        <v>13719.6</v>
      </c>
      <c r="AB32" s="33">
        <f>SUM(Q30:AB30)</f>
        <v>13795.400000000001</v>
      </c>
      <c r="AC32" s="33">
        <f t="shared" ref="AC32" si="73">SUM(R30:AC30)</f>
        <v>13871.2</v>
      </c>
      <c r="AD32" s="33">
        <f t="shared" ref="AD32" si="74">SUM(S30:AD30)</f>
        <v>13947.201789999999</v>
      </c>
      <c r="AE32" s="33">
        <f t="shared" ref="AE32" si="75">SUM(T30:AE30)</f>
        <v>14023.0121</v>
      </c>
      <c r="AF32" s="33">
        <f t="shared" ref="AF32" si="76">SUM(U30:AF30)</f>
        <v>14243.822409999999</v>
      </c>
      <c r="AG32" s="33">
        <f t="shared" ref="AG32" si="77">SUM(V30:AG30)</f>
        <v>14400.532719999997</v>
      </c>
      <c r="AH32" s="33">
        <f t="shared" ref="AH32" si="78">SUM(W30:AH30)</f>
        <v>14514.581919999999</v>
      </c>
      <c r="AI32" s="33">
        <f t="shared" ref="AI32" si="79">SUM(X30:AI30)</f>
        <v>14685.550759999998</v>
      </c>
      <c r="AJ32" s="33">
        <f t="shared" ref="AJ32" si="80">SUM(Y30:AJ30)</f>
        <v>14856.181299999998</v>
      </c>
      <c r="AK32" s="33">
        <f t="shared" ref="AK32" si="81">SUM(Z30:AK30)</f>
        <v>14945.681339999997</v>
      </c>
      <c r="AL32" s="33">
        <f t="shared" ref="AL32" si="82">SUM(AA30:AL30)</f>
        <v>15022.781379999997</v>
      </c>
      <c r="AM32" s="33">
        <f t="shared" ref="AM32" si="83">SUM(AB30:AM30)</f>
        <v>15100.079819999997</v>
      </c>
      <c r="AN32" s="33">
        <f>SUM(AC30:AN30)</f>
        <v>15177.219959999997</v>
      </c>
      <c r="AO32" s="33">
        <f t="shared" ref="AO32" si="84">SUM(AD30:AO30)</f>
        <v>15254.360099999996</v>
      </c>
      <c r="AP32" s="33">
        <f t="shared" ref="AP32" si="85">SUM(AE30:AP30)</f>
        <v>15326.275099999997</v>
      </c>
      <c r="AQ32" s="33">
        <f t="shared" ref="AQ32" si="86">SUM(AF30:AQ30)</f>
        <v>15403.406209999999</v>
      </c>
      <c r="AR32" s="33">
        <f t="shared" ref="AR32" si="87">SUM(AG30:AR30)</f>
        <v>15480.537319999999</v>
      </c>
      <c r="AS32" s="33">
        <f t="shared" ref="AS32" si="88">SUM(AH30:AS30)</f>
        <v>15557.66843</v>
      </c>
      <c r="AT32" s="33">
        <f t="shared" ref="AT32" si="89">SUM(AI30:AT30)</f>
        <v>15614.66065</v>
      </c>
      <c r="AU32" s="33">
        <f t="shared" ref="AU32" si="90">SUM(AJ30:AU30)</f>
        <v>15614.733229999998</v>
      </c>
      <c r="AV32" s="33">
        <f t="shared" ref="AV32" si="91">SUM(AK30:AV30)</f>
        <v>15614.74411</v>
      </c>
      <c r="AW32" s="33">
        <f t="shared" ref="AW32" si="92">SUM(AL30:AW30)</f>
        <v>15614.844069999999</v>
      </c>
      <c r="AX32" s="33" t="e">
        <f t="shared" ref="AX32" si="93">SUM(AM30:AX30)</f>
        <v>#N/A</v>
      </c>
      <c r="AY32" s="33" t="e">
        <f>SUM(AN30:AY30)</f>
        <v>#N/A</v>
      </c>
      <c r="AZ32" s="33" t="e">
        <f t="shared" ref="AZ32:BH32" si="94">SUM(AO30:AZ30)</f>
        <v>#N/A</v>
      </c>
      <c r="BA32" s="33" t="e">
        <f t="shared" si="94"/>
        <v>#N/A</v>
      </c>
      <c r="BB32" s="33" t="e">
        <f t="shared" si="94"/>
        <v>#N/A</v>
      </c>
      <c r="BC32" s="33" t="e">
        <f t="shared" si="94"/>
        <v>#N/A</v>
      </c>
      <c r="BD32" s="33" t="e">
        <f t="shared" si="94"/>
        <v>#N/A</v>
      </c>
      <c r="BE32" s="33" t="e">
        <f t="shared" si="94"/>
        <v>#N/A</v>
      </c>
      <c r="BF32" s="33" t="e">
        <f t="shared" si="94"/>
        <v>#N/A</v>
      </c>
      <c r="BG32" s="33" t="e">
        <f t="shared" si="94"/>
        <v>#N/A</v>
      </c>
      <c r="BH32" s="33" t="e">
        <f t="shared" si="94"/>
        <v>#N/A</v>
      </c>
      <c r="BI32" s="33" t="e">
        <f>SUM(AX30:BI30)</f>
        <v>#N/A</v>
      </c>
      <c r="BJ32" s="33" t="e">
        <f t="shared" ref="BJ32" si="95">SUM(AY30:BJ30)</f>
        <v>#N/A</v>
      </c>
      <c r="BK32" s="33" t="e">
        <f t="shared" ref="BK32" si="96">SUM(AZ30:BK30)</f>
        <v>#N/A</v>
      </c>
      <c r="BL32" s="33">
        <f t="shared" ref="BL32" si="97">SUM(BA30:BL30)</f>
        <v>19839.50966</v>
      </c>
      <c r="BM32" s="33">
        <f t="shared" ref="BM32" si="98">SUM(BB30:BM30)</f>
        <v>20205.77103</v>
      </c>
      <c r="BN32" s="33">
        <f t="shared" ref="BN32" si="99">SUM(BC30:BN30)</f>
        <v>20240.853569999996</v>
      </c>
      <c r="BO32" s="33">
        <f t="shared" ref="BO32" si="100">SUM(BD30:BO30)</f>
        <v>20031.615489999996</v>
      </c>
      <c r="BP32" s="33">
        <f t="shared" ref="BP32" si="101">SUM(BE30:BP30)</f>
        <v>20030.855209999998</v>
      </c>
      <c r="BQ32" s="33">
        <f t="shared" ref="BQ32" si="102">SUM(BF30:BQ30)</f>
        <v>19922.816739999998</v>
      </c>
      <c r="BR32" s="33">
        <f t="shared" ref="BR32" si="103">SUM(BG30:BR30)</f>
        <v>20096.065930000001</v>
      </c>
      <c r="BS32" s="33">
        <f t="shared" ref="BS32" si="104">SUM(BH30:BS30)</f>
        <v>20383.37645</v>
      </c>
      <c r="BT32" s="33">
        <f t="shared" ref="BT32" si="105">SUM(BI30:BT30)</f>
        <v>20735.592910000003</v>
      </c>
      <c r="BU32" s="33">
        <f t="shared" ref="BU32" si="106">SUM(BJ30:BU30)</f>
        <v>20966.543320000001</v>
      </c>
      <c r="BV32" s="33">
        <f t="shared" ref="BV32" si="107">SUM(BK30:BV30)</f>
        <v>21195.062239999999</v>
      </c>
      <c r="BW32" s="33">
        <f>SUM(BL30:BW30)</f>
        <v>21425.081159999998</v>
      </c>
      <c r="BX32" s="33">
        <f t="shared" ref="BX32:CI32" si="108">SUM(BM30:BX30)</f>
        <v>21674.878369999999</v>
      </c>
      <c r="BY32" s="33">
        <f t="shared" si="108"/>
        <v>21924.675579999999</v>
      </c>
      <c r="BZ32" s="33">
        <f t="shared" si="108"/>
        <v>22174.47279</v>
      </c>
      <c r="CA32" s="33">
        <f t="shared" si="108"/>
        <v>22423.47</v>
      </c>
      <c r="CB32" s="33">
        <f t="shared" si="108"/>
        <v>22672.467210000006</v>
      </c>
      <c r="CC32" s="33">
        <f t="shared" si="108"/>
        <v>22921.464420000008</v>
      </c>
      <c r="CD32" s="33">
        <f t="shared" si="108"/>
        <v>22997.215230000009</v>
      </c>
      <c r="CE32" s="33">
        <f t="shared" si="108"/>
        <v>22958.904710000006</v>
      </c>
      <c r="CF32" s="33">
        <f t="shared" si="108"/>
        <v>22949.188250000007</v>
      </c>
      <c r="CG32" s="33">
        <f t="shared" si="108"/>
        <v>24880.337840000004</v>
      </c>
      <c r="CH32" s="33">
        <f t="shared" si="108"/>
        <v>26812.41892</v>
      </c>
      <c r="CI32" s="33">
        <f t="shared" si="108"/>
        <v>28744.5</v>
      </c>
      <c r="CJ32" s="33">
        <f t="shared" ref="CJ32" si="109">SUM(BY30:CJ30)</f>
        <v>30656.799999999999</v>
      </c>
      <c r="CK32" s="33">
        <f t="shared" ref="CK32" si="110">SUM(BZ30:CK30)</f>
        <v>32569.1</v>
      </c>
      <c r="CL32" s="33">
        <f t="shared" ref="CL32" si="111">SUM(CA30:CL30)</f>
        <v>34481.4</v>
      </c>
      <c r="CM32" s="33">
        <f t="shared" ref="CM32" si="112">SUM(CB30:CM30)</f>
        <v>36394.5</v>
      </c>
      <c r="CN32" s="33">
        <f t="shared" ref="CN32" si="113">SUM(CC30:CN30)</f>
        <v>38307.599999999999</v>
      </c>
      <c r="CO32" s="33">
        <f t="shared" ref="CO32" si="114">SUM(CD30:CO30)</f>
        <v>40220.699999999997</v>
      </c>
      <c r="CP32" s="33">
        <f t="shared" ref="CP32" si="115">SUM(CE30:CP30)</f>
        <v>42581.3</v>
      </c>
      <c r="CQ32" s="33">
        <f t="shared" ref="CQ32" si="116">SUM(CF30:CQ30)</f>
        <v>44941.9</v>
      </c>
      <c r="CR32" s="33">
        <f t="shared" ref="CR32" si="117">SUM(CG30:CR30)</f>
        <v>47302.5</v>
      </c>
      <c r="CS32" s="33">
        <f t="shared" ref="CS32" si="118">SUM(CH30:CS30)</f>
        <v>47750</v>
      </c>
      <c r="CT32" s="33">
        <f t="shared" ref="CT32" si="119">SUM(CI30:CT30)</f>
        <v>48197.5</v>
      </c>
      <c r="CU32" s="33">
        <f t="shared" ref="CU32" si="120">SUM(CJ30:CU30)</f>
        <v>48645</v>
      </c>
    </row>
    <row r="33" spans="1:99"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1:99" ht="15">
      <c r="B34" s="375" t="s">
        <v>572</v>
      </c>
      <c r="C34" s="743">
        <f ca="1">ROUND(C30/C15,4)</f>
        <v>5.5399999999999998E-2</v>
      </c>
      <c r="D34" s="209">
        <f t="shared" ref="D34:AI34" si="121">ROUND(D32/D17,4)</f>
        <v>5.33E-2</v>
      </c>
      <c r="E34" s="209">
        <f t="shared" si="121"/>
        <v>5.3199999999999997E-2</v>
      </c>
      <c r="F34" s="209">
        <f t="shared" si="121"/>
        <v>5.3199999999999997E-2</v>
      </c>
      <c r="G34" s="209">
        <f t="shared" si="121"/>
        <v>5.3199999999999997E-2</v>
      </c>
      <c r="H34" s="209">
        <f t="shared" si="121"/>
        <v>5.3199999999999997E-2</v>
      </c>
      <c r="I34" s="209">
        <f t="shared" si="121"/>
        <v>5.3199999999999997E-2</v>
      </c>
      <c r="J34" s="209">
        <f t="shared" si="121"/>
        <v>5.3199999999999997E-2</v>
      </c>
      <c r="K34" s="209">
        <f t="shared" si="121"/>
        <v>5.3199999999999997E-2</v>
      </c>
      <c r="L34" s="209">
        <f t="shared" si="121"/>
        <v>5.3199999999999997E-2</v>
      </c>
      <c r="M34" s="209">
        <f t="shared" si="121"/>
        <v>5.3199999999999997E-2</v>
      </c>
      <c r="N34" s="209">
        <f t="shared" si="121"/>
        <v>5.3199999999999997E-2</v>
      </c>
      <c r="O34" s="209">
        <f t="shared" si="121"/>
        <v>5.3199999999999997E-2</v>
      </c>
      <c r="P34" s="209">
        <f t="shared" si="121"/>
        <v>5.3199999999999997E-2</v>
      </c>
      <c r="Q34" s="209">
        <f t="shared" si="121"/>
        <v>5.3199999999999997E-2</v>
      </c>
      <c r="R34" s="209">
        <f t="shared" si="121"/>
        <v>5.3199999999999997E-2</v>
      </c>
      <c r="S34" s="209">
        <f t="shared" si="121"/>
        <v>5.3199999999999997E-2</v>
      </c>
      <c r="T34" s="209">
        <f t="shared" si="121"/>
        <v>5.3400000000000003E-2</v>
      </c>
      <c r="U34" s="209">
        <f t="shared" si="121"/>
        <v>5.2699999999999997E-2</v>
      </c>
      <c r="V34" s="209">
        <f t="shared" si="121"/>
        <v>5.2200000000000003E-2</v>
      </c>
      <c r="W34" s="209">
        <f t="shared" si="121"/>
        <v>5.1799999999999999E-2</v>
      </c>
      <c r="X34" s="209">
        <f t="shared" si="121"/>
        <v>5.1299999999999998E-2</v>
      </c>
      <c r="Y34" s="209">
        <f t="shared" si="121"/>
        <v>5.0900000000000001E-2</v>
      </c>
      <c r="Z34" s="209">
        <f t="shared" si="121"/>
        <v>5.04E-2</v>
      </c>
      <c r="AA34" s="209">
        <f t="shared" si="121"/>
        <v>0.05</v>
      </c>
      <c r="AB34" s="209">
        <f t="shared" si="121"/>
        <v>4.9599999999999998E-2</v>
      </c>
      <c r="AC34" s="209">
        <f t="shared" si="121"/>
        <v>4.9200000000000001E-2</v>
      </c>
      <c r="AD34" s="209">
        <f t="shared" si="121"/>
        <v>4.8899999999999999E-2</v>
      </c>
      <c r="AE34" s="209">
        <f t="shared" si="121"/>
        <v>4.8500000000000001E-2</v>
      </c>
      <c r="AF34" s="209">
        <f t="shared" si="121"/>
        <v>4.8599999999999997E-2</v>
      </c>
      <c r="AG34" s="209">
        <f t="shared" si="121"/>
        <v>4.7899999999999998E-2</v>
      </c>
      <c r="AH34" s="209">
        <f t="shared" si="121"/>
        <v>4.7699999999999999E-2</v>
      </c>
      <c r="AI34" s="209">
        <f t="shared" si="121"/>
        <v>4.7699999999999999E-2</v>
      </c>
      <c r="AJ34" s="209">
        <f t="shared" ref="AJ34:BO34" si="122">ROUND(AJ32/AJ17,4)</f>
        <v>4.7600000000000003E-2</v>
      </c>
      <c r="AK34" s="209">
        <f t="shared" si="122"/>
        <v>4.7300000000000002E-2</v>
      </c>
      <c r="AL34" s="209">
        <f t="shared" si="122"/>
        <v>4.7300000000000002E-2</v>
      </c>
      <c r="AM34" s="209">
        <f t="shared" si="122"/>
        <v>4.7300000000000002E-2</v>
      </c>
      <c r="AN34" s="209">
        <f t="shared" si="122"/>
        <v>4.7199999999999999E-2</v>
      </c>
      <c r="AO34" s="209">
        <f t="shared" si="122"/>
        <v>4.7199999999999999E-2</v>
      </c>
      <c r="AP34" s="209">
        <f t="shared" si="122"/>
        <v>4.7100000000000003E-2</v>
      </c>
      <c r="AQ34" s="209">
        <f t="shared" si="122"/>
        <v>4.7100000000000003E-2</v>
      </c>
      <c r="AR34" s="209">
        <f t="shared" si="122"/>
        <v>4.7100000000000003E-2</v>
      </c>
      <c r="AS34" s="209">
        <f t="shared" si="122"/>
        <v>4.7E-2</v>
      </c>
      <c r="AT34" s="209">
        <f t="shared" si="122"/>
        <v>4.6899999999999997E-2</v>
      </c>
      <c r="AU34" s="209">
        <f t="shared" si="122"/>
        <v>4.6899999999999997E-2</v>
      </c>
      <c r="AV34" s="209">
        <f t="shared" si="122"/>
        <v>4.6899999999999997E-2</v>
      </c>
      <c r="AW34" s="209">
        <f t="shared" si="122"/>
        <v>4.6899999999999997E-2</v>
      </c>
      <c r="AX34" s="755" t="e">
        <f t="shared" si="122"/>
        <v>#N/A</v>
      </c>
      <c r="AY34" s="755" t="e">
        <f t="shared" si="122"/>
        <v>#N/A</v>
      </c>
      <c r="AZ34" s="755" t="e">
        <f t="shared" si="122"/>
        <v>#N/A</v>
      </c>
      <c r="BA34" s="755" t="e">
        <f t="shared" si="122"/>
        <v>#N/A</v>
      </c>
      <c r="BB34" s="755" t="e">
        <f t="shared" si="122"/>
        <v>#N/A</v>
      </c>
      <c r="BC34" s="755" t="e">
        <f t="shared" si="122"/>
        <v>#N/A</v>
      </c>
      <c r="BD34" s="755" t="e">
        <f t="shared" si="122"/>
        <v>#N/A</v>
      </c>
      <c r="BE34" s="755" t="e">
        <f t="shared" si="122"/>
        <v>#N/A</v>
      </c>
      <c r="BF34" s="755" t="e">
        <f t="shared" si="122"/>
        <v>#N/A</v>
      </c>
      <c r="BG34" s="755" t="e">
        <f t="shared" si="122"/>
        <v>#N/A</v>
      </c>
      <c r="BH34" s="755" t="e">
        <f t="shared" si="122"/>
        <v>#N/A</v>
      </c>
      <c r="BI34" s="755" t="e">
        <f t="shared" si="122"/>
        <v>#N/A</v>
      </c>
      <c r="BJ34" s="755" t="e">
        <f t="shared" si="122"/>
        <v>#N/A</v>
      </c>
      <c r="BK34" s="755" t="e">
        <f t="shared" si="122"/>
        <v>#N/A</v>
      </c>
      <c r="BL34" s="755">
        <f t="shared" si="122"/>
        <v>4.0300000000000002E-2</v>
      </c>
      <c r="BM34" s="755">
        <f t="shared" si="122"/>
        <v>3.9899999999999998E-2</v>
      </c>
      <c r="BN34" s="755">
        <f t="shared" si="122"/>
        <v>3.8899999999999997E-2</v>
      </c>
      <c r="BO34" s="755">
        <f t="shared" si="122"/>
        <v>3.8699999999999998E-2</v>
      </c>
      <c r="BP34" s="755">
        <f t="shared" ref="BP34:CI34" si="123">ROUND(BP32/BP17,4)</f>
        <v>3.9E-2</v>
      </c>
      <c r="BQ34" s="755">
        <f t="shared" si="123"/>
        <v>3.8800000000000001E-2</v>
      </c>
      <c r="BR34" s="755">
        <f t="shared" si="123"/>
        <v>3.8699999999999998E-2</v>
      </c>
      <c r="BS34" s="755">
        <f t="shared" si="123"/>
        <v>3.8800000000000001E-2</v>
      </c>
      <c r="BT34" s="755">
        <f t="shared" si="123"/>
        <v>3.9199999999999999E-2</v>
      </c>
      <c r="BU34" s="755">
        <f t="shared" si="123"/>
        <v>3.9399999999999998E-2</v>
      </c>
      <c r="BV34" s="755">
        <f t="shared" si="123"/>
        <v>3.95E-2</v>
      </c>
      <c r="BW34" s="755">
        <f t="shared" si="123"/>
        <v>3.9699999999999999E-2</v>
      </c>
      <c r="BX34" s="755">
        <f t="shared" si="123"/>
        <v>3.9800000000000002E-2</v>
      </c>
      <c r="BY34" s="755">
        <f t="shared" si="123"/>
        <v>0.04</v>
      </c>
      <c r="BZ34" s="755">
        <f t="shared" si="123"/>
        <v>4.0099999999999997E-2</v>
      </c>
      <c r="CA34" s="755">
        <f t="shared" si="123"/>
        <v>4.02E-2</v>
      </c>
      <c r="CB34" s="755">
        <f t="shared" si="123"/>
        <v>4.0399999999999998E-2</v>
      </c>
      <c r="CC34" s="755">
        <f t="shared" si="123"/>
        <v>4.0500000000000001E-2</v>
      </c>
      <c r="CD34" s="755">
        <f t="shared" si="123"/>
        <v>4.0399999999999998E-2</v>
      </c>
      <c r="CE34" s="755">
        <f t="shared" si="123"/>
        <v>4.0399999999999998E-2</v>
      </c>
      <c r="CF34" s="755">
        <f t="shared" si="123"/>
        <v>4.0500000000000001E-2</v>
      </c>
      <c r="CG34" s="755">
        <f t="shared" si="123"/>
        <v>4.24E-2</v>
      </c>
      <c r="CH34" s="755">
        <f t="shared" si="123"/>
        <v>4.4200000000000003E-2</v>
      </c>
      <c r="CI34" s="755">
        <f t="shared" si="123"/>
        <v>4.58E-2</v>
      </c>
      <c r="CJ34" s="755">
        <f t="shared" ref="CJ34:CU34" si="124">ROUND(CJ32/CJ17,4)</f>
        <v>4.7399999999999998E-2</v>
      </c>
      <c r="CK34" s="755">
        <f t="shared" si="124"/>
        <v>4.8800000000000003E-2</v>
      </c>
      <c r="CL34" s="755">
        <f t="shared" si="124"/>
        <v>5.0200000000000002E-2</v>
      </c>
      <c r="CM34" s="755">
        <f t="shared" si="124"/>
        <v>5.1499999999999997E-2</v>
      </c>
      <c r="CN34" s="755">
        <f t="shared" si="124"/>
        <v>5.2699999999999997E-2</v>
      </c>
      <c r="CO34" s="755">
        <f t="shared" si="124"/>
        <v>5.3400000000000003E-2</v>
      </c>
      <c r="CP34" s="755">
        <f t="shared" si="124"/>
        <v>5.45E-2</v>
      </c>
      <c r="CQ34" s="755">
        <f t="shared" si="124"/>
        <v>5.5599999999999997E-2</v>
      </c>
      <c r="CR34" s="755">
        <f t="shared" si="124"/>
        <v>5.6599999999999998E-2</v>
      </c>
      <c r="CS34" s="755">
        <f t="shared" si="124"/>
        <v>5.5300000000000002E-2</v>
      </c>
      <c r="CT34" s="755">
        <f t="shared" si="124"/>
        <v>5.5300000000000002E-2</v>
      </c>
      <c r="CU34" s="755">
        <f t="shared" si="124"/>
        <v>5.5399999999999998E-2</v>
      </c>
    </row>
    <row r="35" spans="1:99"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447"/>
      <c r="AY35" s="447"/>
      <c r="AZ35" s="447"/>
      <c r="BA35" s="447"/>
      <c r="BB35" s="447"/>
      <c r="BC35" s="447"/>
      <c r="BD35" s="447"/>
      <c r="BE35" s="447"/>
      <c r="BF35" s="447"/>
      <c r="BG35" s="447"/>
      <c r="BH35" s="447"/>
      <c r="BI35" s="447"/>
      <c r="BJ35" s="447"/>
      <c r="BK35" s="447"/>
      <c r="BL35" s="447"/>
      <c r="BM35" s="447"/>
      <c r="BN35" s="447"/>
      <c r="BO35" s="447"/>
      <c r="BP35" s="447"/>
      <c r="BQ35" s="447"/>
      <c r="BR35" s="447"/>
      <c r="BS35" s="447"/>
      <c r="BT35" s="447"/>
      <c r="BU35" s="447"/>
      <c r="BV35" s="447"/>
      <c r="BW35" s="447"/>
      <c r="BX35" s="447"/>
      <c r="BY35" s="447"/>
      <c r="BZ35" s="447"/>
      <c r="CA35" s="447"/>
      <c r="CB35" s="447"/>
      <c r="CC35" s="447"/>
      <c r="CD35" s="447"/>
      <c r="CE35" s="447"/>
      <c r="CF35" s="447"/>
      <c r="CG35" s="447"/>
      <c r="CH35" s="447"/>
      <c r="CI35" s="447"/>
      <c r="CJ35" s="447"/>
      <c r="CK35" s="447"/>
      <c r="CL35" s="447"/>
      <c r="CM35" s="447"/>
      <c r="CN35" s="447"/>
      <c r="CO35" s="447"/>
      <c r="CP35" s="447"/>
      <c r="CQ35" s="447"/>
      <c r="CR35" s="447"/>
      <c r="CS35" s="447"/>
      <c r="CT35" s="447"/>
      <c r="CU35" s="447"/>
    </row>
    <row r="36" spans="1:99" ht="15">
      <c r="B36" s="375" t="s">
        <v>573</v>
      </c>
      <c r="C36" s="743">
        <f>+CU36</f>
        <v>5.2600000000000001E-2</v>
      </c>
      <c r="D36" s="209">
        <f t="shared" ref="D36:AI36" si="125">ROUND(D32/D15,4)</f>
        <v>5.3199999999999997E-2</v>
      </c>
      <c r="E36" s="209">
        <f t="shared" si="125"/>
        <v>5.3199999999999997E-2</v>
      </c>
      <c r="F36" s="209">
        <f t="shared" si="125"/>
        <v>5.3199999999999997E-2</v>
      </c>
      <c r="G36" s="209">
        <f t="shared" si="125"/>
        <v>5.3199999999999997E-2</v>
      </c>
      <c r="H36" s="209">
        <f t="shared" si="125"/>
        <v>5.3199999999999997E-2</v>
      </c>
      <c r="I36" s="209">
        <f t="shared" si="125"/>
        <v>5.3199999999999997E-2</v>
      </c>
      <c r="J36" s="209">
        <f t="shared" si="125"/>
        <v>5.3100000000000001E-2</v>
      </c>
      <c r="K36" s="209">
        <f t="shared" si="125"/>
        <v>5.3199999999999997E-2</v>
      </c>
      <c r="L36" s="209">
        <f t="shared" si="125"/>
        <v>5.3199999999999997E-2</v>
      </c>
      <c r="M36" s="209">
        <f t="shared" si="125"/>
        <v>5.3199999999999997E-2</v>
      </c>
      <c r="N36" s="209">
        <f t="shared" si="125"/>
        <v>5.3100000000000001E-2</v>
      </c>
      <c r="O36" s="209">
        <f t="shared" si="125"/>
        <v>5.3100000000000001E-2</v>
      </c>
      <c r="P36" s="209">
        <f t="shared" si="125"/>
        <v>5.3100000000000001E-2</v>
      </c>
      <c r="Q36" s="209">
        <f t="shared" si="125"/>
        <v>5.3100000000000001E-2</v>
      </c>
      <c r="R36" s="209">
        <f t="shared" si="125"/>
        <v>5.3100000000000001E-2</v>
      </c>
      <c r="S36" s="209">
        <f t="shared" si="125"/>
        <v>5.3100000000000001E-2</v>
      </c>
      <c r="T36" s="209">
        <f t="shared" si="125"/>
        <v>6.5100000000000005E-2</v>
      </c>
      <c r="U36" s="209">
        <f t="shared" si="125"/>
        <v>4.7800000000000002E-2</v>
      </c>
      <c r="V36" s="209">
        <f t="shared" si="125"/>
        <v>4.7800000000000002E-2</v>
      </c>
      <c r="W36" s="209">
        <f t="shared" si="125"/>
        <v>4.7699999999999999E-2</v>
      </c>
      <c r="X36" s="209">
        <f t="shared" si="125"/>
        <v>4.7600000000000003E-2</v>
      </c>
      <c r="Y36" s="209">
        <f t="shared" si="125"/>
        <v>4.3999999999999997E-2</v>
      </c>
      <c r="Z36" s="209">
        <f t="shared" si="125"/>
        <v>4.4299999999999999E-2</v>
      </c>
      <c r="AA36" s="209">
        <f t="shared" si="125"/>
        <v>4.4499999999999998E-2</v>
      </c>
      <c r="AB36" s="209">
        <f t="shared" si="125"/>
        <v>4.48E-2</v>
      </c>
      <c r="AC36" s="209">
        <f t="shared" si="125"/>
        <v>4.4999999999999998E-2</v>
      </c>
      <c r="AD36" s="209">
        <f t="shared" si="125"/>
        <v>4.53E-2</v>
      </c>
      <c r="AE36" s="209">
        <f t="shared" si="125"/>
        <v>4.5499999999999999E-2</v>
      </c>
      <c r="AF36" s="209">
        <f t="shared" si="125"/>
        <v>4.6199999999999998E-2</v>
      </c>
      <c r="AG36" s="209">
        <f t="shared" si="125"/>
        <v>4.6699999999999998E-2</v>
      </c>
      <c r="AH36" s="209">
        <f t="shared" si="125"/>
        <v>4.36E-2</v>
      </c>
      <c r="AI36" s="209">
        <f t="shared" si="125"/>
        <v>4.41E-2</v>
      </c>
      <c r="AJ36" s="209">
        <f t="shared" ref="AJ36:BO36" si="126">ROUND(AJ32/AJ15,4)</f>
        <v>4.4699999999999997E-2</v>
      </c>
      <c r="AK36" s="209">
        <f t="shared" si="126"/>
        <v>4.4900000000000002E-2</v>
      </c>
      <c r="AL36" s="209">
        <f t="shared" si="126"/>
        <v>4.5199999999999997E-2</v>
      </c>
      <c r="AM36" s="209">
        <f t="shared" si="126"/>
        <v>4.5400000000000003E-2</v>
      </c>
      <c r="AN36" s="209">
        <f t="shared" si="126"/>
        <v>4.5600000000000002E-2</v>
      </c>
      <c r="AO36" s="209">
        <f t="shared" si="126"/>
        <v>4.5900000000000003E-2</v>
      </c>
      <c r="AP36" s="209">
        <f t="shared" si="126"/>
        <v>4.6100000000000002E-2</v>
      </c>
      <c r="AQ36" s="209">
        <f t="shared" si="126"/>
        <v>4.6300000000000001E-2</v>
      </c>
      <c r="AR36" s="209">
        <f t="shared" si="126"/>
        <v>4.65E-2</v>
      </c>
      <c r="AS36" s="209">
        <f t="shared" si="126"/>
        <v>4.6800000000000001E-2</v>
      </c>
      <c r="AT36" s="209">
        <f t="shared" si="126"/>
        <v>4.6899999999999997E-2</v>
      </c>
      <c r="AU36" s="209">
        <f t="shared" si="126"/>
        <v>4.6899999999999997E-2</v>
      </c>
      <c r="AV36" s="209">
        <f t="shared" si="126"/>
        <v>4.6899999999999997E-2</v>
      </c>
      <c r="AW36" s="209">
        <f t="shared" si="126"/>
        <v>4.6899999999999997E-2</v>
      </c>
      <c r="AX36" s="755" t="e">
        <f t="shared" si="126"/>
        <v>#N/A</v>
      </c>
      <c r="AY36" s="755" t="e">
        <f t="shared" si="126"/>
        <v>#N/A</v>
      </c>
      <c r="AZ36" s="755" t="e">
        <f t="shared" si="126"/>
        <v>#N/A</v>
      </c>
      <c r="BA36" s="755" t="e">
        <f t="shared" si="126"/>
        <v>#N/A</v>
      </c>
      <c r="BB36" s="755" t="e">
        <f t="shared" si="126"/>
        <v>#N/A</v>
      </c>
      <c r="BC36" s="755" t="e">
        <f t="shared" si="126"/>
        <v>#N/A</v>
      </c>
      <c r="BD36" s="755" t="e">
        <f t="shared" si="126"/>
        <v>#N/A</v>
      </c>
      <c r="BE36" s="755" t="e">
        <f t="shared" si="126"/>
        <v>#N/A</v>
      </c>
      <c r="BF36" s="755" t="e">
        <f t="shared" si="126"/>
        <v>#N/A</v>
      </c>
      <c r="BG36" s="755" t="e">
        <f t="shared" si="126"/>
        <v>#N/A</v>
      </c>
      <c r="BH36" s="755" t="e">
        <f t="shared" si="126"/>
        <v>#N/A</v>
      </c>
      <c r="BI36" s="755" t="e">
        <f t="shared" si="126"/>
        <v>#N/A</v>
      </c>
      <c r="BJ36" s="755" t="e">
        <f t="shared" si="126"/>
        <v>#N/A</v>
      </c>
      <c r="BK36" s="755" t="e">
        <f t="shared" si="126"/>
        <v>#N/A</v>
      </c>
      <c r="BL36" s="755">
        <f t="shared" si="126"/>
        <v>3.8600000000000002E-2</v>
      </c>
      <c r="BM36" s="755">
        <f t="shared" si="126"/>
        <v>3.9300000000000002E-2</v>
      </c>
      <c r="BN36" s="755">
        <f t="shared" si="126"/>
        <v>3.9399999999999998E-2</v>
      </c>
      <c r="BO36" s="755">
        <f t="shared" si="126"/>
        <v>3.9E-2</v>
      </c>
      <c r="BP36" s="755">
        <f t="shared" ref="BP36:CI36" si="127">ROUND(BP32/BP15,4)</f>
        <v>3.9E-2</v>
      </c>
      <c r="BQ36" s="755">
        <f t="shared" si="127"/>
        <v>3.8800000000000001E-2</v>
      </c>
      <c r="BR36" s="755">
        <f t="shared" si="127"/>
        <v>3.4200000000000001E-2</v>
      </c>
      <c r="BS36" s="755">
        <f t="shared" si="127"/>
        <v>3.4700000000000002E-2</v>
      </c>
      <c r="BT36" s="755">
        <f t="shared" si="127"/>
        <v>3.6799999999999999E-2</v>
      </c>
      <c r="BU36" s="755">
        <f t="shared" si="127"/>
        <v>3.7199999999999997E-2</v>
      </c>
      <c r="BV36" s="755">
        <f t="shared" si="127"/>
        <v>3.7600000000000001E-2</v>
      </c>
      <c r="BW36" s="755">
        <f t="shared" si="127"/>
        <v>3.7999999999999999E-2</v>
      </c>
      <c r="BX36" s="755">
        <f t="shared" si="127"/>
        <v>3.8100000000000002E-2</v>
      </c>
      <c r="BY36" s="755">
        <f t="shared" si="127"/>
        <v>3.8600000000000002E-2</v>
      </c>
      <c r="BZ36" s="755">
        <f t="shared" si="127"/>
        <v>3.9E-2</v>
      </c>
      <c r="CA36" s="755">
        <f t="shared" si="127"/>
        <v>3.9399999999999998E-2</v>
      </c>
      <c r="CB36" s="755">
        <f t="shared" si="127"/>
        <v>3.9899999999999998E-2</v>
      </c>
      <c r="CC36" s="755">
        <f t="shared" si="127"/>
        <v>4.0300000000000002E-2</v>
      </c>
      <c r="CD36" s="755">
        <f t="shared" si="127"/>
        <v>4.0500000000000001E-2</v>
      </c>
      <c r="CE36" s="755">
        <f t="shared" si="127"/>
        <v>4.0399999999999998E-2</v>
      </c>
      <c r="CF36" s="755">
        <f t="shared" si="127"/>
        <v>4.0399999999999998E-2</v>
      </c>
      <c r="CG36" s="755">
        <f t="shared" si="127"/>
        <v>3.0200000000000001E-2</v>
      </c>
      <c r="CH36" s="755">
        <f t="shared" si="127"/>
        <v>3.2500000000000001E-2</v>
      </c>
      <c r="CI36" s="755">
        <f t="shared" si="127"/>
        <v>3.4799999999999998E-2</v>
      </c>
      <c r="CJ36" s="755">
        <f t="shared" ref="CJ36:CU36" si="128">ROUND(CJ32/CJ15,4)</f>
        <v>3.7199999999999997E-2</v>
      </c>
      <c r="CK36" s="755">
        <f t="shared" si="128"/>
        <v>3.95E-2</v>
      </c>
      <c r="CL36" s="755">
        <f t="shared" si="128"/>
        <v>4.1799999999999997E-2</v>
      </c>
      <c r="CM36" s="755">
        <f t="shared" si="128"/>
        <v>4.41E-2</v>
      </c>
      <c r="CN36" s="755">
        <f t="shared" si="128"/>
        <v>4.6399999999999997E-2</v>
      </c>
      <c r="CO36" s="755">
        <f t="shared" si="128"/>
        <v>4.3499999999999997E-2</v>
      </c>
      <c r="CP36" s="755">
        <f t="shared" si="128"/>
        <v>4.5999999999999999E-2</v>
      </c>
      <c r="CQ36" s="755">
        <f t="shared" si="128"/>
        <v>4.8599999999999997E-2</v>
      </c>
      <c r="CR36" s="755">
        <f t="shared" si="128"/>
        <v>5.11E-2</v>
      </c>
      <c r="CS36" s="755">
        <f t="shared" si="128"/>
        <v>5.16E-2</v>
      </c>
      <c r="CT36" s="755">
        <f t="shared" si="128"/>
        <v>5.21E-2</v>
      </c>
      <c r="CU36" s="755">
        <f t="shared" si="128"/>
        <v>5.2600000000000001E-2</v>
      </c>
    </row>
    <row r="37" spans="1:99"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1:99" ht="15.75">
      <c r="A38" s="746" t="s">
        <v>574</v>
      </c>
      <c r="B38" s="747"/>
      <c r="C38" s="74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  <c r="AA38" s="577"/>
      <c r="AB38" s="577"/>
      <c r="AC38" s="577"/>
      <c r="AD38" s="577"/>
      <c r="AE38" s="577"/>
      <c r="AF38" s="577"/>
      <c r="AG38" s="577"/>
      <c r="AH38" s="577"/>
      <c r="AI38" s="577"/>
      <c r="AJ38" s="577"/>
      <c r="AK38" s="577"/>
      <c r="AL38" s="577"/>
      <c r="AM38" s="577"/>
      <c r="AN38" s="577"/>
      <c r="AO38" s="577"/>
      <c r="AP38" s="577"/>
      <c r="AQ38" s="577"/>
      <c r="AR38" s="577"/>
      <c r="AS38" s="577"/>
      <c r="AT38" s="577"/>
      <c r="AU38" s="577"/>
      <c r="AV38" s="577"/>
      <c r="AW38" s="577"/>
      <c r="AX38" s="577"/>
      <c r="AY38" s="577"/>
      <c r="AZ38" s="577"/>
      <c r="BA38" s="577"/>
      <c r="BB38" s="577"/>
      <c r="BC38" s="577"/>
      <c r="BD38" s="577"/>
      <c r="BE38" s="577"/>
      <c r="BF38" s="577"/>
      <c r="BG38" s="577"/>
      <c r="BH38" s="577"/>
      <c r="BI38" s="577"/>
      <c r="BJ38" s="577"/>
      <c r="BK38" s="577"/>
      <c r="BL38" s="577"/>
      <c r="BM38" s="577"/>
      <c r="BN38" s="577"/>
      <c r="BO38" s="577"/>
      <c r="BP38" s="577"/>
      <c r="BQ38" s="577"/>
      <c r="BR38" s="577"/>
      <c r="BS38" s="577"/>
      <c r="BT38" s="577"/>
      <c r="BU38" s="577"/>
      <c r="BV38" s="577"/>
      <c r="BW38" s="577"/>
      <c r="BX38" s="577"/>
      <c r="BY38" s="577"/>
      <c r="BZ38" s="577"/>
      <c r="CA38" s="577"/>
      <c r="CB38" s="577"/>
      <c r="CC38" s="577"/>
      <c r="CD38" s="577"/>
      <c r="CE38" s="577"/>
      <c r="CF38" s="577"/>
      <c r="CG38" s="577"/>
      <c r="CH38" s="577"/>
      <c r="CI38" s="577"/>
      <c r="CJ38" s="577"/>
      <c r="CK38" s="577"/>
      <c r="CL38" s="577"/>
      <c r="CM38" s="577"/>
      <c r="CN38" s="577"/>
      <c r="CO38" s="577"/>
      <c r="CP38" s="577"/>
      <c r="CQ38" s="577"/>
      <c r="CR38" s="577"/>
      <c r="CS38" s="577"/>
      <c r="CT38" s="577"/>
      <c r="CU38" s="577"/>
    </row>
    <row r="39" spans="1:99" ht="15">
      <c r="C39" s="290" t="s">
        <v>151</v>
      </c>
      <c r="AX39" s="741" t="str">
        <f t="shared" ref="AX39:CI39" si="129">+AX7</f>
        <v>Actual</v>
      </c>
      <c r="AY39" s="741" t="str">
        <f t="shared" si="129"/>
        <v>Actual</v>
      </c>
      <c r="AZ39" s="741" t="str">
        <f t="shared" si="129"/>
        <v>Actual</v>
      </c>
      <c r="BA39" s="741" t="str">
        <f t="shared" si="129"/>
        <v>Actual</v>
      </c>
      <c r="BB39" s="741" t="str">
        <f t="shared" si="129"/>
        <v>Actual</v>
      </c>
      <c r="BC39" s="741" t="str">
        <f t="shared" si="129"/>
        <v>Actual</v>
      </c>
      <c r="BD39" s="741" t="str">
        <f t="shared" si="129"/>
        <v>Actual</v>
      </c>
      <c r="BE39" s="741" t="str">
        <f t="shared" si="129"/>
        <v>Actual</v>
      </c>
      <c r="BF39" s="741" t="str">
        <f t="shared" si="129"/>
        <v>Actual</v>
      </c>
      <c r="BG39" s="741" t="str">
        <f t="shared" si="129"/>
        <v>Actual</v>
      </c>
      <c r="BH39" s="741" t="str">
        <f t="shared" si="129"/>
        <v>Actual</v>
      </c>
      <c r="BI39" s="741" t="str">
        <f t="shared" si="129"/>
        <v>Actual</v>
      </c>
      <c r="BJ39" s="741" t="str">
        <f t="shared" si="129"/>
        <v>Actual</v>
      </c>
      <c r="BK39" s="741" t="str">
        <f t="shared" si="129"/>
        <v>Actual</v>
      </c>
      <c r="BL39" s="741" t="str">
        <f t="shared" si="129"/>
        <v>Actual</v>
      </c>
      <c r="BM39" s="741" t="str">
        <f t="shared" si="129"/>
        <v>Actual</v>
      </c>
      <c r="BN39" s="741" t="str">
        <f t="shared" si="129"/>
        <v>Actual</v>
      </c>
      <c r="BO39" s="741" t="str">
        <f t="shared" si="129"/>
        <v>Actual</v>
      </c>
      <c r="BP39" s="741" t="str">
        <f t="shared" si="129"/>
        <v>Actual</v>
      </c>
      <c r="BQ39" s="741" t="str">
        <f t="shared" si="129"/>
        <v>Actual</v>
      </c>
      <c r="BR39" s="741" t="str">
        <f t="shared" si="129"/>
        <v>Actual</v>
      </c>
      <c r="BS39" s="741" t="str">
        <f t="shared" si="129"/>
        <v>Actual</v>
      </c>
      <c r="BT39" s="741" t="str">
        <f t="shared" si="129"/>
        <v>Actual</v>
      </c>
      <c r="BU39" s="741" t="str">
        <f t="shared" si="129"/>
        <v>Actual</v>
      </c>
      <c r="BV39" s="741" t="str">
        <f t="shared" si="129"/>
        <v>Actual</v>
      </c>
      <c r="BW39" s="741" t="str">
        <f t="shared" si="129"/>
        <v>Actual</v>
      </c>
      <c r="BX39" s="741" t="str">
        <f t="shared" si="129"/>
        <v>Budget</v>
      </c>
      <c r="BY39" s="741" t="str">
        <f t="shared" si="129"/>
        <v>Budget</v>
      </c>
      <c r="BZ39" s="741" t="str">
        <f t="shared" si="129"/>
        <v>Budget</v>
      </c>
      <c r="CA39" s="741" t="str">
        <f t="shared" si="129"/>
        <v>Budget</v>
      </c>
      <c r="CB39" s="741" t="str">
        <f t="shared" si="129"/>
        <v>Budget</v>
      </c>
      <c r="CC39" s="741" t="str">
        <f t="shared" si="129"/>
        <v>Budget</v>
      </c>
      <c r="CD39" s="741" t="str">
        <f t="shared" si="129"/>
        <v>Budget</v>
      </c>
      <c r="CE39" s="741" t="str">
        <f t="shared" si="129"/>
        <v>Budget</v>
      </c>
      <c r="CF39" s="741" t="str">
        <f t="shared" si="129"/>
        <v>Budget</v>
      </c>
      <c r="CG39" s="741" t="str">
        <f t="shared" si="129"/>
        <v>Budget</v>
      </c>
      <c r="CH39" s="741" t="str">
        <f t="shared" si="129"/>
        <v>Budget</v>
      </c>
      <c r="CI39" s="741" t="str">
        <f t="shared" si="129"/>
        <v>Budget</v>
      </c>
      <c r="CJ39" s="741" t="str">
        <f t="shared" ref="CJ39:CU39" si="130">+CJ7</f>
        <v>Budget</v>
      </c>
      <c r="CK39" s="741" t="str">
        <f t="shared" si="130"/>
        <v>Budget</v>
      </c>
      <c r="CL39" s="741" t="str">
        <f t="shared" si="130"/>
        <v>Budget</v>
      </c>
      <c r="CM39" s="741" t="str">
        <f t="shared" si="130"/>
        <v>Budget</v>
      </c>
      <c r="CN39" s="741" t="str">
        <f t="shared" si="130"/>
        <v>Budget</v>
      </c>
      <c r="CO39" s="741" t="str">
        <f t="shared" si="130"/>
        <v>Budget</v>
      </c>
      <c r="CP39" s="741" t="str">
        <f t="shared" si="130"/>
        <v>Budget</v>
      </c>
      <c r="CQ39" s="741" t="str">
        <f t="shared" si="130"/>
        <v>Budget</v>
      </c>
      <c r="CR39" s="741" t="str">
        <f t="shared" si="130"/>
        <v>Budget</v>
      </c>
      <c r="CS39" s="741" t="str">
        <f t="shared" si="130"/>
        <v>Budget</v>
      </c>
      <c r="CT39" s="741" t="str">
        <f t="shared" si="130"/>
        <v>Budget</v>
      </c>
      <c r="CU39" s="741" t="str">
        <f t="shared" si="130"/>
        <v>Budget</v>
      </c>
    </row>
    <row r="40" spans="1:99">
      <c r="B40" s="597" t="s">
        <v>575</v>
      </c>
      <c r="C40" s="291" t="s">
        <v>153</v>
      </c>
      <c r="D40" s="421">
        <f t="shared" ref="D40:AW40" si="131">D8</f>
        <v>42736</v>
      </c>
      <c r="E40" s="421">
        <f t="shared" si="131"/>
        <v>42767</v>
      </c>
      <c r="F40" s="421">
        <f t="shared" si="131"/>
        <v>42798</v>
      </c>
      <c r="G40" s="421">
        <f t="shared" si="131"/>
        <v>42829</v>
      </c>
      <c r="H40" s="421">
        <f t="shared" si="131"/>
        <v>42860</v>
      </c>
      <c r="I40" s="421">
        <f t="shared" si="131"/>
        <v>42891</v>
      </c>
      <c r="J40" s="421">
        <f t="shared" si="131"/>
        <v>42922</v>
      </c>
      <c r="K40" s="421">
        <f t="shared" si="131"/>
        <v>42953</v>
      </c>
      <c r="L40" s="421">
        <f t="shared" si="131"/>
        <v>42984</v>
      </c>
      <c r="M40" s="421">
        <f t="shared" si="131"/>
        <v>43015</v>
      </c>
      <c r="N40" s="421">
        <f t="shared" si="131"/>
        <v>43046</v>
      </c>
      <c r="O40" s="421">
        <f t="shared" si="131"/>
        <v>43077</v>
      </c>
      <c r="P40" s="421">
        <f t="shared" si="131"/>
        <v>43108</v>
      </c>
      <c r="Q40" s="421">
        <f t="shared" si="131"/>
        <v>43139</v>
      </c>
      <c r="R40" s="421">
        <f t="shared" si="131"/>
        <v>43170</v>
      </c>
      <c r="S40" s="421">
        <f t="shared" si="131"/>
        <v>43201</v>
      </c>
      <c r="T40" s="421">
        <f t="shared" si="131"/>
        <v>43232</v>
      </c>
      <c r="U40" s="421">
        <f t="shared" si="131"/>
        <v>43263</v>
      </c>
      <c r="V40" s="421">
        <f t="shared" si="131"/>
        <v>43294</v>
      </c>
      <c r="W40" s="421">
        <f t="shared" si="131"/>
        <v>43325</v>
      </c>
      <c r="X40" s="421">
        <f t="shared" si="131"/>
        <v>43356</v>
      </c>
      <c r="Y40" s="421">
        <f t="shared" si="131"/>
        <v>43387</v>
      </c>
      <c r="Z40" s="421">
        <f t="shared" si="131"/>
        <v>43418</v>
      </c>
      <c r="AA40" s="421">
        <f t="shared" si="131"/>
        <v>43449</v>
      </c>
      <c r="AB40" s="421">
        <f t="shared" si="131"/>
        <v>43480</v>
      </c>
      <c r="AC40" s="421">
        <f t="shared" si="131"/>
        <v>43511</v>
      </c>
      <c r="AD40" s="421">
        <f t="shared" si="131"/>
        <v>43542</v>
      </c>
      <c r="AE40" s="421">
        <f t="shared" si="131"/>
        <v>43573</v>
      </c>
      <c r="AF40" s="421">
        <f t="shared" si="131"/>
        <v>43604</v>
      </c>
      <c r="AG40" s="421">
        <f t="shared" si="131"/>
        <v>43635</v>
      </c>
      <c r="AH40" s="421">
        <f t="shared" si="131"/>
        <v>43666</v>
      </c>
      <c r="AI40" s="421">
        <f t="shared" si="131"/>
        <v>43697</v>
      </c>
      <c r="AJ40" s="421">
        <f t="shared" si="131"/>
        <v>43728</v>
      </c>
      <c r="AK40" s="421">
        <f t="shared" si="131"/>
        <v>43759</v>
      </c>
      <c r="AL40" s="421">
        <f t="shared" si="131"/>
        <v>43790</v>
      </c>
      <c r="AM40" s="421">
        <f t="shared" si="131"/>
        <v>43821</v>
      </c>
      <c r="AN40" s="421">
        <f t="shared" si="131"/>
        <v>43852</v>
      </c>
      <c r="AO40" s="421">
        <f t="shared" si="131"/>
        <v>43883</v>
      </c>
      <c r="AP40" s="421">
        <f t="shared" si="131"/>
        <v>43914</v>
      </c>
      <c r="AQ40" s="421">
        <f t="shared" si="131"/>
        <v>43945</v>
      </c>
      <c r="AR40" s="421">
        <f t="shared" si="131"/>
        <v>43976</v>
      </c>
      <c r="AS40" s="421">
        <f t="shared" si="131"/>
        <v>44007</v>
      </c>
      <c r="AT40" s="421">
        <f t="shared" si="131"/>
        <v>44038</v>
      </c>
      <c r="AU40" s="421">
        <f t="shared" si="131"/>
        <v>44069</v>
      </c>
      <c r="AV40" s="421">
        <f t="shared" si="131"/>
        <v>44100</v>
      </c>
      <c r="AW40" s="421">
        <f t="shared" si="131"/>
        <v>44131</v>
      </c>
      <c r="AX40" s="960">
        <f t="shared" ref="AX40:CI40" si="132">+AX8</f>
        <v>44162</v>
      </c>
      <c r="AY40" s="960">
        <f t="shared" si="132"/>
        <v>44193</v>
      </c>
      <c r="AZ40" s="960">
        <f t="shared" si="132"/>
        <v>44224</v>
      </c>
      <c r="BA40" s="960">
        <f t="shared" si="132"/>
        <v>44255</v>
      </c>
      <c r="BB40" s="960">
        <f t="shared" si="132"/>
        <v>44285</v>
      </c>
      <c r="BC40" s="960">
        <f t="shared" si="132"/>
        <v>44316</v>
      </c>
      <c r="BD40" s="960">
        <f t="shared" si="132"/>
        <v>44347</v>
      </c>
      <c r="BE40" s="960">
        <f t="shared" si="132"/>
        <v>44377</v>
      </c>
      <c r="BF40" s="960">
        <f t="shared" si="132"/>
        <v>44408</v>
      </c>
      <c r="BG40" s="960">
        <f t="shared" si="132"/>
        <v>44439</v>
      </c>
      <c r="BH40" s="960">
        <f t="shared" si="132"/>
        <v>44469</v>
      </c>
      <c r="BI40" s="960">
        <f t="shared" si="132"/>
        <v>44500</v>
      </c>
      <c r="BJ40" s="960">
        <f t="shared" si="132"/>
        <v>44530</v>
      </c>
      <c r="BK40" s="960">
        <f t="shared" si="132"/>
        <v>44561</v>
      </c>
      <c r="BL40" s="960">
        <f t="shared" si="132"/>
        <v>44592</v>
      </c>
      <c r="BM40" s="960">
        <f t="shared" si="132"/>
        <v>44620</v>
      </c>
      <c r="BN40" s="960">
        <f t="shared" si="132"/>
        <v>44651</v>
      </c>
      <c r="BO40" s="960">
        <f t="shared" si="132"/>
        <v>44681</v>
      </c>
      <c r="BP40" s="960">
        <f t="shared" si="132"/>
        <v>44712</v>
      </c>
      <c r="BQ40" s="960">
        <f t="shared" si="132"/>
        <v>44742</v>
      </c>
      <c r="BR40" s="960">
        <f t="shared" si="132"/>
        <v>44773</v>
      </c>
      <c r="BS40" s="960">
        <f t="shared" si="132"/>
        <v>44804</v>
      </c>
      <c r="BT40" s="960">
        <f t="shared" si="132"/>
        <v>44834</v>
      </c>
      <c r="BU40" s="960">
        <f t="shared" si="132"/>
        <v>44865</v>
      </c>
      <c r="BV40" s="960">
        <f t="shared" si="132"/>
        <v>44895</v>
      </c>
      <c r="BW40" s="960">
        <f t="shared" si="132"/>
        <v>44926</v>
      </c>
      <c r="BX40" s="960">
        <f t="shared" si="132"/>
        <v>44957</v>
      </c>
      <c r="BY40" s="960">
        <f t="shared" si="132"/>
        <v>44985</v>
      </c>
      <c r="BZ40" s="960">
        <f t="shared" si="132"/>
        <v>45016</v>
      </c>
      <c r="CA40" s="960">
        <f t="shared" si="132"/>
        <v>45046</v>
      </c>
      <c r="CB40" s="960">
        <f t="shared" si="132"/>
        <v>45077</v>
      </c>
      <c r="CC40" s="960">
        <f t="shared" si="132"/>
        <v>45107</v>
      </c>
      <c r="CD40" s="960">
        <f t="shared" si="132"/>
        <v>45138</v>
      </c>
      <c r="CE40" s="960">
        <f t="shared" si="132"/>
        <v>45169</v>
      </c>
      <c r="CF40" s="960">
        <f t="shared" si="132"/>
        <v>45199</v>
      </c>
      <c r="CG40" s="960">
        <f t="shared" si="132"/>
        <v>45230</v>
      </c>
      <c r="CH40" s="960">
        <f t="shared" si="132"/>
        <v>45260</v>
      </c>
      <c r="CI40" s="960">
        <f t="shared" si="132"/>
        <v>45291</v>
      </c>
      <c r="CJ40" s="960">
        <f t="shared" ref="CJ40:CU40" si="133">+CJ8</f>
        <v>45322</v>
      </c>
      <c r="CK40" s="960">
        <f t="shared" si="133"/>
        <v>45350</v>
      </c>
      <c r="CL40" s="960">
        <f t="shared" si="133"/>
        <v>45382</v>
      </c>
      <c r="CM40" s="960">
        <f t="shared" si="133"/>
        <v>45412</v>
      </c>
      <c r="CN40" s="960">
        <f t="shared" si="133"/>
        <v>45443</v>
      </c>
      <c r="CO40" s="960">
        <f t="shared" si="133"/>
        <v>45473</v>
      </c>
      <c r="CP40" s="960">
        <f t="shared" si="133"/>
        <v>45504</v>
      </c>
      <c r="CQ40" s="960">
        <f t="shared" si="133"/>
        <v>45535</v>
      </c>
      <c r="CR40" s="960">
        <f t="shared" si="133"/>
        <v>45565</v>
      </c>
      <c r="CS40" s="960">
        <f t="shared" si="133"/>
        <v>45596</v>
      </c>
      <c r="CT40" s="960">
        <f t="shared" si="133"/>
        <v>45626</v>
      </c>
      <c r="CU40" s="960">
        <f t="shared" si="133"/>
        <v>45657</v>
      </c>
    </row>
    <row r="41" spans="1:99">
      <c r="B41" s="212"/>
      <c r="C41" s="212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  <c r="BC41" s="421"/>
      <c r="BD41" s="421"/>
      <c r="BE41" s="421"/>
      <c r="BF41" s="421"/>
      <c r="BG41" s="421"/>
      <c r="BH41" s="421"/>
      <c r="BI41" s="421"/>
      <c r="BJ41" s="421"/>
      <c r="BK41" s="421"/>
      <c r="BL41" s="421"/>
      <c r="BM41" s="421"/>
      <c r="BN41" s="421"/>
      <c r="BO41" s="421"/>
      <c r="BP41" s="421"/>
      <c r="BQ41" s="421"/>
      <c r="BR41" s="421"/>
      <c r="BS41" s="421"/>
      <c r="BT41" s="421"/>
      <c r="BU41" s="421"/>
      <c r="BV41" s="421"/>
      <c r="BW41" s="421"/>
      <c r="BX41" s="421"/>
      <c r="BY41" s="421"/>
      <c r="BZ41" s="421"/>
      <c r="CA41" s="421"/>
      <c r="CB41" s="421"/>
      <c r="CC41" s="421"/>
      <c r="CD41" s="421"/>
      <c r="CE41" s="421"/>
      <c r="CF41" s="421"/>
      <c r="CG41" s="421"/>
      <c r="CH41" s="421"/>
      <c r="CI41" s="421"/>
      <c r="CJ41" s="421"/>
      <c r="CK41" s="421"/>
      <c r="CL41" s="421"/>
      <c r="CM41" s="421"/>
      <c r="CN41" s="421"/>
      <c r="CO41" s="421"/>
      <c r="CP41" s="421"/>
      <c r="CQ41" s="421"/>
      <c r="CR41" s="421"/>
      <c r="CS41" s="421"/>
      <c r="CT41" s="421"/>
      <c r="CU41" s="421"/>
    </row>
    <row r="42" spans="1:99" ht="15" hidden="1">
      <c r="A42" s="375" t="s">
        <v>576</v>
      </c>
      <c r="B42" s="447" t="s">
        <v>577</v>
      </c>
      <c r="C42" s="743" t="e">
        <f ca="1">+C44</f>
        <v>#DIV/0!</v>
      </c>
      <c r="D42" s="378">
        <v>1.49E-2</v>
      </c>
      <c r="E42" s="378">
        <v>1.54E-2</v>
      </c>
      <c r="F42" s="378">
        <v>1.5900000000000001E-2</v>
      </c>
      <c r="G42" s="378">
        <v>1.6299999999999999E-2</v>
      </c>
      <c r="H42" s="378">
        <v>1.66E-2</v>
      </c>
      <c r="I42" s="378">
        <v>1.6899999999999998E-2</v>
      </c>
      <c r="J42" s="378">
        <v>1.7399999999999999E-2</v>
      </c>
      <c r="K42" s="378">
        <v>1.77E-2</v>
      </c>
      <c r="L42" s="378">
        <v>1.6899999999999998E-2</v>
      </c>
      <c r="M42" s="378">
        <v>1.8700000000000001E-2</v>
      </c>
      <c r="N42" s="378">
        <v>1.7100000000000001E-2</v>
      </c>
      <c r="O42" s="378">
        <v>1.6199999999999999E-2</v>
      </c>
      <c r="P42" s="378">
        <v>1.6899999999999998E-2</v>
      </c>
      <c r="Q42" s="378">
        <v>1.7399999999999999E-2</v>
      </c>
      <c r="R42" s="378">
        <v>1.7899999999999999E-2</v>
      </c>
      <c r="S42" s="378">
        <v>1.8499999999999999E-2</v>
      </c>
      <c r="T42" s="378">
        <v>2.0400000000000001E-2</v>
      </c>
      <c r="U42" s="378">
        <v>2.0799999999999999E-2</v>
      </c>
      <c r="V42" s="378">
        <v>2.12E-2</v>
      </c>
      <c r="W42" s="378">
        <v>2.1600000000000001E-2</v>
      </c>
      <c r="X42" s="378">
        <v>2.2100000000000002E-2</v>
      </c>
      <c r="Y42" s="378">
        <v>2.2700000000000001E-2</v>
      </c>
      <c r="Z42" s="378">
        <v>2.18E-2</v>
      </c>
      <c r="AA42" s="378">
        <v>2.63E-2</v>
      </c>
      <c r="AB42" s="378">
        <v>2.76E-2</v>
      </c>
      <c r="AC42" s="378">
        <v>2.87E-2</v>
      </c>
      <c r="AD42" s="378">
        <v>2.9700000000000001E-2</v>
      </c>
      <c r="AE42" s="378">
        <v>3.0499999999999999E-2</v>
      </c>
      <c r="AF42" s="378">
        <v>3.0499999999999999E-2</v>
      </c>
      <c r="AG42" s="378">
        <v>3.0700000000000002E-2</v>
      </c>
      <c r="AH42" s="378">
        <v>3.1099999999999999E-2</v>
      </c>
      <c r="AI42" s="378">
        <v>3.1300000000000001E-2</v>
      </c>
      <c r="AJ42" s="378">
        <v>3.1300000000000001E-2</v>
      </c>
      <c r="AK42" s="378">
        <v>3.1899999999999998E-2</v>
      </c>
      <c r="AL42" s="378">
        <v>3.1800000000000002E-2</v>
      </c>
      <c r="AM42" s="378">
        <v>3.04E-2</v>
      </c>
      <c r="AN42" s="378">
        <v>2.9399999999999999E-2</v>
      </c>
      <c r="AO42" s="378">
        <v>2.8299999999999999E-2</v>
      </c>
      <c r="AP42" s="378">
        <v>2.6499999999999999E-2</v>
      </c>
      <c r="AQ42" s="378">
        <v>2.4299999999999999E-2</v>
      </c>
      <c r="AR42" s="378">
        <v>2.18E-2</v>
      </c>
      <c r="AS42" s="378">
        <v>1.9800000000000002E-2</v>
      </c>
      <c r="AT42" s="535">
        <v>1.78E-2</v>
      </c>
      <c r="AU42" s="535">
        <v>1.6305850524950479E-2</v>
      </c>
      <c r="AV42" s="535">
        <v>1.49902469275049E-2</v>
      </c>
      <c r="AW42" s="535">
        <v>1.3728460394300779E-2</v>
      </c>
      <c r="AX42" s="756">
        <v>1.2717346298480033E-2</v>
      </c>
      <c r="AY42" s="756">
        <v>1.1577027686093169E-2</v>
      </c>
      <c r="AZ42" s="756">
        <v>1.0554784432428448E-2</v>
      </c>
      <c r="BA42" s="756">
        <v>9.9157897339549154E-3</v>
      </c>
      <c r="BB42" s="756">
        <v>9.7939145561504858E-3</v>
      </c>
      <c r="BC42" s="756">
        <v>9.6802069474278395E-3</v>
      </c>
      <c r="BD42" s="758">
        <v>9.8033385632165099E-3</v>
      </c>
      <c r="BE42" s="758">
        <v>9.6186796377598829E-3</v>
      </c>
      <c r="BF42" s="758">
        <v>9.1908857724602912E-3</v>
      </c>
      <c r="BG42" s="758">
        <v>8.7567603153855811E-3</v>
      </c>
      <c r="BH42" s="758">
        <v>8.3342146039560427E-3</v>
      </c>
      <c r="BI42" s="758">
        <v>7.7677274407844752E-3</v>
      </c>
      <c r="BJ42" s="758">
        <v>7.1105663455805455E-3</v>
      </c>
      <c r="BK42" s="1009">
        <v>6.205005066866524E-3</v>
      </c>
      <c r="BL42" s="1010">
        <v>5.4873979367903673E-3</v>
      </c>
      <c r="BM42" s="1010">
        <v>4.7688132514866269E-3</v>
      </c>
      <c r="BN42" s="757">
        <v>4.4309036307596857E-3</v>
      </c>
      <c r="BO42" s="757">
        <v>5.0798575406757638E-3</v>
      </c>
      <c r="BP42" s="757">
        <v>5.7912358358224846E-3</v>
      </c>
      <c r="BQ42" s="757" t="e">
        <f t="shared" ref="BQ42:BV42" si="134">AVERAGE(BE44:BQ44)</f>
        <v>#DIV/0!</v>
      </c>
      <c r="BR42" s="757" t="e">
        <f t="shared" si="134"/>
        <v>#DIV/0!</v>
      </c>
      <c r="BS42" s="757" t="e">
        <f t="shared" si="134"/>
        <v>#DIV/0!</v>
      </c>
      <c r="BT42" s="757" t="e">
        <f t="shared" si="134"/>
        <v>#DIV/0!</v>
      </c>
      <c r="BU42" s="757" t="e">
        <f t="shared" si="134"/>
        <v>#DIV/0!</v>
      </c>
      <c r="BV42" s="757" t="e">
        <f t="shared" si="134"/>
        <v>#DIV/0!</v>
      </c>
      <c r="BW42" s="757" t="e">
        <f>AVERAGE(BK44:BW44)</f>
        <v>#DIV/0!</v>
      </c>
      <c r="BX42" s="757" t="e">
        <f t="shared" ref="BX42:CI42" si="135">AVERAGE(BL44:BX44)</f>
        <v>#DIV/0!</v>
      </c>
      <c r="BY42" s="757" t="e">
        <f t="shared" si="135"/>
        <v>#DIV/0!</v>
      </c>
      <c r="BZ42" s="757" t="e">
        <f t="shared" si="135"/>
        <v>#DIV/0!</v>
      </c>
      <c r="CA42" s="757" t="e">
        <f t="shared" si="135"/>
        <v>#DIV/0!</v>
      </c>
      <c r="CB42" s="757" t="e">
        <f t="shared" si="135"/>
        <v>#DIV/0!</v>
      </c>
      <c r="CC42" s="757" t="e">
        <f t="shared" si="135"/>
        <v>#DIV/0!</v>
      </c>
      <c r="CD42" s="757" t="e">
        <f t="shared" si="135"/>
        <v>#DIV/0!</v>
      </c>
      <c r="CE42" s="757" t="e">
        <f t="shared" si="135"/>
        <v>#DIV/0!</v>
      </c>
      <c r="CF42" s="757" t="e">
        <f t="shared" si="135"/>
        <v>#DIV/0!</v>
      </c>
      <c r="CG42" s="757" t="e">
        <f t="shared" si="135"/>
        <v>#DIV/0!</v>
      </c>
      <c r="CH42" s="757" t="e">
        <f t="shared" si="135"/>
        <v>#DIV/0!</v>
      </c>
      <c r="CI42" s="757" t="e">
        <f t="shared" si="135"/>
        <v>#DIV/0!</v>
      </c>
      <c r="CJ42" s="757" t="e">
        <f t="shared" ref="CJ42" si="136">AVERAGE(BX44:CJ44)</f>
        <v>#DIV/0!</v>
      </c>
      <c r="CK42" s="757" t="e">
        <f t="shared" ref="CK42" si="137">AVERAGE(BY44:CK44)</f>
        <v>#DIV/0!</v>
      </c>
      <c r="CL42" s="757" t="e">
        <f t="shared" ref="CL42" si="138">AVERAGE(BZ44:CL44)</f>
        <v>#DIV/0!</v>
      </c>
      <c r="CM42" s="757" t="e">
        <f t="shared" ref="CM42" si="139">AVERAGE(CA44:CM44)</f>
        <v>#DIV/0!</v>
      </c>
      <c r="CN42" s="757" t="e">
        <f t="shared" ref="CN42" si="140">AVERAGE(CB44:CN44)</f>
        <v>#DIV/0!</v>
      </c>
      <c r="CO42" s="757" t="e">
        <f t="shared" ref="CO42" si="141">AVERAGE(CC44:CO44)</f>
        <v>#DIV/0!</v>
      </c>
      <c r="CP42" s="757" t="e">
        <f t="shared" ref="CP42" si="142">AVERAGE(CD44:CP44)</f>
        <v>#DIV/0!</v>
      </c>
      <c r="CQ42" s="757" t="e">
        <f t="shared" ref="CQ42" si="143">AVERAGE(CE44:CQ44)</f>
        <v>#DIV/0!</v>
      </c>
      <c r="CR42" s="757" t="e">
        <f t="shared" ref="CR42" si="144">AVERAGE(CF44:CR44)</f>
        <v>#DIV/0!</v>
      </c>
      <c r="CS42" s="757" t="e">
        <f t="shared" ref="CS42" si="145">AVERAGE(CG44:CS44)</f>
        <v>#DIV/0!</v>
      </c>
      <c r="CT42" s="757" t="e">
        <f t="shared" ref="CT42" si="146">AVERAGE(CH44:CT44)</f>
        <v>#DIV/0!</v>
      </c>
      <c r="CU42" s="757" t="e">
        <f t="shared" ref="CU42" si="147">AVERAGE(CI44:CU44)</f>
        <v>#DIV/0!</v>
      </c>
    </row>
    <row r="43" spans="1:99" hidden="1">
      <c r="B43" s="447"/>
      <c r="C43" s="375"/>
      <c r="D43" s="379"/>
      <c r="E43" s="379"/>
      <c r="F43" s="379"/>
      <c r="G43" s="379"/>
      <c r="H43" s="379"/>
      <c r="I43" s="379"/>
      <c r="J43" s="379"/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745"/>
      <c r="AY43" s="745"/>
      <c r="AZ43" s="745"/>
      <c r="BA43" s="745"/>
      <c r="BB43" s="745"/>
      <c r="BC43" s="745"/>
      <c r="BD43" s="744"/>
      <c r="BE43" s="744"/>
      <c r="BF43" s="744"/>
      <c r="BG43" s="744"/>
      <c r="BH43" s="744"/>
      <c r="BI43" s="744"/>
      <c r="BJ43" s="744"/>
      <c r="BK43" s="744"/>
      <c r="BL43" s="744"/>
      <c r="BM43" s="744"/>
      <c r="BN43" s="744"/>
      <c r="BO43" s="744"/>
      <c r="BP43" s="744"/>
      <c r="BQ43" s="744"/>
      <c r="BR43" s="744"/>
      <c r="BS43" s="744"/>
      <c r="BT43" s="744"/>
      <c r="BU43" s="744"/>
      <c r="BV43" s="744"/>
      <c r="BW43" s="744"/>
      <c r="BX43" s="744"/>
      <c r="BY43" s="744"/>
      <c r="BZ43" s="744"/>
      <c r="CA43" s="744"/>
      <c r="CB43" s="744"/>
      <c r="CC43" s="744"/>
      <c r="CD43" s="744"/>
      <c r="CE43" s="744"/>
      <c r="CF43" s="744"/>
      <c r="CG43" s="744"/>
      <c r="CH43" s="744"/>
      <c r="CI43" s="744"/>
      <c r="CJ43" s="744"/>
      <c r="CK43" s="744"/>
      <c r="CL43" s="744"/>
      <c r="CM43" s="744"/>
      <c r="CN43" s="744"/>
      <c r="CO43" s="744"/>
      <c r="CP43" s="744"/>
      <c r="CQ43" s="744"/>
      <c r="CR43" s="744"/>
      <c r="CS43" s="744"/>
      <c r="CT43" s="744"/>
      <c r="CU43" s="744"/>
    </row>
    <row r="44" spans="1:99" ht="15" hidden="1">
      <c r="A44" s="375" t="s">
        <v>576</v>
      </c>
      <c r="B44" s="447" t="s">
        <v>578</v>
      </c>
      <c r="C44" s="911" t="e">
        <f ca="1">SUM(OFFSET(BK44:BW44,0,'Bal Sheet'!$A$1-1))/13</f>
        <v>#DIV/0!</v>
      </c>
      <c r="D44" s="378">
        <v>1.5599999999999999E-2</v>
      </c>
      <c r="E44" s="378">
        <v>1.6400000000000001E-2</v>
      </c>
      <c r="F44" s="378">
        <v>1.72E-2</v>
      </c>
      <c r="G44" s="378">
        <v>1.7999999999999999E-2</v>
      </c>
      <c r="H44" s="378">
        <v>1.7999999999999999E-2</v>
      </c>
      <c r="I44" s="378">
        <v>1.89E-2</v>
      </c>
      <c r="J44" s="378">
        <v>2.0299999999999999E-2</v>
      </c>
      <c r="K44" s="378">
        <v>2.01E-2</v>
      </c>
      <c r="L44" s="378">
        <v>2.07E-2</v>
      </c>
      <c r="M44" s="378">
        <v>2.0500000000000001E-2</v>
      </c>
      <c r="N44" s="378">
        <v>1.95E-2</v>
      </c>
      <c r="O44" s="378">
        <v>2.07E-2</v>
      </c>
      <c r="P44" s="378">
        <v>2.1999999999999999E-2</v>
      </c>
      <c r="Q44" s="378">
        <v>2.1999999999999999E-2</v>
      </c>
      <c r="R44" s="378">
        <v>2.29E-2</v>
      </c>
      <c r="S44" s="378">
        <v>2.4500000000000001E-2</v>
      </c>
      <c r="T44" s="378">
        <v>2.6100000000000002E-2</v>
      </c>
      <c r="U44" s="378">
        <v>2.6599999999999999E-2</v>
      </c>
      <c r="V44" s="378">
        <v>2.7E-2</v>
      </c>
      <c r="W44" s="378">
        <v>2.7E-2</v>
      </c>
      <c r="X44" s="378">
        <v>2.7300000000000001E-2</v>
      </c>
      <c r="Y44" s="378">
        <v>2.7300000000000001E-2</v>
      </c>
      <c r="Z44" s="378">
        <v>2.9000000000000001E-2</v>
      </c>
      <c r="AA44" s="378">
        <v>3.1399999999999997E-2</v>
      </c>
      <c r="AB44" s="378">
        <v>3.3099999999999997E-2</v>
      </c>
      <c r="AC44" s="378">
        <v>3.3399999999999999E-2</v>
      </c>
      <c r="AD44" s="378">
        <v>3.3099999999999997E-2</v>
      </c>
      <c r="AE44" s="378">
        <v>3.3000000000000002E-2</v>
      </c>
      <c r="AF44" s="378">
        <v>3.3599999999999998E-2</v>
      </c>
      <c r="AG44" s="378">
        <v>3.2800000000000003E-2</v>
      </c>
      <c r="AH44" s="378">
        <v>3.2500000000000001E-2</v>
      </c>
      <c r="AI44" s="378">
        <v>2.9600000000000001E-2</v>
      </c>
      <c r="AJ44" s="378">
        <v>2.8500000000000001E-2</v>
      </c>
      <c r="AK44" s="378">
        <v>2.8500000000000001E-2</v>
      </c>
      <c r="AL44" s="378">
        <v>2.8500000000000001E-2</v>
      </c>
      <c r="AM44" s="378">
        <v>2.8500000000000001E-2</v>
      </c>
      <c r="AN44" s="378">
        <v>2.5600000000000001E-2</v>
      </c>
      <c r="AO44" s="378">
        <v>2.3099999999999999E-2</v>
      </c>
      <c r="AP44" s="378">
        <v>1.72E-2</v>
      </c>
      <c r="AQ44" s="378">
        <v>1.04E-2</v>
      </c>
      <c r="AR44" s="378">
        <v>8.5000000000000006E-3</v>
      </c>
      <c r="AS44" s="378">
        <v>8.2640000000000005E-3</v>
      </c>
      <c r="AT44" s="535">
        <v>8.5774809879379452E-3</v>
      </c>
      <c r="AU44" s="535">
        <v>8.5000937834807302E-3</v>
      </c>
      <c r="AV44" s="535">
        <v>8.2053916322922596E-3</v>
      </c>
      <c r="AW44" s="535">
        <v>8.2925565139378189E-3</v>
      </c>
      <c r="AX44" s="756">
        <v>8.5510234050052807E-3</v>
      </c>
      <c r="AY44" s="756">
        <v>8.9412080871782897E-3</v>
      </c>
      <c r="AZ44" s="756">
        <v>9.410204196263601E-3</v>
      </c>
      <c r="BA44" s="756">
        <v>9.7650376763331881E-3</v>
      </c>
      <c r="BB44" s="756">
        <v>9.8700246446584011E-3</v>
      </c>
      <c r="BC44" s="756">
        <v>1.2499999999998729E-2</v>
      </c>
      <c r="BD44" s="758">
        <v>1.2216206561637105E-2</v>
      </c>
      <c r="BE44" s="758">
        <v>5.2463132654680458E-3</v>
      </c>
      <c r="BF44" s="758">
        <v>2.4729283990345872E-3</v>
      </c>
      <c r="BG44" s="758">
        <v>2.4597222222222151E-3</v>
      </c>
      <c r="BH44" s="758">
        <f>+BG44</f>
        <v>2.4597222222222151E-3</v>
      </c>
      <c r="BI44" s="758">
        <f t="shared" ref="BI44:BJ44" si="148">+BH44</f>
        <v>2.4597222222222151E-3</v>
      </c>
      <c r="BJ44" s="758">
        <f t="shared" si="148"/>
        <v>2.4597222222222151E-3</v>
      </c>
      <c r="BK44" s="1009">
        <v>5.9106536849792149E-3</v>
      </c>
      <c r="BL44" s="1009">
        <v>5.6140775207409645E-3</v>
      </c>
      <c r="BM44" s="1009">
        <v>5.892552135054613E-3</v>
      </c>
      <c r="BN44" s="758">
        <v>8.5698674721650225E-3</v>
      </c>
      <c r="BO44" s="758">
        <v>1.0925260140818738E-2</v>
      </c>
      <c r="BP44" s="758">
        <v>1.2367938581413994E-2</v>
      </c>
      <c r="BQ44" s="758" t="e">
        <f t="shared" ref="BQ44:BW44" si="149">+(BQ48/BQ50*BQ46)+(BQ49/BQ50*BQ47)</f>
        <v>#DIV/0!</v>
      </c>
      <c r="BR44" s="758" t="e">
        <f t="shared" si="149"/>
        <v>#DIV/0!</v>
      </c>
      <c r="BS44" s="758" t="e">
        <f t="shared" si="149"/>
        <v>#DIV/0!</v>
      </c>
      <c r="BT44" s="758" t="e">
        <f t="shared" si="149"/>
        <v>#DIV/0!</v>
      </c>
      <c r="BU44" s="758" t="e">
        <f t="shared" si="149"/>
        <v>#DIV/0!</v>
      </c>
      <c r="BV44" s="758" t="e">
        <f t="shared" si="149"/>
        <v>#DIV/0!</v>
      </c>
      <c r="BW44" s="758" t="e">
        <f t="shared" si="149"/>
        <v>#DIV/0!</v>
      </c>
      <c r="BX44" s="758" t="e">
        <f t="shared" ref="BX44:CI44" si="150">+(BX48/BX50*BX46)+(BX49/BX50*BX47)</f>
        <v>#DIV/0!</v>
      </c>
      <c r="BY44" s="758" t="e">
        <f t="shared" si="150"/>
        <v>#DIV/0!</v>
      </c>
      <c r="BZ44" s="758" t="e">
        <f t="shared" si="150"/>
        <v>#DIV/0!</v>
      </c>
      <c r="CA44" s="758" t="e">
        <f t="shared" si="150"/>
        <v>#DIV/0!</v>
      </c>
      <c r="CB44" s="758" t="e">
        <f t="shared" si="150"/>
        <v>#DIV/0!</v>
      </c>
      <c r="CC44" s="758" t="e">
        <f t="shared" si="150"/>
        <v>#DIV/0!</v>
      </c>
      <c r="CD44" s="758" t="e">
        <f t="shared" si="150"/>
        <v>#DIV/0!</v>
      </c>
      <c r="CE44" s="758" t="e">
        <f t="shared" si="150"/>
        <v>#DIV/0!</v>
      </c>
      <c r="CF44" s="758" t="e">
        <f t="shared" si="150"/>
        <v>#DIV/0!</v>
      </c>
      <c r="CG44" s="758" t="e">
        <f t="shared" si="150"/>
        <v>#DIV/0!</v>
      </c>
      <c r="CH44" s="758" t="e">
        <f t="shared" si="150"/>
        <v>#DIV/0!</v>
      </c>
      <c r="CI44" s="758" t="e">
        <f t="shared" si="150"/>
        <v>#DIV/0!</v>
      </c>
      <c r="CJ44" s="758" t="e">
        <f t="shared" ref="CJ44:CU44" si="151">+(CJ48/CJ50*CJ46)+(CJ49/CJ50*CJ47)</f>
        <v>#DIV/0!</v>
      </c>
      <c r="CK44" s="758" t="e">
        <f t="shared" si="151"/>
        <v>#DIV/0!</v>
      </c>
      <c r="CL44" s="758" t="e">
        <f t="shared" si="151"/>
        <v>#DIV/0!</v>
      </c>
      <c r="CM44" s="758" t="e">
        <f t="shared" si="151"/>
        <v>#DIV/0!</v>
      </c>
      <c r="CN44" s="758" t="e">
        <f t="shared" si="151"/>
        <v>#DIV/0!</v>
      </c>
      <c r="CO44" s="758" t="e">
        <f t="shared" si="151"/>
        <v>#DIV/0!</v>
      </c>
      <c r="CP44" s="758" t="e">
        <f t="shared" si="151"/>
        <v>#DIV/0!</v>
      </c>
      <c r="CQ44" s="758" t="e">
        <f t="shared" si="151"/>
        <v>#DIV/0!</v>
      </c>
      <c r="CR44" s="758" t="e">
        <f t="shared" si="151"/>
        <v>#DIV/0!</v>
      </c>
      <c r="CS44" s="758" t="e">
        <f t="shared" si="151"/>
        <v>#DIV/0!</v>
      </c>
      <c r="CT44" s="758" t="e">
        <f t="shared" si="151"/>
        <v>#DIV/0!</v>
      </c>
      <c r="CU44" s="758" t="e">
        <f t="shared" si="151"/>
        <v>#DIV/0!</v>
      </c>
    </row>
    <row r="45" spans="1:99" ht="15" hidden="1">
      <c r="A45" s="375"/>
      <c r="B45" s="447"/>
      <c r="C45" s="447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535"/>
      <c r="AU45" s="535"/>
      <c r="AV45" s="535"/>
      <c r="AW45" s="535"/>
      <c r="AX45" s="756"/>
      <c r="AY45" s="756"/>
      <c r="AZ45" s="756"/>
      <c r="BA45" s="756"/>
      <c r="BB45" s="756"/>
      <c r="BC45" s="756"/>
      <c r="BD45" s="758"/>
      <c r="BE45" s="758"/>
      <c r="BF45" s="758"/>
      <c r="BG45" s="758"/>
      <c r="BH45" s="758"/>
      <c r="BI45" s="758"/>
      <c r="BJ45" s="758"/>
      <c r="BK45" s="758"/>
      <c r="BL45" s="758"/>
      <c r="BM45" s="758"/>
      <c r="BN45" s="758"/>
      <c r="BO45" s="758"/>
      <c r="BP45" s="758"/>
      <c r="BQ45" s="758"/>
      <c r="BR45" s="758"/>
      <c r="BS45" s="758"/>
      <c r="BT45" s="758"/>
      <c r="BU45" s="758"/>
      <c r="BV45" s="758"/>
      <c r="BW45" s="758"/>
      <c r="BX45" s="758"/>
      <c r="BY45" s="758"/>
      <c r="BZ45" s="758"/>
      <c r="CA45" s="758"/>
      <c r="CB45" s="758"/>
      <c r="CC45" s="758"/>
      <c r="CD45" s="758"/>
      <c r="CE45" s="758"/>
      <c r="CF45" s="758"/>
      <c r="CG45" s="758"/>
      <c r="CH45" s="758"/>
      <c r="CI45" s="758"/>
      <c r="CJ45" s="758"/>
      <c r="CK45" s="758"/>
      <c r="CL45" s="758"/>
      <c r="CM45" s="758"/>
      <c r="CN45" s="758"/>
      <c r="CO45" s="758"/>
      <c r="CP45" s="758"/>
      <c r="CQ45" s="758"/>
      <c r="CR45" s="758"/>
      <c r="CS45" s="758"/>
      <c r="CT45" s="758"/>
      <c r="CU45" s="758"/>
    </row>
    <row r="46" spans="1:99" ht="15" hidden="1">
      <c r="A46" s="375"/>
      <c r="B46" s="447" t="s">
        <v>579</v>
      </c>
      <c r="C46" s="447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378"/>
      <c r="AH46" s="378"/>
      <c r="AI46" s="378"/>
      <c r="AJ46" s="378"/>
      <c r="AK46" s="378"/>
      <c r="AL46" s="378"/>
      <c r="AM46" s="378"/>
      <c r="AN46" s="378"/>
      <c r="AO46" s="378"/>
      <c r="AP46" s="378"/>
      <c r="AQ46" s="378"/>
      <c r="AR46" s="378"/>
      <c r="AS46" s="378"/>
      <c r="AT46" s="535"/>
      <c r="AU46" s="535"/>
      <c r="AV46" s="535"/>
      <c r="AW46" s="535"/>
      <c r="AX46" s="756"/>
      <c r="AY46" s="756"/>
      <c r="AZ46" s="756"/>
      <c r="BA46" s="756"/>
      <c r="BB46" s="756"/>
      <c r="BC46" s="756"/>
      <c r="BD46" s="758"/>
      <c r="BE46" s="758"/>
      <c r="BF46" s="758"/>
      <c r="BG46" s="758"/>
      <c r="BH46" s="758"/>
      <c r="BI46" s="758"/>
      <c r="BJ46" s="758"/>
      <c r="BK46" s="758">
        <v>2.4597222222222151E-3</v>
      </c>
      <c r="BL46" s="758">
        <v>4.0000000000000001E-3</v>
      </c>
      <c r="BM46" s="758">
        <f>+BL46</f>
        <v>4.0000000000000001E-3</v>
      </c>
      <c r="BN46" s="758">
        <f>+BM46</f>
        <v>4.0000000000000001E-3</v>
      </c>
      <c r="BO46" s="758">
        <v>7.0000000000000001E-3</v>
      </c>
      <c r="BP46" s="758">
        <f t="shared" ref="BP46:BW46" si="152">+BO46</f>
        <v>7.0000000000000001E-3</v>
      </c>
      <c r="BQ46" s="758">
        <f t="shared" si="152"/>
        <v>7.0000000000000001E-3</v>
      </c>
      <c r="BR46" s="758">
        <v>0.01</v>
      </c>
      <c r="BS46" s="758">
        <f t="shared" si="152"/>
        <v>0.01</v>
      </c>
      <c r="BT46" s="758">
        <f t="shared" si="152"/>
        <v>0.01</v>
      </c>
      <c r="BU46" s="758">
        <v>1.4E-2</v>
      </c>
      <c r="BV46" s="758">
        <f t="shared" si="152"/>
        <v>1.4E-2</v>
      </c>
      <c r="BW46" s="758">
        <f t="shared" si="152"/>
        <v>1.4E-2</v>
      </c>
      <c r="BX46" s="758">
        <f t="shared" ref="BX46" si="153">+BW46</f>
        <v>1.4E-2</v>
      </c>
      <c r="BY46" s="758">
        <f t="shared" ref="BY46" si="154">+BX46</f>
        <v>1.4E-2</v>
      </c>
      <c r="BZ46" s="758">
        <f t="shared" ref="BZ46" si="155">+BY46</f>
        <v>1.4E-2</v>
      </c>
      <c r="CA46" s="758">
        <f t="shared" ref="CA46" si="156">+BZ46</f>
        <v>1.4E-2</v>
      </c>
      <c r="CB46" s="758">
        <f t="shared" ref="CB46" si="157">+CA46</f>
        <v>1.4E-2</v>
      </c>
      <c r="CC46" s="758">
        <f t="shared" ref="CC46" si="158">+CB46</f>
        <v>1.4E-2</v>
      </c>
      <c r="CD46" s="758">
        <f t="shared" ref="CD46" si="159">+CC46</f>
        <v>1.4E-2</v>
      </c>
      <c r="CE46" s="758">
        <f t="shared" ref="CE46" si="160">+CD46</f>
        <v>1.4E-2</v>
      </c>
      <c r="CF46" s="758">
        <f t="shared" ref="CF46" si="161">+CE46</f>
        <v>1.4E-2</v>
      </c>
      <c r="CG46" s="758">
        <f t="shared" ref="CG46" si="162">+CF46</f>
        <v>1.4E-2</v>
      </c>
      <c r="CH46" s="758">
        <f t="shared" ref="CH46" si="163">+CG46</f>
        <v>1.4E-2</v>
      </c>
      <c r="CI46" s="758">
        <f t="shared" ref="CI46" si="164">+CH46</f>
        <v>1.4E-2</v>
      </c>
      <c r="CJ46" s="758">
        <f t="shared" ref="CJ46" si="165">+CI46</f>
        <v>1.4E-2</v>
      </c>
      <c r="CK46" s="758">
        <f t="shared" ref="CK46" si="166">+CJ46</f>
        <v>1.4E-2</v>
      </c>
      <c r="CL46" s="758">
        <f t="shared" ref="CL46" si="167">+CK46</f>
        <v>1.4E-2</v>
      </c>
      <c r="CM46" s="758">
        <f t="shared" ref="CM46" si="168">+CL46</f>
        <v>1.4E-2</v>
      </c>
      <c r="CN46" s="758">
        <f t="shared" ref="CN46" si="169">+CM46</f>
        <v>1.4E-2</v>
      </c>
      <c r="CO46" s="758">
        <f t="shared" ref="CO46" si="170">+CN46</f>
        <v>1.4E-2</v>
      </c>
      <c r="CP46" s="758">
        <f t="shared" ref="CP46" si="171">+CO46</f>
        <v>1.4E-2</v>
      </c>
      <c r="CQ46" s="758">
        <f t="shared" ref="CQ46" si="172">+CP46</f>
        <v>1.4E-2</v>
      </c>
      <c r="CR46" s="758">
        <f t="shared" ref="CR46" si="173">+CQ46</f>
        <v>1.4E-2</v>
      </c>
      <c r="CS46" s="758">
        <f t="shared" ref="CS46" si="174">+CR46</f>
        <v>1.4E-2</v>
      </c>
      <c r="CT46" s="758">
        <f t="shared" ref="CT46" si="175">+CS46</f>
        <v>1.4E-2</v>
      </c>
      <c r="CU46" s="758">
        <f t="shared" ref="CU46" si="176">+CT46</f>
        <v>1.4E-2</v>
      </c>
    </row>
    <row r="47" spans="1:99" ht="15" hidden="1">
      <c r="A47" s="375"/>
      <c r="B47" s="447" t="s">
        <v>580</v>
      </c>
      <c r="C47" s="447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378"/>
      <c r="AH47" s="378"/>
      <c r="AI47" s="378"/>
      <c r="AJ47" s="378"/>
      <c r="AK47" s="378"/>
      <c r="AL47" s="378"/>
      <c r="AM47" s="378"/>
      <c r="AN47" s="378"/>
      <c r="AO47" s="378"/>
      <c r="AP47" s="378"/>
      <c r="AQ47" s="378"/>
      <c r="AR47" s="378"/>
      <c r="AS47" s="378"/>
      <c r="AT47" s="535"/>
      <c r="AU47" s="535"/>
      <c r="AV47" s="535"/>
      <c r="AW47" s="535"/>
      <c r="AX47" s="756"/>
      <c r="AY47" s="756"/>
      <c r="AZ47" s="756"/>
      <c r="BA47" s="756"/>
      <c r="BB47" s="756"/>
      <c r="BC47" s="756"/>
      <c r="BD47" s="758"/>
      <c r="BE47" s="758"/>
      <c r="BF47" s="758"/>
      <c r="BG47" s="758"/>
      <c r="BH47" s="758"/>
      <c r="BI47" s="758"/>
      <c r="BJ47" s="758"/>
      <c r="BK47" s="758">
        <v>8.9999999999999993E-3</v>
      </c>
      <c r="BL47" s="758">
        <v>8.9999999999999993E-3</v>
      </c>
      <c r="BM47" s="758">
        <v>8.9999999999999993E-3</v>
      </c>
      <c r="BN47" s="758">
        <v>8.9999999999999993E-3</v>
      </c>
      <c r="BO47" s="758">
        <v>1.2999999999999999E-2</v>
      </c>
      <c r="BP47" s="758">
        <v>1.2999999999999999E-2</v>
      </c>
      <c r="BQ47" s="758">
        <v>1.7999999999999999E-2</v>
      </c>
      <c r="BR47" s="758">
        <v>2.7E-2</v>
      </c>
      <c r="BS47" s="758">
        <v>3.9E-2</v>
      </c>
      <c r="BT47" s="758">
        <v>3.9E-2</v>
      </c>
      <c r="BU47" s="758">
        <v>4.3999999999999997E-2</v>
      </c>
      <c r="BV47" s="758">
        <v>4.3999999999999997E-2</v>
      </c>
      <c r="BW47" s="758">
        <v>4.3999999999999997E-2</v>
      </c>
      <c r="BX47" s="758">
        <v>4.2999999999999997E-2</v>
      </c>
      <c r="BY47" s="758">
        <v>4.2999999999999997E-2</v>
      </c>
      <c r="BZ47" s="758">
        <v>4.2999999999999997E-2</v>
      </c>
      <c r="CA47" s="758">
        <v>4.2999999999999997E-2</v>
      </c>
      <c r="CB47" s="758">
        <v>4.2999999999999997E-2</v>
      </c>
      <c r="CC47" s="758">
        <v>4.2999999999999997E-2</v>
      </c>
      <c r="CD47" s="758">
        <v>4.8000000000000001E-2</v>
      </c>
      <c r="CE47" s="758">
        <v>4.8000000000000001E-2</v>
      </c>
      <c r="CF47" s="758">
        <v>4.8000000000000001E-2</v>
      </c>
      <c r="CG47" s="758">
        <v>0</v>
      </c>
      <c r="CH47" s="758">
        <v>0</v>
      </c>
      <c r="CI47" s="758">
        <v>0</v>
      </c>
      <c r="CJ47" s="758">
        <v>0</v>
      </c>
      <c r="CK47" s="758">
        <v>0</v>
      </c>
      <c r="CL47" s="758">
        <v>0</v>
      </c>
      <c r="CM47" s="758">
        <v>0</v>
      </c>
      <c r="CN47" s="758">
        <v>0</v>
      </c>
      <c r="CO47" s="758">
        <v>0</v>
      </c>
      <c r="CP47" s="758">
        <v>0</v>
      </c>
      <c r="CQ47" s="758">
        <v>0</v>
      </c>
      <c r="CR47" s="758">
        <v>0</v>
      </c>
      <c r="CS47" s="758">
        <v>0</v>
      </c>
      <c r="CT47" s="758">
        <v>0</v>
      </c>
      <c r="CU47" s="758">
        <v>0</v>
      </c>
    </row>
    <row r="48" spans="1:99" ht="15" hidden="1">
      <c r="A48" s="375"/>
      <c r="B48" s="447" t="s">
        <v>581</v>
      </c>
      <c r="C48" s="447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8"/>
      <c r="AR48" s="378"/>
      <c r="AS48" s="378"/>
      <c r="AT48" s="535"/>
      <c r="AU48" s="535"/>
      <c r="AV48" s="535"/>
      <c r="AW48" s="535"/>
      <c r="AX48" s="756"/>
      <c r="AY48" s="756"/>
      <c r="AZ48" s="756"/>
      <c r="BA48" s="756"/>
      <c r="BB48" s="756"/>
      <c r="BC48" s="756"/>
      <c r="BD48" s="758"/>
      <c r="BE48" s="758"/>
      <c r="BF48" s="758"/>
      <c r="BG48" s="758"/>
      <c r="BH48" s="758"/>
      <c r="BI48" s="758"/>
      <c r="BJ48" s="758"/>
      <c r="BK48" s="33">
        <v>-100000</v>
      </c>
      <c r="BL48" s="33">
        <v>-100000</v>
      </c>
      <c r="BM48" s="33">
        <v>-100000</v>
      </c>
      <c r="BN48" s="33">
        <v>-100000</v>
      </c>
      <c r="BO48" s="33">
        <v>-100000</v>
      </c>
      <c r="BP48" s="33">
        <v>-100000</v>
      </c>
      <c r="BQ48" s="33">
        <v>-100000</v>
      </c>
      <c r="BR48" s="33">
        <v>-100000</v>
      </c>
      <c r="BS48" s="33">
        <v>-100000</v>
      </c>
      <c r="BT48" s="33">
        <v>-100000</v>
      </c>
      <c r="BU48" s="33">
        <v>-100000</v>
      </c>
      <c r="BV48" s="33">
        <v>-50000</v>
      </c>
      <c r="BW48" s="33">
        <v>0</v>
      </c>
      <c r="BX48" s="33">
        <v>0</v>
      </c>
      <c r="BY48" s="33">
        <v>0</v>
      </c>
      <c r="BZ48" s="33">
        <v>0</v>
      </c>
      <c r="CA48" s="33">
        <v>0</v>
      </c>
      <c r="CB48" s="33">
        <v>0</v>
      </c>
      <c r="CC48" s="33">
        <v>0</v>
      </c>
      <c r="CD48" s="33">
        <v>0</v>
      </c>
      <c r="CE48" s="33">
        <v>0</v>
      </c>
      <c r="CF48" s="33">
        <v>0</v>
      </c>
      <c r="CG48" s="33">
        <v>0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  <c r="CU48" s="33">
        <v>0</v>
      </c>
    </row>
    <row r="49" spans="1:99" ht="15" hidden="1">
      <c r="A49" s="375"/>
      <c r="B49" s="447" t="s">
        <v>582</v>
      </c>
      <c r="C49" s="447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78"/>
      <c r="AM49" s="378"/>
      <c r="AN49" s="378"/>
      <c r="AO49" s="378"/>
      <c r="AP49" s="378"/>
      <c r="AQ49" s="378"/>
      <c r="AR49" s="378"/>
      <c r="AS49" s="378"/>
      <c r="AT49" s="535"/>
      <c r="AU49" s="535"/>
      <c r="AV49" s="535"/>
      <c r="AW49" s="535"/>
      <c r="AX49" s="756"/>
      <c r="AY49" s="756"/>
      <c r="AZ49" s="756"/>
      <c r="BA49" s="756"/>
      <c r="BB49" s="756"/>
      <c r="BC49" s="756"/>
      <c r="BD49" s="758"/>
      <c r="BE49" s="758"/>
      <c r="BF49" s="758"/>
      <c r="BG49" s="758"/>
      <c r="BH49" s="758"/>
      <c r="BI49" s="758"/>
      <c r="BJ49" s="758"/>
      <c r="BK49" s="446">
        <v>100000</v>
      </c>
      <c r="BL49" s="446">
        <f>+BK49</f>
        <v>100000</v>
      </c>
      <c r="BM49" s="446">
        <f t="shared" ref="BM49:BU49" si="177">+BL49</f>
        <v>100000</v>
      </c>
      <c r="BN49" s="446">
        <f t="shared" si="177"/>
        <v>100000</v>
      </c>
      <c r="BO49" s="446">
        <f t="shared" si="177"/>
        <v>100000</v>
      </c>
      <c r="BP49" s="446">
        <f t="shared" si="177"/>
        <v>100000</v>
      </c>
      <c r="BQ49" s="446">
        <f t="shared" si="177"/>
        <v>100000</v>
      </c>
      <c r="BR49" s="446">
        <f t="shared" si="177"/>
        <v>100000</v>
      </c>
      <c r="BS49" s="446">
        <f t="shared" si="177"/>
        <v>100000</v>
      </c>
      <c r="BT49" s="446">
        <f t="shared" si="177"/>
        <v>100000</v>
      </c>
      <c r="BU49" s="446">
        <f t="shared" si="177"/>
        <v>100000</v>
      </c>
      <c r="BV49" s="446">
        <f>+BU49/2</f>
        <v>50000</v>
      </c>
      <c r="BW49" s="446"/>
      <c r="BX49" s="446"/>
      <c r="BY49" s="446"/>
      <c r="BZ49" s="446"/>
      <c r="CA49" s="446"/>
      <c r="CB49" s="446"/>
      <c r="CC49" s="446"/>
      <c r="CD49" s="446"/>
      <c r="CE49" s="446"/>
      <c r="CF49" s="446"/>
      <c r="CG49" s="446"/>
      <c r="CH49" s="446"/>
      <c r="CI49" s="446"/>
      <c r="CJ49" s="446"/>
      <c r="CK49" s="446"/>
      <c r="CL49" s="446"/>
      <c r="CM49" s="446"/>
      <c r="CN49" s="446"/>
      <c r="CO49" s="446"/>
      <c r="CP49" s="446"/>
      <c r="CQ49" s="446"/>
      <c r="CR49" s="446"/>
      <c r="CS49" s="446"/>
      <c r="CT49" s="446"/>
      <c r="CU49" s="446"/>
    </row>
    <row r="50" spans="1:99" ht="15" hidden="1">
      <c r="A50" s="375"/>
      <c r="C50" s="447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535"/>
      <c r="AU50" s="535"/>
      <c r="AV50" s="535"/>
      <c r="AW50" s="535"/>
      <c r="AX50" s="756"/>
      <c r="AY50" s="756"/>
      <c r="AZ50" s="756"/>
      <c r="BA50" s="756"/>
      <c r="BB50" s="756"/>
      <c r="BC50" s="756"/>
      <c r="BD50" s="758"/>
      <c r="BE50" s="758"/>
      <c r="BF50" s="758"/>
      <c r="BG50" s="758"/>
      <c r="BH50" s="758"/>
      <c r="BI50" s="758"/>
      <c r="BJ50" s="758"/>
      <c r="BK50" s="903">
        <f>SUM(BK48:BK49)</f>
        <v>0</v>
      </c>
      <c r="BL50" s="903">
        <f t="shared" ref="BL50:BW50" si="178">SUM(BL48:BL49)</f>
        <v>0</v>
      </c>
      <c r="BM50" s="903">
        <f t="shared" si="178"/>
        <v>0</v>
      </c>
      <c r="BN50" s="903">
        <f t="shared" si="178"/>
        <v>0</v>
      </c>
      <c r="BO50" s="903">
        <f t="shared" si="178"/>
        <v>0</v>
      </c>
      <c r="BP50" s="903">
        <f t="shared" si="178"/>
        <v>0</v>
      </c>
      <c r="BQ50" s="903">
        <f t="shared" si="178"/>
        <v>0</v>
      </c>
      <c r="BR50" s="903">
        <f t="shared" si="178"/>
        <v>0</v>
      </c>
      <c r="BS50" s="903">
        <f t="shared" si="178"/>
        <v>0</v>
      </c>
      <c r="BT50" s="903">
        <f t="shared" si="178"/>
        <v>0</v>
      </c>
      <c r="BU50" s="903">
        <f t="shared" si="178"/>
        <v>0</v>
      </c>
      <c r="BV50" s="903">
        <f t="shared" si="178"/>
        <v>0</v>
      </c>
      <c r="BW50" s="903">
        <f t="shared" si="178"/>
        <v>0</v>
      </c>
      <c r="BX50" s="903">
        <f t="shared" ref="BX50:CI50" si="179">SUM(BX48:BX49)</f>
        <v>0</v>
      </c>
      <c r="BY50" s="903">
        <f t="shared" si="179"/>
        <v>0</v>
      </c>
      <c r="BZ50" s="903">
        <f t="shared" si="179"/>
        <v>0</v>
      </c>
      <c r="CA50" s="903">
        <f t="shared" si="179"/>
        <v>0</v>
      </c>
      <c r="CB50" s="903">
        <f t="shared" si="179"/>
        <v>0</v>
      </c>
      <c r="CC50" s="903">
        <f t="shared" si="179"/>
        <v>0</v>
      </c>
      <c r="CD50" s="903">
        <f t="shared" si="179"/>
        <v>0</v>
      </c>
      <c r="CE50" s="903">
        <f t="shared" si="179"/>
        <v>0</v>
      </c>
      <c r="CF50" s="903">
        <f t="shared" si="179"/>
        <v>0</v>
      </c>
      <c r="CG50" s="903">
        <f t="shared" si="179"/>
        <v>0</v>
      </c>
      <c r="CH50" s="903">
        <f t="shared" si="179"/>
        <v>0</v>
      </c>
      <c r="CI50" s="903">
        <f t="shared" si="179"/>
        <v>0</v>
      </c>
      <c r="CJ50" s="903">
        <f t="shared" ref="CJ50:CU50" si="180">SUM(CJ48:CJ49)</f>
        <v>0</v>
      </c>
      <c r="CK50" s="903">
        <f t="shared" si="180"/>
        <v>0</v>
      </c>
      <c r="CL50" s="903">
        <f t="shared" si="180"/>
        <v>0</v>
      </c>
      <c r="CM50" s="903">
        <f t="shared" si="180"/>
        <v>0</v>
      </c>
      <c r="CN50" s="903">
        <f t="shared" si="180"/>
        <v>0</v>
      </c>
      <c r="CO50" s="903">
        <f t="shared" si="180"/>
        <v>0</v>
      </c>
      <c r="CP50" s="903">
        <f t="shared" si="180"/>
        <v>0</v>
      </c>
      <c r="CQ50" s="903">
        <f t="shared" si="180"/>
        <v>0</v>
      </c>
      <c r="CR50" s="903">
        <f t="shared" si="180"/>
        <v>0</v>
      </c>
      <c r="CS50" s="903">
        <f t="shared" si="180"/>
        <v>0</v>
      </c>
      <c r="CT50" s="903">
        <f t="shared" si="180"/>
        <v>0</v>
      </c>
      <c r="CU50" s="903">
        <f t="shared" si="180"/>
        <v>0</v>
      </c>
    </row>
    <row r="51" spans="1:99" hidden="1">
      <c r="B51" s="447" t="s">
        <v>583</v>
      </c>
    </row>
    <row r="52" spans="1:99" s="375" customFormat="1" hidden="1">
      <c r="Z52" s="447"/>
    </row>
    <row r="53" spans="1:99" s="375" customFormat="1">
      <c r="B53" s="212" t="s">
        <v>584</v>
      </c>
      <c r="P53" s="421">
        <f t="shared" ref="P53:AU53" si="181">+P8</f>
        <v>43108</v>
      </c>
      <c r="Q53" s="421">
        <f t="shared" si="181"/>
        <v>43139</v>
      </c>
      <c r="R53" s="421">
        <f t="shared" si="181"/>
        <v>43170</v>
      </c>
      <c r="S53" s="421">
        <f t="shared" si="181"/>
        <v>43201</v>
      </c>
      <c r="T53" s="421">
        <f t="shared" si="181"/>
        <v>43232</v>
      </c>
      <c r="U53" s="421">
        <f t="shared" si="181"/>
        <v>43263</v>
      </c>
      <c r="V53" s="421">
        <f t="shared" si="181"/>
        <v>43294</v>
      </c>
      <c r="W53" s="421">
        <f t="shared" si="181"/>
        <v>43325</v>
      </c>
      <c r="X53" s="421">
        <f t="shared" si="181"/>
        <v>43356</v>
      </c>
      <c r="Y53" s="421">
        <f t="shared" si="181"/>
        <v>43387</v>
      </c>
      <c r="Z53" s="421">
        <f t="shared" si="181"/>
        <v>43418</v>
      </c>
      <c r="AA53" s="421">
        <f t="shared" si="181"/>
        <v>43449</v>
      </c>
      <c r="AB53" s="421">
        <f t="shared" si="181"/>
        <v>43480</v>
      </c>
      <c r="AC53" s="421">
        <f t="shared" si="181"/>
        <v>43511</v>
      </c>
      <c r="AD53" s="421">
        <f t="shared" si="181"/>
        <v>43542</v>
      </c>
      <c r="AE53" s="421">
        <f t="shared" si="181"/>
        <v>43573</v>
      </c>
      <c r="AF53" s="421">
        <f t="shared" si="181"/>
        <v>43604</v>
      </c>
      <c r="AG53" s="421">
        <f t="shared" si="181"/>
        <v>43635</v>
      </c>
      <c r="AH53" s="421">
        <f t="shared" si="181"/>
        <v>43666</v>
      </c>
      <c r="AI53" s="421">
        <f t="shared" si="181"/>
        <v>43697</v>
      </c>
      <c r="AJ53" s="421">
        <f t="shared" si="181"/>
        <v>43728</v>
      </c>
      <c r="AK53" s="421">
        <f t="shared" si="181"/>
        <v>43759</v>
      </c>
      <c r="AL53" s="421">
        <f t="shared" si="181"/>
        <v>43790</v>
      </c>
      <c r="AM53" s="421">
        <f t="shared" si="181"/>
        <v>43821</v>
      </c>
      <c r="AN53" s="421">
        <f t="shared" si="181"/>
        <v>43852</v>
      </c>
      <c r="AO53" s="421">
        <f t="shared" si="181"/>
        <v>43883</v>
      </c>
      <c r="AP53" s="421">
        <f t="shared" si="181"/>
        <v>43914</v>
      </c>
      <c r="AQ53" s="421">
        <f t="shared" si="181"/>
        <v>43945</v>
      </c>
      <c r="AR53" s="421">
        <f t="shared" si="181"/>
        <v>43976</v>
      </c>
      <c r="AS53" s="421">
        <f t="shared" si="181"/>
        <v>44007</v>
      </c>
      <c r="AT53" s="421">
        <f t="shared" si="181"/>
        <v>44038</v>
      </c>
      <c r="AU53" s="421">
        <f t="shared" si="181"/>
        <v>44069</v>
      </c>
      <c r="AV53" s="421">
        <f t="shared" ref="AV53:CA53" si="182">+AV8</f>
        <v>44100</v>
      </c>
      <c r="AW53" s="421">
        <f t="shared" si="182"/>
        <v>44131</v>
      </c>
      <c r="AX53" s="421">
        <f t="shared" si="182"/>
        <v>44162</v>
      </c>
      <c r="AY53" s="421">
        <f t="shared" si="182"/>
        <v>44193</v>
      </c>
      <c r="AZ53" s="421">
        <f t="shared" si="182"/>
        <v>44224</v>
      </c>
      <c r="BA53" s="421">
        <f t="shared" si="182"/>
        <v>44255</v>
      </c>
      <c r="BB53" s="421">
        <f t="shared" si="182"/>
        <v>44285</v>
      </c>
      <c r="BC53" s="421">
        <f t="shared" si="182"/>
        <v>44316</v>
      </c>
      <c r="BD53" s="421">
        <f t="shared" si="182"/>
        <v>44347</v>
      </c>
      <c r="BE53" s="421">
        <f t="shared" si="182"/>
        <v>44377</v>
      </c>
      <c r="BF53" s="421">
        <f t="shared" si="182"/>
        <v>44408</v>
      </c>
      <c r="BG53" s="421">
        <f t="shared" si="182"/>
        <v>44439</v>
      </c>
      <c r="BH53" s="421">
        <f t="shared" si="182"/>
        <v>44469</v>
      </c>
      <c r="BI53" s="421">
        <f t="shared" si="182"/>
        <v>44500</v>
      </c>
      <c r="BJ53" s="421">
        <f t="shared" si="182"/>
        <v>44530</v>
      </c>
      <c r="BK53" s="421">
        <f t="shared" si="182"/>
        <v>44561</v>
      </c>
      <c r="BL53" s="421">
        <f t="shared" si="182"/>
        <v>44592</v>
      </c>
      <c r="BM53" s="421">
        <f t="shared" si="182"/>
        <v>44620</v>
      </c>
      <c r="BN53" s="421">
        <f t="shared" si="182"/>
        <v>44651</v>
      </c>
      <c r="BO53" s="421">
        <f t="shared" si="182"/>
        <v>44681</v>
      </c>
      <c r="BP53" s="421">
        <f t="shared" si="182"/>
        <v>44712</v>
      </c>
      <c r="BQ53" s="421">
        <f t="shared" si="182"/>
        <v>44742</v>
      </c>
      <c r="BR53" s="421">
        <f t="shared" si="182"/>
        <v>44773</v>
      </c>
      <c r="BS53" s="421">
        <f t="shared" si="182"/>
        <v>44804</v>
      </c>
      <c r="BT53" s="421">
        <f t="shared" si="182"/>
        <v>44834</v>
      </c>
      <c r="BU53" s="421">
        <f t="shared" si="182"/>
        <v>44865</v>
      </c>
      <c r="BV53" s="421">
        <f t="shared" si="182"/>
        <v>44895</v>
      </c>
      <c r="BW53" s="421">
        <f t="shared" si="182"/>
        <v>44926</v>
      </c>
      <c r="BX53" s="421">
        <f t="shared" si="182"/>
        <v>44957</v>
      </c>
      <c r="BY53" s="421">
        <f t="shared" si="182"/>
        <v>44985</v>
      </c>
      <c r="BZ53" s="421">
        <f t="shared" si="182"/>
        <v>45016</v>
      </c>
      <c r="CA53" s="421">
        <f t="shared" si="182"/>
        <v>45046</v>
      </c>
      <c r="CB53" s="421">
        <f t="shared" ref="CB53:CM53" si="183">+CB8</f>
        <v>45077</v>
      </c>
      <c r="CC53" s="421">
        <f t="shared" si="183"/>
        <v>45107</v>
      </c>
      <c r="CD53" s="421">
        <f t="shared" si="183"/>
        <v>45138</v>
      </c>
      <c r="CE53" s="421">
        <f t="shared" si="183"/>
        <v>45169</v>
      </c>
      <c r="CF53" s="421">
        <f t="shared" si="183"/>
        <v>45199</v>
      </c>
      <c r="CG53" s="421">
        <f t="shared" si="183"/>
        <v>45230</v>
      </c>
      <c r="CH53" s="421">
        <f t="shared" si="183"/>
        <v>45260</v>
      </c>
      <c r="CI53" s="421">
        <f t="shared" si="183"/>
        <v>45291</v>
      </c>
      <c r="CJ53" s="421">
        <f t="shared" si="183"/>
        <v>45322</v>
      </c>
      <c r="CK53" s="421">
        <f t="shared" si="183"/>
        <v>45350</v>
      </c>
      <c r="CL53" s="421">
        <f t="shared" si="183"/>
        <v>45382</v>
      </c>
      <c r="CM53" s="421">
        <f t="shared" si="183"/>
        <v>45412</v>
      </c>
      <c r="CN53" s="421">
        <f t="shared" ref="CN53:CU53" si="184">+CN8</f>
        <v>45443</v>
      </c>
      <c r="CO53" s="421">
        <f t="shared" si="184"/>
        <v>45473</v>
      </c>
      <c r="CP53" s="421">
        <f t="shared" si="184"/>
        <v>45504</v>
      </c>
      <c r="CQ53" s="421">
        <f t="shared" si="184"/>
        <v>45535</v>
      </c>
      <c r="CR53" s="421">
        <f t="shared" si="184"/>
        <v>45565</v>
      </c>
      <c r="CS53" s="421">
        <f t="shared" si="184"/>
        <v>45596</v>
      </c>
      <c r="CT53" s="421">
        <f t="shared" si="184"/>
        <v>45626</v>
      </c>
      <c r="CU53" s="421">
        <f t="shared" si="184"/>
        <v>45657</v>
      </c>
    </row>
    <row r="54" spans="1:99" s="375" customFormat="1"/>
    <row r="55" spans="1:99" s="375" customFormat="1">
      <c r="A55" s="376" t="s">
        <v>585</v>
      </c>
      <c r="B55" s="375" t="s">
        <v>586</v>
      </c>
      <c r="C55" s="287">
        <f ca="1">SUM(OFFSET(BX55:CJ55,0,'Bal Sheet'!$A$1-1))/13</f>
        <v>0</v>
      </c>
      <c r="P55" s="408" t="e">
        <v>#N/A</v>
      </c>
      <c r="Q55" s="408" t="e">
        <v>#N/A</v>
      </c>
      <c r="R55" s="408" t="e">
        <v>#N/A</v>
      </c>
      <c r="S55" s="408" t="e">
        <v>#N/A</v>
      </c>
      <c r="T55" s="408" t="e">
        <v>#N/A</v>
      </c>
      <c r="U55" s="408" t="e">
        <v>#N/A</v>
      </c>
      <c r="V55" s="408" t="e">
        <v>#N/A</v>
      </c>
      <c r="W55" s="408" t="e">
        <v>#N/A</v>
      </c>
      <c r="X55" s="404" t="e">
        <v>#N/A</v>
      </c>
      <c r="Y55" s="404" t="e">
        <v>#N/A</v>
      </c>
      <c r="Z55" s="404" t="e">
        <v>#N/A</v>
      </c>
      <c r="AA55" s="404" t="e">
        <v>#N/A</v>
      </c>
      <c r="AB55" s="404" t="e">
        <v>#N/A</v>
      </c>
      <c r="AC55" s="404" t="e">
        <v>#N/A</v>
      </c>
      <c r="AD55" s="404" t="e">
        <v>#N/A</v>
      </c>
      <c r="AE55" s="404" t="e">
        <v>#N/A</v>
      </c>
      <c r="AF55" s="404" t="e">
        <v>#N/A</v>
      </c>
      <c r="AG55" s="404" t="e">
        <v>#N/A</v>
      </c>
      <c r="AH55" s="404" t="e">
        <v>#N/A</v>
      </c>
      <c r="AI55" s="404" t="e">
        <v>#N/A</v>
      </c>
      <c r="AJ55" s="404" t="e">
        <v>#N/A</v>
      </c>
      <c r="AK55" s="404" t="e">
        <v>#N/A</v>
      </c>
      <c r="AL55" s="404" t="e">
        <v>#N/A</v>
      </c>
      <c r="AM55" s="404" t="e">
        <v>#N/A</v>
      </c>
      <c r="AN55" s="404" t="e">
        <v>#N/A</v>
      </c>
      <c r="AO55" s="404" t="e">
        <v>#N/A</v>
      </c>
      <c r="AP55" s="404" t="e">
        <v>#N/A</v>
      </c>
      <c r="AQ55" s="404" t="e">
        <v>#N/A</v>
      </c>
      <c r="AR55" s="404" t="e">
        <v>#N/A</v>
      </c>
      <c r="AS55" s="404" t="e">
        <v>#N/A</v>
      </c>
      <c r="AT55" s="404" t="e">
        <v>#N/A</v>
      </c>
      <c r="AU55" s="404" t="e">
        <v>#N/A</v>
      </c>
      <c r="AV55" s="404" t="e">
        <v>#N/A</v>
      </c>
      <c r="AW55" s="404" t="e">
        <v>#N/A</v>
      </c>
      <c r="AX55" s="404" t="e">
        <v>#N/A</v>
      </c>
      <c r="AY55" s="404" t="e">
        <v>#N/A</v>
      </c>
      <c r="AZ55" s="404" t="e">
        <v>#N/A</v>
      </c>
      <c r="BA55" s="404" t="e">
        <v>#N/A</v>
      </c>
      <c r="BB55" s="404">
        <v>10000</v>
      </c>
      <c r="BC55" s="404">
        <v>17122.400000000001</v>
      </c>
      <c r="BD55" s="404">
        <v>87741.5</v>
      </c>
      <c r="BE55" s="404">
        <v>99244.3</v>
      </c>
      <c r="BF55" s="404">
        <v>111939.3</v>
      </c>
      <c r="BG55" s="404">
        <v>101333.5</v>
      </c>
      <c r="BH55" s="404">
        <v>115219</v>
      </c>
      <c r="BI55" s="404">
        <v>136200.9</v>
      </c>
      <c r="BJ55" s="404">
        <v>144763.5</v>
      </c>
      <c r="BK55" s="404">
        <v>189522.1</v>
      </c>
      <c r="BL55" s="404">
        <v>210398.8</v>
      </c>
      <c r="BM55" s="404">
        <v>158200.10248</v>
      </c>
      <c r="BN55" s="404">
        <v>166329.49208000003</v>
      </c>
      <c r="BO55" s="404">
        <v>174483.97778000002</v>
      </c>
      <c r="BP55" s="404">
        <v>177717.84408000001</v>
      </c>
      <c r="BQ55" s="404">
        <v>198344.90317999999</v>
      </c>
      <c r="BR55" s="404">
        <v>100000</v>
      </c>
      <c r="BS55" s="404">
        <v>100000</v>
      </c>
      <c r="BT55" s="404">
        <v>156383.68047999998</v>
      </c>
      <c r="BU55" s="404">
        <v>159112.87497999999</v>
      </c>
      <c r="BV55" s="404">
        <v>161937.35708000002</v>
      </c>
      <c r="BW55" s="404">
        <v>166097.1501</v>
      </c>
      <c r="BX55" s="404">
        <v>0</v>
      </c>
      <c r="BY55" s="404">
        <v>0</v>
      </c>
      <c r="BZ55" s="404">
        <v>0</v>
      </c>
      <c r="CA55" s="404">
        <v>0</v>
      </c>
      <c r="CB55" s="404">
        <v>0</v>
      </c>
      <c r="CC55" s="404">
        <v>0</v>
      </c>
      <c r="CD55" s="404">
        <v>0</v>
      </c>
      <c r="CE55" s="404">
        <v>0</v>
      </c>
      <c r="CF55" s="404">
        <v>0</v>
      </c>
      <c r="CG55" s="404">
        <v>0</v>
      </c>
      <c r="CH55" s="404">
        <v>0</v>
      </c>
      <c r="CI55" s="404">
        <v>0</v>
      </c>
      <c r="CJ55" s="404">
        <v>0</v>
      </c>
      <c r="CK55" s="404">
        <v>0</v>
      </c>
      <c r="CL55" s="404">
        <v>0</v>
      </c>
      <c r="CM55" s="404">
        <v>0</v>
      </c>
      <c r="CN55" s="404">
        <v>0</v>
      </c>
      <c r="CO55" s="404">
        <v>0</v>
      </c>
      <c r="CP55" s="404">
        <v>0</v>
      </c>
      <c r="CQ55" s="404">
        <v>0</v>
      </c>
      <c r="CR55" s="404">
        <v>0</v>
      </c>
      <c r="CS55" s="404">
        <v>0</v>
      </c>
      <c r="CT55" s="404">
        <v>0</v>
      </c>
      <c r="CU55" s="404">
        <v>0</v>
      </c>
    </row>
    <row r="56" spans="1:99" s="375" customFormat="1">
      <c r="A56" s="376" t="s">
        <v>587</v>
      </c>
      <c r="B56" s="375" t="s">
        <v>588</v>
      </c>
      <c r="C56" s="418">
        <f ca="1">SUM(OFFSET(BX56:CJ56,0,'Bal Sheet'!$A$1-1))/13</f>
        <v>106020.08789723561</v>
      </c>
      <c r="P56" s="408" t="e">
        <v>#N/A</v>
      </c>
      <c r="Q56" s="408" t="e">
        <v>#N/A</v>
      </c>
      <c r="R56" s="408" t="e">
        <v>#N/A</v>
      </c>
      <c r="S56" s="408" t="e">
        <v>#N/A</v>
      </c>
      <c r="T56" s="408" t="e">
        <v>#N/A</v>
      </c>
      <c r="U56" s="408" t="e">
        <v>#N/A</v>
      </c>
      <c r="V56" s="408" t="e">
        <v>#N/A</v>
      </c>
      <c r="W56" s="408" t="e">
        <v>#N/A</v>
      </c>
      <c r="X56" s="404" t="e">
        <v>#N/A</v>
      </c>
      <c r="Y56" s="404" t="e">
        <v>#N/A</v>
      </c>
      <c r="Z56" s="404" t="e">
        <v>#N/A</v>
      </c>
      <c r="AA56" s="404" t="e">
        <v>#N/A</v>
      </c>
      <c r="AB56" s="404" t="e">
        <v>#N/A</v>
      </c>
      <c r="AC56" s="404" t="e">
        <v>#N/A</v>
      </c>
      <c r="AD56" s="404" t="e">
        <v>#N/A</v>
      </c>
      <c r="AE56" s="404" t="e">
        <v>#N/A</v>
      </c>
      <c r="AF56" s="404" t="e">
        <v>#N/A</v>
      </c>
      <c r="AG56" s="404" t="e">
        <v>#N/A</v>
      </c>
      <c r="AH56" s="404" t="e">
        <v>#N/A</v>
      </c>
      <c r="AI56" s="404" t="e">
        <v>#N/A</v>
      </c>
      <c r="AJ56" s="404" t="e">
        <v>#N/A</v>
      </c>
      <c r="AK56" s="404" t="e">
        <v>#N/A</v>
      </c>
      <c r="AL56" s="404" t="e">
        <v>#N/A</v>
      </c>
      <c r="AM56" s="404" t="e">
        <v>#N/A</v>
      </c>
      <c r="AN56" s="404" t="e">
        <v>#N/A</v>
      </c>
      <c r="AO56" s="404" t="e">
        <v>#N/A</v>
      </c>
      <c r="AP56" s="404" t="e">
        <v>#N/A</v>
      </c>
      <c r="AQ56" s="404" t="e">
        <v>#N/A</v>
      </c>
      <c r="AR56" s="404" t="e">
        <v>#N/A</v>
      </c>
      <c r="AS56" s="404" t="e">
        <v>#N/A</v>
      </c>
      <c r="AT56" s="404" t="e">
        <v>#N/A</v>
      </c>
      <c r="AU56" s="404" t="e">
        <v>#N/A</v>
      </c>
      <c r="AV56" s="404" t="e">
        <v>#N/A</v>
      </c>
      <c r="AW56" s="404" t="e">
        <v>#N/A</v>
      </c>
      <c r="AX56" s="404" t="e">
        <v>#N/A</v>
      </c>
      <c r="AY56" s="404" t="e">
        <v>#N/A</v>
      </c>
      <c r="AZ56" s="404" t="e">
        <v>#N/A</v>
      </c>
      <c r="BA56" s="404" t="e">
        <v>#N/A</v>
      </c>
      <c r="BB56" s="404">
        <v>0</v>
      </c>
      <c r="BC56" s="404">
        <v>0</v>
      </c>
      <c r="BD56" s="404">
        <v>0</v>
      </c>
      <c r="BE56" s="404">
        <v>0</v>
      </c>
      <c r="BF56" s="404">
        <v>0</v>
      </c>
      <c r="BG56" s="404">
        <v>0</v>
      </c>
      <c r="BH56" s="404">
        <v>0</v>
      </c>
      <c r="BI56" s="404">
        <v>0</v>
      </c>
      <c r="BJ56" s="404">
        <v>0</v>
      </c>
      <c r="BK56" s="404">
        <v>0</v>
      </c>
      <c r="BL56" s="404">
        <v>0</v>
      </c>
      <c r="BM56" s="404">
        <v>0</v>
      </c>
      <c r="BN56" s="404">
        <v>0</v>
      </c>
      <c r="BO56" s="404">
        <v>0</v>
      </c>
      <c r="BP56" s="404">
        <v>0</v>
      </c>
      <c r="BQ56" s="404">
        <v>0</v>
      </c>
      <c r="BR56" s="404">
        <v>0</v>
      </c>
      <c r="BS56" s="404">
        <v>0</v>
      </c>
      <c r="BT56" s="404">
        <v>0</v>
      </c>
      <c r="BU56" s="404">
        <v>0</v>
      </c>
      <c r="BV56" s="404">
        <v>0</v>
      </c>
      <c r="BW56" s="404">
        <v>0</v>
      </c>
      <c r="BX56" s="1028">
        <v>200760.02118052696</v>
      </c>
      <c r="BY56" s="1028">
        <v>249611.20169351308</v>
      </c>
      <c r="BZ56" s="1028">
        <v>267160.38534790167</v>
      </c>
      <c r="CA56" s="1028">
        <v>288943.00600232376</v>
      </c>
      <c r="CB56" s="1028">
        <v>294595.52464084502</v>
      </c>
      <c r="CC56" s="404">
        <v>312954.83522041357</v>
      </c>
      <c r="CD56" s="404">
        <v>332059.36013961281</v>
      </c>
      <c r="CE56" s="404">
        <v>328865.55297220201</v>
      </c>
      <c r="CF56" s="404">
        <v>338687.4372591307</v>
      </c>
      <c r="CG56" s="404">
        <v>112693.60830845684</v>
      </c>
      <c r="CH56" s="404">
        <v>91589.771866643321</v>
      </c>
      <c r="CI56" s="404">
        <v>107765.54957135524</v>
      </c>
      <c r="CJ56" s="404">
        <v>113573.86133633056</v>
      </c>
      <c r="CK56" s="404">
        <v>108081.6602919384</v>
      </c>
      <c r="CL56" s="404">
        <v>118845.55815136948</v>
      </c>
      <c r="CM56" s="404">
        <v>145010.30156472832</v>
      </c>
      <c r="CN56" s="404">
        <v>137421.27760443586</v>
      </c>
      <c r="CO56" s="404">
        <v>59815.061147584725</v>
      </c>
      <c r="CP56" s="404">
        <v>79909.165697083663</v>
      </c>
      <c r="CQ56" s="404">
        <v>67611.707420851919</v>
      </c>
      <c r="CR56" s="404">
        <v>77202.479567692179</v>
      </c>
      <c r="CS56" s="404">
        <v>115175.20090690796</v>
      </c>
      <c r="CT56" s="404">
        <v>114279.4981532449</v>
      </c>
      <c r="CU56" s="404">
        <v>133569.82125054006</v>
      </c>
    </row>
    <row r="57" spans="1:99" s="375" customFormat="1">
      <c r="A57" s="376" t="s">
        <v>589</v>
      </c>
      <c r="B57" s="375" t="s">
        <v>588</v>
      </c>
      <c r="C57" s="292">
        <f ca="1">SUM(OFFSET(BX57:CJ57,0,'Bal Sheet'!$A$1-1))/13</f>
        <v>0</v>
      </c>
      <c r="P57" s="409" t="e">
        <v>#N/A</v>
      </c>
      <c r="Q57" s="409" t="e">
        <v>#N/A</v>
      </c>
      <c r="R57" s="409" t="e">
        <v>#N/A</v>
      </c>
      <c r="S57" s="409" t="e">
        <v>#N/A</v>
      </c>
      <c r="T57" s="409" t="e">
        <v>#N/A</v>
      </c>
      <c r="U57" s="409" t="e">
        <v>#N/A</v>
      </c>
      <c r="V57" s="409" t="e">
        <v>#N/A</v>
      </c>
      <c r="W57" s="409" t="e">
        <v>#N/A</v>
      </c>
      <c r="X57" s="403" t="e">
        <v>#N/A</v>
      </c>
      <c r="Y57" s="403" t="e">
        <v>#N/A</v>
      </c>
      <c r="Z57" s="403" t="e">
        <v>#N/A</v>
      </c>
      <c r="AA57" s="403" t="e">
        <v>#N/A</v>
      </c>
      <c r="AB57" s="403" t="e">
        <v>#N/A</v>
      </c>
      <c r="AC57" s="403" t="e">
        <v>#N/A</v>
      </c>
      <c r="AD57" s="403" t="e">
        <v>#N/A</v>
      </c>
      <c r="AE57" s="403" t="e">
        <v>#N/A</v>
      </c>
      <c r="AF57" s="403" t="e">
        <v>#N/A</v>
      </c>
      <c r="AG57" s="403" t="e">
        <v>#N/A</v>
      </c>
      <c r="AH57" s="403" t="e">
        <v>#N/A</v>
      </c>
      <c r="AI57" s="403" t="e">
        <v>#N/A</v>
      </c>
      <c r="AJ57" s="403" t="e">
        <v>#N/A</v>
      </c>
      <c r="AK57" s="403" t="e">
        <v>#N/A</v>
      </c>
      <c r="AL57" s="403" t="e">
        <v>#N/A</v>
      </c>
      <c r="AM57" s="403" t="e">
        <v>#N/A</v>
      </c>
      <c r="AN57" s="403" t="e">
        <v>#N/A</v>
      </c>
      <c r="AO57" s="403" t="e">
        <v>#N/A</v>
      </c>
      <c r="AP57" s="403" t="e">
        <v>#N/A</v>
      </c>
      <c r="AQ57" s="403" t="e">
        <v>#N/A</v>
      </c>
      <c r="AR57" s="403" t="e">
        <v>#N/A</v>
      </c>
      <c r="AS57" s="403" t="e">
        <v>#N/A</v>
      </c>
      <c r="AT57" s="403" t="e">
        <v>#N/A</v>
      </c>
      <c r="AU57" s="403" t="e">
        <v>#N/A</v>
      </c>
      <c r="AV57" s="403" t="e">
        <v>#N/A</v>
      </c>
      <c r="AW57" s="403" t="e">
        <v>#N/A</v>
      </c>
      <c r="AX57" s="403" t="e">
        <v>#N/A</v>
      </c>
      <c r="AY57" s="403" t="e">
        <v>#N/A</v>
      </c>
      <c r="AZ57" s="403" t="e">
        <v>#N/A</v>
      </c>
      <c r="BA57" s="403" t="e">
        <v>#N/A</v>
      </c>
      <c r="BB57" s="1027"/>
      <c r="BC57" s="1027"/>
      <c r="BD57" s="1027"/>
      <c r="BE57" s="1027"/>
      <c r="BF57" s="1027"/>
      <c r="BG57" s="1027"/>
      <c r="BH57" s="1027"/>
      <c r="BI57" s="1027"/>
      <c r="BJ57" s="1027"/>
      <c r="BK57" s="1027"/>
      <c r="BL57" s="1027">
        <v>0</v>
      </c>
      <c r="BM57" s="1027">
        <v>0</v>
      </c>
      <c r="BN57" s="1027">
        <v>0</v>
      </c>
      <c r="BO57" s="1027">
        <v>0</v>
      </c>
      <c r="BP57" s="1027">
        <v>0</v>
      </c>
      <c r="BQ57" s="1027">
        <v>0</v>
      </c>
      <c r="BR57" s="403">
        <v>36571.246979999996</v>
      </c>
      <c r="BS57" s="403">
        <v>24775.692280000003</v>
      </c>
      <c r="BT57" s="403">
        <v>0</v>
      </c>
      <c r="BU57" s="403">
        <v>0</v>
      </c>
      <c r="BV57" s="403">
        <v>0</v>
      </c>
      <c r="BW57" s="403">
        <v>0</v>
      </c>
      <c r="BX57" s="403">
        <v>0</v>
      </c>
      <c r="BY57" s="403">
        <v>0</v>
      </c>
      <c r="BZ57" s="403">
        <v>0</v>
      </c>
      <c r="CA57" s="403">
        <v>0</v>
      </c>
      <c r="CB57" s="403">
        <v>0</v>
      </c>
      <c r="CC57" s="403">
        <v>0</v>
      </c>
      <c r="CD57" s="403">
        <v>0</v>
      </c>
      <c r="CE57" s="403">
        <v>0</v>
      </c>
      <c r="CF57" s="403">
        <v>0</v>
      </c>
      <c r="CG57" s="403">
        <v>0</v>
      </c>
      <c r="CH57" s="403">
        <v>0</v>
      </c>
      <c r="CI57" s="403">
        <v>0</v>
      </c>
      <c r="CJ57" s="403">
        <v>0</v>
      </c>
      <c r="CK57" s="403">
        <v>0</v>
      </c>
      <c r="CL57" s="403">
        <v>0</v>
      </c>
      <c r="CM57" s="403">
        <v>0</v>
      </c>
      <c r="CN57" s="403">
        <v>0</v>
      </c>
      <c r="CO57" s="403">
        <v>0</v>
      </c>
      <c r="CP57" s="403">
        <v>0</v>
      </c>
      <c r="CQ57" s="403">
        <v>0</v>
      </c>
      <c r="CR57" s="403">
        <v>0</v>
      </c>
      <c r="CS57" s="403">
        <v>0</v>
      </c>
      <c r="CT57" s="403">
        <v>0</v>
      </c>
      <c r="CU57" s="403">
        <v>0</v>
      </c>
    </row>
    <row r="58" spans="1:99" s="375" customFormat="1">
      <c r="B58" s="214" t="s">
        <v>584</v>
      </c>
      <c r="C58" s="293">
        <f ca="1">SUM(C54:C57)</f>
        <v>106020.08789723561</v>
      </c>
      <c r="P58" s="450" t="e">
        <f t="shared" ref="P58:AA58" si="185">SUM(P55:P57)</f>
        <v>#N/A</v>
      </c>
      <c r="Q58" s="450" t="e">
        <f t="shared" si="185"/>
        <v>#N/A</v>
      </c>
      <c r="R58" s="450" t="e">
        <f t="shared" si="185"/>
        <v>#N/A</v>
      </c>
      <c r="S58" s="450" t="e">
        <f t="shared" si="185"/>
        <v>#N/A</v>
      </c>
      <c r="T58" s="450" t="e">
        <f t="shared" si="185"/>
        <v>#N/A</v>
      </c>
      <c r="U58" s="450" t="e">
        <f t="shared" si="185"/>
        <v>#N/A</v>
      </c>
      <c r="V58" s="450" t="e">
        <f t="shared" si="185"/>
        <v>#N/A</v>
      </c>
      <c r="W58" s="450" t="e">
        <f t="shared" si="185"/>
        <v>#N/A</v>
      </c>
      <c r="X58" s="450" t="e">
        <f t="shared" si="185"/>
        <v>#N/A</v>
      </c>
      <c r="Y58" s="450" t="e">
        <f t="shared" si="185"/>
        <v>#N/A</v>
      </c>
      <c r="Z58" s="450" t="e">
        <f t="shared" si="185"/>
        <v>#N/A</v>
      </c>
      <c r="AA58" s="450" t="e">
        <f t="shared" si="185"/>
        <v>#N/A</v>
      </c>
      <c r="AB58" s="450" t="e">
        <f t="shared" ref="AB58:AX58" si="186">SUM(AB55:AB57)</f>
        <v>#N/A</v>
      </c>
      <c r="AC58" s="450" t="e">
        <f t="shared" si="186"/>
        <v>#N/A</v>
      </c>
      <c r="AD58" s="450" t="e">
        <f t="shared" si="186"/>
        <v>#N/A</v>
      </c>
      <c r="AE58" s="450" t="e">
        <f t="shared" si="186"/>
        <v>#N/A</v>
      </c>
      <c r="AF58" s="450" t="e">
        <f t="shared" si="186"/>
        <v>#N/A</v>
      </c>
      <c r="AG58" s="450" t="e">
        <f t="shared" si="186"/>
        <v>#N/A</v>
      </c>
      <c r="AH58" s="450" t="e">
        <f t="shared" si="186"/>
        <v>#N/A</v>
      </c>
      <c r="AI58" s="450" t="e">
        <f t="shared" si="186"/>
        <v>#N/A</v>
      </c>
      <c r="AJ58" s="450" t="e">
        <f t="shared" si="186"/>
        <v>#N/A</v>
      </c>
      <c r="AK58" s="450" t="e">
        <f t="shared" si="186"/>
        <v>#N/A</v>
      </c>
      <c r="AL58" s="450" t="e">
        <f t="shared" si="186"/>
        <v>#N/A</v>
      </c>
      <c r="AM58" s="450" t="e">
        <f t="shared" si="186"/>
        <v>#N/A</v>
      </c>
      <c r="AN58" s="450" t="e">
        <f>SUM(AN55:AN57)</f>
        <v>#N/A</v>
      </c>
      <c r="AO58" s="450" t="e">
        <f t="shared" si="186"/>
        <v>#N/A</v>
      </c>
      <c r="AP58" s="450" t="e">
        <f t="shared" si="186"/>
        <v>#N/A</v>
      </c>
      <c r="AQ58" s="450" t="e">
        <f t="shared" si="186"/>
        <v>#N/A</v>
      </c>
      <c r="AR58" s="450" t="e">
        <f t="shared" si="186"/>
        <v>#N/A</v>
      </c>
      <c r="AS58" s="450" t="e">
        <f t="shared" si="186"/>
        <v>#N/A</v>
      </c>
      <c r="AT58" s="450" t="e">
        <f t="shared" si="186"/>
        <v>#N/A</v>
      </c>
      <c r="AU58" s="450" t="e">
        <f t="shared" si="186"/>
        <v>#N/A</v>
      </c>
      <c r="AV58" s="450" t="e">
        <f t="shared" si="186"/>
        <v>#N/A</v>
      </c>
      <c r="AW58" s="450" t="e">
        <f t="shared" si="186"/>
        <v>#N/A</v>
      </c>
      <c r="AX58" s="450" t="e">
        <f t="shared" si="186"/>
        <v>#N/A</v>
      </c>
      <c r="AY58" s="450" t="e">
        <f>SUM(AY55:AY57)</f>
        <v>#N/A</v>
      </c>
      <c r="AZ58" s="450" t="e">
        <f t="shared" ref="AZ58:BH58" si="187">SUM(AZ55:AZ57)</f>
        <v>#N/A</v>
      </c>
      <c r="BA58" s="450" t="e">
        <f t="shared" si="187"/>
        <v>#N/A</v>
      </c>
      <c r="BB58" s="450">
        <f t="shared" si="187"/>
        <v>10000</v>
      </c>
      <c r="BC58" s="450">
        <f t="shared" si="187"/>
        <v>17122.400000000001</v>
      </c>
      <c r="BD58" s="450">
        <f t="shared" si="187"/>
        <v>87741.5</v>
      </c>
      <c r="BE58" s="450">
        <f t="shared" si="187"/>
        <v>99244.3</v>
      </c>
      <c r="BF58" s="450">
        <f t="shared" si="187"/>
        <v>111939.3</v>
      </c>
      <c r="BG58" s="450">
        <f t="shared" si="187"/>
        <v>101333.5</v>
      </c>
      <c r="BH58" s="450">
        <f t="shared" si="187"/>
        <v>115219</v>
      </c>
      <c r="BI58" s="450">
        <f>SUM(BI55:BI57)</f>
        <v>136200.9</v>
      </c>
      <c r="BJ58" s="450">
        <f t="shared" ref="BJ58" si="188">SUM(BJ55:BJ57)</f>
        <v>144763.5</v>
      </c>
      <c r="BK58" s="450">
        <f t="shared" ref="BK58:BW58" si="189">SUM(BK55:BK57)</f>
        <v>189522.1</v>
      </c>
      <c r="BL58" s="450">
        <f t="shared" si="189"/>
        <v>210398.8</v>
      </c>
      <c r="BM58" s="450">
        <f t="shared" si="189"/>
        <v>158200.10248</v>
      </c>
      <c r="BN58" s="450">
        <f t="shared" si="189"/>
        <v>166329.49208000003</v>
      </c>
      <c r="BO58" s="450">
        <f t="shared" si="189"/>
        <v>174483.97778000002</v>
      </c>
      <c r="BP58" s="450">
        <f t="shared" si="189"/>
        <v>177717.84408000001</v>
      </c>
      <c r="BQ58" s="450">
        <f t="shared" si="189"/>
        <v>198344.90317999999</v>
      </c>
      <c r="BR58" s="450">
        <f t="shared" si="189"/>
        <v>136571.24698</v>
      </c>
      <c r="BS58" s="450">
        <f t="shared" si="189"/>
        <v>124775.69228</v>
      </c>
      <c r="BT58" s="450">
        <f t="shared" si="189"/>
        <v>156383.68047999998</v>
      </c>
      <c r="BU58" s="450">
        <f t="shared" si="189"/>
        <v>159112.87497999999</v>
      </c>
      <c r="BV58" s="450">
        <f t="shared" si="189"/>
        <v>161937.35708000002</v>
      </c>
      <c r="BW58" s="450">
        <f t="shared" si="189"/>
        <v>166097.1501</v>
      </c>
      <c r="BX58" s="450">
        <f t="shared" ref="BX58:CI58" si="190">SUM(BX55:BX57)</f>
        <v>200760.02118052696</v>
      </c>
      <c r="BY58" s="450">
        <f t="shared" si="190"/>
        <v>249611.20169351308</v>
      </c>
      <c r="BZ58" s="450">
        <f t="shared" si="190"/>
        <v>267160.38534790167</v>
      </c>
      <c r="CA58" s="450">
        <f t="shared" si="190"/>
        <v>288943.00600232376</v>
      </c>
      <c r="CB58" s="450">
        <f t="shared" si="190"/>
        <v>294595.52464084502</v>
      </c>
      <c r="CC58" s="450">
        <f t="shared" si="190"/>
        <v>312954.83522041357</v>
      </c>
      <c r="CD58" s="450">
        <f t="shared" si="190"/>
        <v>332059.36013961281</v>
      </c>
      <c r="CE58" s="450">
        <f t="shared" si="190"/>
        <v>328865.55297220201</v>
      </c>
      <c r="CF58" s="450">
        <f t="shared" si="190"/>
        <v>338687.4372591307</v>
      </c>
      <c r="CG58" s="450">
        <f t="shared" si="190"/>
        <v>112693.60830845684</v>
      </c>
      <c r="CH58" s="450">
        <f t="shared" si="190"/>
        <v>91589.771866643321</v>
      </c>
      <c r="CI58" s="450">
        <f t="shared" si="190"/>
        <v>107765.54957135524</v>
      </c>
      <c r="CJ58" s="450">
        <f t="shared" ref="CJ58:CU58" si="191">SUM(CJ55:CJ57)</f>
        <v>113573.86133633056</v>
      </c>
      <c r="CK58" s="450">
        <f t="shared" si="191"/>
        <v>108081.6602919384</v>
      </c>
      <c r="CL58" s="450">
        <f t="shared" si="191"/>
        <v>118845.55815136948</v>
      </c>
      <c r="CM58" s="450">
        <f t="shared" si="191"/>
        <v>145010.30156472832</v>
      </c>
      <c r="CN58" s="450">
        <f t="shared" si="191"/>
        <v>137421.27760443586</v>
      </c>
      <c r="CO58" s="450">
        <f t="shared" si="191"/>
        <v>59815.061147584725</v>
      </c>
      <c r="CP58" s="450">
        <f t="shared" si="191"/>
        <v>79909.165697083663</v>
      </c>
      <c r="CQ58" s="450">
        <f t="shared" si="191"/>
        <v>67611.707420851919</v>
      </c>
      <c r="CR58" s="450">
        <f t="shared" si="191"/>
        <v>77202.479567692179</v>
      </c>
      <c r="CS58" s="450">
        <f t="shared" si="191"/>
        <v>115175.20090690796</v>
      </c>
      <c r="CT58" s="450">
        <f t="shared" si="191"/>
        <v>114279.4981532449</v>
      </c>
      <c r="CU58" s="450">
        <f t="shared" si="191"/>
        <v>133569.82125054006</v>
      </c>
    </row>
    <row r="59" spans="1:99" s="375" customFormat="1">
      <c r="Z59" s="447"/>
    </row>
    <row r="60" spans="1:99" s="375" customFormat="1">
      <c r="B60" s="447" t="s">
        <v>590</v>
      </c>
      <c r="Z60" s="447"/>
      <c r="AA60" s="451" t="e">
        <f t="shared" ref="AA60:AX60" si="192">SUM(O58:AA58)/13</f>
        <v>#N/A</v>
      </c>
      <c r="AB60" s="451" t="e">
        <f t="shared" si="192"/>
        <v>#N/A</v>
      </c>
      <c r="AC60" s="451" t="e">
        <f t="shared" si="192"/>
        <v>#N/A</v>
      </c>
      <c r="AD60" s="451" t="e">
        <f t="shared" si="192"/>
        <v>#N/A</v>
      </c>
      <c r="AE60" s="451" t="e">
        <f t="shared" si="192"/>
        <v>#N/A</v>
      </c>
      <c r="AF60" s="451" t="e">
        <f t="shared" si="192"/>
        <v>#N/A</v>
      </c>
      <c r="AG60" s="451" t="e">
        <f t="shared" si="192"/>
        <v>#N/A</v>
      </c>
      <c r="AH60" s="451" t="e">
        <f t="shared" si="192"/>
        <v>#N/A</v>
      </c>
      <c r="AI60" s="451" t="e">
        <f>SUM(W58:AI58)/13</f>
        <v>#N/A</v>
      </c>
      <c r="AJ60" s="451" t="e">
        <f t="shared" si="192"/>
        <v>#N/A</v>
      </c>
      <c r="AK60" s="451" t="e">
        <f t="shared" si="192"/>
        <v>#N/A</v>
      </c>
      <c r="AL60" s="451" t="e">
        <f t="shared" si="192"/>
        <v>#N/A</v>
      </c>
      <c r="AM60" s="451" t="e">
        <f>SUM(AA58:AM58)/13</f>
        <v>#N/A</v>
      </c>
      <c r="AN60" s="451" t="e">
        <f>SUM(AB58:AN58)/13</f>
        <v>#N/A</v>
      </c>
      <c r="AO60" s="451" t="e">
        <f t="shared" si="192"/>
        <v>#N/A</v>
      </c>
      <c r="AP60" s="451" t="e">
        <f t="shared" si="192"/>
        <v>#N/A</v>
      </c>
      <c r="AQ60" s="451" t="e">
        <f t="shared" si="192"/>
        <v>#N/A</v>
      </c>
      <c r="AR60" s="451" t="e">
        <f t="shared" si="192"/>
        <v>#N/A</v>
      </c>
      <c r="AS60" s="451" t="e">
        <f t="shared" si="192"/>
        <v>#N/A</v>
      </c>
      <c r="AT60" s="451" t="e">
        <f t="shared" si="192"/>
        <v>#N/A</v>
      </c>
      <c r="AU60" s="451" t="e">
        <f t="shared" si="192"/>
        <v>#N/A</v>
      </c>
      <c r="AV60" s="451" t="e">
        <f t="shared" si="192"/>
        <v>#N/A</v>
      </c>
      <c r="AW60" s="451" t="e">
        <f t="shared" si="192"/>
        <v>#N/A</v>
      </c>
      <c r="AX60" s="451" t="e">
        <f t="shared" si="192"/>
        <v>#N/A</v>
      </c>
      <c r="AY60" s="451" t="e">
        <f>SUM(AM58:AY58)/13</f>
        <v>#N/A</v>
      </c>
      <c r="AZ60" s="451" t="e">
        <f t="shared" ref="AZ60:BA60" si="193">SUM(AN58:AZ58)/13</f>
        <v>#N/A</v>
      </c>
      <c r="BA60" s="451" t="e">
        <f t="shared" si="193"/>
        <v>#N/A</v>
      </c>
      <c r="BB60" s="451"/>
      <c r="BC60" s="451"/>
      <c r="BD60" s="451"/>
      <c r="BE60" s="451"/>
      <c r="BF60" s="451"/>
      <c r="BG60" s="451"/>
      <c r="BH60" s="451"/>
      <c r="BI60" s="451"/>
      <c r="BJ60" s="451"/>
      <c r="BK60" s="451"/>
      <c r="BL60" s="451"/>
      <c r="BM60" s="451"/>
      <c r="BN60" s="451">
        <f t="shared" ref="BN60" si="194">SUM(BB58:BN58)/13</f>
        <v>119078.0688123077</v>
      </c>
      <c r="BO60" s="451">
        <f t="shared" ref="BO60" si="195">SUM(BC58:BO58)/13</f>
        <v>131730.68248769233</v>
      </c>
      <c r="BP60" s="451">
        <f t="shared" ref="BP60" si="196">SUM(BD58:BP58)/13</f>
        <v>144084.17818615382</v>
      </c>
      <c r="BQ60" s="451">
        <f t="shared" ref="BQ60" si="197">SUM(BE58:BQ58)/13</f>
        <v>152592.13227692305</v>
      </c>
      <c r="BR60" s="451">
        <f t="shared" ref="BR60" si="198">SUM(BF58:BR58)/13</f>
        <v>155463.43589076924</v>
      </c>
      <c r="BS60" s="451">
        <f t="shared" ref="BS60" si="199">SUM(BG58:BS58)/13</f>
        <v>156450.85068153849</v>
      </c>
      <c r="BT60" s="451">
        <f t="shared" ref="BT60" si="200">SUM(BH58:BT58)/13</f>
        <v>160685.47994923079</v>
      </c>
      <c r="BU60" s="451">
        <f t="shared" ref="BU60" si="201">SUM(BI58:BU58)/13</f>
        <v>164061.93187076921</v>
      </c>
      <c r="BV60" s="451">
        <f t="shared" ref="BV60" si="202">SUM(BJ58:BV58)/13</f>
        <v>166041.65933846156</v>
      </c>
      <c r="BW60" s="451">
        <f t="shared" ref="BW60" si="203">SUM(BK58:BW58)/13</f>
        <v>167682.70934615383</v>
      </c>
      <c r="BX60" s="451">
        <f t="shared" ref="BX60" si="204">SUM(BL58:BX58)/13</f>
        <v>168547.16482157898</v>
      </c>
      <c r="BY60" s="451">
        <f t="shared" ref="BY60" si="205">SUM(BM58:BY58)/13</f>
        <v>171563.50341338772</v>
      </c>
      <c r="BZ60" s="451">
        <f t="shared" ref="BZ60" si="206">SUM(BN58:BZ58)/13</f>
        <v>179945.06363399554</v>
      </c>
      <c r="CA60" s="451">
        <f t="shared" ref="CA60" si="207">SUM(BO58:CA58)/13</f>
        <v>189376.87239725122</v>
      </c>
      <c r="CB60" s="451">
        <f t="shared" ref="CB60" si="208">SUM(BP58:CB58)/13</f>
        <v>198616.22215577774</v>
      </c>
      <c r="CC60" s="451">
        <f t="shared" ref="CC60" si="209">SUM(BQ58:CC58)/13</f>
        <v>209019.06762811728</v>
      </c>
      <c r="CD60" s="451">
        <f t="shared" ref="CD60" si="210">SUM(BR58:CD58)/13</f>
        <v>219304.79508654895</v>
      </c>
      <c r="CE60" s="451">
        <f t="shared" ref="CE60" si="211">SUM(BS58:CE58)/13</f>
        <v>234096.66477825685</v>
      </c>
      <c r="CF60" s="451">
        <f t="shared" ref="CF60" si="212">SUM(BT58:CF58)/13</f>
        <v>250551.41439203612</v>
      </c>
      <c r="CG60" s="451">
        <f t="shared" ref="CG60" si="213">SUM(BU58:CG58)/13</f>
        <v>247190.63960960976</v>
      </c>
      <c r="CH60" s="451">
        <f t="shared" ref="CH60" si="214">SUM(BV58:CH58)/13</f>
        <v>241996.55475473616</v>
      </c>
      <c r="CI60" s="451">
        <f t="shared" ref="CI60" si="215">SUM(BW58:CI58)/13</f>
        <v>237829.49263868653</v>
      </c>
      <c r="CJ60" s="451">
        <f t="shared" ref="CJ60" si="216">SUM(BX58:CJ58)/13</f>
        <v>233789.2396568658</v>
      </c>
      <c r="CK60" s="451">
        <f t="shared" ref="CK60" si="217">SUM(BY58:CK58)/13</f>
        <v>226660.13497312827</v>
      </c>
      <c r="CL60" s="451">
        <f t="shared" ref="CL60" si="218">SUM(BZ58:CL58)/13</f>
        <v>216601.23931604024</v>
      </c>
      <c r="CM60" s="451">
        <f t="shared" ref="CM60" si="219">SUM(CA58:CM58)/13</f>
        <v>207205.07902502691</v>
      </c>
      <c r="CN60" s="451">
        <f t="shared" ref="CN60" si="220">SUM(CB58:CN58)/13</f>
        <v>195549.56145595867</v>
      </c>
      <c r="CO60" s="451">
        <f t="shared" ref="CO60" si="221">SUM(CC58:CO58)/13</f>
        <v>177489.5258026309</v>
      </c>
      <c r="CP60" s="451">
        <f t="shared" ref="CP60" si="222">SUM(CD58:CP58)/13</f>
        <v>159562.93583929783</v>
      </c>
      <c r="CQ60" s="451">
        <f t="shared" ref="CQ60" si="223">SUM(CE58:CQ58)/13</f>
        <v>139220.80870708547</v>
      </c>
      <c r="CR60" s="451">
        <f t="shared" ref="CR60" si="224">SUM(CF58:CR58)/13</f>
        <v>119862.11075289239</v>
      </c>
      <c r="CS60" s="451">
        <f t="shared" ref="CS60" si="225">SUM(CG58:CS58)/13</f>
        <v>102668.86180272141</v>
      </c>
      <c r="CT60" s="451">
        <f t="shared" ref="CT60" si="226">SUM(CH58:CT58)/13</f>
        <v>102790.85332924357</v>
      </c>
      <c r="CU60" s="451">
        <f t="shared" ref="CU60" si="227">SUM(CI58:CU58)/13</f>
        <v>106020.08789723561</v>
      </c>
    </row>
    <row r="61" spans="1:99" s="375" customFormat="1">
      <c r="Z61" s="447"/>
    </row>
    <row r="62" spans="1:99" s="375" customFormat="1">
      <c r="B62" s="212" t="s">
        <v>591</v>
      </c>
      <c r="P62" s="421">
        <f t="shared" ref="P62:AU62" si="228">+P8</f>
        <v>43108</v>
      </c>
      <c r="Q62" s="421">
        <f t="shared" si="228"/>
        <v>43139</v>
      </c>
      <c r="R62" s="421">
        <f t="shared" si="228"/>
        <v>43170</v>
      </c>
      <c r="S62" s="421">
        <f t="shared" si="228"/>
        <v>43201</v>
      </c>
      <c r="T62" s="421">
        <f t="shared" si="228"/>
        <v>43232</v>
      </c>
      <c r="U62" s="421">
        <f t="shared" si="228"/>
        <v>43263</v>
      </c>
      <c r="V62" s="421">
        <f t="shared" si="228"/>
        <v>43294</v>
      </c>
      <c r="W62" s="421">
        <f t="shared" si="228"/>
        <v>43325</v>
      </c>
      <c r="X62" s="421">
        <f t="shared" si="228"/>
        <v>43356</v>
      </c>
      <c r="Y62" s="421">
        <f t="shared" si="228"/>
        <v>43387</v>
      </c>
      <c r="Z62" s="421">
        <f t="shared" si="228"/>
        <v>43418</v>
      </c>
      <c r="AA62" s="421">
        <f t="shared" si="228"/>
        <v>43449</v>
      </c>
      <c r="AB62" s="421">
        <f t="shared" si="228"/>
        <v>43480</v>
      </c>
      <c r="AC62" s="421">
        <f t="shared" si="228"/>
        <v>43511</v>
      </c>
      <c r="AD62" s="421">
        <f t="shared" si="228"/>
        <v>43542</v>
      </c>
      <c r="AE62" s="421">
        <f t="shared" si="228"/>
        <v>43573</v>
      </c>
      <c r="AF62" s="421">
        <f t="shared" si="228"/>
        <v>43604</v>
      </c>
      <c r="AG62" s="421">
        <f t="shared" si="228"/>
        <v>43635</v>
      </c>
      <c r="AH62" s="421">
        <f t="shared" si="228"/>
        <v>43666</v>
      </c>
      <c r="AI62" s="421">
        <f t="shared" si="228"/>
        <v>43697</v>
      </c>
      <c r="AJ62" s="421">
        <f t="shared" si="228"/>
        <v>43728</v>
      </c>
      <c r="AK62" s="421">
        <f t="shared" si="228"/>
        <v>43759</v>
      </c>
      <c r="AL62" s="421">
        <f t="shared" si="228"/>
        <v>43790</v>
      </c>
      <c r="AM62" s="421">
        <f t="shared" si="228"/>
        <v>43821</v>
      </c>
      <c r="AN62" s="421">
        <f t="shared" si="228"/>
        <v>43852</v>
      </c>
      <c r="AO62" s="421">
        <f t="shared" si="228"/>
        <v>43883</v>
      </c>
      <c r="AP62" s="421">
        <f t="shared" si="228"/>
        <v>43914</v>
      </c>
      <c r="AQ62" s="421">
        <f t="shared" si="228"/>
        <v>43945</v>
      </c>
      <c r="AR62" s="421">
        <f t="shared" si="228"/>
        <v>43976</v>
      </c>
      <c r="AS62" s="421">
        <f t="shared" si="228"/>
        <v>44007</v>
      </c>
      <c r="AT62" s="421">
        <f t="shared" si="228"/>
        <v>44038</v>
      </c>
      <c r="AU62" s="421">
        <f t="shared" si="228"/>
        <v>44069</v>
      </c>
      <c r="AV62" s="421">
        <f t="shared" ref="AV62:CA62" si="229">+AV8</f>
        <v>44100</v>
      </c>
      <c r="AW62" s="421">
        <f t="shared" si="229"/>
        <v>44131</v>
      </c>
      <c r="AX62" s="421">
        <f t="shared" si="229"/>
        <v>44162</v>
      </c>
      <c r="AY62" s="421">
        <f t="shared" si="229"/>
        <v>44193</v>
      </c>
      <c r="AZ62" s="421">
        <f t="shared" si="229"/>
        <v>44224</v>
      </c>
      <c r="BA62" s="421">
        <f t="shared" si="229"/>
        <v>44255</v>
      </c>
      <c r="BB62" s="421">
        <f t="shared" si="229"/>
        <v>44285</v>
      </c>
      <c r="BC62" s="421">
        <f t="shared" si="229"/>
        <v>44316</v>
      </c>
      <c r="BD62" s="421">
        <f t="shared" si="229"/>
        <v>44347</v>
      </c>
      <c r="BE62" s="421">
        <f t="shared" si="229"/>
        <v>44377</v>
      </c>
      <c r="BF62" s="421">
        <f t="shared" si="229"/>
        <v>44408</v>
      </c>
      <c r="BG62" s="421">
        <f t="shared" si="229"/>
        <v>44439</v>
      </c>
      <c r="BH62" s="421">
        <f t="shared" si="229"/>
        <v>44469</v>
      </c>
      <c r="BI62" s="421">
        <f t="shared" si="229"/>
        <v>44500</v>
      </c>
      <c r="BJ62" s="421">
        <f t="shared" si="229"/>
        <v>44530</v>
      </c>
      <c r="BK62" s="421">
        <f t="shared" si="229"/>
        <v>44561</v>
      </c>
      <c r="BL62" s="421">
        <f t="shared" si="229"/>
        <v>44592</v>
      </c>
      <c r="BM62" s="421">
        <f t="shared" si="229"/>
        <v>44620</v>
      </c>
      <c r="BN62" s="421">
        <f t="shared" si="229"/>
        <v>44651</v>
      </c>
      <c r="BO62" s="421">
        <f t="shared" si="229"/>
        <v>44681</v>
      </c>
      <c r="BP62" s="421">
        <f t="shared" si="229"/>
        <v>44712</v>
      </c>
      <c r="BQ62" s="421">
        <f t="shared" si="229"/>
        <v>44742</v>
      </c>
      <c r="BR62" s="421">
        <f t="shared" si="229"/>
        <v>44773</v>
      </c>
      <c r="BS62" s="421">
        <f t="shared" si="229"/>
        <v>44804</v>
      </c>
      <c r="BT62" s="421">
        <f t="shared" si="229"/>
        <v>44834</v>
      </c>
      <c r="BU62" s="421">
        <f t="shared" si="229"/>
        <v>44865</v>
      </c>
      <c r="BV62" s="421">
        <f t="shared" si="229"/>
        <v>44895</v>
      </c>
      <c r="BW62" s="421">
        <f t="shared" si="229"/>
        <v>44926</v>
      </c>
      <c r="BX62" s="421">
        <f t="shared" si="229"/>
        <v>44957</v>
      </c>
      <c r="BY62" s="421">
        <f t="shared" si="229"/>
        <v>44985</v>
      </c>
      <c r="BZ62" s="421">
        <f t="shared" si="229"/>
        <v>45016</v>
      </c>
      <c r="CA62" s="421">
        <f t="shared" si="229"/>
        <v>45046</v>
      </c>
      <c r="CB62" s="421">
        <f t="shared" ref="CB62:CM62" si="230">+CB8</f>
        <v>45077</v>
      </c>
      <c r="CC62" s="421">
        <f t="shared" si="230"/>
        <v>45107</v>
      </c>
      <c r="CD62" s="421">
        <f t="shared" si="230"/>
        <v>45138</v>
      </c>
      <c r="CE62" s="421">
        <f t="shared" si="230"/>
        <v>45169</v>
      </c>
      <c r="CF62" s="421">
        <f t="shared" si="230"/>
        <v>45199</v>
      </c>
      <c r="CG62" s="421">
        <f t="shared" si="230"/>
        <v>45230</v>
      </c>
      <c r="CH62" s="421">
        <f t="shared" si="230"/>
        <v>45260</v>
      </c>
      <c r="CI62" s="421">
        <f t="shared" si="230"/>
        <v>45291</v>
      </c>
      <c r="CJ62" s="421">
        <f t="shared" si="230"/>
        <v>45322</v>
      </c>
      <c r="CK62" s="421">
        <f t="shared" si="230"/>
        <v>45350</v>
      </c>
      <c r="CL62" s="421">
        <f t="shared" si="230"/>
        <v>45382</v>
      </c>
      <c r="CM62" s="421">
        <f t="shared" si="230"/>
        <v>45412</v>
      </c>
      <c r="CN62" s="421">
        <f t="shared" ref="CN62:CU62" si="231">+CN8</f>
        <v>45443</v>
      </c>
      <c r="CO62" s="421">
        <f t="shared" si="231"/>
        <v>45473</v>
      </c>
      <c r="CP62" s="421">
        <f t="shared" si="231"/>
        <v>45504</v>
      </c>
      <c r="CQ62" s="421">
        <f t="shared" si="231"/>
        <v>45535</v>
      </c>
      <c r="CR62" s="421">
        <f t="shared" si="231"/>
        <v>45565</v>
      </c>
      <c r="CS62" s="421">
        <f t="shared" si="231"/>
        <v>45596</v>
      </c>
      <c r="CT62" s="421">
        <f t="shared" si="231"/>
        <v>45626</v>
      </c>
      <c r="CU62" s="421">
        <f t="shared" si="231"/>
        <v>45657</v>
      </c>
    </row>
    <row r="63" spans="1:99" s="375" customFormat="1"/>
    <row r="64" spans="1:99" s="375" customFormat="1">
      <c r="A64" s="376" t="s">
        <v>592</v>
      </c>
      <c r="B64" s="447" t="s">
        <v>593</v>
      </c>
      <c r="C64" s="286">
        <f ca="1">SUM(OFFSET(BX64:CI64,0,'Bal Sheet'!$A$1))</f>
        <v>0</v>
      </c>
      <c r="P64" s="408" t="e">
        <v>#N/A</v>
      </c>
      <c r="Q64" s="408" t="e">
        <v>#N/A</v>
      </c>
      <c r="R64" s="408" t="e">
        <v>#N/A</v>
      </c>
      <c r="S64" s="408" t="e">
        <v>#N/A</v>
      </c>
      <c r="T64" s="408" t="e">
        <v>#N/A</v>
      </c>
      <c r="U64" s="408" t="e">
        <v>#N/A</v>
      </c>
      <c r="V64" s="408" t="e">
        <v>#N/A</v>
      </c>
      <c r="W64" s="408" t="e">
        <v>#N/A</v>
      </c>
      <c r="X64" s="404" t="e">
        <v>#N/A</v>
      </c>
      <c r="Y64" s="404" t="e">
        <v>#N/A</v>
      </c>
      <c r="Z64" s="404" t="e">
        <v>#N/A</v>
      </c>
      <c r="AA64" s="404" t="e">
        <v>#N/A</v>
      </c>
      <c r="AB64" s="404" t="e">
        <v>#N/A</v>
      </c>
      <c r="AC64" s="404" t="e">
        <v>#N/A</v>
      </c>
      <c r="AD64" s="404" t="e">
        <v>#N/A</v>
      </c>
      <c r="AE64" s="404" t="e">
        <v>#N/A</v>
      </c>
      <c r="AF64" s="404" t="e">
        <v>#N/A</v>
      </c>
      <c r="AG64" s="404" t="e">
        <v>#N/A</v>
      </c>
      <c r="AH64" s="404" t="e">
        <v>#N/A</v>
      </c>
      <c r="AI64" s="404" t="e">
        <v>#N/A</v>
      </c>
      <c r="AJ64" s="404" t="e">
        <v>#N/A</v>
      </c>
      <c r="AK64" s="404" t="e">
        <v>#N/A</v>
      </c>
      <c r="AL64" s="404" t="e">
        <v>#N/A</v>
      </c>
      <c r="AM64" s="404" t="e">
        <v>#N/A</v>
      </c>
      <c r="AN64" s="404" t="e">
        <v>#N/A</v>
      </c>
      <c r="AO64" s="404" t="e">
        <v>#N/A</v>
      </c>
      <c r="AP64" s="404" t="e">
        <v>#N/A</v>
      </c>
      <c r="AQ64" s="404" t="e">
        <v>#N/A</v>
      </c>
      <c r="AR64" s="404" t="e">
        <v>#N/A</v>
      </c>
      <c r="AS64" s="404" t="e">
        <v>#N/A</v>
      </c>
      <c r="AT64" s="404" t="e">
        <v>#N/A</v>
      </c>
      <c r="AU64" s="404" t="e">
        <v>#N/A</v>
      </c>
      <c r="AV64" s="404" t="e">
        <v>#N/A</v>
      </c>
      <c r="AW64" s="404" t="e">
        <v>#N/A</v>
      </c>
      <c r="AX64" s="404" t="e">
        <v>#N/A</v>
      </c>
      <c r="AY64" s="404" t="e">
        <v>#N/A</v>
      </c>
      <c r="AZ64" s="404" t="e">
        <v>#N/A</v>
      </c>
      <c r="BA64" s="404" t="e">
        <v>#N/A</v>
      </c>
      <c r="BB64" s="1028"/>
      <c r="BC64" s="1028"/>
      <c r="BD64" s="1028"/>
      <c r="BE64" s="1028"/>
      <c r="BF64" s="1028"/>
      <c r="BG64" s="1028"/>
      <c r="BH64" s="1028"/>
      <c r="BI64" s="1028"/>
      <c r="BJ64" s="1028"/>
      <c r="BK64" s="1028"/>
      <c r="BL64" s="1028"/>
      <c r="BM64" s="1028"/>
      <c r="BN64" s="1028"/>
      <c r="BO64" s="1028"/>
      <c r="BP64" s="1028"/>
      <c r="BQ64" s="1028"/>
      <c r="BR64" s="1028"/>
      <c r="BS64" s="1028"/>
      <c r="BT64" s="1028"/>
      <c r="BU64" s="1028"/>
      <c r="BV64" s="1028"/>
      <c r="BW64" s="404">
        <v>0</v>
      </c>
      <c r="BX64" s="404">
        <v>0</v>
      </c>
      <c r="BY64" s="404">
        <v>0</v>
      </c>
      <c r="BZ64" s="404">
        <v>0</v>
      </c>
      <c r="CA64" s="404">
        <v>0</v>
      </c>
      <c r="CB64" s="404">
        <v>0</v>
      </c>
      <c r="CC64" s="404">
        <v>0</v>
      </c>
      <c r="CD64" s="404">
        <v>0</v>
      </c>
      <c r="CE64" s="404">
        <v>0</v>
      </c>
      <c r="CF64" s="404">
        <v>0</v>
      </c>
      <c r="CG64" s="404">
        <v>0</v>
      </c>
      <c r="CH64" s="404">
        <v>0</v>
      </c>
      <c r="CI64" s="404">
        <v>0</v>
      </c>
      <c r="CJ64" s="404"/>
      <c r="CK64" s="404"/>
      <c r="CL64" s="404"/>
      <c r="CM64" s="404"/>
      <c r="CN64" s="404"/>
      <c r="CO64" s="404"/>
      <c r="CP64" s="404"/>
      <c r="CQ64" s="404"/>
      <c r="CR64" s="404"/>
      <c r="CS64" s="404"/>
      <c r="CT64" s="404"/>
      <c r="CU64" s="404"/>
    </row>
    <row r="65" spans="1:109" s="375" customFormat="1">
      <c r="A65" s="376" t="s">
        <v>594</v>
      </c>
      <c r="B65" s="375" t="s">
        <v>595</v>
      </c>
      <c r="C65" s="286">
        <f ca="1">SUM(OFFSET(BX65:CI65,0,'Bal Sheet'!$A$1))</f>
        <v>0</v>
      </c>
      <c r="P65" s="408" t="e">
        <v>#N/A</v>
      </c>
      <c r="Q65" s="408" t="e">
        <v>#N/A</v>
      </c>
      <c r="R65" s="408" t="e">
        <v>#N/A</v>
      </c>
      <c r="S65" s="408" t="e">
        <v>#N/A</v>
      </c>
      <c r="T65" s="408" t="e">
        <v>#N/A</v>
      </c>
      <c r="U65" s="408" t="e">
        <v>#N/A</v>
      </c>
      <c r="V65" s="408" t="e">
        <v>#N/A</v>
      </c>
      <c r="W65" s="408" t="e">
        <v>#N/A</v>
      </c>
      <c r="X65" s="404" t="e">
        <v>#N/A</v>
      </c>
      <c r="Y65" s="404" t="e">
        <v>#N/A</v>
      </c>
      <c r="Z65" s="404" t="e">
        <v>#N/A</v>
      </c>
      <c r="AA65" s="404" t="e">
        <v>#N/A</v>
      </c>
      <c r="AB65" s="404" t="e">
        <v>#N/A</v>
      </c>
      <c r="AC65" s="404" t="e">
        <v>#N/A</v>
      </c>
      <c r="AD65" s="404" t="e">
        <v>#N/A</v>
      </c>
      <c r="AE65" s="404" t="e">
        <v>#N/A</v>
      </c>
      <c r="AF65" s="404" t="e">
        <v>#N/A</v>
      </c>
      <c r="AG65" s="404" t="e">
        <v>#N/A</v>
      </c>
      <c r="AH65" s="404" t="e">
        <v>#N/A</v>
      </c>
      <c r="AI65" s="404" t="e">
        <v>#N/A</v>
      </c>
      <c r="AJ65" s="404" t="e">
        <v>#N/A</v>
      </c>
      <c r="AK65" s="404" t="e">
        <v>#N/A</v>
      </c>
      <c r="AL65" s="404" t="e">
        <v>#N/A</v>
      </c>
      <c r="AM65" s="404" t="e">
        <v>#N/A</v>
      </c>
      <c r="AN65" s="404" t="e">
        <v>#N/A</v>
      </c>
      <c r="AO65" s="404" t="e">
        <v>#N/A</v>
      </c>
      <c r="AP65" s="404" t="e">
        <v>#N/A</v>
      </c>
      <c r="AQ65" s="404" t="e">
        <v>#N/A</v>
      </c>
      <c r="AR65" s="404" t="e">
        <v>#N/A</v>
      </c>
      <c r="AS65" s="404" t="e">
        <v>#N/A</v>
      </c>
      <c r="AT65" s="404" t="e">
        <v>#N/A</v>
      </c>
      <c r="AU65" s="404" t="e">
        <v>#N/A</v>
      </c>
      <c r="AV65" s="404" t="e">
        <v>#N/A</v>
      </c>
      <c r="AW65" s="404" t="e">
        <v>#N/A</v>
      </c>
      <c r="AX65" s="404" t="e">
        <v>#N/A</v>
      </c>
      <c r="AY65" s="404" t="e">
        <v>#N/A</v>
      </c>
      <c r="AZ65" s="404" t="e">
        <v>#N/A</v>
      </c>
      <c r="BA65" s="404" t="e">
        <v>#N/A</v>
      </c>
      <c r="BB65" s="1028"/>
      <c r="BC65" s="1028"/>
      <c r="BD65" s="1028"/>
      <c r="BE65" s="1028"/>
      <c r="BF65" s="1028"/>
      <c r="BG65" s="1028"/>
      <c r="BH65" s="1028"/>
      <c r="BI65" s="1028"/>
      <c r="BJ65" s="1028"/>
      <c r="BK65" s="1028"/>
      <c r="BL65" s="1028"/>
      <c r="BM65" s="1028"/>
      <c r="BN65" s="1028"/>
      <c r="BO65" s="1028"/>
      <c r="BP65" s="1028"/>
      <c r="BQ65" s="1028"/>
      <c r="BR65" s="1028"/>
      <c r="BS65" s="1028"/>
      <c r="BT65" s="1028"/>
      <c r="BU65" s="1028"/>
      <c r="BV65" s="1028"/>
      <c r="BW65" s="404">
        <v>0</v>
      </c>
      <c r="BX65" s="404">
        <v>0</v>
      </c>
      <c r="BY65" s="404">
        <v>0</v>
      </c>
      <c r="BZ65" s="404">
        <v>0</v>
      </c>
      <c r="CA65" s="404">
        <v>0</v>
      </c>
      <c r="CB65" s="404">
        <v>0</v>
      </c>
      <c r="CC65" s="404">
        <v>0</v>
      </c>
      <c r="CD65" s="404">
        <v>0</v>
      </c>
      <c r="CE65" s="404">
        <v>0</v>
      </c>
      <c r="CF65" s="404">
        <v>0</v>
      </c>
      <c r="CG65" s="404">
        <v>0</v>
      </c>
      <c r="CH65" s="404">
        <v>0</v>
      </c>
      <c r="CI65" s="404">
        <v>0</v>
      </c>
      <c r="CJ65" s="404"/>
      <c r="CK65" s="404"/>
      <c r="CL65" s="404"/>
      <c r="CM65" s="404"/>
      <c r="CN65" s="404"/>
      <c r="CO65" s="404"/>
      <c r="CP65" s="404"/>
      <c r="CQ65" s="404"/>
      <c r="CR65" s="404"/>
      <c r="CS65" s="404"/>
      <c r="CT65" s="404"/>
      <c r="CU65" s="404"/>
    </row>
    <row r="66" spans="1:109" s="375" customFormat="1">
      <c r="A66" s="376" t="s">
        <v>596</v>
      </c>
      <c r="B66" s="375" t="s">
        <v>597</v>
      </c>
      <c r="C66" s="286">
        <f ca="1">SUM(OFFSET(BX66:CI66,0,'Bal Sheet'!$A$1))</f>
        <v>5138.8407002521744</v>
      </c>
      <c r="P66" s="408" t="e">
        <v>#N/A</v>
      </c>
      <c r="Q66" s="408" t="e">
        <v>#N/A</v>
      </c>
      <c r="R66" s="408" t="e">
        <v>#N/A</v>
      </c>
      <c r="S66" s="408" t="e">
        <v>#N/A</v>
      </c>
      <c r="T66" s="408" t="e">
        <v>#N/A</v>
      </c>
      <c r="U66" s="408" t="e">
        <v>#N/A</v>
      </c>
      <c r="V66" s="408" t="e">
        <v>#N/A</v>
      </c>
      <c r="W66" s="408" t="e">
        <v>#N/A</v>
      </c>
      <c r="X66" s="404" t="e">
        <v>#N/A</v>
      </c>
      <c r="Y66" s="404" t="e">
        <v>#N/A</v>
      </c>
      <c r="Z66" s="404" t="e">
        <v>#N/A</v>
      </c>
      <c r="AA66" s="404" t="e">
        <v>#N/A</v>
      </c>
      <c r="AB66" s="404" t="e">
        <v>#N/A</v>
      </c>
      <c r="AC66" s="404" t="e">
        <v>#N/A</v>
      </c>
      <c r="AD66" s="404" t="e">
        <v>#N/A</v>
      </c>
      <c r="AE66" s="404" t="e">
        <v>#N/A</v>
      </c>
      <c r="AF66" s="404" t="e">
        <v>#N/A</v>
      </c>
      <c r="AG66" s="404" t="e">
        <v>#N/A</v>
      </c>
      <c r="AH66" s="404" t="e">
        <v>#N/A</v>
      </c>
      <c r="AI66" s="404" t="e">
        <v>#N/A</v>
      </c>
      <c r="AJ66" s="404" t="e">
        <v>#N/A</v>
      </c>
      <c r="AK66" s="404" t="e">
        <v>#N/A</v>
      </c>
      <c r="AL66" s="404" t="e">
        <v>#N/A</v>
      </c>
      <c r="AM66" s="404" t="e">
        <v>#N/A</v>
      </c>
      <c r="AN66" s="404" t="e">
        <v>#N/A</v>
      </c>
      <c r="AO66" s="404" t="e">
        <v>#N/A</v>
      </c>
      <c r="AP66" s="404" t="e">
        <v>#N/A</v>
      </c>
      <c r="AQ66" s="404" t="e">
        <v>#N/A</v>
      </c>
      <c r="AR66" s="404" t="e">
        <v>#N/A</v>
      </c>
      <c r="AS66" s="404" t="e">
        <v>#N/A</v>
      </c>
      <c r="AT66" s="404" t="e">
        <v>#N/A</v>
      </c>
      <c r="AU66" s="404" t="e">
        <v>#N/A</v>
      </c>
      <c r="AV66" s="404" t="e">
        <v>#N/A</v>
      </c>
      <c r="AW66" s="404" t="e">
        <v>#N/A</v>
      </c>
      <c r="AX66" s="404" t="e">
        <v>#N/A</v>
      </c>
      <c r="AY66" s="404" t="e">
        <v>#N/A</v>
      </c>
      <c r="AZ66" s="404" t="e">
        <v>#N/A</v>
      </c>
      <c r="BA66" s="404" t="e">
        <v>#N/A</v>
      </c>
      <c r="BB66" s="404">
        <v>27.6</v>
      </c>
      <c r="BC66" s="404">
        <v>2.5</v>
      </c>
      <c r="BD66" s="404">
        <v>0</v>
      </c>
      <c r="BE66" s="404">
        <v>15.7</v>
      </c>
      <c r="BF66" s="404">
        <v>28.6</v>
      </c>
      <c r="BG66" s="404">
        <v>33.200000000000003</v>
      </c>
      <c r="BH66" s="404">
        <v>24.2</v>
      </c>
      <c r="BI66" s="404">
        <v>37.700000000000003</v>
      </c>
      <c r="BJ66" s="404">
        <v>38.9</v>
      </c>
      <c r="BK66" s="404">
        <v>60.5</v>
      </c>
      <c r="BL66" s="404">
        <v>100.56919000000001</v>
      </c>
      <c r="BM66" s="404">
        <v>78.520929999999993</v>
      </c>
      <c r="BN66" s="404">
        <v>123.58472</v>
      </c>
      <c r="BO66" s="404">
        <v>165.18573999999998</v>
      </c>
      <c r="BP66" s="404">
        <v>233.90499</v>
      </c>
      <c r="BQ66" s="404">
        <v>259.72435999999999</v>
      </c>
      <c r="BR66" s="404">
        <v>317.01484999999997</v>
      </c>
      <c r="BS66" s="404">
        <v>247.33528000000001</v>
      </c>
      <c r="BT66" s="404">
        <v>357.59499</v>
      </c>
      <c r="BU66" s="404">
        <v>503.50146999999998</v>
      </c>
      <c r="BV66" s="404">
        <v>596.76227000000006</v>
      </c>
      <c r="BW66" s="404">
        <v>747.29468999999995</v>
      </c>
      <c r="BX66" s="404">
        <v>0</v>
      </c>
      <c r="BY66" s="404">
        <v>0</v>
      </c>
      <c r="BZ66" s="404">
        <v>0</v>
      </c>
      <c r="CA66" s="404">
        <v>0</v>
      </c>
      <c r="CB66" s="404">
        <v>0</v>
      </c>
      <c r="CC66" s="404">
        <v>0</v>
      </c>
      <c r="CD66" s="404">
        <v>0</v>
      </c>
      <c r="CE66" s="404">
        <v>0</v>
      </c>
      <c r="CF66" s="404">
        <v>0</v>
      </c>
      <c r="CG66" s="404">
        <v>1068.5083084570024</v>
      </c>
      <c r="CH66" s="404">
        <v>483.76355818643265</v>
      </c>
      <c r="CI66" s="404">
        <v>471.97770471175136</v>
      </c>
      <c r="CJ66" s="404">
        <v>484.17994171761069</v>
      </c>
      <c r="CK66" s="404">
        <v>484.87119543693888</v>
      </c>
      <c r="CL66" s="404">
        <v>496.40312263124542</v>
      </c>
      <c r="CM66" s="404">
        <v>545.30184854122183</v>
      </c>
      <c r="CN66" s="404">
        <v>583.69144608159002</v>
      </c>
      <c r="CO66" s="404">
        <v>407.62126538681326</v>
      </c>
      <c r="CP66" s="404">
        <v>275.331347780584</v>
      </c>
      <c r="CQ66" s="404">
        <v>290.61487741096192</v>
      </c>
      <c r="CR66" s="404">
        <v>285.19858419228257</v>
      </c>
      <c r="CS66" s="404">
        <v>369.24494475515968</v>
      </c>
      <c r="CT66" s="404">
        <v>440.50426969641831</v>
      </c>
      <c r="CU66" s="404">
        <v>475.87785662134729</v>
      </c>
    </row>
    <row r="67" spans="1:109" s="375" customFormat="1">
      <c r="A67" s="376" t="s">
        <v>598</v>
      </c>
      <c r="B67" s="375" t="s">
        <v>599</v>
      </c>
      <c r="C67" s="454">
        <f ca="1">SUM(OFFSET(BX67:CI67,0,'Bal Sheet'!$A$1))</f>
        <v>0</v>
      </c>
      <c r="P67" s="408" t="e">
        <v>#N/A</v>
      </c>
      <c r="Q67" s="408" t="e">
        <v>#N/A</v>
      </c>
      <c r="R67" s="408" t="e">
        <v>#N/A</v>
      </c>
      <c r="S67" s="408" t="e">
        <v>#N/A</v>
      </c>
      <c r="T67" s="408" t="e">
        <v>#N/A</v>
      </c>
      <c r="U67" s="408" t="e">
        <v>#N/A</v>
      </c>
      <c r="V67" s="408" t="e">
        <v>#N/A</v>
      </c>
      <c r="W67" s="408" t="e">
        <v>#N/A</v>
      </c>
      <c r="X67" s="404" t="e">
        <v>#N/A</v>
      </c>
      <c r="Y67" s="404" t="e">
        <v>#N/A</v>
      </c>
      <c r="Z67" s="404" t="e">
        <v>#N/A</v>
      </c>
      <c r="AA67" s="404" t="e">
        <v>#N/A</v>
      </c>
      <c r="AB67" s="404" t="e">
        <v>#N/A</v>
      </c>
      <c r="AC67" s="404" t="e">
        <v>#N/A</v>
      </c>
      <c r="AD67" s="404" t="e">
        <v>#N/A</v>
      </c>
      <c r="AE67" s="404" t="e">
        <v>#N/A</v>
      </c>
      <c r="AF67" s="404" t="e">
        <v>#N/A</v>
      </c>
      <c r="AG67" s="404" t="e">
        <v>#N/A</v>
      </c>
      <c r="AH67" s="404" t="e">
        <v>#N/A</v>
      </c>
      <c r="AI67" s="404" t="e">
        <v>#N/A</v>
      </c>
      <c r="AJ67" s="404" t="e">
        <v>#N/A</v>
      </c>
      <c r="AK67" s="404" t="e">
        <v>#N/A</v>
      </c>
      <c r="AL67" s="404" t="e">
        <v>#N/A</v>
      </c>
      <c r="AM67" s="404" t="e">
        <v>#N/A</v>
      </c>
      <c r="AN67" s="404" t="e">
        <v>#N/A</v>
      </c>
      <c r="AO67" s="404" t="e">
        <v>#N/A</v>
      </c>
      <c r="AP67" s="404" t="e">
        <v>#N/A</v>
      </c>
      <c r="AQ67" s="404" t="e">
        <v>#N/A</v>
      </c>
      <c r="AR67" s="404" t="e">
        <v>#N/A</v>
      </c>
      <c r="AS67" s="404" t="e">
        <v>#N/A</v>
      </c>
      <c r="AT67" s="404" t="e">
        <v>#N/A</v>
      </c>
      <c r="AU67" s="404" t="e">
        <v>#N/A</v>
      </c>
      <c r="AV67" s="404" t="e">
        <v>#N/A</v>
      </c>
      <c r="AW67" s="404" t="e">
        <v>#N/A</v>
      </c>
      <c r="AX67" s="404" t="e">
        <v>#N/A</v>
      </c>
      <c r="AY67" s="404" t="e">
        <v>#N/A</v>
      </c>
      <c r="AZ67" s="404" t="e">
        <v>#N/A</v>
      </c>
      <c r="BA67" s="404" t="e">
        <v>#N/A</v>
      </c>
      <c r="BB67" s="1028"/>
      <c r="BC67" s="1028"/>
      <c r="BD67" s="1028"/>
      <c r="BE67" s="1028"/>
      <c r="BF67" s="1028"/>
      <c r="BG67" s="1028"/>
      <c r="BH67" s="1028"/>
      <c r="BI67" s="1028"/>
      <c r="BJ67" s="1028"/>
      <c r="BK67" s="1028"/>
      <c r="BL67" s="404">
        <v>0</v>
      </c>
      <c r="BM67" s="404">
        <v>0</v>
      </c>
      <c r="BN67" s="404">
        <v>0</v>
      </c>
      <c r="BO67" s="404">
        <v>0</v>
      </c>
      <c r="BP67" s="404">
        <v>0</v>
      </c>
      <c r="BQ67" s="404">
        <v>0</v>
      </c>
      <c r="BR67" s="404">
        <v>17.81062</v>
      </c>
      <c r="BS67" s="404">
        <v>65.441589999999991</v>
      </c>
      <c r="BT67" s="404">
        <v>30.8933</v>
      </c>
      <c r="BU67" s="404">
        <v>0</v>
      </c>
      <c r="BV67" s="404">
        <v>0</v>
      </c>
      <c r="BW67" s="404">
        <v>0</v>
      </c>
      <c r="BX67" s="404">
        <v>580.9</v>
      </c>
      <c r="BY67" s="404">
        <v>713.2</v>
      </c>
      <c r="BZ67" s="404">
        <v>818.8</v>
      </c>
      <c r="CA67" s="404">
        <v>881.5</v>
      </c>
      <c r="CB67" s="404">
        <v>924.5</v>
      </c>
      <c r="CC67" s="404">
        <v>961.9</v>
      </c>
      <c r="CD67" s="404">
        <v>1021</v>
      </c>
      <c r="CE67" s="404">
        <v>1046.4000000000001</v>
      </c>
      <c r="CF67" s="404">
        <v>1057.0999999999999</v>
      </c>
      <c r="CG67" s="404"/>
      <c r="CH67" s="404"/>
      <c r="CI67" s="404"/>
      <c r="CJ67" s="404">
        <v>0</v>
      </c>
      <c r="CK67" s="404">
        <v>0</v>
      </c>
      <c r="CL67" s="404">
        <v>0</v>
      </c>
      <c r="CM67" s="404">
        <v>0</v>
      </c>
      <c r="CN67" s="404">
        <v>0</v>
      </c>
      <c r="CO67" s="404">
        <v>0</v>
      </c>
      <c r="CP67" s="404">
        <v>0</v>
      </c>
      <c r="CQ67" s="404">
        <v>0</v>
      </c>
      <c r="CR67" s="404">
        <v>0</v>
      </c>
      <c r="CS67" s="404">
        <v>0</v>
      </c>
      <c r="CT67" s="404">
        <v>0</v>
      </c>
      <c r="CU67" s="404">
        <v>0</v>
      </c>
    </row>
    <row r="68" spans="1:109" s="375" customFormat="1">
      <c r="A68" s="376"/>
      <c r="B68" s="375" t="s">
        <v>600</v>
      </c>
      <c r="C68" s="294">
        <f ca="1">SUM(OFFSET(BX68:CI68,0,'Bal Sheet'!$A$1))</f>
        <v>0</v>
      </c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03">
        <v>0</v>
      </c>
      <c r="Y68" s="403">
        <v>0</v>
      </c>
      <c r="Z68" s="403">
        <v>0</v>
      </c>
      <c r="AA68" s="419">
        <v>-7.2296000000000005</v>
      </c>
      <c r="AB68" s="419">
        <v>-7.2296000000000005</v>
      </c>
      <c r="AC68" s="419">
        <v>-7.2296000000000005</v>
      </c>
      <c r="AD68" s="419">
        <v>-7.2296000000000005</v>
      </c>
      <c r="AE68" s="419">
        <v>-7.2296000000000005</v>
      </c>
      <c r="AF68" s="419">
        <v>-7.2296000000000005</v>
      </c>
      <c r="AG68" s="419">
        <v>-7.2296000000000005</v>
      </c>
      <c r="AH68" s="419">
        <v>-7.2296000000000005</v>
      </c>
      <c r="AI68" s="419">
        <v>-7.2296000000000005</v>
      </c>
      <c r="AJ68" s="419">
        <v>-7.2296000000000005</v>
      </c>
      <c r="AK68" s="419">
        <v>-7.2296000000000005</v>
      </c>
      <c r="AL68" s="419">
        <v>-7.2296000000000005</v>
      </c>
      <c r="AM68" s="419">
        <v>-7.2296000000000005</v>
      </c>
      <c r="AN68" s="419" t="e">
        <v>#N/A</v>
      </c>
      <c r="AO68" s="419" t="e">
        <v>#N/A</v>
      </c>
      <c r="AP68" s="419" t="e">
        <v>#N/A</v>
      </c>
      <c r="AQ68" s="419" t="e">
        <v>#N/A</v>
      </c>
      <c r="AR68" s="419" t="e">
        <v>#N/A</v>
      </c>
      <c r="AS68" s="419" t="e">
        <v>#N/A</v>
      </c>
      <c r="AT68" s="419" t="e">
        <v>#N/A</v>
      </c>
      <c r="AU68" s="419" t="e">
        <v>#N/A</v>
      </c>
      <c r="AV68" s="419" t="e">
        <v>#N/A</v>
      </c>
      <c r="AW68" s="419" t="e">
        <v>#N/A</v>
      </c>
      <c r="AX68" s="419" t="e">
        <v>#N/A</v>
      </c>
      <c r="AY68" s="419" t="e">
        <v>#N/A</v>
      </c>
      <c r="AZ68" s="419" t="e">
        <v>#N/A</v>
      </c>
      <c r="BA68" s="419" t="e">
        <v>#N/A</v>
      </c>
      <c r="BB68" s="1027"/>
      <c r="BC68" s="1027"/>
      <c r="BD68" s="1027"/>
      <c r="BE68" s="1027"/>
      <c r="BF68" s="1027"/>
      <c r="BG68" s="1027"/>
      <c r="BH68" s="1027"/>
      <c r="BI68" s="1027"/>
      <c r="BJ68" s="1027"/>
      <c r="BK68" s="1027"/>
      <c r="BL68" s="1027"/>
      <c r="BM68" s="1027"/>
      <c r="BN68" s="1027"/>
      <c r="BO68" s="1027"/>
      <c r="BP68" s="1027"/>
      <c r="BQ68" s="1027"/>
      <c r="BR68" s="1027"/>
      <c r="BS68" s="1027"/>
      <c r="BT68" s="1027"/>
      <c r="BU68" s="1027"/>
      <c r="BV68" s="1027"/>
      <c r="BW68" s="404"/>
      <c r="BX68" s="404"/>
      <c r="BY68" s="404"/>
      <c r="BZ68" s="404"/>
      <c r="CA68" s="404"/>
      <c r="CB68" s="404"/>
      <c r="CC68" s="404"/>
      <c r="CD68" s="404"/>
      <c r="CE68" s="404"/>
      <c r="CF68" s="404"/>
      <c r="CG68" s="404"/>
      <c r="CH68" s="404"/>
      <c r="CI68" s="404"/>
      <c r="CJ68" s="404"/>
      <c r="CK68" s="404"/>
      <c r="CL68" s="404"/>
      <c r="CM68" s="404"/>
      <c r="CN68" s="404"/>
      <c r="CO68" s="404"/>
      <c r="CP68" s="404"/>
      <c r="CQ68" s="404"/>
      <c r="CR68" s="404"/>
      <c r="CS68" s="404"/>
      <c r="CT68" s="404"/>
      <c r="CU68" s="404"/>
    </row>
    <row r="69" spans="1:109" s="375" customFormat="1">
      <c r="B69" s="214" t="s">
        <v>601</v>
      </c>
      <c r="C69" s="293">
        <f ca="1">SUM(C64:C68)</f>
        <v>5138.8407002521744</v>
      </c>
      <c r="P69" s="452" t="e">
        <f t="shared" ref="P69:Z69" si="232">SUM(P64:P68)</f>
        <v>#N/A</v>
      </c>
      <c r="Q69" s="452" t="e">
        <f t="shared" si="232"/>
        <v>#N/A</v>
      </c>
      <c r="R69" s="452" t="e">
        <f t="shared" si="232"/>
        <v>#N/A</v>
      </c>
      <c r="S69" s="452" t="e">
        <f t="shared" si="232"/>
        <v>#N/A</v>
      </c>
      <c r="T69" s="452" t="e">
        <f t="shared" si="232"/>
        <v>#N/A</v>
      </c>
      <c r="U69" s="452" t="e">
        <f t="shared" si="232"/>
        <v>#N/A</v>
      </c>
      <c r="V69" s="452" t="e">
        <f t="shared" si="232"/>
        <v>#N/A</v>
      </c>
      <c r="W69" s="452" t="e">
        <f t="shared" si="232"/>
        <v>#N/A</v>
      </c>
      <c r="X69" s="452" t="e">
        <f t="shared" si="232"/>
        <v>#N/A</v>
      </c>
      <c r="Y69" s="452" t="e">
        <f t="shared" si="232"/>
        <v>#N/A</v>
      </c>
      <c r="Z69" s="452" t="e">
        <f t="shared" si="232"/>
        <v>#N/A</v>
      </c>
      <c r="AA69" s="452" t="e">
        <f>SUM(AA64:AA68)</f>
        <v>#N/A</v>
      </c>
      <c r="AB69" s="452" t="e">
        <f t="shared" ref="AB69:AX69" si="233">SUM(AB64:AB68)</f>
        <v>#N/A</v>
      </c>
      <c r="AC69" s="452" t="e">
        <f t="shared" si="233"/>
        <v>#N/A</v>
      </c>
      <c r="AD69" s="452" t="e">
        <f t="shared" si="233"/>
        <v>#N/A</v>
      </c>
      <c r="AE69" s="452" t="e">
        <f t="shared" si="233"/>
        <v>#N/A</v>
      </c>
      <c r="AF69" s="452" t="e">
        <f t="shared" si="233"/>
        <v>#N/A</v>
      </c>
      <c r="AG69" s="452" t="e">
        <f t="shared" si="233"/>
        <v>#N/A</v>
      </c>
      <c r="AH69" s="452" t="e">
        <f t="shared" si="233"/>
        <v>#N/A</v>
      </c>
      <c r="AI69" s="452" t="e">
        <f t="shared" si="233"/>
        <v>#N/A</v>
      </c>
      <c r="AJ69" s="452" t="e">
        <f t="shared" si="233"/>
        <v>#N/A</v>
      </c>
      <c r="AK69" s="452" t="e">
        <f t="shared" si="233"/>
        <v>#N/A</v>
      </c>
      <c r="AL69" s="452" t="e">
        <f t="shared" si="233"/>
        <v>#N/A</v>
      </c>
      <c r="AM69" s="452" t="e">
        <f t="shared" si="233"/>
        <v>#N/A</v>
      </c>
      <c r="AN69" s="452" t="e">
        <f>SUM(AN64:AN68)</f>
        <v>#N/A</v>
      </c>
      <c r="AO69" s="452" t="e">
        <f t="shared" si="233"/>
        <v>#N/A</v>
      </c>
      <c r="AP69" s="452" t="e">
        <f t="shared" si="233"/>
        <v>#N/A</v>
      </c>
      <c r="AQ69" s="452" t="e">
        <f t="shared" si="233"/>
        <v>#N/A</v>
      </c>
      <c r="AR69" s="452" t="e">
        <f t="shared" si="233"/>
        <v>#N/A</v>
      </c>
      <c r="AS69" s="452" t="e">
        <f t="shared" si="233"/>
        <v>#N/A</v>
      </c>
      <c r="AT69" s="452" t="e">
        <f t="shared" si="233"/>
        <v>#N/A</v>
      </c>
      <c r="AU69" s="452" t="e">
        <f t="shared" si="233"/>
        <v>#N/A</v>
      </c>
      <c r="AV69" s="452" t="e">
        <f t="shared" si="233"/>
        <v>#N/A</v>
      </c>
      <c r="AW69" s="452" t="e">
        <f t="shared" si="233"/>
        <v>#N/A</v>
      </c>
      <c r="AX69" s="452" t="e">
        <f t="shared" si="233"/>
        <v>#N/A</v>
      </c>
      <c r="AY69" s="452" t="e">
        <f>SUM(AY64:AY68)</f>
        <v>#N/A</v>
      </c>
      <c r="AZ69" s="452" t="e">
        <f t="shared" ref="AZ69:BH69" si="234">SUM(AZ64:AZ68)</f>
        <v>#N/A</v>
      </c>
      <c r="BA69" s="452" t="e">
        <f t="shared" si="234"/>
        <v>#N/A</v>
      </c>
      <c r="BB69" s="452">
        <f t="shared" si="234"/>
        <v>27.6</v>
      </c>
      <c r="BC69" s="452">
        <f t="shared" si="234"/>
        <v>2.5</v>
      </c>
      <c r="BD69" s="452">
        <f t="shared" si="234"/>
        <v>0</v>
      </c>
      <c r="BE69" s="452">
        <f t="shared" si="234"/>
        <v>15.7</v>
      </c>
      <c r="BF69" s="452">
        <f t="shared" si="234"/>
        <v>28.6</v>
      </c>
      <c r="BG69" s="452">
        <f t="shared" si="234"/>
        <v>33.200000000000003</v>
      </c>
      <c r="BH69" s="452">
        <f t="shared" si="234"/>
        <v>24.2</v>
      </c>
      <c r="BI69" s="452">
        <f>SUM(BI64:BI68)</f>
        <v>37.700000000000003</v>
      </c>
      <c r="BJ69" s="452">
        <f t="shared" ref="BJ69" si="235">SUM(BJ64:BJ68)</f>
        <v>38.9</v>
      </c>
      <c r="BK69" s="452">
        <f t="shared" ref="BK69:BW69" si="236">SUM(BK64:BK68)</f>
        <v>60.5</v>
      </c>
      <c r="BL69" s="452">
        <f t="shared" si="236"/>
        <v>100.56919000000001</v>
      </c>
      <c r="BM69" s="452">
        <f t="shared" si="236"/>
        <v>78.520929999999993</v>
      </c>
      <c r="BN69" s="452">
        <f t="shared" si="236"/>
        <v>123.58472</v>
      </c>
      <c r="BO69" s="452">
        <f t="shared" si="236"/>
        <v>165.18573999999998</v>
      </c>
      <c r="BP69" s="452">
        <f t="shared" si="236"/>
        <v>233.90499</v>
      </c>
      <c r="BQ69" s="452">
        <f t="shared" si="236"/>
        <v>259.72435999999999</v>
      </c>
      <c r="BR69" s="452">
        <f t="shared" si="236"/>
        <v>334.82547</v>
      </c>
      <c r="BS69" s="452">
        <f t="shared" si="236"/>
        <v>312.77687000000003</v>
      </c>
      <c r="BT69" s="452">
        <f t="shared" si="236"/>
        <v>388.48829000000001</v>
      </c>
      <c r="BU69" s="452">
        <f t="shared" si="236"/>
        <v>503.50146999999998</v>
      </c>
      <c r="BV69" s="452">
        <f t="shared" si="236"/>
        <v>596.76227000000006</v>
      </c>
      <c r="BW69" s="452">
        <f t="shared" si="236"/>
        <v>747.29468999999995</v>
      </c>
      <c r="BX69" s="452">
        <f t="shared" ref="BX69:CI69" si="237">SUM(BX64:BX68)</f>
        <v>580.9</v>
      </c>
      <c r="BY69" s="452">
        <f t="shared" si="237"/>
        <v>713.2</v>
      </c>
      <c r="BZ69" s="452">
        <f t="shared" si="237"/>
        <v>818.8</v>
      </c>
      <c r="CA69" s="452">
        <f t="shared" si="237"/>
        <v>881.5</v>
      </c>
      <c r="CB69" s="452">
        <f t="shared" si="237"/>
        <v>924.5</v>
      </c>
      <c r="CC69" s="452">
        <f t="shared" si="237"/>
        <v>961.9</v>
      </c>
      <c r="CD69" s="452">
        <f t="shared" si="237"/>
        <v>1021</v>
      </c>
      <c r="CE69" s="452">
        <f t="shared" si="237"/>
        <v>1046.4000000000001</v>
      </c>
      <c r="CF69" s="452">
        <f t="shared" si="237"/>
        <v>1057.0999999999999</v>
      </c>
      <c r="CG69" s="452">
        <f t="shared" si="237"/>
        <v>1068.5083084570024</v>
      </c>
      <c r="CH69" s="452">
        <f t="shared" si="237"/>
        <v>483.76355818643265</v>
      </c>
      <c r="CI69" s="452">
        <f t="shared" si="237"/>
        <v>471.97770471175136</v>
      </c>
      <c r="CJ69" s="452">
        <f t="shared" ref="CJ69:CU69" si="238">SUM(CJ64:CJ68)</f>
        <v>484.17994171761069</v>
      </c>
      <c r="CK69" s="452">
        <f t="shared" si="238"/>
        <v>484.87119543693888</v>
      </c>
      <c r="CL69" s="452">
        <f t="shared" si="238"/>
        <v>496.40312263124542</v>
      </c>
      <c r="CM69" s="452">
        <f t="shared" si="238"/>
        <v>545.30184854122183</v>
      </c>
      <c r="CN69" s="452">
        <f t="shared" si="238"/>
        <v>583.69144608159002</v>
      </c>
      <c r="CO69" s="452">
        <f t="shared" si="238"/>
        <v>407.62126538681326</v>
      </c>
      <c r="CP69" s="452">
        <f t="shared" si="238"/>
        <v>275.331347780584</v>
      </c>
      <c r="CQ69" s="452">
        <f t="shared" si="238"/>
        <v>290.61487741096192</v>
      </c>
      <c r="CR69" s="452">
        <f t="shared" si="238"/>
        <v>285.19858419228257</v>
      </c>
      <c r="CS69" s="452">
        <f t="shared" si="238"/>
        <v>369.24494475515968</v>
      </c>
      <c r="CT69" s="452">
        <f t="shared" si="238"/>
        <v>440.50426969641831</v>
      </c>
      <c r="CU69" s="452">
        <f t="shared" si="238"/>
        <v>475.87785662134729</v>
      </c>
    </row>
    <row r="70" spans="1:109" s="375" customFormat="1">
      <c r="B70" s="214"/>
      <c r="Z70" s="447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52"/>
      <c r="AQ70" s="452"/>
      <c r="AR70" s="452"/>
      <c r="AS70" s="452"/>
      <c r="AT70" s="452"/>
      <c r="AU70" s="452"/>
      <c r="AV70" s="452"/>
      <c r="AW70" s="452"/>
      <c r="AX70" s="452"/>
      <c r="AY70" s="452"/>
      <c r="AZ70" s="452"/>
      <c r="BA70" s="452"/>
      <c r="BB70" s="452"/>
      <c r="BC70" s="452"/>
      <c r="BD70" s="452"/>
      <c r="BE70" s="452"/>
      <c r="BF70" s="452"/>
      <c r="BG70" s="452"/>
      <c r="BH70" s="452"/>
      <c r="BI70" s="452"/>
      <c r="BJ70" s="452"/>
      <c r="BK70" s="452"/>
      <c r="BL70" s="452"/>
      <c r="BM70" s="452"/>
      <c r="BN70" s="452"/>
      <c r="BO70" s="452"/>
      <c r="BP70" s="452"/>
      <c r="BQ70" s="452"/>
      <c r="BR70" s="452"/>
      <c r="BS70" s="452"/>
      <c r="BT70" s="452"/>
      <c r="BU70" s="452"/>
      <c r="BV70" s="452"/>
      <c r="BW70" s="452"/>
      <c r="BX70" s="452"/>
      <c r="BY70" s="452"/>
      <c r="BZ70" s="452"/>
      <c r="CA70" s="452"/>
      <c r="CB70" s="452"/>
      <c r="CC70" s="452"/>
      <c r="CD70" s="452"/>
      <c r="CE70" s="452"/>
      <c r="CF70" s="452"/>
      <c r="CG70" s="452"/>
      <c r="CH70" s="452"/>
      <c r="CI70" s="452"/>
      <c r="CJ70" s="452"/>
      <c r="CK70" s="452"/>
      <c r="CL70" s="452"/>
      <c r="CM70" s="452"/>
      <c r="CN70" s="452"/>
      <c r="CO70" s="452"/>
      <c r="CP70" s="452"/>
      <c r="CQ70" s="452"/>
      <c r="CR70" s="452"/>
      <c r="CS70" s="452"/>
      <c r="CT70" s="452"/>
      <c r="CU70" s="452"/>
    </row>
    <row r="71" spans="1:109" s="375" customFormat="1">
      <c r="B71" s="447" t="s">
        <v>602</v>
      </c>
      <c r="Z71" s="447"/>
      <c r="AA71" s="451" t="e">
        <f t="shared" ref="AA71:AB71" si="239">SUM(P69:AA69)</f>
        <v>#N/A</v>
      </c>
      <c r="AB71" s="451" t="e">
        <f t="shared" si="239"/>
        <v>#N/A</v>
      </c>
      <c r="AC71" s="451" t="e">
        <f t="shared" ref="AC71" si="240">SUM(R69:AC69)</f>
        <v>#N/A</v>
      </c>
      <c r="AD71" s="451" t="e">
        <f t="shared" ref="AD71" si="241">SUM(S69:AD69)</f>
        <v>#N/A</v>
      </c>
      <c r="AE71" s="451" t="e">
        <f t="shared" ref="AE71" si="242">SUM(T69:AE69)</f>
        <v>#N/A</v>
      </c>
      <c r="AF71" s="451" t="e">
        <f t="shared" ref="AF71" si="243">SUM(U69:AF69)</f>
        <v>#N/A</v>
      </c>
      <c r="AG71" s="451" t="e">
        <f t="shared" ref="AG71" si="244">SUM(V69:AG69)</f>
        <v>#N/A</v>
      </c>
      <c r="AH71" s="451" t="e">
        <f t="shared" ref="AH71" si="245">SUM(W69:AH69)</f>
        <v>#N/A</v>
      </c>
      <c r="AI71" s="451" t="e">
        <f t="shared" ref="AI71" si="246">SUM(X69:AI69)</f>
        <v>#N/A</v>
      </c>
      <c r="AJ71" s="451" t="e">
        <f t="shared" ref="AJ71" si="247">SUM(Y69:AJ69)</f>
        <v>#N/A</v>
      </c>
      <c r="AK71" s="451" t="e">
        <f t="shared" ref="AK71" si="248">SUM(Z69:AK69)</f>
        <v>#N/A</v>
      </c>
      <c r="AL71" s="451" t="e">
        <f t="shared" ref="AL71" si="249">SUM(AA69:AL69)</f>
        <v>#N/A</v>
      </c>
      <c r="AM71" s="451" t="e">
        <f t="shared" ref="AM71" si="250">SUM(AB69:AM69)</f>
        <v>#N/A</v>
      </c>
      <c r="AN71" s="451" t="e">
        <f>SUM(AC69:AN69)</f>
        <v>#N/A</v>
      </c>
      <c r="AO71" s="451" t="e">
        <f>SUM(AD69:AO69)</f>
        <v>#N/A</v>
      </c>
      <c r="AP71" s="451" t="e">
        <f t="shared" ref="AP71" si="251">SUM(AE69:AP69)</f>
        <v>#N/A</v>
      </c>
      <c r="AQ71" s="451" t="e">
        <f t="shared" ref="AQ71" si="252">SUM(AF69:AQ69)</f>
        <v>#N/A</v>
      </c>
      <c r="AR71" s="451" t="e">
        <f t="shared" ref="AR71" si="253">SUM(AG69:AR69)</f>
        <v>#N/A</v>
      </c>
      <c r="AS71" s="451" t="e">
        <f t="shared" ref="AS71" si="254">SUM(AH69:AS69)</f>
        <v>#N/A</v>
      </c>
      <c r="AT71" s="451" t="e">
        <f t="shared" ref="AT71" si="255">SUM(AI69:AT69)</f>
        <v>#N/A</v>
      </c>
      <c r="AU71" s="451" t="e">
        <f t="shared" ref="AU71" si="256">SUM(AJ69:AU69)</f>
        <v>#N/A</v>
      </c>
      <c r="AV71" s="451" t="e">
        <f t="shared" ref="AV71" si="257">SUM(AK69:AV69)</f>
        <v>#N/A</v>
      </c>
      <c r="AW71" s="451" t="e">
        <f t="shared" ref="AW71" si="258">SUM(AL69:AW69)</f>
        <v>#N/A</v>
      </c>
      <c r="AX71" s="451" t="e">
        <f t="shared" ref="AX71" si="259">SUM(AM69:AX69)</f>
        <v>#N/A</v>
      </c>
      <c r="AY71" s="451" t="e">
        <f>SUM(AN69:AY69)</f>
        <v>#N/A</v>
      </c>
      <c r="AZ71" s="451" t="e">
        <f t="shared" ref="AZ71:BA71" si="260">SUM(AO69:AZ69)</f>
        <v>#N/A</v>
      </c>
      <c r="BA71" s="451" t="e">
        <f t="shared" si="260"/>
        <v>#N/A</v>
      </c>
      <c r="BB71" s="451"/>
      <c r="BC71" s="451"/>
      <c r="BD71" s="451"/>
      <c r="BE71" s="451"/>
      <c r="BF71" s="451"/>
      <c r="BG71" s="451"/>
      <c r="BH71" s="451"/>
      <c r="BI71" s="451"/>
      <c r="BJ71" s="451"/>
      <c r="BK71" s="451"/>
      <c r="BL71" s="451"/>
      <c r="BM71" s="451"/>
      <c r="BN71" s="451">
        <f>SUM(BC69:BN69)</f>
        <v>543.97484000000009</v>
      </c>
      <c r="BO71" s="451">
        <f t="shared" ref="BO71" si="261">SUM(BD69:BO69)</f>
        <v>706.6605800000001</v>
      </c>
      <c r="BP71" s="451">
        <f t="shared" ref="BP71" si="262">SUM(BE69:BP69)</f>
        <v>940.56557000000009</v>
      </c>
      <c r="BQ71" s="451">
        <f t="shared" ref="BQ71" si="263">SUM(BF69:BQ69)</f>
        <v>1184.5899300000001</v>
      </c>
      <c r="BR71" s="451">
        <f t="shared" ref="BR71" si="264">SUM(BG69:BR69)</f>
        <v>1490.8154</v>
      </c>
      <c r="BS71" s="451">
        <f t="shared" ref="BS71" si="265">SUM(BH69:BS69)</f>
        <v>1770.3922699999998</v>
      </c>
      <c r="BT71" s="451">
        <f t="shared" ref="BT71" si="266">SUM(BI69:BT69)</f>
        <v>2134.6805599999998</v>
      </c>
      <c r="BU71" s="451">
        <f t="shared" ref="BU71" si="267">SUM(BJ69:BU69)</f>
        <v>2600.4820300000001</v>
      </c>
      <c r="BV71" s="451">
        <f t="shared" ref="BV71" si="268">SUM(BK69:BV69)</f>
        <v>3158.3443000000007</v>
      </c>
      <c r="BW71" s="451">
        <f>SUM(BL69:BW69)</f>
        <v>3845.1389900000004</v>
      </c>
      <c r="BX71" s="451">
        <f t="shared" ref="BX71:CI71" si="269">SUM(BM69:BX69)</f>
        <v>4325.4697999999999</v>
      </c>
      <c r="BY71" s="451">
        <f t="shared" si="269"/>
        <v>4960.1488699999991</v>
      </c>
      <c r="BZ71" s="451">
        <f t="shared" si="269"/>
        <v>5655.3641499999994</v>
      </c>
      <c r="CA71" s="451">
        <f t="shared" si="269"/>
        <v>6371.6784100000004</v>
      </c>
      <c r="CB71" s="451">
        <f t="shared" si="269"/>
        <v>7062.2734200000004</v>
      </c>
      <c r="CC71" s="451">
        <f t="shared" si="269"/>
        <v>7764.4490599999999</v>
      </c>
      <c r="CD71" s="451">
        <f t="shared" si="269"/>
        <v>8450.6235899999992</v>
      </c>
      <c r="CE71" s="451">
        <f t="shared" si="269"/>
        <v>9184.246720000001</v>
      </c>
      <c r="CF71" s="451">
        <f t="shared" si="269"/>
        <v>9852.8584300000002</v>
      </c>
      <c r="CG71" s="451">
        <f t="shared" si="269"/>
        <v>10417.865268457004</v>
      </c>
      <c r="CH71" s="451">
        <f t="shared" si="269"/>
        <v>10304.866556643434</v>
      </c>
      <c r="CI71" s="451">
        <f t="shared" si="269"/>
        <v>10029.549571355186</v>
      </c>
      <c r="CJ71" s="451">
        <f t="shared" ref="CJ71" si="270">SUM(BY69:CJ69)</f>
        <v>9932.8295130727947</v>
      </c>
      <c r="CK71" s="451">
        <f t="shared" ref="CK71" si="271">SUM(BZ69:CK69)</f>
        <v>9704.5007085097368</v>
      </c>
      <c r="CL71" s="451">
        <f t="shared" ref="CL71" si="272">SUM(CA69:CL69)</f>
        <v>9382.1038311409811</v>
      </c>
      <c r="CM71" s="451">
        <f t="shared" ref="CM71" si="273">SUM(CB69:CM69)</f>
        <v>9045.9056796822024</v>
      </c>
      <c r="CN71" s="451">
        <f t="shared" ref="CN71" si="274">SUM(CC69:CN69)</f>
        <v>8705.0971257637939</v>
      </c>
      <c r="CO71" s="451">
        <f t="shared" ref="CO71" si="275">SUM(CD69:CO69)</f>
        <v>8150.8183911506067</v>
      </c>
      <c r="CP71" s="451">
        <f t="shared" ref="CP71" si="276">SUM(CE69:CP69)</f>
        <v>7405.1497389311908</v>
      </c>
      <c r="CQ71" s="451">
        <f t="shared" ref="CQ71" si="277">SUM(CF69:CQ69)</f>
        <v>6649.3646163421527</v>
      </c>
      <c r="CR71" s="451">
        <f t="shared" ref="CR71" si="278">SUM(CG69:CR69)</f>
        <v>5877.4632005344338</v>
      </c>
      <c r="CS71" s="451">
        <f t="shared" ref="CS71" si="279">SUM(CH69:CS69)</f>
        <v>5178.1998368325922</v>
      </c>
      <c r="CT71" s="451">
        <f t="shared" ref="CT71" si="280">SUM(CI69:CT69)</f>
        <v>5134.9405483425789</v>
      </c>
      <c r="CU71" s="451">
        <f t="shared" ref="CU71" si="281">SUM(CJ69:CU69)</f>
        <v>5138.8407002521744</v>
      </c>
    </row>
    <row r="72" spans="1:109" s="375" customFormat="1">
      <c r="B72" s="214"/>
      <c r="Z72" s="447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52"/>
      <c r="AQ72" s="452"/>
      <c r="AR72" s="452"/>
      <c r="AS72" s="452"/>
      <c r="AT72" s="452"/>
      <c r="AU72" s="452"/>
      <c r="AV72" s="452"/>
      <c r="AW72" s="452"/>
      <c r="AX72" s="452"/>
      <c r="AY72" s="452"/>
      <c r="AZ72" s="452"/>
      <c r="BA72" s="452"/>
      <c r="BB72" s="452"/>
      <c r="BC72" s="452"/>
      <c r="BD72" s="452"/>
      <c r="BE72" s="452"/>
      <c r="BF72" s="452"/>
      <c r="BG72" s="452"/>
      <c r="BH72" s="452"/>
      <c r="BI72" s="452"/>
      <c r="BJ72" s="452"/>
      <c r="BK72" s="452"/>
      <c r="BL72" s="452"/>
      <c r="BM72" s="452"/>
      <c r="BN72" s="452"/>
      <c r="BO72" s="452"/>
      <c r="BP72" s="452"/>
      <c r="BQ72" s="452"/>
      <c r="BR72" s="452"/>
      <c r="BS72" s="452"/>
      <c r="BT72" s="452"/>
      <c r="BU72" s="452"/>
      <c r="BV72" s="452"/>
      <c r="BW72" s="452"/>
      <c r="BX72" s="452"/>
      <c r="BY72" s="452"/>
      <c r="BZ72" s="452"/>
      <c r="CA72" s="452"/>
      <c r="CB72" s="452"/>
      <c r="CC72" s="452"/>
      <c r="CD72" s="452"/>
      <c r="CE72" s="452"/>
      <c r="CF72" s="452"/>
      <c r="CG72" s="452"/>
      <c r="CH72" s="452"/>
      <c r="CI72" s="452"/>
      <c r="CJ72" s="452"/>
      <c r="CK72" s="452"/>
      <c r="CL72" s="452"/>
      <c r="CM72" s="452"/>
      <c r="CN72" s="452"/>
      <c r="CO72" s="452"/>
      <c r="CP72" s="452"/>
      <c r="CQ72" s="452"/>
      <c r="CR72" s="452"/>
      <c r="CS72" s="452"/>
      <c r="CT72" s="452"/>
      <c r="CU72" s="452"/>
    </row>
    <row r="73" spans="1:109" s="375" customFormat="1" ht="15">
      <c r="B73" s="375" t="s">
        <v>603</v>
      </c>
      <c r="C73" s="295">
        <f ca="1">ROUND(C69/C58,4)</f>
        <v>4.8500000000000001E-2</v>
      </c>
      <c r="Z73" s="447"/>
      <c r="AA73" s="453" t="e">
        <f t="shared" ref="AA73" si="282">ROUND(AA71/AA60,4)</f>
        <v>#N/A</v>
      </c>
      <c r="AB73" s="453" t="e">
        <f t="shared" ref="AB73:AX73" si="283">ROUND(AB71/AB60,4)</f>
        <v>#N/A</v>
      </c>
      <c r="AC73" s="453" t="e">
        <f t="shared" si="283"/>
        <v>#N/A</v>
      </c>
      <c r="AD73" s="453" t="e">
        <f t="shared" si="283"/>
        <v>#N/A</v>
      </c>
      <c r="AE73" s="453" t="e">
        <f t="shared" si="283"/>
        <v>#N/A</v>
      </c>
      <c r="AF73" s="453" t="e">
        <f t="shared" si="283"/>
        <v>#N/A</v>
      </c>
      <c r="AG73" s="453" t="e">
        <f t="shared" si="283"/>
        <v>#N/A</v>
      </c>
      <c r="AH73" s="453" t="e">
        <f t="shared" si="283"/>
        <v>#N/A</v>
      </c>
      <c r="AI73" s="453" t="e">
        <f t="shared" si="283"/>
        <v>#N/A</v>
      </c>
      <c r="AJ73" s="453" t="e">
        <f t="shared" si="283"/>
        <v>#N/A</v>
      </c>
      <c r="AK73" s="453" t="e">
        <f t="shared" si="283"/>
        <v>#N/A</v>
      </c>
      <c r="AL73" s="453" t="e">
        <f t="shared" si="283"/>
        <v>#N/A</v>
      </c>
      <c r="AM73" s="453" t="e">
        <f t="shared" si="283"/>
        <v>#N/A</v>
      </c>
      <c r="AN73" s="453" t="e">
        <f t="shared" si="283"/>
        <v>#N/A</v>
      </c>
      <c r="AO73" s="453" t="e">
        <f>ROUND(AO71/AO60,4)</f>
        <v>#N/A</v>
      </c>
      <c r="AP73" s="453" t="e">
        <f t="shared" si="283"/>
        <v>#N/A</v>
      </c>
      <c r="AQ73" s="453" t="e">
        <f t="shared" si="283"/>
        <v>#N/A</v>
      </c>
      <c r="AR73" s="453" t="e">
        <f t="shared" si="283"/>
        <v>#N/A</v>
      </c>
      <c r="AS73" s="453" t="e">
        <f t="shared" si="283"/>
        <v>#N/A</v>
      </c>
      <c r="AT73" s="453" t="e">
        <f t="shared" si="283"/>
        <v>#N/A</v>
      </c>
      <c r="AU73" s="453" t="e">
        <f t="shared" si="283"/>
        <v>#N/A</v>
      </c>
      <c r="AV73" s="453" t="e">
        <f t="shared" si="283"/>
        <v>#N/A</v>
      </c>
      <c r="AW73" s="453" t="e">
        <f t="shared" si="283"/>
        <v>#N/A</v>
      </c>
      <c r="AX73" s="453" t="e">
        <f t="shared" si="283"/>
        <v>#N/A</v>
      </c>
      <c r="AY73" s="453" t="e">
        <f>ROUND(AY71/AY60,4)</f>
        <v>#N/A</v>
      </c>
      <c r="AZ73" s="453" t="e">
        <f t="shared" ref="AZ73:BA73" si="284">ROUND(AZ71/AZ60,4)</f>
        <v>#N/A</v>
      </c>
      <c r="BA73" s="453" t="e">
        <f t="shared" si="284"/>
        <v>#N/A</v>
      </c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>
        <f>ROUND(BN71/BN60,4)</f>
        <v>4.5999999999999999E-3</v>
      </c>
      <c r="BO73" s="453">
        <f t="shared" ref="BO73:BW73" si="285">ROUND(BO71/BO60,4)</f>
        <v>5.4000000000000003E-3</v>
      </c>
      <c r="BP73" s="453">
        <f t="shared" si="285"/>
        <v>6.4999999999999997E-3</v>
      </c>
      <c r="BQ73" s="453">
        <f t="shared" si="285"/>
        <v>7.7999999999999996E-3</v>
      </c>
      <c r="BR73" s="453">
        <f t="shared" si="285"/>
        <v>9.5999999999999992E-3</v>
      </c>
      <c r="BS73" s="453">
        <f t="shared" si="285"/>
        <v>1.1299999999999999E-2</v>
      </c>
      <c r="BT73" s="453">
        <f t="shared" si="285"/>
        <v>1.3299999999999999E-2</v>
      </c>
      <c r="BU73" s="453">
        <f t="shared" si="285"/>
        <v>1.5900000000000001E-2</v>
      </c>
      <c r="BV73" s="453">
        <f t="shared" si="285"/>
        <v>1.9E-2</v>
      </c>
      <c r="BW73" s="453">
        <f t="shared" si="285"/>
        <v>2.29E-2</v>
      </c>
      <c r="BX73" s="453">
        <f t="shared" ref="BX73:CI73" si="286">ROUND(BX71/BX60,4)</f>
        <v>2.5700000000000001E-2</v>
      </c>
      <c r="BY73" s="453">
        <f t="shared" si="286"/>
        <v>2.8899999999999999E-2</v>
      </c>
      <c r="BZ73" s="453">
        <f t="shared" si="286"/>
        <v>3.1399999999999997E-2</v>
      </c>
      <c r="CA73" s="453">
        <f t="shared" si="286"/>
        <v>3.3599999999999998E-2</v>
      </c>
      <c r="CB73" s="453">
        <f t="shared" si="286"/>
        <v>3.56E-2</v>
      </c>
      <c r="CC73" s="453">
        <f t="shared" si="286"/>
        <v>3.7100000000000001E-2</v>
      </c>
      <c r="CD73" s="453">
        <f t="shared" si="286"/>
        <v>3.85E-2</v>
      </c>
      <c r="CE73" s="453">
        <f t="shared" si="286"/>
        <v>3.9199999999999999E-2</v>
      </c>
      <c r="CF73" s="453">
        <f t="shared" si="286"/>
        <v>3.9300000000000002E-2</v>
      </c>
      <c r="CG73" s="453">
        <f t="shared" si="286"/>
        <v>4.2099999999999999E-2</v>
      </c>
      <c r="CH73" s="453">
        <f t="shared" si="286"/>
        <v>4.2599999999999999E-2</v>
      </c>
      <c r="CI73" s="453">
        <f t="shared" si="286"/>
        <v>4.2200000000000001E-2</v>
      </c>
      <c r="CJ73" s="453">
        <f t="shared" ref="CJ73:CU73" si="287">ROUND(CJ71/CJ60,4)</f>
        <v>4.2500000000000003E-2</v>
      </c>
      <c r="CK73" s="453">
        <f t="shared" si="287"/>
        <v>4.2799999999999998E-2</v>
      </c>
      <c r="CL73" s="453">
        <f t="shared" si="287"/>
        <v>4.3299999999999998E-2</v>
      </c>
      <c r="CM73" s="453">
        <f t="shared" si="287"/>
        <v>4.3700000000000003E-2</v>
      </c>
      <c r="CN73" s="453">
        <f t="shared" si="287"/>
        <v>4.4499999999999998E-2</v>
      </c>
      <c r="CO73" s="453">
        <f t="shared" si="287"/>
        <v>4.5900000000000003E-2</v>
      </c>
      <c r="CP73" s="453">
        <f t="shared" si="287"/>
        <v>4.6399999999999997E-2</v>
      </c>
      <c r="CQ73" s="453">
        <f t="shared" si="287"/>
        <v>4.7800000000000002E-2</v>
      </c>
      <c r="CR73" s="453">
        <f t="shared" si="287"/>
        <v>4.9000000000000002E-2</v>
      </c>
      <c r="CS73" s="453">
        <f t="shared" si="287"/>
        <v>5.04E-2</v>
      </c>
      <c r="CT73" s="453">
        <f t="shared" si="287"/>
        <v>0.05</v>
      </c>
      <c r="CU73" s="453">
        <f t="shared" si="287"/>
        <v>4.8500000000000001E-2</v>
      </c>
    </row>
    <row r="74" spans="1:109" s="375" customFormat="1"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447"/>
      <c r="AP74" s="447"/>
      <c r="AQ74" s="447"/>
      <c r="AR74" s="447"/>
      <c r="AS74" s="447"/>
      <c r="AT74" s="447"/>
      <c r="AU74" s="447"/>
      <c r="AV74" s="447"/>
      <c r="AW74" s="447"/>
      <c r="AX74" s="447"/>
      <c r="AY74" s="447"/>
      <c r="AZ74" s="447"/>
      <c r="BA74" s="447"/>
      <c r="BB74" s="447"/>
      <c r="BC74" s="447"/>
      <c r="BD74" s="447"/>
      <c r="BE74" s="447"/>
      <c r="BF74" s="447"/>
      <c r="BG74" s="447"/>
      <c r="BH74" s="447"/>
      <c r="BI74" s="447"/>
      <c r="BJ74" s="447"/>
      <c r="BK74" s="447"/>
      <c r="BL74" s="447"/>
      <c r="BM74" s="447"/>
      <c r="BN74" s="447"/>
      <c r="BO74" s="447"/>
      <c r="BP74" s="447"/>
      <c r="BQ74" s="447"/>
      <c r="BR74" s="447"/>
      <c r="BS74" s="447"/>
      <c r="BT74" s="447"/>
      <c r="BU74" s="447"/>
      <c r="BV74" s="447"/>
      <c r="BW74" s="447"/>
      <c r="BX74" s="447"/>
      <c r="BY74" s="447"/>
      <c r="BZ74" s="447"/>
      <c r="CA74" s="447"/>
      <c r="CB74" s="447"/>
      <c r="CC74" s="447"/>
      <c r="CD74" s="447"/>
      <c r="CE74" s="447"/>
      <c r="CF74" s="447"/>
      <c r="CG74" s="447"/>
      <c r="CH74" s="447"/>
      <c r="CI74" s="447"/>
      <c r="CJ74" s="447"/>
      <c r="CK74" s="447"/>
      <c r="CL74" s="447"/>
      <c r="CM74" s="447"/>
      <c r="CN74" s="447"/>
      <c r="CO74" s="447"/>
      <c r="CP74" s="447"/>
      <c r="CQ74" s="447"/>
      <c r="CR74" s="447"/>
      <c r="CS74" s="447"/>
      <c r="CT74" s="447"/>
      <c r="CU74" s="447"/>
    </row>
    <row r="75" spans="1:109" s="375" customFormat="1" ht="15">
      <c r="B75" s="375" t="s">
        <v>604</v>
      </c>
      <c r="C75" s="295">
        <f>+CU75</f>
        <v>3.85E-2</v>
      </c>
      <c r="Z75" s="447"/>
      <c r="AA75" s="453" t="e">
        <f t="shared" ref="AA75" si="288">ROUND(AA71/AA58,4)</f>
        <v>#N/A</v>
      </c>
      <c r="AB75" s="453" t="e">
        <f t="shared" ref="AB75:AY75" si="289">ROUND(AB71/AB58,4)</f>
        <v>#N/A</v>
      </c>
      <c r="AC75" s="453" t="e">
        <f t="shared" si="289"/>
        <v>#N/A</v>
      </c>
      <c r="AD75" s="453" t="e">
        <f t="shared" si="289"/>
        <v>#N/A</v>
      </c>
      <c r="AE75" s="453" t="e">
        <f t="shared" si="289"/>
        <v>#N/A</v>
      </c>
      <c r="AF75" s="453" t="e">
        <f t="shared" si="289"/>
        <v>#N/A</v>
      </c>
      <c r="AG75" s="453" t="e">
        <f t="shared" si="289"/>
        <v>#N/A</v>
      </c>
      <c r="AH75" s="453" t="e">
        <f t="shared" si="289"/>
        <v>#N/A</v>
      </c>
      <c r="AI75" s="453" t="e">
        <f t="shared" si="289"/>
        <v>#N/A</v>
      </c>
      <c r="AJ75" s="453" t="e">
        <f t="shared" si="289"/>
        <v>#N/A</v>
      </c>
      <c r="AK75" s="453" t="e">
        <f t="shared" si="289"/>
        <v>#N/A</v>
      </c>
      <c r="AL75" s="453" t="e">
        <f t="shared" si="289"/>
        <v>#N/A</v>
      </c>
      <c r="AM75" s="453" t="e">
        <f t="shared" si="289"/>
        <v>#N/A</v>
      </c>
      <c r="AN75" s="453" t="e">
        <f t="shared" si="289"/>
        <v>#N/A</v>
      </c>
      <c r="AO75" s="453" t="e">
        <f>ROUND(AO71/AO58,4)</f>
        <v>#N/A</v>
      </c>
      <c r="AP75" s="453" t="e">
        <f t="shared" si="289"/>
        <v>#N/A</v>
      </c>
      <c r="AQ75" s="453" t="e">
        <f t="shared" si="289"/>
        <v>#N/A</v>
      </c>
      <c r="AR75" s="453" t="e">
        <f t="shared" si="289"/>
        <v>#N/A</v>
      </c>
      <c r="AS75" s="453" t="e">
        <f t="shared" si="289"/>
        <v>#N/A</v>
      </c>
      <c r="AT75" s="453" t="e">
        <f t="shared" si="289"/>
        <v>#N/A</v>
      </c>
      <c r="AU75" s="453" t="e">
        <f t="shared" si="289"/>
        <v>#N/A</v>
      </c>
      <c r="AV75" s="453" t="e">
        <f t="shared" si="289"/>
        <v>#N/A</v>
      </c>
      <c r="AW75" s="453" t="e">
        <f t="shared" si="289"/>
        <v>#N/A</v>
      </c>
      <c r="AX75" s="453" t="e">
        <f t="shared" si="289"/>
        <v>#N/A</v>
      </c>
      <c r="AY75" s="453" t="e">
        <f t="shared" si="289"/>
        <v>#N/A</v>
      </c>
      <c r="AZ75" s="453" t="e">
        <f t="shared" ref="AZ75:BA75" si="290">ROUND(AZ71/AZ58,4)</f>
        <v>#N/A</v>
      </c>
      <c r="BA75" s="453" t="e">
        <f t="shared" si="290"/>
        <v>#N/A</v>
      </c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>
        <f t="shared" ref="BN75:BW75" si="291">ROUND(BN71/BN58,4)</f>
        <v>3.3E-3</v>
      </c>
      <c r="BO75" s="453">
        <f t="shared" si="291"/>
        <v>4.1000000000000003E-3</v>
      </c>
      <c r="BP75" s="453">
        <f t="shared" si="291"/>
        <v>5.3E-3</v>
      </c>
      <c r="BQ75" s="453">
        <f t="shared" si="291"/>
        <v>6.0000000000000001E-3</v>
      </c>
      <c r="BR75" s="453">
        <f t="shared" si="291"/>
        <v>1.09E-2</v>
      </c>
      <c r="BS75" s="453">
        <f t="shared" si="291"/>
        <v>1.4200000000000001E-2</v>
      </c>
      <c r="BT75" s="453">
        <f t="shared" si="291"/>
        <v>1.37E-2</v>
      </c>
      <c r="BU75" s="453">
        <f t="shared" si="291"/>
        <v>1.6299999999999999E-2</v>
      </c>
      <c r="BV75" s="453">
        <f t="shared" si="291"/>
        <v>1.95E-2</v>
      </c>
      <c r="BW75" s="453">
        <f t="shared" si="291"/>
        <v>2.3099999999999999E-2</v>
      </c>
      <c r="BX75" s="453">
        <f t="shared" ref="BX75:CI75" si="292">ROUND(BX71/BX58,4)</f>
        <v>2.1499999999999998E-2</v>
      </c>
      <c r="BY75" s="453">
        <f t="shared" si="292"/>
        <v>1.9900000000000001E-2</v>
      </c>
      <c r="BZ75" s="453">
        <f t="shared" si="292"/>
        <v>2.12E-2</v>
      </c>
      <c r="CA75" s="453">
        <f t="shared" si="292"/>
        <v>2.2100000000000002E-2</v>
      </c>
      <c r="CB75" s="453">
        <f t="shared" si="292"/>
        <v>2.4E-2</v>
      </c>
      <c r="CC75" s="453">
        <f t="shared" si="292"/>
        <v>2.4799999999999999E-2</v>
      </c>
      <c r="CD75" s="453">
        <f t="shared" si="292"/>
        <v>2.5399999999999999E-2</v>
      </c>
      <c r="CE75" s="453">
        <f t="shared" si="292"/>
        <v>2.7900000000000001E-2</v>
      </c>
      <c r="CF75" s="453">
        <f t="shared" si="292"/>
        <v>2.9100000000000001E-2</v>
      </c>
      <c r="CG75" s="453">
        <f t="shared" si="292"/>
        <v>9.2399999999999996E-2</v>
      </c>
      <c r="CH75" s="453">
        <f t="shared" si="292"/>
        <v>0.1125</v>
      </c>
      <c r="CI75" s="453">
        <f t="shared" si="292"/>
        <v>9.3100000000000002E-2</v>
      </c>
      <c r="CJ75" s="453">
        <f t="shared" ref="CJ75:CU75" si="293">ROUND(CJ71/CJ58,4)</f>
        <v>8.7499999999999994E-2</v>
      </c>
      <c r="CK75" s="453">
        <f t="shared" si="293"/>
        <v>8.9800000000000005E-2</v>
      </c>
      <c r="CL75" s="453">
        <f t="shared" si="293"/>
        <v>7.8899999999999998E-2</v>
      </c>
      <c r="CM75" s="453">
        <f t="shared" si="293"/>
        <v>6.2399999999999997E-2</v>
      </c>
      <c r="CN75" s="453">
        <f t="shared" si="293"/>
        <v>6.3299999999999995E-2</v>
      </c>
      <c r="CO75" s="453">
        <f t="shared" si="293"/>
        <v>0.1363</v>
      </c>
      <c r="CP75" s="453">
        <f t="shared" si="293"/>
        <v>9.2700000000000005E-2</v>
      </c>
      <c r="CQ75" s="453">
        <f t="shared" si="293"/>
        <v>9.8299999999999998E-2</v>
      </c>
      <c r="CR75" s="453">
        <f t="shared" si="293"/>
        <v>7.6100000000000001E-2</v>
      </c>
      <c r="CS75" s="453">
        <f t="shared" si="293"/>
        <v>4.4999999999999998E-2</v>
      </c>
      <c r="CT75" s="453">
        <f t="shared" si="293"/>
        <v>4.4900000000000002E-2</v>
      </c>
      <c r="CU75" s="453">
        <f t="shared" si="293"/>
        <v>3.85E-2</v>
      </c>
    </row>
    <row r="76" spans="1:109" s="375" customFormat="1">
      <c r="Z76" s="450"/>
    </row>
    <row r="77" spans="1:109"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</row>
    <row r="78" spans="1:109" ht="15.75">
      <c r="A78" s="746" t="s">
        <v>605</v>
      </c>
      <c r="B78" s="747"/>
      <c r="C78" s="747"/>
      <c r="D78" s="577"/>
      <c r="E78" s="577"/>
      <c r="F78" s="577"/>
      <c r="G78" s="577"/>
      <c r="H78" s="577"/>
      <c r="I78" s="577"/>
      <c r="J78" s="577"/>
      <c r="K78" s="577"/>
      <c r="L78" s="577"/>
      <c r="M78" s="577"/>
      <c r="N78" s="577"/>
      <c r="O78" s="577"/>
      <c r="P78" s="577"/>
      <c r="Q78" s="577"/>
      <c r="R78" s="577"/>
      <c r="S78" s="577"/>
      <c r="T78" s="577"/>
      <c r="U78" s="577"/>
      <c r="V78" s="577"/>
      <c r="W78" s="577"/>
      <c r="X78" s="577"/>
      <c r="Y78" s="577"/>
      <c r="Z78" s="577"/>
      <c r="AA78" s="577"/>
      <c r="AB78" s="577"/>
      <c r="AC78" s="577"/>
      <c r="AD78" s="577"/>
      <c r="AE78" s="577"/>
      <c r="AF78" s="577"/>
      <c r="AG78" s="577"/>
      <c r="AH78" s="577"/>
      <c r="AI78" s="577"/>
      <c r="AJ78" s="577"/>
      <c r="AK78" s="577"/>
      <c r="AL78" s="577"/>
      <c r="AM78" s="577"/>
      <c r="AN78" s="577"/>
      <c r="AO78" s="577"/>
      <c r="AP78" s="577"/>
      <c r="AQ78" s="577"/>
      <c r="AR78" s="577"/>
      <c r="AS78" s="577"/>
      <c r="AT78" s="577"/>
      <c r="AU78" s="577"/>
      <c r="AV78" s="577"/>
      <c r="AW78" s="577"/>
      <c r="AX78" s="577"/>
      <c r="AY78" s="577"/>
      <c r="AZ78" s="577"/>
      <c r="BA78" s="577"/>
      <c r="BB78" s="577"/>
      <c r="BC78" s="577"/>
      <c r="BD78" s="577"/>
      <c r="BE78" s="577"/>
      <c r="BF78" s="577"/>
      <c r="BG78" s="577"/>
      <c r="BH78" s="577"/>
      <c r="BI78" s="577"/>
      <c r="BJ78" s="577"/>
      <c r="BK78" s="577"/>
      <c r="BL78" s="577"/>
      <c r="BM78" s="577"/>
      <c r="BN78" s="577"/>
      <c r="BO78" s="577"/>
      <c r="BP78" s="577"/>
      <c r="BQ78" s="577"/>
      <c r="BR78" s="577"/>
      <c r="BS78" s="577"/>
      <c r="BT78" s="577"/>
      <c r="BU78" s="577"/>
      <c r="BV78" s="577"/>
      <c r="BW78" s="577"/>
      <c r="BX78" s="577"/>
      <c r="BY78" s="577"/>
      <c r="BZ78" s="577"/>
      <c r="CA78" s="577"/>
      <c r="CB78" s="577"/>
      <c r="CC78" s="577"/>
      <c r="CD78" s="577"/>
      <c r="CE78" s="577"/>
      <c r="CF78" s="577"/>
      <c r="CG78" s="577"/>
      <c r="CH78" s="577"/>
      <c r="CI78" s="577"/>
      <c r="CJ78" s="577"/>
      <c r="CK78" s="577"/>
      <c r="CL78" s="577"/>
      <c r="CM78" s="577"/>
      <c r="CN78" s="577"/>
      <c r="CO78" s="577"/>
      <c r="CP78" s="577"/>
      <c r="CQ78" s="577"/>
      <c r="CR78" s="577"/>
      <c r="CS78" s="577"/>
      <c r="CT78" s="577"/>
      <c r="CU78" s="577"/>
    </row>
    <row r="79" spans="1:109" ht="15">
      <c r="A79" s="15"/>
      <c r="B79" s="15"/>
      <c r="C79" s="290" t="s">
        <v>151</v>
      </c>
      <c r="AA79" s="16" t="str">
        <f t="shared" ref="AA79:BF79" si="294">+AA7</f>
        <v>Actual</v>
      </c>
      <c r="AB79" s="16" t="str">
        <f t="shared" si="294"/>
        <v>Actual</v>
      </c>
      <c r="AC79" s="16" t="str">
        <f t="shared" si="294"/>
        <v>Actual</v>
      </c>
      <c r="AD79" s="16" t="str">
        <f t="shared" si="294"/>
        <v>Actual</v>
      </c>
      <c r="AE79" s="16" t="str">
        <f t="shared" si="294"/>
        <v>Actual</v>
      </c>
      <c r="AF79" s="16" t="str">
        <f t="shared" si="294"/>
        <v>Actual</v>
      </c>
      <c r="AG79" s="16" t="str">
        <f t="shared" si="294"/>
        <v>Actual</v>
      </c>
      <c r="AH79" s="16" t="str">
        <f t="shared" si="294"/>
        <v>Actual</v>
      </c>
      <c r="AI79" s="16" t="str">
        <f t="shared" si="294"/>
        <v>Actual</v>
      </c>
      <c r="AJ79" s="16" t="str">
        <f t="shared" si="294"/>
        <v>Actual</v>
      </c>
      <c r="AK79" s="16" t="str">
        <f t="shared" si="294"/>
        <v>Actual</v>
      </c>
      <c r="AL79" s="16" t="str">
        <f t="shared" si="294"/>
        <v>Actual</v>
      </c>
      <c r="AM79" s="16" t="str">
        <f t="shared" si="294"/>
        <v>Actual</v>
      </c>
      <c r="AN79" s="16" t="str">
        <f t="shared" si="294"/>
        <v>Actual</v>
      </c>
      <c r="AO79" s="16" t="str">
        <f t="shared" si="294"/>
        <v>Actual</v>
      </c>
      <c r="AP79" s="16" t="str">
        <f t="shared" si="294"/>
        <v>Actual</v>
      </c>
      <c r="AQ79" s="16" t="str">
        <f t="shared" si="294"/>
        <v>Actual</v>
      </c>
      <c r="AR79" s="16" t="str">
        <f t="shared" si="294"/>
        <v>Actual</v>
      </c>
      <c r="AS79" s="16" t="str">
        <f t="shared" si="294"/>
        <v>Actual</v>
      </c>
      <c r="AT79" s="16" t="str">
        <f t="shared" si="294"/>
        <v>Actual</v>
      </c>
      <c r="AU79" s="16" t="str">
        <f t="shared" si="294"/>
        <v>Actual</v>
      </c>
      <c r="AV79" s="16" t="str">
        <f t="shared" si="294"/>
        <v>Actual</v>
      </c>
      <c r="AW79" s="16" t="str">
        <f t="shared" si="294"/>
        <v>Actual</v>
      </c>
      <c r="AX79" s="741" t="str">
        <f t="shared" si="294"/>
        <v>Actual</v>
      </c>
      <c r="AY79" s="741" t="str">
        <f t="shared" si="294"/>
        <v>Actual</v>
      </c>
      <c r="AZ79" s="741" t="str">
        <f t="shared" si="294"/>
        <v>Actual</v>
      </c>
      <c r="BA79" s="741" t="str">
        <f t="shared" si="294"/>
        <v>Actual</v>
      </c>
      <c r="BB79" s="741" t="str">
        <f t="shared" si="294"/>
        <v>Actual</v>
      </c>
      <c r="BC79" s="741" t="str">
        <f t="shared" si="294"/>
        <v>Actual</v>
      </c>
      <c r="BD79" s="741" t="str">
        <f t="shared" si="294"/>
        <v>Actual</v>
      </c>
      <c r="BE79" s="741" t="str">
        <f t="shared" si="294"/>
        <v>Actual</v>
      </c>
      <c r="BF79" s="741" t="str">
        <f t="shared" si="294"/>
        <v>Actual</v>
      </c>
      <c r="BG79" s="741" t="str">
        <f t="shared" ref="BG79:CI79" si="295">+BG7</f>
        <v>Actual</v>
      </c>
      <c r="BH79" s="741" t="str">
        <f t="shared" si="295"/>
        <v>Actual</v>
      </c>
      <c r="BI79" s="741" t="str">
        <f t="shared" si="295"/>
        <v>Actual</v>
      </c>
      <c r="BJ79" s="741" t="str">
        <f t="shared" si="295"/>
        <v>Actual</v>
      </c>
      <c r="BK79" s="741" t="str">
        <f t="shared" si="295"/>
        <v>Actual</v>
      </c>
      <c r="BL79" s="741" t="str">
        <f t="shared" si="295"/>
        <v>Actual</v>
      </c>
      <c r="BM79" s="741" t="str">
        <f t="shared" si="295"/>
        <v>Actual</v>
      </c>
      <c r="BN79" s="741" t="str">
        <f t="shared" si="295"/>
        <v>Actual</v>
      </c>
      <c r="BO79" s="741" t="str">
        <f t="shared" si="295"/>
        <v>Actual</v>
      </c>
      <c r="BP79" s="741" t="str">
        <f t="shared" si="295"/>
        <v>Actual</v>
      </c>
      <c r="BQ79" s="741" t="str">
        <f t="shared" si="295"/>
        <v>Actual</v>
      </c>
      <c r="BR79" s="741" t="str">
        <f t="shared" si="295"/>
        <v>Actual</v>
      </c>
      <c r="BS79" s="741" t="str">
        <f t="shared" si="295"/>
        <v>Actual</v>
      </c>
      <c r="BT79" s="741" t="str">
        <f t="shared" si="295"/>
        <v>Actual</v>
      </c>
      <c r="BU79" s="741" t="str">
        <f t="shared" si="295"/>
        <v>Actual</v>
      </c>
      <c r="BV79" s="741" t="str">
        <f t="shared" si="295"/>
        <v>Actual</v>
      </c>
      <c r="BW79" s="741" t="str">
        <f t="shared" si="295"/>
        <v>Actual</v>
      </c>
      <c r="BX79" s="741" t="str">
        <f t="shared" si="295"/>
        <v>Budget</v>
      </c>
      <c r="BY79" s="741" t="str">
        <f t="shared" si="295"/>
        <v>Budget</v>
      </c>
      <c r="BZ79" s="741" t="str">
        <f t="shared" si="295"/>
        <v>Budget</v>
      </c>
      <c r="CA79" s="741" t="str">
        <f t="shared" si="295"/>
        <v>Budget</v>
      </c>
      <c r="CB79" s="741" t="str">
        <f t="shared" si="295"/>
        <v>Budget</v>
      </c>
      <c r="CC79" s="741" t="str">
        <f t="shared" si="295"/>
        <v>Budget</v>
      </c>
      <c r="CD79" s="741" t="str">
        <f t="shared" si="295"/>
        <v>Budget</v>
      </c>
      <c r="CE79" s="741" t="str">
        <f t="shared" si="295"/>
        <v>Budget</v>
      </c>
      <c r="CF79" s="741" t="str">
        <f t="shared" si="295"/>
        <v>Budget</v>
      </c>
      <c r="CG79" s="741" t="str">
        <f t="shared" si="295"/>
        <v>Budget</v>
      </c>
      <c r="CH79" s="741" t="str">
        <f t="shared" si="295"/>
        <v>Budget</v>
      </c>
      <c r="CI79" s="741" t="str">
        <f t="shared" si="295"/>
        <v>Budget</v>
      </c>
      <c r="CJ79" s="741" t="str">
        <f t="shared" ref="CJ79:CU79" si="296">+CJ7</f>
        <v>Budget</v>
      </c>
      <c r="CK79" s="741" t="str">
        <f t="shared" si="296"/>
        <v>Budget</v>
      </c>
      <c r="CL79" s="741" t="str">
        <f t="shared" si="296"/>
        <v>Budget</v>
      </c>
      <c r="CM79" s="741" t="str">
        <f t="shared" si="296"/>
        <v>Budget</v>
      </c>
      <c r="CN79" s="741" t="str">
        <f t="shared" si="296"/>
        <v>Budget</v>
      </c>
      <c r="CO79" s="741" t="str">
        <f t="shared" si="296"/>
        <v>Budget</v>
      </c>
      <c r="CP79" s="741" t="str">
        <f t="shared" si="296"/>
        <v>Budget</v>
      </c>
      <c r="CQ79" s="741" t="str">
        <f t="shared" si="296"/>
        <v>Budget</v>
      </c>
      <c r="CR79" s="741" t="str">
        <f t="shared" si="296"/>
        <v>Budget</v>
      </c>
      <c r="CS79" s="741" t="str">
        <f t="shared" si="296"/>
        <v>Budget</v>
      </c>
      <c r="CT79" s="741" t="str">
        <f t="shared" si="296"/>
        <v>Budget</v>
      </c>
      <c r="CU79" s="741" t="str">
        <f t="shared" si="296"/>
        <v>Budget</v>
      </c>
    </row>
    <row r="80" spans="1:109">
      <c r="A80" s="207"/>
      <c r="B80" s="597" t="s">
        <v>606</v>
      </c>
      <c r="C80" s="291" t="s">
        <v>153</v>
      </c>
      <c r="AA80" s="421">
        <f t="shared" ref="AA80:BF80" si="297">+AA8</f>
        <v>43449</v>
      </c>
      <c r="AB80" s="421">
        <f t="shared" si="297"/>
        <v>43480</v>
      </c>
      <c r="AC80" s="421">
        <f t="shared" si="297"/>
        <v>43511</v>
      </c>
      <c r="AD80" s="421">
        <f t="shared" si="297"/>
        <v>43542</v>
      </c>
      <c r="AE80" s="421">
        <f t="shared" si="297"/>
        <v>43573</v>
      </c>
      <c r="AF80" s="421">
        <f t="shared" si="297"/>
        <v>43604</v>
      </c>
      <c r="AG80" s="421">
        <f t="shared" si="297"/>
        <v>43635</v>
      </c>
      <c r="AH80" s="421">
        <f t="shared" si="297"/>
        <v>43666</v>
      </c>
      <c r="AI80" s="421">
        <f t="shared" si="297"/>
        <v>43697</v>
      </c>
      <c r="AJ80" s="421">
        <f t="shared" si="297"/>
        <v>43728</v>
      </c>
      <c r="AK80" s="421">
        <f t="shared" si="297"/>
        <v>43759</v>
      </c>
      <c r="AL80" s="421">
        <f t="shared" si="297"/>
        <v>43790</v>
      </c>
      <c r="AM80" s="421">
        <f t="shared" si="297"/>
        <v>43821</v>
      </c>
      <c r="AN80" s="421">
        <f t="shared" si="297"/>
        <v>43852</v>
      </c>
      <c r="AO80" s="421">
        <f t="shared" si="297"/>
        <v>43883</v>
      </c>
      <c r="AP80" s="421">
        <f t="shared" si="297"/>
        <v>43914</v>
      </c>
      <c r="AQ80" s="421">
        <f t="shared" si="297"/>
        <v>43945</v>
      </c>
      <c r="AR80" s="421">
        <f t="shared" si="297"/>
        <v>43976</v>
      </c>
      <c r="AS80" s="421">
        <f t="shared" si="297"/>
        <v>44007</v>
      </c>
      <c r="AT80" s="421">
        <f t="shared" si="297"/>
        <v>44038</v>
      </c>
      <c r="AU80" s="421">
        <f t="shared" si="297"/>
        <v>44069</v>
      </c>
      <c r="AV80" s="421">
        <f t="shared" si="297"/>
        <v>44100</v>
      </c>
      <c r="AW80" s="421">
        <f t="shared" si="297"/>
        <v>44131</v>
      </c>
      <c r="AX80" s="960">
        <f t="shared" si="297"/>
        <v>44162</v>
      </c>
      <c r="AY80" s="960">
        <f t="shared" si="297"/>
        <v>44193</v>
      </c>
      <c r="AZ80" s="960">
        <f t="shared" si="297"/>
        <v>44224</v>
      </c>
      <c r="BA80" s="960">
        <f t="shared" si="297"/>
        <v>44255</v>
      </c>
      <c r="BB80" s="960">
        <f t="shared" si="297"/>
        <v>44285</v>
      </c>
      <c r="BC80" s="960">
        <f t="shared" si="297"/>
        <v>44316</v>
      </c>
      <c r="BD80" s="960">
        <f t="shared" si="297"/>
        <v>44347</v>
      </c>
      <c r="BE80" s="960">
        <f t="shared" si="297"/>
        <v>44377</v>
      </c>
      <c r="BF80" s="960">
        <f t="shared" si="297"/>
        <v>44408</v>
      </c>
      <c r="BG80" s="960">
        <f t="shared" ref="BG80:CI80" si="298">+BG8</f>
        <v>44439</v>
      </c>
      <c r="BH80" s="960">
        <f t="shared" si="298"/>
        <v>44469</v>
      </c>
      <c r="BI80" s="960">
        <f t="shared" si="298"/>
        <v>44500</v>
      </c>
      <c r="BJ80" s="960">
        <f t="shared" si="298"/>
        <v>44530</v>
      </c>
      <c r="BK80" s="960">
        <f t="shared" si="298"/>
        <v>44561</v>
      </c>
      <c r="BL80" s="960">
        <f t="shared" si="298"/>
        <v>44592</v>
      </c>
      <c r="BM80" s="960">
        <f t="shared" si="298"/>
        <v>44620</v>
      </c>
      <c r="BN80" s="960">
        <f t="shared" si="298"/>
        <v>44651</v>
      </c>
      <c r="BO80" s="960">
        <f t="shared" si="298"/>
        <v>44681</v>
      </c>
      <c r="BP80" s="960">
        <f t="shared" si="298"/>
        <v>44712</v>
      </c>
      <c r="BQ80" s="960">
        <f t="shared" si="298"/>
        <v>44742</v>
      </c>
      <c r="BR80" s="960">
        <f t="shared" si="298"/>
        <v>44773</v>
      </c>
      <c r="BS80" s="960">
        <f t="shared" si="298"/>
        <v>44804</v>
      </c>
      <c r="BT80" s="960">
        <f t="shared" si="298"/>
        <v>44834</v>
      </c>
      <c r="BU80" s="960">
        <f t="shared" si="298"/>
        <v>44865</v>
      </c>
      <c r="BV80" s="960">
        <f t="shared" si="298"/>
        <v>44895</v>
      </c>
      <c r="BW80" s="960">
        <f t="shared" si="298"/>
        <v>44926</v>
      </c>
      <c r="BX80" s="960">
        <f t="shared" si="298"/>
        <v>44957</v>
      </c>
      <c r="BY80" s="960">
        <f t="shared" si="298"/>
        <v>44985</v>
      </c>
      <c r="BZ80" s="960">
        <f t="shared" si="298"/>
        <v>45016</v>
      </c>
      <c r="CA80" s="960">
        <f t="shared" si="298"/>
        <v>45046</v>
      </c>
      <c r="CB80" s="960">
        <f t="shared" si="298"/>
        <v>45077</v>
      </c>
      <c r="CC80" s="960">
        <f t="shared" si="298"/>
        <v>45107</v>
      </c>
      <c r="CD80" s="960">
        <f t="shared" si="298"/>
        <v>45138</v>
      </c>
      <c r="CE80" s="960">
        <f t="shared" si="298"/>
        <v>45169</v>
      </c>
      <c r="CF80" s="960">
        <f t="shared" si="298"/>
        <v>45199</v>
      </c>
      <c r="CG80" s="960">
        <f t="shared" si="298"/>
        <v>45230</v>
      </c>
      <c r="CH80" s="960">
        <f t="shared" si="298"/>
        <v>45260</v>
      </c>
      <c r="CI80" s="960">
        <f t="shared" si="298"/>
        <v>45291</v>
      </c>
      <c r="CJ80" s="960">
        <f t="shared" ref="CJ80:CU80" si="299">+CJ8</f>
        <v>45322</v>
      </c>
      <c r="CK80" s="960">
        <f t="shared" si="299"/>
        <v>45350</v>
      </c>
      <c r="CL80" s="960">
        <f t="shared" si="299"/>
        <v>45382</v>
      </c>
      <c r="CM80" s="960">
        <f t="shared" si="299"/>
        <v>45412</v>
      </c>
      <c r="CN80" s="960">
        <f t="shared" si="299"/>
        <v>45443</v>
      </c>
      <c r="CO80" s="960">
        <f t="shared" si="299"/>
        <v>45473</v>
      </c>
      <c r="CP80" s="960">
        <f t="shared" si="299"/>
        <v>45504</v>
      </c>
      <c r="CQ80" s="960">
        <f t="shared" si="299"/>
        <v>45535</v>
      </c>
      <c r="CR80" s="960">
        <f t="shared" si="299"/>
        <v>45565</v>
      </c>
      <c r="CS80" s="960">
        <f t="shared" si="299"/>
        <v>45596</v>
      </c>
      <c r="CT80" s="960">
        <f t="shared" si="299"/>
        <v>45626</v>
      </c>
      <c r="CU80" s="960">
        <f t="shared" si="299"/>
        <v>45657</v>
      </c>
    </row>
    <row r="82" spans="1:99">
      <c r="A82" s="376" t="s">
        <v>607</v>
      </c>
      <c r="B82" s="447" t="s">
        <v>608</v>
      </c>
      <c r="C82" s="418">
        <f ca="1">SUM(OFFSET(BX82:CJ82,0,'Bal Sheet'!$A$1-1))/13</f>
        <v>28231.65384615384</v>
      </c>
      <c r="AA82" s="33">
        <f>+'Bal Sheet'!Z92</f>
        <v>25903.685430000001</v>
      </c>
      <c r="AB82" s="33">
        <f>+'Bal Sheet'!AA92</f>
        <v>25867.705320000001</v>
      </c>
      <c r="AC82" s="33">
        <f>+'Bal Sheet'!AB92</f>
        <v>25898.455109999999</v>
      </c>
      <c r="AD82" s="463">
        <v>25925.131819999999</v>
      </c>
      <c r="AE82" s="463">
        <v>25847.349969999999</v>
      </c>
      <c r="AF82" s="463">
        <v>25870.81739</v>
      </c>
      <c r="AG82" s="463">
        <v>25868.020230000002</v>
      </c>
      <c r="AH82" s="463">
        <v>25768.615089999999</v>
      </c>
      <c r="AI82" s="463">
        <v>25686.969590000001</v>
      </c>
      <c r="AJ82" s="463">
        <v>25634.262850000003</v>
      </c>
      <c r="AK82" s="463">
        <v>25695.380539999998</v>
      </c>
      <c r="AL82" s="463">
        <v>25691.903879999998</v>
      </c>
      <c r="AM82" s="463">
        <v>25704.516</v>
      </c>
      <c r="AN82" s="463">
        <v>25665.571920000002</v>
      </c>
      <c r="AO82" s="463">
        <v>25728.44166</v>
      </c>
      <c r="AP82" s="463">
        <v>25721.300809999997</v>
      </c>
      <c r="AQ82" s="463">
        <v>25668.756000000001</v>
      </c>
      <c r="AR82" s="463">
        <v>25569.201969999998</v>
      </c>
      <c r="AS82" s="463">
        <v>25464.047059999997</v>
      </c>
      <c r="AT82" s="463">
        <v>25456.79927</v>
      </c>
      <c r="AU82" s="463">
        <v>25416.773229999999</v>
      </c>
      <c r="AV82" s="463">
        <v>25432.97277</v>
      </c>
      <c r="AW82" s="463">
        <v>25393.599999999999</v>
      </c>
      <c r="AX82" s="587">
        <f>+'Bal Sheet'!AW92</f>
        <v>25333.30543</v>
      </c>
      <c r="AY82" s="587">
        <v>25075.278079999996</v>
      </c>
      <c r="AZ82" s="587">
        <v>25241.811829999999</v>
      </c>
      <c r="BA82" s="587">
        <v>25273.973249999999</v>
      </c>
      <c r="BB82" s="587">
        <v>25387.42038</v>
      </c>
      <c r="BC82" s="587">
        <v>25318.474699999999</v>
      </c>
      <c r="BD82" s="587">
        <v>25407.263769999998</v>
      </c>
      <c r="BE82" s="587">
        <v>25529.439879999998</v>
      </c>
      <c r="BF82" s="590">
        <f>+'Bal Sheet'!BE92</f>
        <v>25706.203600000001</v>
      </c>
      <c r="BG82" s="590">
        <f>+'Bal Sheet'!BF92</f>
        <v>25782.52836</v>
      </c>
      <c r="BH82" s="590">
        <f>+'Bal Sheet'!BG92</f>
        <v>25962.796670000003</v>
      </c>
      <c r="BI82" s="590">
        <f>+'Bal Sheet'!BH92</f>
        <v>26074.226340000001</v>
      </c>
      <c r="BJ82" s="590">
        <f>+'Bal Sheet'!BI92</f>
        <v>26300.461460000002</v>
      </c>
      <c r="BK82" s="590">
        <f>+'Bal Sheet'!BJ92</f>
        <v>26450.409190000002</v>
      </c>
      <c r="BL82" s="590">
        <v>26724.60528</v>
      </c>
      <c r="BM82" s="590">
        <v>26837.940440000002</v>
      </c>
      <c r="BN82" s="590">
        <v>27025.575949999999</v>
      </c>
      <c r="BO82" s="590">
        <v>27142.982909999999</v>
      </c>
      <c r="BP82" s="590">
        <v>27369.426920000002</v>
      </c>
      <c r="BQ82" s="590">
        <v>27734.4241</v>
      </c>
      <c r="BR82" s="590">
        <v>27952.511770000001</v>
      </c>
      <c r="BS82" s="590">
        <v>28170.52145</v>
      </c>
      <c r="BT82" s="590">
        <v>28457.241420000002</v>
      </c>
      <c r="BU82" s="590">
        <v>28627.534520000001</v>
      </c>
      <c r="BV82" s="590">
        <v>28840.164270000001</v>
      </c>
      <c r="BW82" s="590">
        <v>29144.41906</v>
      </c>
      <c r="BX82" s="590">
        <v>28092.6</v>
      </c>
      <c r="BY82" s="590">
        <v>28116</v>
      </c>
      <c r="BZ82" s="590">
        <v>28139.4</v>
      </c>
      <c r="CA82" s="590">
        <v>28162.9</v>
      </c>
      <c r="CB82" s="590">
        <v>28186.3</v>
      </c>
      <c r="CC82" s="590">
        <v>28209.8</v>
      </c>
      <c r="CD82" s="590">
        <v>28233.3</v>
      </c>
      <c r="CE82" s="590">
        <v>28256.799999999999</v>
      </c>
      <c r="CF82" s="590">
        <v>28280.400000000001</v>
      </c>
      <c r="CG82" s="590">
        <v>28304</v>
      </c>
      <c r="CH82" s="590">
        <v>28327.599999999999</v>
      </c>
      <c r="CI82" s="590">
        <v>28351.200000000001</v>
      </c>
      <c r="CJ82" s="590">
        <f>+'Bal Sheet'!CI92</f>
        <v>28092.6</v>
      </c>
      <c r="CK82" s="590">
        <f>+'Bal Sheet'!CJ92</f>
        <v>28116</v>
      </c>
      <c r="CL82" s="590">
        <f>+'Bal Sheet'!CK92</f>
        <v>28139.4</v>
      </c>
      <c r="CM82" s="590">
        <f>+'Bal Sheet'!CL92</f>
        <v>28162.9</v>
      </c>
      <c r="CN82" s="590">
        <f>+'Bal Sheet'!CM92</f>
        <v>28186.3</v>
      </c>
      <c r="CO82" s="590">
        <f>+'Bal Sheet'!CN92</f>
        <v>28209.8</v>
      </c>
      <c r="CP82" s="590">
        <f>+'Bal Sheet'!CO92</f>
        <v>28233.3</v>
      </c>
      <c r="CQ82" s="590">
        <f>+'Bal Sheet'!CP92</f>
        <v>28256.799999999999</v>
      </c>
      <c r="CR82" s="590">
        <f>+'Bal Sheet'!CQ92</f>
        <v>28280.400000000001</v>
      </c>
      <c r="CS82" s="590">
        <f>+'Bal Sheet'!CR92</f>
        <v>28304</v>
      </c>
      <c r="CT82" s="590">
        <f>+'Bal Sheet'!CS92</f>
        <v>28327.599999999999</v>
      </c>
      <c r="CU82" s="590">
        <f>+'Bal Sheet'!CT92</f>
        <v>28351.200000000001</v>
      </c>
    </row>
    <row r="83" spans="1:99">
      <c r="A83" s="376" t="s">
        <v>609</v>
      </c>
      <c r="B83" s="447" t="s">
        <v>610</v>
      </c>
      <c r="C83" s="287">
        <f ca="1">SUM(OFFSET(BX83:CJ83,0,'Bal Sheet'!$A$1-1))/13</f>
        <v>600</v>
      </c>
      <c r="AA83" s="33">
        <f>+'Bal Sheet'!Z77</f>
        <v>511</v>
      </c>
      <c r="AB83" s="33">
        <f>+'Bal Sheet'!AA77</f>
        <v>511</v>
      </c>
      <c r="AC83" s="33">
        <f>+'Bal Sheet'!AB77</f>
        <v>511</v>
      </c>
      <c r="AD83" s="463">
        <v>511</v>
      </c>
      <c r="AE83" s="463">
        <v>521</v>
      </c>
      <c r="AF83" s="463">
        <v>521</v>
      </c>
      <c r="AG83" s="463">
        <v>521</v>
      </c>
      <c r="AH83" s="463">
        <v>605</v>
      </c>
      <c r="AI83" s="463">
        <v>595</v>
      </c>
      <c r="AJ83" s="463">
        <v>569</v>
      </c>
      <c r="AK83" s="463">
        <v>569</v>
      </c>
      <c r="AL83" s="463">
        <v>569</v>
      </c>
      <c r="AM83" s="463">
        <v>569</v>
      </c>
      <c r="AN83" s="463">
        <v>569</v>
      </c>
      <c r="AO83" s="463">
        <v>594</v>
      </c>
      <c r="AP83" s="463">
        <v>594</v>
      </c>
      <c r="AQ83" s="463">
        <v>594</v>
      </c>
      <c r="AR83" s="463">
        <v>594</v>
      </c>
      <c r="AS83" s="463">
        <v>594</v>
      </c>
      <c r="AT83" s="463">
        <v>594</v>
      </c>
      <c r="AU83" s="463">
        <v>594</v>
      </c>
      <c r="AV83" s="463">
        <v>594</v>
      </c>
      <c r="AW83" s="463">
        <v>594</v>
      </c>
      <c r="AX83" s="587">
        <f>+'Bal Sheet'!AW77</f>
        <v>594</v>
      </c>
      <c r="AY83" s="587">
        <v>594</v>
      </c>
      <c r="AZ83" s="587">
        <v>594</v>
      </c>
      <c r="BA83" s="587">
        <v>589</v>
      </c>
      <c r="BB83" s="587">
        <v>589</v>
      </c>
      <c r="BC83" s="587">
        <v>589</v>
      </c>
      <c r="BD83" s="587">
        <v>589</v>
      </c>
      <c r="BE83" s="587">
        <v>589</v>
      </c>
      <c r="BF83" s="590">
        <f>+'Bal Sheet'!BE77</f>
        <v>579</v>
      </c>
      <c r="BG83" s="590">
        <f>+'Bal Sheet'!BF77</f>
        <v>579</v>
      </c>
      <c r="BH83" s="590">
        <f>+'Bal Sheet'!BG77</f>
        <v>579</v>
      </c>
      <c r="BI83" s="590">
        <f>+'Bal Sheet'!BH77</f>
        <v>604</v>
      </c>
      <c r="BJ83" s="590">
        <f>+'Bal Sheet'!BI77</f>
        <v>604</v>
      </c>
      <c r="BK83" s="590">
        <f>+'Bal Sheet'!BJ77</f>
        <v>604</v>
      </c>
      <c r="BL83" s="590">
        <v>604</v>
      </c>
      <c r="BM83" s="590">
        <v>604</v>
      </c>
      <c r="BN83" s="590">
        <v>604</v>
      </c>
      <c r="BO83" s="590">
        <v>604</v>
      </c>
      <c r="BP83" s="590">
        <v>614</v>
      </c>
      <c r="BQ83" s="590">
        <v>614</v>
      </c>
      <c r="BR83" s="590">
        <v>614</v>
      </c>
      <c r="BS83" s="590">
        <v>614</v>
      </c>
      <c r="BT83" s="590">
        <v>614</v>
      </c>
      <c r="BU83" s="590">
        <v>614</v>
      </c>
      <c r="BV83" s="590">
        <v>614</v>
      </c>
      <c r="BW83" s="590">
        <v>715</v>
      </c>
      <c r="BX83" s="590">
        <v>600</v>
      </c>
      <c r="BY83" s="590">
        <v>600</v>
      </c>
      <c r="BZ83" s="590">
        <v>600</v>
      </c>
      <c r="CA83" s="590">
        <v>600</v>
      </c>
      <c r="CB83" s="590">
        <v>600</v>
      </c>
      <c r="CC83" s="590">
        <v>600</v>
      </c>
      <c r="CD83" s="590">
        <v>600</v>
      </c>
      <c r="CE83" s="590">
        <v>600</v>
      </c>
      <c r="CF83" s="590">
        <v>600</v>
      </c>
      <c r="CG83" s="590">
        <v>600</v>
      </c>
      <c r="CH83" s="590">
        <v>600</v>
      </c>
      <c r="CI83" s="590">
        <v>600</v>
      </c>
      <c r="CJ83" s="590">
        <f>+'Bal Sheet'!CI77</f>
        <v>600</v>
      </c>
      <c r="CK83" s="590">
        <f>+'Bal Sheet'!CJ77</f>
        <v>600</v>
      </c>
      <c r="CL83" s="590">
        <f>+'Bal Sheet'!CK77</f>
        <v>600</v>
      </c>
      <c r="CM83" s="590">
        <f>+'Bal Sheet'!CL77</f>
        <v>600</v>
      </c>
      <c r="CN83" s="590">
        <f>+'Bal Sheet'!CM77</f>
        <v>600</v>
      </c>
      <c r="CO83" s="590">
        <f>+'Bal Sheet'!CN77</f>
        <v>600</v>
      </c>
      <c r="CP83" s="590">
        <f>+'Bal Sheet'!CO77</f>
        <v>600</v>
      </c>
      <c r="CQ83" s="590">
        <f>+'Bal Sheet'!CP77</f>
        <v>600</v>
      </c>
      <c r="CR83" s="590">
        <f>+'Bal Sheet'!CQ77</f>
        <v>600</v>
      </c>
      <c r="CS83" s="590">
        <f>+'Bal Sheet'!CR77</f>
        <v>600</v>
      </c>
      <c r="CT83" s="590">
        <f>+'Bal Sheet'!CS77</f>
        <v>600</v>
      </c>
      <c r="CU83" s="590">
        <f>+'Bal Sheet'!CT77</f>
        <v>600</v>
      </c>
    </row>
    <row r="84" spans="1:99">
      <c r="A84" s="376" t="s">
        <v>611</v>
      </c>
      <c r="B84" s="447" t="s">
        <v>612</v>
      </c>
      <c r="C84" s="445">
        <f ca="1">SUM(OFFSET(BX84:CJ84,0,'Bal Sheet'!$A$1-1))/13</f>
        <v>60.407692307692301</v>
      </c>
      <c r="AA84" s="446">
        <f>+'Bal Sheet'!Z83</f>
        <v>0.55321000000000009</v>
      </c>
      <c r="AB84" s="446">
        <f>+'Bal Sheet'!AA83</f>
        <v>0.55321000000000009</v>
      </c>
      <c r="AC84" s="446">
        <f>+'Bal Sheet'!AB83</f>
        <v>0.52522999999999997</v>
      </c>
      <c r="AD84" s="466">
        <v>0.52522999999999997</v>
      </c>
      <c r="AE84" s="466">
        <v>-2.26512</v>
      </c>
      <c r="AF84" s="466">
        <v>1.2217199999999999</v>
      </c>
      <c r="AG84" s="466">
        <v>1.4446300000000001</v>
      </c>
      <c r="AH84" s="466">
        <v>1.4446300000000001</v>
      </c>
      <c r="AI84" s="466">
        <v>4.1596299999999999</v>
      </c>
      <c r="AJ84" s="466">
        <v>-2.3749600000000002</v>
      </c>
      <c r="AK84" s="466">
        <v>2.0500400000000001</v>
      </c>
      <c r="AL84" s="466">
        <v>5.9486000000000008</v>
      </c>
      <c r="AM84" s="466">
        <v>5.9486000000000008</v>
      </c>
      <c r="AN84" s="466">
        <v>5.9486000000000008</v>
      </c>
      <c r="AO84" s="466">
        <v>7.5486000000000004</v>
      </c>
      <c r="AP84" s="466">
        <v>37.371169999999999</v>
      </c>
      <c r="AQ84" s="466">
        <v>37.371169999999999</v>
      </c>
      <c r="AR84" s="466">
        <v>32.093110000000003</v>
      </c>
      <c r="AS84" s="466">
        <v>31.462919999999997</v>
      </c>
      <c r="AT84" s="466">
        <v>31.20412</v>
      </c>
      <c r="AU84" s="466">
        <v>34.579120000000003</v>
      </c>
      <c r="AV84" s="466">
        <v>28.95168</v>
      </c>
      <c r="AW84" s="466">
        <v>26.6</v>
      </c>
      <c r="AX84" s="680">
        <f>+'Bal Sheet'!AW83</f>
        <v>26.57002</v>
      </c>
      <c r="AY84" s="680">
        <v>26.425129999999999</v>
      </c>
      <c r="AZ84" s="680">
        <v>35.625129999999999</v>
      </c>
      <c r="BA84" s="680">
        <v>49.118730000000006</v>
      </c>
      <c r="BB84" s="680">
        <v>48.930610000000001</v>
      </c>
      <c r="BC84" s="680">
        <v>48.868660000000006</v>
      </c>
      <c r="BD84" s="680">
        <v>46.580419999999997</v>
      </c>
      <c r="BE84" s="680">
        <v>47.880420000000001</v>
      </c>
      <c r="BF84" s="591">
        <f>+'Bal Sheet'!BE83</f>
        <v>48.230419999999995</v>
      </c>
      <c r="BG84" s="591">
        <f>+'Bal Sheet'!BF83</f>
        <v>48.230419999999995</v>
      </c>
      <c r="BH84" s="591">
        <f>+'Bal Sheet'!BG83</f>
        <v>48.230419999999995</v>
      </c>
      <c r="BI84" s="591">
        <f>+'Bal Sheet'!BH83</f>
        <v>51.395890000000001</v>
      </c>
      <c r="BJ84" s="591">
        <f>+'Bal Sheet'!BI83</f>
        <v>51.289389999999997</v>
      </c>
      <c r="BK84" s="591">
        <f>+'Bal Sheet'!BJ83</f>
        <v>51.289389999999997</v>
      </c>
      <c r="BL84" s="591">
        <v>51.289389999999997</v>
      </c>
      <c r="BM84" s="591">
        <v>52.022760000000005</v>
      </c>
      <c r="BN84" s="591">
        <v>87.422029999999992</v>
      </c>
      <c r="BO84" s="591">
        <v>87.422029999999992</v>
      </c>
      <c r="BP84" s="591">
        <v>87.422029999999992</v>
      </c>
      <c r="BQ84" s="591">
        <v>91.297029999999992</v>
      </c>
      <c r="BR84" s="591">
        <v>91.297029999999992</v>
      </c>
      <c r="BS84" s="591">
        <v>91.297029999999992</v>
      </c>
      <c r="BT84" s="591">
        <v>93.897030000000001</v>
      </c>
      <c r="BU84" s="591">
        <v>93.727220000000003</v>
      </c>
      <c r="BV84" s="591">
        <v>93.246369999999999</v>
      </c>
      <c r="BW84" s="591">
        <v>93.246369999999999</v>
      </c>
      <c r="BX84" s="591">
        <v>46.5</v>
      </c>
      <c r="BY84" s="591">
        <v>46.5</v>
      </c>
      <c r="BZ84" s="591">
        <v>46.5</v>
      </c>
      <c r="CA84" s="591">
        <v>46.5</v>
      </c>
      <c r="CB84" s="591">
        <v>46.5</v>
      </c>
      <c r="CC84" s="591">
        <v>46.5</v>
      </c>
      <c r="CD84" s="591">
        <v>46.5</v>
      </c>
      <c r="CE84" s="591">
        <v>46.5</v>
      </c>
      <c r="CF84" s="591">
        <v>46.5</v>
      </c>
      <c r="CG84" s="591">
        <v>46.5</v>
      </c>
      <c r="CH84" s="591">
        <v>46.5</v>
      </c>
      <c r="CI84" s="591">
        <v>46.5</v>
      </c>
      <c r="CJ84" s="591">
        <f>+'Bal Sheet'!CI83</f>
        <v>79.900000000000006</v>
      </c>
      <c r="CK84" s="591">
        <f>+'Bal Sheet'!CJ83</f>
        <v>79.3</v>
      </c>
      <c r="CL84" s="591">
        <f>+'Bal Sheet'!CK83</f>
        <v>78.599999999999994</v>
      </c>
      <c r="CM84" s="591">
        <f>+'Bal Sheet'!CL83</f>
        <v>73.5</v>
      </c>
      <c r="CN84" s="591">
        <f>+'Bal Sheet'!CM83</f>
        <v>68.400000000000006</v>
      </c>
      <c r="CO84" s="591">
        <f>+'Bal Sheet'!CN83</f>
        <v>63.3</v>
      </c>
      <c r="CP84" s="591">
        <f>+'Bal Sheet'!CO83</f>
        <v>57.7</v>
      </c>
      <c r="CQ84" s="591">
        <f>+'Bal Sheet'!CP83</f>
        <v>52.1</v>
      </c>
      <c r="CR84" s="591">
        <f>+'Bal Sheet'!CQ83</f>
        <v>46.5</v>
      </c>
      <c r="CS84" s="591">
        <f>+'Bal Sheet'!CR83</f>
        <v>46.5</v>
      </c>
      <c r="CT84" s="591">
        <f>+'Bal Sheet'!CS83</f>
        <v>46.5</v>
      </c>
      <c r="CU84" s="591">
        <f>+'Bal Sheet'!CT83</f>
        <v>46.5</v>
      </c>
    </row>
    <row r="85" spans="1:99">
      <c r="B85" s="742" t="s">
        <v>606</v>
      </c>
      <c r="C85" s="293">
        <f ca="1">SUM(C82:C84)</f>
        <v>28892.061538461534</v>
      </c>
      <c r="AA85" s="33">
        <f t="shared" ref="AA85" si="300">SUM(AA82:AA84)</f>
        <v>26415.23864</v>
      </c>
      <c r="AB85" s="33">
        <f t="shared" ref="AB85:AG85" si="301">SUM(AB82:AB84)</f>
        <v>26379.258529999999</v>
      </c>
      <c r="AC85" s="33">
        <f t="shared" si="301"/>
        <v>26409.980339999998</v>
      </c>
      <c r="AD85" s="33">
        <f t="shared" si="301"/>
        <v>26436.657049999998</v>
      </c>
      <c r="AE85" s="33">
        <f t="shared" si="301"/>
        <v>26366.084849999999</v>
      </c>
      <c r="AF85" s="33">
        <f t="shared" si="301"/>
        <v>26393.039110000002</v>
      </c>
      <c r="AG85" s="33">
        <f t="shared" si="301"/>
        <v>26390.464860000004</v>
      </c>
      <c r="AH85" s="33">
        <f t="shared" ref="AH85:AY85" si="302">SUM(AH82:AH84)</f>
        <v>26375.059720000001</v>
      </c>
      <c r="AI85" s="449">
        <f t="shared" si="302"/>
        <v>26286.129219999999</v>
      </c>
      <c r="AJ85" s="449">
        <f t="shared" si="302"/>
        <v>26200.887890000002</v>
      </c>
      <c r="AK85" s="449">
        <f t="shared" si="302"/>
        <v>26266.430579999997</v>
      </c>
      <c r="AL85" s="449">
        <f t="shared" si="302"/>
        <v>26266.852479999998</v>
      </c>
      <c r="AM85" s="449">
        <f t="shared" si="302"/>
        <v>26279.464599999999</v>
      </c>
      <c r="AN85" s="449">
        <f t="shared" si="302"/>
        <v>26240.520520000002</v>
      </c>
      <c r="AO85" s="33">
        <f t="shared" si="302"/>
        <v>26329.990259999999</v>
      </c>
      <c r="AP85" s="33">
        <f t="shared" si="302"/>
        <v>26352.671979999996</v>
      </c>
      <c r="AQ85" s="33">
        <f t="shared" si="302"/>
        <v>26300.12717</v>
      </c>
      <c r="AR85" s="33">
        <f t="shared" si="302"/>
        <v>26195.29508</v>
      </c>
      <c r="AS85" s="33">
        <f t="shared" si="302"/>
        <v>26089.509979999999</v>
      </c>
      <c r="AT85" s="33">
        <f t="shared" si="302"/>
        <v>26082.003389999998</v>
      </c>
      <c r="AU85" s="33">
        <f t="shared" si="302"/>
        <v>26045.352349999997</v>
      </c>
      <c r="AV85" s="33">
        <f t="shared" si="302"/>
        <v>26055.924449999999</v>
      </c>
      <c r="AW85" s="33">
        <f t="shared" si="302"/>
        <v>26014.199999999997</v>
      </c>
      <c r="AX85" s="449">
        <f t="shared" si="302"/>
        <v>25953.87545</v>
      </c>
      <c r="AY85" s="449">
        <f t="shared" si="302"/>
        <v>25695.703209999996</v>
      </c>
      <c r="AZ85" s="449">
        <f t="shared" ref="AZ85:BI85" si="303">SUM(AZ82:AZ84)</f>
        <v>25871.436959999999</v>
      </c>
      <c r="BA85" s="449">
        <f t="shared" si="303"/>
        <v>25912.091979999997</v>
      </c>
      <c r="BB85" s="449">
        <f t="shared" si="303"/>
        <v>26025.350989999999</v>
      </c>
      <c r="BC85" s="449">
        <f t="shared" si="303"/>
        <v>25956.343359999999</v>
      </c>
      <c r="BD85" s="449">
        <f t="shared" si="303"/>
        <v>26042.844189999996</v>
      </c>
      <c r="BE85" s="449">
        <f t="shared" si="303"/>
        <v>26166.320299999999</v>
      </c>
      <c r="BF85" s="449">
        <f t="shared" si="303"/>
        <v>26333.434020000001</v>
      </c>
      <c r="BG85" s="449">
        <f t="shared" si="303"/>
        <v>26409.75878</v>
      </c>
      <c r="BH85" s="449">
        <f t="shared" si="303"/>
        <v>26590.027090000003</v>
      </c>
      <c r="BI85" s="449">
        <f t="shared" si="303"/>
        <v>26729.622230000001</v>
      </c>
      <c r="BJ85" s="449">
        <f t="shared" ref="BJ85:BK85" si="304">SUM(BJ82:BJ84)</f>
        <v>26955.750850000004</v>
      </c>
      <c r="BK85" s="449">
        <f t="shared" si="304"/>
        <v>27105.698580000004</v>
      </c>
      <c r="BL85" s="449">
        <f t="shared" ref="BL85:BW85" si="305">SUM(BL82:BL84)</f>
        <v>27379.894670000001</v>
      </c>
      <c r="BM85" s="449">
        <f t="shared" si="305"/>
        <v>27493.963200000002</v>
      </c>
      <c r="BN85" s="449">
        <f t="shared" si="305"/>
        <v>27716.99798</v>
      </c>
      <c r="BO85" s="449">
        <f t="shared" si="305"/>
        <v>27834.40494</v>
      </c>
      <c r="BP85" s="449">
        <f t="shared" si="305"/>
        <v>28070.848950000003</v>
      </c>
      <c r="BQ85" s="449">
        <f t="shared" si="305"/>
        <v>28439.721130000002</v>
      </c>
      <c r="BR85" s="449">
        <f t="shared" si="305"/>
        <v>28657.808800000003</v>
      </c>
      <c r="BS85" s="449">
        <f t="shared" si="305"/>
        <v>28875.818480000002</v>
      </c>
      <c r="BT85" s="449">
        <f t="shared" si="305"/>
        <v>29165.138450000002</v>
      </c>
      <c r="BU85" s="449">
        <f t="shared" si="305"/>
        <v>29335.261740000002</v>
      </c>
      <c r="BV85" s="449">
        <f t="shared" si="305"/>
        <v>29547.410640000002</v>
      </c>
      <c r="BW85" s="449">
        <f t="shared" si="305"/>
        <v>29952.665430000001</v>
      </c>
      <c r="BX85" s="449">
        <f t="shared" ref="BX85:CI85" si="306">SUM(BX82:BX84)</f>
        <v>28739.1</v>
      </c>
      <c r="BY85" s="449">
        <f t="shared" si="306"/>
        <v>28762.5</v>
      </c>
      <c r="BZ85" s="449">
        <f t="shared" si="306"/>
        <v>28785.9</v>
      </c>
      <c r="CA85" s="449">
        <f t="shared" si="306"/>
        <v>28809.4</v>
      </c>
      <c r="CB85" s="449">
        <f t="shared" si="306"/>
        <v>28832.799999999999</v>
      </c>
      <c r="CC85" s="449">
        <f t="shared" si="306"/>
        <v>28856.3</v>
      </c>
      <c r="CD85" s="449">
        <f t="shared" si="306"/>
        <v>28879.8</v>
      </c>
      <c r="CE85" s="449">
        <f t="shared" si="306"/>
        <v>28903.3</v>
      </c>
      <c r="CF85" s="449">
        <f t="shared" si="306"/>
        <v>28926.9</v>
      </c>
      <c r="CG85" s="449">
        <f t="shared" si="306"/>
        <v>28950.5</v>
      </c>
      <c r="CH85" s="449">
        <f t="shared" si="306"/>
        <v>28974.1</v>
      </c>
      <c r="CI85" s="449">
        <f t="shared" si="306"/>
        <v>28997.7</v>
      </c>
      <c r="CJ85" s="449">
        <f t="shared" ref="CJ85:CU85" si="307">SUM(CJ82:CJ84)</f>
        <v>28772.5</v>
      </c>
      <c r="CK85" s="449">
        <f t="shared" si="307"/>
        <v>28795.3</v>
      </c>
      <c r="CL85" s="449">
        <f t="shared" si="307"/>
        <v>28818</v>
      </c>
      <c r="CM85" s="449">
        <f t="shared" si="307"/>
        <v>28836.400000000001</v>
      </c>
      <c r="CN85" s="449">
        <f t="shared" si="307"/>
        <v>28854.7</v>
      </c>
      <c r="CO85" s="449">
        <f t="shared" si="307"/>
        <v>28873.1</v>
      </c>
      <c r="CP85" s="449">
        <f t="shared" si="307"/>
        <v>28891</v>
      </c>
      <c r="CQ85" s="449">
        <f t="shared" si="307"/>
        <v>28908.899999999998</v>
      </c>
      <c r="CR85" s="449">
        <f t="shared" si="307"/>
        <v>28926.9</v>
      </c>
      <c r="CS85" s="449">
        <f t="shared" si="307"/>
        <v>28950.5</v>
      </c>
      <c r="CT85" s="449">
        <f t="shared" si="307"/>
        <v>28974.1</v>
      </c>
      <c r="CU85" s="449">
        <f t="shared" si="307"/>
        <v>28997.7</v>
      </c>
    </row>
    <row r="86" spans="1:99"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449"/>
      <c r="AY86" s="449"/>
      <c r="AZ86" s="449"/>
      <c r="BA86" s="449"/>
      <c r="BB86" s="449"/>
      <c r="BC86" s="449"/>
      <c r="BD86" s="449"/>
      <c r="BE86" s="449"/>
      <c r="BF86" s="449"/>
      <c r="BG86" s="449"/>
      <c r="BH86" s="449"/>
      <c r="BI86" s="449"/>
      <c r="BJ86" s="449"/>
      <c r="BK86" s="449"/>
      <c r="BL86" s="449"/>
      <c r="BM86" s="449"/>
      <c r="BN86" s="449"/>
      <c r="BO86" s="449"/>
      <c r="BP86" s="449"/>
      <c r="BQ86" s="449"/>
      <c r="BR86" s="449"/>
      <c r="BS86" s="449"/>
      <c r="BT86" s="449"/>
      <c r="BU86" s="449"/>
      <c r="BV86" s="449"/>
      <c r="BW86" s="449"/>
      <c r="BX86" s="449"/>
      <c r="BY86" s="449"/>
      <c r="BZ86" s="449"/>
      <c r="CA86" s="449"/>
      <c r="CB86" s="449"/>
      <c r="CC86" s="449"/>
      <c r="CD86" s="449"/>
      <c r="CE86" s="449"/>
      <c r="CF86" s="449"/>
      <c r="CG86" s="449"/>
      <c r="CH86" s="449"/>
      <c r="CI86" s="449"/>
      <c r="CJ86" s="449"/>
      <c r="CK86" s="449"/>
      <c r="CL86" s="449"/>
      <c r="CM86" s="449"/>
      <c r="CN86" s="449"/>
      <c r="CO86" s="449"/>
      <c r="CP86" s="449"/>
      <c r="CQ86" s="449"/>
      <c r="CR86" s="449"/>
      <c r="CS86" s="449"/>
      <c r="CT86" s="449"/>
      <c r="CU86" s="449"/>
    </row>
    <row r="87" spans="1:99">
      <c r="B87" s="375" t="s">
        <v>613</v>
      </c>
      <c r="C87" s="447"/>
      <c r="AA87" s="174">
        <f>SUM(O85:AA85)/13</f>
        <v>2031.9414338461538</v>
      </c>
      <c r="AB87" s="174">
        <f>SUM(P85:AB85)/13</f>
        <v>4061.1151669230771</v>
      </c>
      <c r="AC87" s="174">
        <f t="shared" ref="AC87" si="308">SUM(Q85:AC85)/13</f>
        <v>6092.6521161538458</v>
      </c>
      <c r="AD87" s="174">
        <f>SUM(R85:AD85)/13</f>
        <v>8126.2411199999997</v>
      </c>
      <c r="AE87" s="174">
        <f t="shared" ref="AE87" si="309">SUM(S85:AE85)/13</f>
        <v>10154.401493076923</v>
      </c>
      <c r="AF87" s="174">
        <f t="shared" ref="AF87" si="310">SUM(T85:AF85)/13</f>
        <v>12184.635270769231</v>
      </c>
      <c r="AG87" s="174">
        <f t="shared" ref="AG87" si="311">SUM(U85:AG85)/13</f>
        <v>14214.671029230771</v>
      </c>
      <c r="AH87" s="174">
        <f t="shared" ref="AH87" si="312">SUM(V85:AH85)/13</f>
        <v>16243.521776923077</v>
      </c>
      <c r="AI87" s="174">
        <f t="shared" ref="AI87" si="313">SUM(W85:AI85)/13</f>
        <v>18265.531716923077</v>
      </c>
      <c r="AJ87" s="174">
        <f t="shared" ref="AJ87" si="314">SUM(X85:AJ85)/13</f>
        <v>20280.984631538464</v>
      </c>
      <c r="AK87" s="174">
        <f t="shared" ref="AK87" si="315">SUM(Y85:AK85)/13</f>
        <v>22301.479291538461</v>
      </c>
      <c r="AL87" s="174">
        <f t="shared" ref="AL87" si="316">SUM(Z85:AL85)/13</f>
        <v>24322.006405384614</v>
      </c>
      <c r="AM87" s="174">
        <f t="shared" ref="AM87" si="317">SUM(AA85:AM85)/13</f>
        <v>26343.503682307692</v>
      </c>
      <c r="AN87" s="174">
        <f>SUM(AB85:AN85)/13</f>
        <v>26330.06382692308</v>
      </c>
      <c r="AO87" s="174">
        <f t="shared" ref="AO87" si="318">SUM(AC85:AO85)/13</f>
        <v>26326.273959999999</v>
      </c>
      <c r="AP87" s="174">
        <f t="shared" ref="AP87" si="319">SUM(AD85:AP85)/13</f>
        <v>26321.865624615384</v>
      </c>
      <c r="AQ87" s="174">
        <f t="shared" ref="AQ87" si="320">SUM(AE85:AQ85)/13</f>
        <v>26311.363326153842</v>
      </c>
      <c r="AR87" s="174">
        <f t="shared" ref="AR87" si="321">SUM(AF85:AR85)/13</f>
        <v>26298.225651538462</v>
      </c>
      <c r="AS87" s="174">
        <f t="shared" ref="AS87" si="322">SUM(AG85:AS85)/13</f>
        <v>26274.877256923071</v>
      </c>
      <c r="AT87" s="174">
        <f t="shared" ref="AT87" si="323">SUM(AH85:AT85)/13</f>
        <v>26251.149451538455</v>
      </c>
      <c r="AU87" s="174">
        <f t="shared" ref="AU87" si="324">SUM(AI85:AU85)/13</f>
        <v>26225.787346153837</v>
      </c>
      <c r="AV87" s="174">
        <f t="shared" ref="AV87" si="325">SUM(AJ85:AV85)/13</f>
        <v>26208.079286923075</v>
      </c>
      <c r="AW87" s="174">
        <f t="shared" ref="AW87" si="326">SUM(AK85:AW85)/13</f>
        <v>26193.718679999998</v>
      </c>
      <c r="AX87" s="696">
        <f>SUM(AL85:AX85)/13</f>
        <v>26169.675977692303</v>
      </c>
      <c r="AY87" s="696">
        <f>SUM(AM85:AY85)/13</f>
        <v>26125.741418461541</v>
      </c>
      <c r="AZ87" s="696">
        <f t="shared" ref="AZ87:BH87" si="327">SUM(AN85:AZ85)/13</f>
        <v>26094.354676923078</v>
      </c>
      <c r="BA87" s="696">
        <f t="shared" si="327"/>
        <v>26069.090943076924</v>
      </c>
      <c r="BB87" s="696">
        <f t="shared" si="327"/>
        <v>26045.657153076925</v>
      </c>
      <c r="BC87" s="696">
        <f t="shared" si="327"/>
        <v>26015.170336153846</v>
      </c>
      <c r="BD87" s="696">
        <f t="shared" si="327"/>
        <v>25995.379337692306</v>
      </c>
      <c r="BE87" s="696">
        <f t="shared" si="327"/>
        <v>25993.150508461538</v>
      </c>
      <c r="BF87" s="696">
        <f t="shared" si="327"/>
        <v>26011.913896153848</v>
      </c>
      <c r="BG87" s="696">
        <f t="shared" si="327"/>
        <v>26037.125849230764</v>
      </c>
      <c r="BH87" s="696">
        <f t="shared" si="327"/>
        <v>26079.023906153841</v>
      </c>
      <c r="BI87" s="696">
        <f>SUM(AW85:BI85)/13</f>
        <v>26130.846812307685</v>
      </c>
      <c r="BJ87" s="696">
        <f t="shared" ref="BJ87" si="328">SUM(AX85:BJ85)/13</f>
        <v>26203.273800769231</v>
      </c>
      <c r="BK87" s="696">
        <f t="shared" ref="BK87" si="329">SUM(AY85:BK85)/13</f>
        <v>26291.87558</v>
      </c>
      <c r="BL87" s="696">
        <f t="shared" ref="BL87" si="330">SUM(AZ85:BL85)/13</f>
        <v>26421.42876923077</v>
      </c>
      <c r="BM87" s="696">
        <f t="shared" ref="BM87" si="331">SUM(BA85:BM85)/13</f>
        <v>26546.238480000004</v>
      </c>
      <c r="BN87" s="696">
        <f t="shared" ref="BN87" si="332">SUM(BB85:BN85)/13</f>
        <v>26685.077403076924</v>
      </c>
      <c r="BO87" s="696">
        <f t="shared" ref="BO87" si="333">SUM(BC85:BO85)/13</f>
        <v>26824.235399230769</v>
      </c>
      <c r="BP87" s="696">
        <f t="shared" ref="BP87" si="334">SUM(BD85:BP85)/13</f>
        <v>26986.889675384617</v>
      </c>
      <c r="BQ87" s="696">
        <f t="shared" ref="BQ87" si="335">SUM(BE85:BQ85)/13</f>
        <v>27171.264824615388</v>
      </c>
      <c r="BR87" s="696">
        <f t="shared" ref="BR87" si="336">SUM(BF85:BR85)/13</f>
        <v>27362.917786153848</v>
      </c>
      <c r="BS87" s="696">
        <f t="shared" ref="BS87" si="337">SUM(BG85:BS85)/13</f>
        <v>27558.485821538467</v>
      </c>
      <c r="BT87" s="696">
        <f t="shared" ref="BT87" si="338">SUM(BH85:BT85)/13</f>
        <v>27770.438103846158</v>
      </c>
      <c r="BU87" s="696">
        <f t="shared" ref="BU87" si="339">SUM(BI85:BU85)/13</f>
        <v>27981.610000000004</v>
      </c>
      <c r="BV87" s="696">
        <f t="shared" ref="BV87" si="340">SUM(BJ85:BV85)/13</f>
        <v>28198.36295461539</v>
      </c>
      <c r="BW87" s="696">
        <f>SUM(BK85:BW85)/13</f>
        <v>28428.894845384617</v>
      </c>
      <c r="BX87" s="696">
        <f t="shared" ref="BX87:CI87" si="341">SUM(BL85:BX85)/13</f>
        <v>28554.541108461541</v>
      </c>
      <c r="BY87" s="696">
        <f t="shared" si="341"/>
        <v>28660.895364615386</v>
      </c>
      <c r="BZ87" s="696">
        <f t="shared" si="341"/>
        <v>28760.275118461541</v>
      </c>
      <c r="CA87" s="696">
        <f t="shared" si="341"/>
        <v>28844.306043076929</v>
      </c>
      <c r="CB87" s="696">
        <f t="shared" si="341"/>
        <v>28921.105663076924</v>
      </c>
      <c r="CC87" s="696">
        <f t="shared" si="341"/>
        <v>28981.524974615386</v>
      </c>
      <c r="CD87" s="696">
        <f t="shared" si="341"/>
        <v>29015.377195384612</v>
      </c>
      <c r="CE87" s="696">
        <f t="shared" si="341"/>
        <v>29034.26113384615</v>
      </c>
      <c r="CF87" s="696">
        <f t="shared" si="341"/>
        <v>29038.190481538459</v>
      </c>
      <c r="CG87" s="696">
        <f t="shared" si="341"/>
        <v>29021.679831538462</v>
      </c>
      <c r="CH87" s="696">
        <f t="shared" si="341"/>
        <v>28993.898159230768</v>
      </c>
      <c r="CI87" s="696">
        <f t="shared" si="341"/>
        <v>28951.61272538461</v>
      </c>
      <c r="CJ87" s="696">
        <f t="shared" ref="CJ87" si="342">SUM(BX85:CJ85)/13</f>
        <v>28860.830769230764</v>
      </c>
      <c r="CK87" s="696">
        <f t="shared" ref="CK87" si="343">SUM(BY85:CK85)/13</f>
        <v>28865.15384615384</v>
      </c>
      <c r="CL87" s="696">
        <f t="shared" ref="CL87" si="344">SUM(BZ85:CL85)/13</f>
        <v>28869.423076923078</v>
      </c>
      <c r="CM87" s="696">
        <f t="shared" ref="CM87" si="345">SUM(CA85:CM85)/13</f>
        <v>28873.307692307695</v>
      </c>
      <c r="CN87" s="696">
        <f t="shared" ref="CN87" si="346">SUM(CB85:CN85)/13</f>
        <v>28876.792307692311</v>
      </c>
      <c r="CO87" s="696">
        <f t="shared" ref="CO87" si="347">SUM(CC85:CO85)/13</f>
        <v>28879.892307692309</v>
      </c>
      <c r="CP87" s="696">
        <f t="shared" ref="CP87" si="348">SUM(CD85:CP85)/13</f>
        <v>28882.561538461538</v>
      </c>
      <c r="CQ87" s="696">
        <f t="shared" ref="CQ87" si="349">SUM(CE85:CQ85)/13</f>
        <v>28884.799999999996</v>
      </c>
      <c r="CR87" s="696">
        <f t="shared" ref="CR87" si="350">SUM(CF85:CR85)/13</f>
        <v>28886.61538461539</v>
      </c>
      <c r="CS87" s="696">
        <f t="shared" ref="CS87" si="351">SUM(CG85:CS85)/13</f>
        <v>28888.430769230778</v>
      </c>
      <c r="CT87" s="696">
        <f t="shared" ref="CT87" si="352">SUM(CH85:CT85)/13</f>
        <v>28890.246153846154</v>
      </c>
      <c r="CU87" s="696">
        <f t="shared" ref="CU87" si="353">SUM(CI85:CU85)/13</f>
        <v>28892.061538461538</v>
      </c>
    </row>
    <row r="88" spans="1:99"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449"/>
      <c r="AY88" s="449"/>
      <c r="AZ88" s="449"/>
      <c r="BA88" s="449"/>
      <c r="BB88" s="449"/>
      <c r="BC88" s="449"/>
      <c r="BD88" s="449"/>
      <c r="BE88" s="449"/>
      <c r="BF88" s="449"/>
      <c r="BG88" s="449"/>
      <c r="BH88" s="449"/>
      <c r="BI88" s="449"/>
      <c r="BJ88" s="449"/>
      <c r="BK88" s="449"/>
      <c r="BL88" s="449"/>
      <c r="BM88" s="449"/>
      <c r="BN88" s="449"/>
      <c r="BO88" s="449"/>
      <c r="BP88" s="449"/>
      <c r="BQ88" s="449"/>
      <c r="BR88" s="449"/>
      <c r="BS88" s="449"/>
      <c r="BT88" s="449"/>
      <c r="BU88" s="449"/>
      <c r="BV88" s="449"/>
      <c r="BW88" s="449"/>
      <c r="BX88" s="449"/>
      <c r="BY88" s="449"/>
      <c r="BZ88" s="449"/>
      <c r="CA88" s="449"/>
      <c r="CB88" s="449"/>
      <c r="CC88" s="449"/>
      <c r="CD88" s="449"/>
      <c r="CE88" s="449"/>
      <c r="CF88" s="449"/>
      <c r="CG88" s="449"/>
      <c r="CH88" s="449"/>
      <c r="CI88" s="449"/>
      <c r="CJ88" s="449"/>
      <c r="CK88" s="449"/>
      <c r="CL88" s="449"/>
      <c r="CM88" s="449"/>
      <c r="CN88" s="449"/>
      <c r="CO88" s="449"/>
      <c r="CP88" s="449"/>
      <c r="CQ88" s="449"/>
      <c r="CR88" s="449"/>
      <c r="CS88" s="449"/>
      <c r="CT88" s="449"/>
      <c r="CU88" s="449"/>
    </row>
    <row r="89" spans="1:99"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449"/>
      <c r="AY89" s="449"/>
      <c r="AZ89" s="449"/>
      <c r="BA89" s="449"/>
      <c r="BB89" s="449"/>
      <c r="BC89" s="449"/>
      <c r="BD89" s="449"/>
      <c r="BE89" s="449"/>
      <c r="BF89" s="449"/>
      <c r="BG89" s="449"/>
      <c r="BH89" s="449"/>
      <c r="BI89" s="449"/>
      <c r="BJ89" s="449"/>
      <c r="BK89" s="449"/>
      <c r="BL89" s="449"/>
      <c r="BM89" s="449"/>
      <c r="BN89" s="449"/>
      <c r="BO89" s="449"/>
      <c r="BP89" s="449"/>
      <c r="BQ89" s="449"/>
      <c r="BR89" s="449"/>
      <c r="BS89" s="449"/>
      <c r="BT89" s="449"/>
      <c r="BU89" s="449"/>
      <c r="BV89" s="449"/>
      <c r="BW89" s="449"/>
      <c r="BX89" s="449"/>
      <c r="BY89" s="449"/>
      <c r="BZ89" s="449"/>
      <c r="CA89" s="449"/>
      <c r="CB89" s="449"/>
      <c r="CC89" s="449"/>
      <c r="CD89" s="449"/>
      <c r="CE89" s="449"/>
      <c r="CF89" s="449"/>
      <c r="CG89" s="449"/>
      <c r="CH89" s="449"/>
      <c r="CI89" s="449"/>
      <c r="CJ89" s="449"/>
      <c r="CK89" s="449"/>
      <c r="CL89" s="449"/>
      <c r="CM89" s="449"/>
      <c r="CN89" s="449"/>
      <c r="CO89" s="449"/>
      <c r="CP89" s="449"/>
      <c r="CQ89" s="449"/>
      <c r="CR89" s="449"/>
      <c r="CS89" s="449"/>
      <c r="CT89" s="449"/>
      <c r="CU89" s="449"/>
    </row>
    <row r="90" spans="1:99"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9"/>
      <c r="BK90" s="449"/>
      <c r="BL90" s="449"/>
      <c r="BM90" s="449"/>
      <c r="BN90" s="449"/>
      <c r="BO90" s="449"/>
      <c r="BP90" s="449"/>
      <c r="BQ90" s="449"/>
      <c r="BR90" s="449"/>
      <c r="BS90" s="449"/>
      <c r="BT90" s="449"/>
      <c r="BU90" s="449"/>
      <c r="BV90" s="449"/>
      <c r="BW90" s="449"/>
      <c r="BX90" s="449"/>
      <c r="BY90" s="449"/>
      <c r="BZ90" s="449"/>
      <c r="CA90" s="449"/>
      <c r="CB90" s="449"/>
      <c r="CC90" s="449"/>
      <c r="CD90" s="449"/>
      <c r="CE90" s="449"/>
      <c r="CF90" s="449"/>
      <c r="CG90" s="449"/>
      <c r="CH90" s="449"/>
      <c r="CI90" s="449"/>
      <c r="CJ90" s="449"/>
      <c r="CK90" s="449"/>
      <c r="CL90" s="449"/>
      <c r="CM90" s="449"/>
      <c r="CN90" s="449"/>
      <c r="CO90" s="449"/>
      <c r="CP90" s="449"/>
      <c r="CQ90" s="449"/>
      <c r="CR90" s="449"/>
      <c r="CS90" s="449"/>
      <c r="CT90" s="449"/>
      <c r="CU90" s="449"/>
    </row>
    <row r="91" spans="1:99">
      <c r="B91" s="597" t="s">
        <v>614</v>
      </c>
      <c r="C91" s="212"/>
      <c r="AA91" s="421">
        <f t="shared" ref="AA91" si="354">AA80</f>
        <v>43449</v>
      </c>
      <c r="AB91" s="421">
        <f t="shared" ref="AB91:AY91" si="355">AB80</f>
        <v>43480</v>
      </c>
      <c r="AC91" s="421">
        <f t="shared" si="355"/>
        <v>43511</v>
      </c>
      <c r="AD91" s="421">
        <f t="shared" si="355"/>
        <v>43542</v>
      </c>
      <c r="AE91" s="421">
        <f t="shared" si="355"/>
        <v>43573</v>
      </c>
      <c r="AF91" s="421">
        <f t="shared" si="355"/>
        <v>43604</v>
      </c>
      <c r="AG91" s="421">
        <f t="shared" si="355"/>
        <v>43635</v>
      </c>
      <c r="AH91" s="421">
        <f t="shared" si="355"/>
        <v>43666</v>
      </c>
      <c r="AI91" s="421">
        <f t="shared" si="355"/>
        <v>43697</v>
      </c>
      <c r="AJ91" s="421">
        <f t="shared" si="355"/>
        <v>43728</v>
      </c>
      <c r="AK91" s="421">
        <f t="shared" si="355"/>
        <v>43759</v>
      </c>
      <c r="AL91" s="421">
        <f t="shared" si="355"/>
        <v>43790</v>
      </c>
      <c r="AM91" s="421">
        <f t="shared" si="355"/>
        <v>43821</v>
      </c>
      <c r="AN91" s="421">
        <f t="shared" si="355"/>
        <v>43852</v>
      </c>
      <c r="AO91" s="421">
        <f t="shared" si="355"/>
        <v>43883</v>
      </c>
      <c r="AP91" s="421">
        <f t="shared" si="355"/>
        <v>43914</v>
      </c>
      <c r="AQ91" s="421">
        <f t="shared" si="355"/>
        <v>43945</v>
      </c>
      <c r="AR91" s="421">
        <f t="shared" si="355"/>
        <v>43976</v>
      </c>
      <c r="AS91" s="421">
        <f t="shared" si="355"/>
        <v>44007</v>
      </c>
      <c r="AT91" s="421">
        <f t="shared" si="355"/>
        <v>44038</v>
      </c>
      <c r="AU91" s="421">
        <f t="shared" si="355"/>
        <v>44069</v>
      </c>
      <c r="AV91" s="421">
        <f t="shared" si="355"/>
        <v>44100</v>
      </c>
      <c r="AW91" s="421">
        <f t="shared" si="355"/>
        <v>44131</v>
      </c>
      <c r="AX91" s="421">
        <f t="shared" si="355"/>
        <v>44162</v>
      </c>
      <c r="AY91" s="421">
        <f t="shared" si="355"/>
        <v>44193</v>
      </c>
      <c r="AZ91" s="421">
        <f t="shared" ref="AZ91:BI91" si="356">AZ80</f>
        <v>44224</v>
      </c>
      <c r="BA91" s="421">
        <f t="shared" si="356"/>
        <v>44255</v>
      </c>
      <c r="BB91" s="421">
        <f t="shared" si="356"/>
        <v>44285</v>
      </c>
      <c r="BC91" s="421">
        <f t="shared" si="356"/>
        <v>44316</v>
      </c>
      <c r="BD91" s="421">
        <f t="shared" si="356"/>
        <v>44347</v>
      </c>
      <c r="BE91" s="421">
        <f t="shared" si="356"/>
        <v>44377</v>
      </c>
      <c r="BF91" s="421">
        <f t="shared" si="356"/>
        <v>44408</v>
      </c>
      <c r="BG91" s="421">
        <f t="shared" si="356"/>
        <v>44439</v>
      </c>
      <c r="BH91" s="421">
        <f t="shared" si="356"/>
        <v>44469</v>
      </c>
      <c r="BI91" s="421">
        <f t="shared" si="356"/>
        <v>44500</v>
      </c>
      <c r="BJ91" s="421">
        <f t="shared" ref="BJ91:BK91" si="357">BJ80</f>
        <v>44530</v>
      </c>
      <c r="BK91" s="421">
        <f t="shared" si="357"/>
        <v>44561</v>
      </c>
      <c r="BL91" s="421">
        <f t="shared" ref="BL91:BW91" si="358">BL80</f>
        <v>44592</v>
      </c>
      <c r="BM91" s="421">
        <f t="shared" si="358"/>
        <v>44620</v>
      </c>
      <c r="BN91" s="421">
        <f t="shared" si="358"/>
        <v>44651</v>
      </c>
      <c r="BO91" s="421">
        <f t="shared" si="358"/>
        <v>44681</v>
      </c>
      <c r="BP91" s="421">
        <f t="shared" si="358"/>
        <v>44712</v>
      </c>
      <c r="BQ91" s="421">
        <f t="shared" si="358"/>
        <v>44742</v>
      </c>
      <c r="BR91" s="421">
        <f t="shared" si="358"/>
        <v>44773</v>
      </c>
      <c r="BS91" s="421">
        <f t="shared" si="358"/>
        <v>44804</v>
      </c>
      <c r="BT91" s="421">
        <f t="shared" si="358"/>
        <v>44834</v>
      </c>
      <c r="BU91" s="421">
        <f t="shared" si="358"/>
        <v>44865</v>
      </c>
      <c r="BV91" s="421">
        <f t="shared" si="358"/>
        <v>44895</v>
      </c>
      <c r="BW91" s="421">
        <f t="shared" si="358"/>
        <v>44926</v>
      </c>
      <c r="BX91" s="421">
        <f t="shared" ref="BX91:CI91" si="359">BX80</f>
        <v>44957</v>
      </c>
      <c r="BY91" s="421">
        <f t="shared" si="359"/>
        <v>44985</v>
      </c>
      <c r="BZ91" s="421">
        <f t="shared" si="359"/>
        <v>45016</v>
      </c>
      <c r="CA91" s="421">
        <f t="shared" si="359"/>
        <v>45046</v>
      </c>
      <c r="CB91" s="421">
        <f t="shared" si="359"/>
        <v>45077</v>
      </c>
      <c r="CC91" s="421">
        <f t="shared" si="359"/>
        <v>45107</v>
      </c>
      <c r="CD91" s="421">
        <f t="shared" si="359"/>
        <v>45138</v>
      </c>
      <c r="CE91" s="421">
        <f t="shared" si="359"/>
        <v>45169</v>
      </c>
      <c r="CF91" s="421">
        <f t="shared" si="359"/>
        <v>45199</v>
      </c>
      <c r="CG91" s="421">
        <f t="shared" si="359"/>
        <v>45230</v>
      </c>
      <c r="CH91" s="421">
        <f t="shared" si="359"/>
        <v>45260</v>
      </c>
      <c r="CI91" s="421">
        <f t="shared" si="359"/>
        <v>45291</v>
      </c>
      <c r="CJ91" s="421">
        <f t="shared" ref="CJ91:CU91" si="360">CJ80</f>
        <v>45322</v>
      </c>
      <c r="CK91" s="421">
        <f t="shared" si="360"/>
        <v>45350</v>
      </c>
      <c r="CL91" s="421">
        <f t="shared" si="360"/>
        <v>45382</v>
      </c>
      <c r="CM91" s="421">
        <f t="shared" si="360"/>
        <v>45412</v>
      </c>
      <c r="CN91" s="421">
        <f t="shared" si="360"/>
        <v>45443</v>
      </c>
      <c r="CO91" s="421">
        <f t="shared" si="360"/>
        <v>45473</v>
      </c>
      <c r="CP91" s="421">
        <f t="shared" si="360"/>
        <v>45504</v>
      </c>
      <c r="CQ91" s="421">
        <f t="shared" si="360"/>
        <v>45535</v>
      </c>
      <c r="CR91" s="421">
        <f t="shared" si="360"/>
        <v>45565</v>
      </c>
      <c r="CS91" s="421">
        <f t="shared" si="360"/>
        <v>45596</v>
      </c>
      <c r="CT91" s="421">
        <f t="shared" si="360"/>
        <v>45626</v>
      </c>
      <c r="CU91" s="421">
        <f t="shared" si="360"/>
        <v>45657</v>
      </c>
    </row>
    <row r="92" spans="1:99">
      <c r="B92" s="212"/>
      <c r="C92" s="212"/>
      <c r="AA92" s="421"/>
      <c r="AB92" s="421"/>
      <c r="AC92" s="421"/>
      <c r="AD92" s="421"/>
      <c r="AE92" s="421"/>
      <c r="AF92" s="421"/>
      <c r="AG92" s="421"/>
      <c r="AH92" s="421"/>
      <c r="AI92" s="421"/>
      <c r="AJ92" s="421"/>
      <c r="AK92" s="421"/>
      <c r="AL92" s="421"/>
      <c r="AM92" s="421"/>
      <c r="AN92" s="421"/>
      <c r="AO92" s="421"/>
      <c r="AP92" s="421"/>
      <c r="AQ92" s="421"/>
      <c r="AR92" s="421"/>
      <c r="AS92" s="421"/>
      <c r="AT92" s="421"/>
      <c r="AU92" s="421"/>
      <c r="AV92" s="421"/>
      <c r="AW92" s="421"/>
      <c r="AX92" s="421"/>
      <c r="AY92" s="421"/>
      <c r="AZ92" s="421"/>
      <c r="BA92" s="421"/>
      <c r="BB92" s="421"/>
      <c r="BC92" s="421"/>
      <c r="BD92" s="421"/>
      <c r="BE92" s="421"/>
      <c r="BF92" s="421"/>
      <c r="BG92" s="421"/>
      <c r="BH92" s="421"/>
      <c r="BI92" s="421"/>
      <c r="BJ92" s="421"/>
      <c r="BK92" s="421"/>
      <c r="BL92" s="421"/>
      <c r="BM92" s="421"/>
      <c r="BN92" s="421"/>
      <c r="BO92" s="421"/>
      <c r="BP92" s="421"/>
      <c r="BQ92" s="421"/>
      <c r="BR92" s="421"/>
      <c r="BS92" s="421"/>
      <c r="BT92" s="421"/>
      <c r="BU92" s="421"/>
      <c r="BV92" s="421"/>
      <c r="BW92" s="421"/>
      <c r="BX92" s="421"/>
      <c r="BY92" s="421"/>
      <c r="BZ92" s="421"/>
      <c r="CA92" s="421"/>
      <c r="CB92" s="421"/>
      <c r="CC92" s="421"/>
      <c r="CD92" s="421"/>
      <c r="CE92" s="421"/>
      <c r="CF92" s="421"/>
      <c r="CG92" s="421"/>
      <c r="CH92" s="421"/>
      <c r="CI92" s="421"/>
      <c r="CJ92" s="421"/>
      <c r="CK92" s="421"/>
      <c r="CL92" s="421"/>
      <c r="CM92" s="421"/>
      <c r="CN92" s="421"/>
      <c r="CO92" s="421"/>
      <c r="CP92" s="421"/>
      <c r="CQ92" s="421"/>
      <c r="CR92" s="421"/>
      <c r="CS92" s="421"/>
      <c r="CT92" s="421"/>
      <c r="CU92" s="421"/>
    </row>
    <row r="93" spans="1:99">
      <c r="A93" s="376" t="s">
        <v>615</v>
      </c>
      <c r="B93" s="1036" t="s">
        <v>616</v>
      </c>
      <c r="C93" s="454">
        <f ca="1">SUM(OFFSET(BX93:CI93,0,'Bal Sheet'!$A$1))</f>
        <v>0</v>
      </c>
      <c r="AA93" s="404" t="e">
        <v>#N/A</v>
      </c>
      <c r="AB93" s="404" t="e">
        <v>#N/A</v>
      </c>
      <c r="AC93" s="404" t="e">
        <v>#N/A</v>
      </c>
      <c r="AD93" s="465">
        <v>55.33399</v>
      </c>
      <c r="AE93" s="465">
        <v>55.16516</v>
      </c>
      <c r="AF93" s="465">
        <v>55.280230000000003</v>
      </c>
      <c r="AG93" s="465">
        <v>55.284570000000002</v>
      </c>
      <c r="AH93" s="465">
        <v>55.091999999999999</v>
      </c>
      <c r="AI93" s="465">
        <v>54.934139999999999</v>
      </c>
      <c r="AJ93" s="465">
        <v>54.913050000000005</v>
      </c>
      <c r="AK93" s="465">
        <v>55.028129999999997</v>
      </c>
      <c r="AL93" s="465">
        <v>55.015550000000005</v>
      </c>
      <c r="AM93" s="465">
        <v>42.623800000000003</v>
      </c>
      <c r="AN93" s="465">
        <v>55.003349999999998</v>
      </c>
      <c r="AO93" s="465">
        <v>55.161089999999994</v>
      </c>
      <c r="AP93" s="465">
        <v>55.20035</v>
      </c>
      <c r="AQ93" s="465">
        <v>55.19061</v>
      </c>
      <c r="AR93" s="465">
        <v>55.06964</v>
      </c>
      <c r="AS93" s="465">
        <v>54.910879999999999</v>
      </c>
      <c r="AT93" s="465">
        <v>54.900400000000005</v>
      </c>
      <c r="AU93" s="465">
        <v>54.798300000000005</v>
      </c>
      <c r="AV93" s="465">
        <v>54.84346</v>
      </c>
      <c r="AW93" s="465">
        <v>54.8</v>
      </c>
      <c r="AX93" s="210">
        <v>54.6</v>
      </c>
      <c r="AY93" s="210">
        <v>43.181760000000004</v>
      </c>
      <c r="AZ93" s="210">
        <v>54.454269999999994</v>
      </c>
      <c r="BA93" s="210">
        <v>54.502220000000001</v>
      </c>
      <c r="BB93" s="210">
        <v>54.70138</v>
      </c>
      <c r="BC93" s="210">
        <v>54.612589999999997</v>
      </c>
      <c r="BD93" s="210">
        <v>54.794779999999996</v>
      </c>
      <c r="BE93" s="210">
        <v>55.070860000000003</v>
      </c>
      <c r="BF93" s="583">
        <v>55.4</v>
      </c>
      <c r="BG93" s="583">
        <v>55.6</v>
      </c>
      <c r="BH93" s="583">
        <v>56</v>
      </c>
      <c r="BI93" s="583">
        <v>56.2</v>
      </c>
      <c r="BJ93" s="583">
        <v>56.7</v>
      </c>
      <c r="BK93" s="583">
        <v>46.8</v>
      </c>
      <c r="BL93" s="583">
        <v>57.503329999999998</v>
      </c>
      <c r="BM93" s="583">
        <v>57.771410000000003</v>
      </c>
      <c r="BN93" s="583">
        <v>58.107459999999996</v>
      </c>
      <c r="BO93" s="583">
        <v>58.306139999999999</v>
      </c>
      <c r="BP93" s="583">
        <v>58.701509999999999</v>
      </c>
      <c r="BQ93" s="583">
        <v>59.319919999999996</v>
      </c>
      <c r="BR93" s="583">
        <v>59.722239999999999</v>
      </c>
      <c r="BS93" s="583">
        <v>60.098949999999995</v>
      </c>
      <c r="BT93" s="583">
        <v>60.62424</v>
      </c>
      <c r="BU93" s="583">
        <v>60.904249999999998</v>
      </c>
      <c r="BV93" s="583">
        <v>61.298940000000002</v>
      </c>
      <c r="BW93" s="583">
        <v>51.968530000000001</v>
      </c>
      <c r="BX93" s="583">
        <v>0</v>
      </c>
      <c r="BY93" s="583">
        <v>0</v>
      </c>
      <c r="BZ93" s="583">
        <v>0</v>
      </c>
      <c r="CA93" s="583">
        <v>0</v>
      </c>
      <c r="CB93" s="583">
        <v>0</v>
      </c>
      <c r="CC93" s="583">
        <v>0</v>
      </c>
      <c r="CD93" s="583">
        <v>0</v>
      </c>
      <c r="CE93" s="583">
        <v>0</v>
      </c>
      <c r="CF93" s="583">
        <v>0</v>
      </c>
      <c r="CG93" s="583">
        <v>0</v>
      </c>
      <c r="CH93" s="583">
        <v>0</v>
      </c>
      <c r="CI93" s="583">
        <v>0</v>
      </c>
      <c r="CJ93" s="583">
        <v>0</v>
      </c>
      <c r="CK93" s="583">
        <v>0</v>
      </c>
      <c r="CL93" s="583">
        <v>0</v>
      </c>
      <c r="CM93" s="583">
        <v>0</v>
      </c>
      <c r="CN93" s="583">
        <v>0</v>
      </c>
      <c r="CO93" s="583">
        <v>0</v>
      </c>
      <c r="CP93" s="583">
        <v>0</v>
      </c>
      <c r="CQ93" s="583">
        <v>0</v>
      </c>
      <c r="CR93" s="583">
        <v>0</v>
      </c>
      <c r="CS93" s="583">
        <v>0</v>
      </c>
      <c r="CT93" s="583">
        <v>0</v>
      </c>
      <c r="CU93" s="583">
        <v>0</v>
      </c>
    </row>
    <row r="94" spans="1:99">
      <c r="A94" s="376" t="s">
        <v>1187</v>
      </c>
      <c r="B94" s="1036" t="s">
        <v>616</v>
      </c>
      <c r="C94" s="294">
        <f ca="1">SUM(OFFSET(BX94:CI94,0,'Bal Sheet'!$A$1))</f>
        <v>730.2</v>
      </c>
      <c r="AA94" s="403"/>
      <c r="AB94" s="403"/>
      <c r="AC94" s="403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64"/>
      <c r="AQ94" s="464"/>
      <c r="AR94" s="464"/>
      <c r="AS94" s="464"/>
      <c r="AT94" s="464"/>
      <c r="AU94" s="464"/>
      <c r="AV94" s="464"/>
      <c r="AW94" s="464"/>
      <c r="AX94" s="330"/>
      <c r="AY94" s="330"/>
      <c r="AZ94" s="330"/>
      <c r="BA94" s="330"/>
      <c r="BB94" s="330"/>
      <c r="BC94" s="330"/>
      <c r="BD94" s="330"/>
      <c r="BE94" s="330"/>
      <c r="BF94" s="584"/>
      <c r="BG94" s="584"/>
      <c r="BH94" s="584"/>
      <c r="BI94" s="584"/>
      <c r="BJ94" s="584"/>
      <c r="BK94" s="584"/>
      <c r="BL94" s="584"/>
      <c r="BM94" s="584"/>
      <c r="BN94" s="584"/>
      <c r="BO94" s="584"/>
      <c r="BP94" s="584"/>
      <c r="BQ94" s="584"/>
      <c r="BR94" s="584">
        <v>0</v>
      </c>
      <c r="BS94" s="584">
        <v>0</v>
      </c>
      <c r="BT94" s="584">
        <v>0</v>
      </c>
      <c r="BU94" s="584">
        <v>0</v>
      </c>
      <c r="BV94" s="584">
        <v>0</v>
      </c>
      <c r="BW94" s="584">
        <v>0</v>
      </c>
      <c r="BX94" s="584">
        <v>60.6</v>
      </c>
      <c r="BY94" s="584">
        <v>60.6</v>
      </c>
      <c r="BZ94" s="584">
        <v>60.7</v>
      </c>
      <c r="CA94" s="584">
        <v>60.7</v>
      </c>
      <c r="CB94" s="584">
        <v>60.8</v>
      </c>
      <c r="CC94" s="584">
        <v>60.8</v>
      </c>
      <c r="CD94" s="584">
        <v>60.9</v>
      </c>
      <c r="CE94" s="584">
        <v>60.9</v>
      </c>
      <c r="CF94" s="584">
        <v>61</v>
      </c>
      <c r="CG94" s="584">
        <v>61</v>
      </c>
      <c r="CH94" s="584">
        <v>61.1</v>
      </c>
      <c r="CI94" s="584">
        <v>61.1</v>
      </c>
      <c r="CJ94" s="584">
        <v>60.6</v>
      </c>
      <c r="CK94" s="584">
        <v>60.6</v>
      </c>
      <c r="CL94" s="584">
        <v>60.7</v>
      </c>
      <c r="CM94" s="584">
        <v>60.7</v>
      </c>
      <c r="CN94" s="584">
        <v>60.8</v>
      </c>
      <c r="CO94" s="584">
        <v>60.8</v>
      </c>
      <c r="CP94" s="584">
        <v>60.9</v>
      </c>
      <c r="CQ94" s="584">
        <v>60.9</v>
      </c>
      <c r="CR94" s="584">
        <v>61</v>
      </c>
      <c r="CS94" s="584">
        <v>61</v>
      </c>
      <c r="CT94" s="584">
        <v>61.1</v>
      </c>
      <c r="CU94" s="584">
        <v>61.1</v>
      </c>
    </row>
    <row r="95" spans="1:99">
      <c r="B95" s="742" t="s">
        <v>617</v>
      </c>
      <c r="C95" s="293">
        <f t="shared" ref="C95" ca="1" si="361">SUM(C93:C94)</f>
        <v>730.2</v>
      </c>
      <c r="AA95" s="33" t="e">
        <f t="shared" ref="AA95" si="362">SUM(AA93:AA93)</f>
        <v>#N/A</v>
      </c>
      <c r="AB95" s="33" t="e">
        <f t="shared" ref="AB95:AY95" si="363">SUM(AB93:AB93)</f>
        <v>#N/A</v>
      </c>
      <c r="AC95" s="33" t="e">
        <f t="shared" si="363"/>
        <v>#N/A</v>
      </c>
      <c r="AD95" s="33">
        <f t="shared" si="363"/>
        <v>55.33399</v>
      </c>
      <c r="AE95" s="33">
        <f t="shared" si="363"/>
        <v>55.16516</v>
      </c>
      <c r="AF95" s="33">
        <f t="shared" si="363"/>
        <v>55.280230000000003</v>
      </c>
      <c r="AG95" s="33">
        <f t="shared" si="363"/>
        <v>55.284570000000002</v>
      </c>
      <c r="AH95" s="33">
        <f t="shared" si="363"/>
        <v>55.091999999999999</v>
      </c>
      <c r="AI95" s="33">
        <f t="shared" si="363"/>
        <v>54.934139999999999</v>
      </c>
      <c r="AJ95" s="33">
        <f t="shared" si="363"/>
        <v>54.913050000000005</v>
      </c>
      <c r="AK95" s="33">
        <f t="shared" si="363"/>
        <v>55.028129999999997</v>
      </c>
      <c r="AL95" s="33">
        <f t="shared" si="363"/>
        <v>55.015550000000005</v>
      </c>
      <c r="AM95" s="33">
        <f t="shared" si="363"/>
        <v>42.623800000000003</v>
      </c>
      <c r="AN95" s="33">
        <f t="shared" si="363"/>
        <v>55.003349999999998</v>
      </c>
      <c r="AO95" s="33">
        <f t="shared" si="363"/>
        <v>55.161089999999994</v>
      </c>
      <c r="AP95" s="33">
        <f t="shared" si="363"/>
        <v>55.20035</v>
      </c>
      <c r="AQ95" s="33">
        <f t="shared" si="363"/>
        <v>55.19061</v>
      </c>
      <c r="AR95" s="33">
        <f t="shared" si="363"/>
        <v>55.06964</v>
      </c>
      <c r="AS95" s="33">
        <f t="shared" si="363"/>
        <v>54.910879999999999</v>
      </c>
      <c r="AT95" s="33">
        <f t="shared" si="363"/>
        <v>54.900400000000005</v>
      </c>
      <c r="AU95" s="33">
        <f t="shared" si="363"/>
        <v>54.798300000000005</v>
      </c>
      <c r="AV95" s="33">
        <f t="shared" si="363"/>
        <v>54.84346</v>
      </c>
      <c r="AW95" s="33">
        <f t="shared" si="363"/>
        <v>54.8</v>
      </c>
      <c r="AX95" s="449">
        <f t="shared" si="363"/>
        <v>54.6</v>
      </c>
      <c r="AY95" s="449">
        <f t="shared" si="363"/>
        <v>43.181760000000004</v>
      </c>
      <c r="AZ95" s="449">
        <f t="shared" ref="AZ95:BA95" si="364">SUM(AZ93:AZ93)</f>
        <v>54.454269999999994</v>
      </c>
      <c r="BA95" s="449">
        <f t="shared" si="364"/>
        <v>54.502220000000001</v>
      </c>
      <c r="BB95" s="449">
        <f t="shared" ref="BB95:BQ95" si="365">SUM(BB93:BB94)</f>
        <v>54.70138</v>
      </c>
      <c r="BC95" s="449">
        <f t="shared" si="365"/>
        <v>54.612589999999997</v>
      </c>
      <c r="BD95" s="449">
        <f t="shared" si="365"/>
        <v>54.794779999999996</v>
      </c>
      <c r="BE95" s="449">
        <f t="shared" si="365"/>
        <v>55.070860000000003</v>
      </c>
      <c r="BF95" s="449">
        <f t="shared" si="365"/>
        <v>55.4</v>
      </c>
      <c r="BG95" s="449">
        <f t="shared" si="365"/>
        <v>55.6</v>
      </c>
      <c r="BH95" s="449">
        <f t="shared" si="365"/>
        <v>56</v>
      </c>
      <c r="BI95" s="449">
        <f t="shared" si="365"/>
        <v>56.2</v>
      </c>
      <c r="BJ95" s="449">
        <f t="shared" si="365"/>
        <v>56.7</v>
      </c>
      <c r="BK95" s="449">
        <f t="shared" si="365"/>
        <v>46.8</v>
      </c>
      <c r="BL95" s="449">
        <f t="shared" si="365"/>
        <v>57.503329999999998</v>
      </c>
      <c r="BM95" s="449">
        <f t="shared" si="365"/>
        <v>57.771410000000003</v>
      </c>
      <c r="BN95" s="449">
        <f t="shared" si="365"/>
        <v>58.107459999999996</v>
      </c>
      <c r="BO95" s="449">
        <f t="shared" si="365"/>
        <v>58.306139999999999</v>
      </c>
      <c r="BP95" s="449">
        <f t="shared" si="365"/>
        <v>58.701509999999999</v>
      </c>
      <c r="BQ95" s="449">
        <f t="shared" si="365"/>
        <v>59.319919999999996</v>
      </c>
      <c r="BR95" s="449">
        <f t="shared" ref="BR95:BW95" si="366">SUM(BR93:BR94)</f>
        <v>59.722239999999999</v>
      </c>
      <c r="BS95" s="449">
        <f t="shared" si="366"/>
        <v>60.098949999999995</v>
      </c>
      <c r="BT95" s="449">
        <f t="shared" si="366"/>
        <v>60.62424</v>
      </c>
      <c r="BU95" s="449">
        <f t="shared" si="366"/>
        <v>60.904249999999998</v>
      </c>
      <c r="BV95" s="449">
        <f t="shared" si="366"/>
        <v>61.298940000000002</v>
      </c>
      <c r="BW95" s="449">
        <f t="shared" si="366"/>
        <v>51.968530000000001</v>
      </c>
      <c r="BX95" s="449">
        <f t="shared" ref="BX95:CI95" si="367">SUM(BX93:BX94)</f>
        <v>60.6</v>
      </c>
      <c r="BY95" s="449">
        <f t="shared" si="367"/>
        <v>60.6</v>
      </c>
      <c r="BZ95" s="449">
        <f t="shared" si="367"/>
        <v>60.7</v>
      </c>
      <c r="CA95" s="449">
        <f t="shared" si="367"/>
        <v>60.7</v>
      </c>
      <c r="CB95" s="449">
        <f t="shared" si="367"/>
        <v>60.8</v>
      </c>
      <c r="CC95" s="449">
        <f t="shared" si="367"/>
        <v>60.8</v>
      </c>
      <c r="CD95" s="449">
        <f t="shared" si="367"/>
        <v>60.9</v>
      </c>
      <c r="CE95" s="449">
        <f t="shared" si="367"/>
        <v>60.9</v>
      </c>
      <c r="CF95" s="449">
        <f t="shared" si="367"/>
        <v>61</v>
      </c>
      <c r="CG95" s="449">
        <f t="shared" si="367"/>
        <v>61</v>
      </c>
      <c r="CH95" s="449">
        <f t="shared" si="367"/>
        <v>61.1</v>
      </c>
      <c r="CI95" s="449">
        <f t="shared" si="367"/>
        <v>61.1</v>
      </c>
      <c r="CJ95" s="449">
        <f t="shared" ref="CJ95:CU95" si="368">SUM(CJ93:CJ94)</f>
        <v>60.6</v>
      </c>
      <c r="CK95" s="449">
        <f t="shared" si="368"/>
        <v>60.6</v>
      </c>
      <c r="CL95" s="449">
        <f t="shared" si="368"/>
        <v>60.7</v>
      </c>
      <c r="CM95" s="449">
        <f t="shared" si="368"/>
        <v>60.7</v>
      </c>
      <c r="CN95" s="449">
        <f t="shared" si="368"/>
        <v>60.8</v>
      </c>
      <c r="CO95" s="449">
        <f t="shared" si="368"/>
        <v>60.8</v>
      </c>
      <c r="CP95" s="449">
        <f t="shared" si="368"/>
        <v>60.9</v>
      </c>
      <c r="CQ95" s="449">
        <f t="shared" si="368"/>
        <v>60.9</v>
      </c>
      <c r="CR95" s="449">
        <f t="shared" si="368"/>
        <v>61</v>
      </c>
      <c r="CS95" s="449">
        <f t="shared" si="368"/>
        <v>61</v>
      </c>
      <c r="CT95" s="449">
        <f t="shared" si="368"/>
        <v>61.1</v>
      </c>
      <c r="CU95" s="449">
        <f t="shared" si="368"/>
        <v>61.1</v>
      </c>
    </row>
    <row r="96" spans="1:99"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449"/>
      <c r="AY96" s="449"/>
      <c r="AZ96" s="449"/>
      <c r="BA96" s="449"/>
      <c r="BB96" s="449"/>
      <c r="BC96" s="449"/>
      <c r="BD96" s="449"/>
      <c r="BE96" s="449"/>
      <c r="BF96" s="449"/>
      <c r="BG96" s="449"/>
      <c r="BH96" s="449"/>
      <c r="BI96" s="449"/>
      <c r="BJ96" s="449"/>
      <c r="BK96" s="449"/>
      <c r="BL96" s="449"/>
      <c r="BM96" s="449"/>
      <c r="BN96" s="449"/>
      <c r="BO96" s="449"/>
      <c r="BP96" s="449"/>
      <c r="BQ96" s="449"/>
      <c r="BR96" s="449"/>
      <c r="BS96" s="449"/>
      <c r="BT96" s="449"/>
      <c r="BU96" s="449"/>
      <c r="BV96" s="449"/>
      <c r="BW96" s="449"/>
      <c r="BX96" s="449"/>
      <c r="BY96" s="449"/>
      <c r="BZ96" s="449"/>
      <c r="CA96" s="449"/>
      <c r="CB96" s="449"/>
      <c r="CC96" s="449"/>
      <c r="CD96" s="449"/>
      <c r="CE96" s="449"/>
      <c r="CF96" s="449"/>
      <c r="CG96" s="449"/>
      <c r="CH96" s="449"/>
      <c r="CI96" s="449"/>
      <c r="CJ96" s="449"/>
      <c r="CK96" s="449"/>
      <c r="CL96" s="449"/>
      <c r="CM96" s="449"/>
      <c r="CN96" s="449"/>
      <c r="CO96" s="449"/>
      <c r="CP96" s="449"/>
      <c r="CQ96" s="449"/>
      <c r="CR96" s="449"/>
      <c r="CS96" s="449"/>
      <c r="CT96" s="449"/>
      <c r="CU96" s="449"/>
    </row>
    <row r="97" spans="2:99">
      <c r="B97" s="375" t="s">
        <v>618</v>
      </c>
      <c r="C97" s="447"/>
      <c r="AA97" s="33" t="e">
        <f>SUM(P95:AA95)</f>
        <v>#N/A</v>
      </c>
      <c r="AB97" s="33" t="e">
        <f>SUM(Q95:AB95)</f>
        <v>#N/A</v>
      </c>
      <c r="AC97" s="33" t="e">
        <f t="shared" ref="AC97" si="369">SUM(R95:AC95)</f>
        <v>#N/A</v>
      </c>
      <c r="AD97" s="33" t="e">
        <f t="shared" ref="AD97" si="370">SUM(S95:AD95)</f>
        <v>#N/A</v>
      </c>
      <c r="AE97" s="33" t="e">
        <f t="shared" ref="AE97" si="371">SUM(T95:AE95)</f>
        <v>#N/A</v>
      </c>
      <c r="AF97" s="33" t="e">
        <f t="shared" ref="AF97" si="372">SUM(U95:AF95)</f>
        <v>#N/A</v>
      </c>
      <c r="AG97" s="33" t="e">
        <f t="shared" ref="AG97" si="373">SUM(V95:AG95)</f>
        <v>#N/A</v>
      </c>
      <c r="AH97" s="33" t="e">
        <f t="shared" ref="AH97" si="374">SUM(W95:AH95)</f>
        <v>#N/A</v>
      </c>
      <c r="AI97" s="33" t="e">
        <f t="shared" ref="AI97" si="375">SUM(X95:AI95)</f>
        <v>#N/A</v>
      </c>
      <c r="AJ97" s="33" t="e">
        <f t="shared" ref="AJ97" si="376">SUM(Y95:AJ95)</f>
        <v>#N/A</v>
      </c>
      <c r="AK97" s="33" t="e">
        <f t="shared" ref="AK97" si="377">SUM(Z95:AK95)</f>
        <v>#N/A</v>
      </c>
      <c r="AL97" s="33" t="e">
        <f t="shared" ref="AL97" si="378">SUM(AA95:AL95)</f>
        <v>#N/A</v>
      </c>
      <c r="AM97" s="33" t="e">
        <f t="shared" ref="AM97" si="379">SUM(AB95:AM95)</f>
        <v>#N/A</v>
      </c>
      <c r="AN97" s="33" t="e">
        <f>SUM(AC95:AN95)</f>
        <v>#N/A</v>
      </c>
      <c r="AO97" s="33">
        <f t="shared" ref="AO97" si="380">SUM(AD95:AO95)</f>
        <v>648.83505999999988</v>
      </c>
      <c r="AP97" s="33">
        <f t="shared" ref="AP97" si="381">SUM(AE95:AP95)</f>
        <v>648.70141999999987</v>
      </c>
      <c r="AQ97" s="33">
        <f t="shared" ref="AQ97" si="382">SUM(AF95:AQ95)</f>
        <v>648.72686999999996</v>
      </c>
      <c r="AR97" s="33">
        <f t="shared" ref="AR97" si="383">SUM(AG95:AR95)</f>
        <v>648.51628000000005</v>
      </c>
      <c r="AS97" s="33">
        <f t="shared" ref="AS97" si="384">SUM(AH95:AS95)</f>
        <v>648.14259000000015</v>
      </c>
      <c r="AT97" s="33">
        <f t="shared" ref="AT97" si="385">SUM(AI95:AT95)</f>
        <v>647.95099000000005</v>
      </c>
      <c r="AU97" s="33">
        <f t="shared" ref="AU97" si="386">SUM(AJ95:AU95)</f>
        <v>647.81515000000002</v>
      </c>
      <c r="AV97" s="33">
        <f t="shared" ref="AV97" si="387">SUM(AK95:AV95)</f>
        <v>647.74556000000018</v>
      </c>
      <c r="AW97" s="33">
        <f t="shared" ref="AW97" si="388">SUM(AL95:AW95)</f>
        <v>647.51742999999999</v>
      </c>
      <c r="AX97" s="33">
        <f t="shared" ref="AX97" si="389">SUM(AM95:AX95)</f>
        <v>647.10187999999994</v>
      </c>
      <c r="AY97" s="33">
        <f>SUM(AN95:AY95)</f>
        <v>647.65984000000003</v>
      </c>
      <c r="AZ97" s="33">
        <f t="shared" ref="AZ97:BH97" si="390">SUM(AO95:AZ95)</f>
        <v>647.11075999999991</v>
      </c>
      <c r="BA97" s="33">
        <f t="shared" si="390"/>
        <v>646.45188999999993</v>
      </c>
      <c r="BB97" s="33">
        <f t="shared" si="390"/>
        <v>645.95291999999995</v>
      </c>
      <c r="BC97" s="33">
        <f t="shared" si="390"/>
        <v>645.37490000000003</v>
      </c>
      <c r="BD97" s="33">
        <f t="shared" si="390"/>
        <v>645.10003999999992</v>
      </c>
      <c r="BE97" s="33">
        <f t="shared" si="390"/>
        <v>645.26001999999994</v>
      </c>
      <c r="BF97" s="33">
        <f t="shared" si="390"/>
        <v>645.75962000000004</v>
      </c>
      <c r="BG97" s="33">
        <f t="shared" si="390"/>
        <v>646.56132000000002</v>
      </c>
      <c r="BH97" s="33">
        <f t="shared" si="390"/>
        <v>647.71786000000009</v>
      </c>
      <c r="BI97" s="33">
        <f>SUM(AX95:BI95)</f>
        <v>649.11785999999995</v>
      </c>
      <c r="BJ97" s="33">
        <f t="shared" ref="BJ97" si="391">SUM(AY95:BJ95)</f>
        <v>651.21786000000009</v>
      </c>
      <c r="BK97" s="33">
        <f t="shared" ref="BK97" si="392">SUM(AZ95:BK95)</f>
        <v>654.83609999999999</v>
      </c>
      <c r="BL97" s="33">
        <f t="shared" ref="BL97" si="393">SUM(BA95:BL95)</f>
        <v>657.88515999999993</v>
      </c>
      <c r="BM97" s="33">
        <f t="shared" ref="BM97" si="394">SUM(BB95:BM95)</f>
        <v>661.15435000000002</v>
      </c>
      <c r="BN97" s="33">
        <f t="shared" ref="BN97" si="395">SUM(BC95:BN95)</f>
        <v>664.56043</v>
      </c>
      <c r="BO97" s="33">
        <f t="shared" ref="BO97" si="396">SUM(BD95:BO95)</f>
        <v>668.25397999999996</v>
      </c>
      <c r="BP97" s="33">
        <f t="shared" ref="BP97" si="397">SUM(BE95:BP95)</f>
        <v>672.16070999999999</v>
      </c>
      <c r="BQ97" s="33">
        <f t="shared" ref="BQ97" si="398">SUM(BF95:BQ95)</f>
        <v>676.40976999999998</v>
      </c>
      <c r="BR97" s="33">
        <f t="shared" ref="BR97" si="399">SUM(BG95:BR95)</f>
        <v>680.73200999999995</v>
      </c>
      <c r="BS97" s="33">
        <f t="shared" ref="BS97" si="400">SUM(BH95:BS95)</f>
        <v>685.23095999999998</v>
      </c>
      <c r="BT97" s="33">
        <f t="shared" ref="BT97" si="401">SUM(BI95:BT95)</f>
        <v>689.85519999999997</v>
      </c>
      <c r="BU97" s="33">
        <f t="shared" ref="BU97" si="402">SUM(BJ95:BU95)</f>
        <v>694.55944999999997</v>
      </c>
      <c r="BV97" s="33">
        <f t="shared" ref="BV97" si="403">SUM(BK95:BV95)</f>
        <v>699.15839000000005</v>
      </c>
      <c r="BW97" s="33">
        <f>SUM(BL95:BW95)</f>
        <v>704.32692000000009</v>
      </c>
      <c r="BX97" s="33">
        <f t="shared" ref="BX97:CI97" si="404">SUM(BM95:BX95)</f>
        <v>707.4235900000001</v>
      </c>
      <c r="BY97" s="33">
        <f t="shared" si="404"/>
        <v>710.25218000000007</v>
      </c>
      <c r="BZ97" s="33">
        <f t="shared" si="404"/>
        <v>712.84472000000005</v>
      </c>
      <c r="CA97" s="33">
        <f t="shared" si="404"/>
        <v>715.23858000000007</v>
      </c>
      <c r="CB97" s="33">
        <f t="shared" si="404"/>
        <v>717.33707000000004</v>
      </c>
      <c r="CC97" s="33">
        <f t="shared" si="404"/>
        <v>718.81714999999997</v>
      </c>
      <c r="CD97" s="33">
        <f t="shared" si="404"/>
        <v>719.99490999999989</v>
      </c>
      <c r="CE97" s="33">
        <f t="shared" si="404"/>
        <v>720.79595999999992</v>
      </c>
      <c r="CF97" s="33">
        <f t="shared" si="404"/>
        <v>721.17171999999994</v>
      </c>
      <c r="CG97" s="33">
        <f t="shared" si="404"/>
        <v>721.26747</v>
      </c>
      <c r="CH97" s="33">
        <f t="shared" si="404"/>
        <v>721.06853000000001</v>
      </c>
      <c r="CI97" s="33">
        <f t="shared" si="404"/>
        <v>730.2</v>
      </c>
      <c r="CJ97" s="33">
        <f t="shared" ref="CJ97" si="405">SUM(BY95:CJ95)</f>
        <v>730.2</v>
      </c>
      <c r="CK97" s="33">
        <f t="shared" ref="CK97" si="406">SUM(BZ95:CK95)</f>
        <v>730.2</v>
      </c>
      <c r="CL97" s="33">
        <f t="shared" ref="CL97" si="407">SUM(CA95:CL95)</f>
        <v>730.20000000000016</v>
      </c>
      <c r="CM97" s="33">
        <f t="shared" ref="CM97" si="408">SUM(CB95:CM95)</f>
        <v>730.20000000000016</v>
      </c>
      <c r="CN97" s="33">
        <f t="shared" ref="CN97" si="409">SUM(CC95:CN95)</f>
        <v>730.20000000000016</v>
      </c>
      <c r="CO97" s="33">
        <f t="shared" ref="CO97" si="410">SUM(CD95:CO95)</f>
        <v>730.2</v>
      </c>
      <c r="CP97" s="33">
        <f t="shared" ref="CP97" si="411">SUM(CE95:CP95)</f>
        <v>730.19999999999993</v>
      </c>
      <c r="CQ97" s="33">
        <f t="shared" ref="CQ97" si="412">SUM(CF95:CQ95)</f>
        <v>730.19999999999993</v>
      </c>
      <c r="CR97" s="33">
        <f t="shared" ref="CR97" si="413">SUM(CG95:CR95)</f>
        <v>730.19999999999993</v>
      </c>
      <c r="CS97" s="33">
        <f t="shared" ref="CS97" si="414">SUM(CH95:CS95)</f>
        <v>730.2</v>
      </c>
      <c r="CT97" s="33">
        <f t="shared" ref="CT97" si="415">SUM(CI95:CT95)</f>
        <v>730.2</v>
      </c>
      <c r="CU97" s="33">
        <f t="shared" ref="CU97" si="416">SUM(CJ95:CU95)</f>
        <v>730.2</v>
      </c>
    </row>
    <row r="98" spans="2:99">
      <c r="B98" s="37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</row>
    <row r="99" spans="2:99" ht="15">
      <c r="B99" s="375" t="s">
        <v>619</v>
      </c>
      <c r="C99" s="743">
        <f ca="1">ROUND(C95/C85,4)</f>
        <v>2.53E-2</v>
      </c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 t="e">
        <f t="shared" ref="AM99" si="417">ROUND(AM97/AM87,4)</f>
        <v>#N/A</v>
      </c>
      <c r="AN99" s="209" t="e">
        <f t="shared" ref="AN99:AX99" si="418">ROUND(AN97/AN87,4)</f>
        <v>#N/A</v>
      </c>
      <c r="AO99" s="209">
        <f t="shared" si="418"/>
        <v>2.46E-2</v>
      </c>
      <c r="AP99" s="209">
        <f t="shared" si="418"/>
        <v>2.46E-2</v>
      </c>
      <c r="AQ99" s="209">
        <f t="shared" si="418"/>
        <v>2.47E-2</v>
      </c>
      <c r="AR99" s="209">
        <f t="shared" si="418"/>
        <v>2.47E-2</v>
      </c>
      <c r="AS99" s="209">
        <f t="shared" si="418"/>
        <v>2.47E-2</v>
      </c>
      <c r="AT99" s="209">
        <f t="shared" si="418"/>
        <v>2.47E-2</v>
      </c>
      <c r="AU99" s="209">
        <f t="shared" si="418"/>
        <v>2.47E-2</v>
      </c>
      <c r="AV99" s="209">
        <f t="shared" si="418"/>
        <v>2.47E-2</v>
      </c>
      <c r="AW99" s="209">
        <f t="shared" si="418"/>
        <v>2.47E-2</v>
      </c>
      <c r="AX99" s="755">
        <f t="shared" si="418"/>
        <v>2.47E-2</v>
      </c>
      <c r="AY99" s="755">
        <f>ROUND(AY97/AY87,4)</f>
        <v>2.4799999999999999E-2</v>
      </c>
      <c r="AZ99" s="755">
        <f t="shared" ref="AZ99:BH99" si="419">ROUND(AZ97/AZ87,4)</f>
        <v>2.4799999999999999E-2</v>
      </c>
      <c r="BA99" s="755">
        <f t="shared" si="419"/>
        <v>2.4799999999999999E-2</v>
      </c>
      <c r="BB99" s="755">
        <f t="shared" si="419"/>
        <v>2.4799999999999999E-2</v>
      </c>
      <c r="BC99" s="755">
        <f t="shared" si="419"/>
        <v>2.4799999999999999E-2</v>
      </c>
      <c r="BD99" s="755">
        <f t="shared" si="419"/>
        <v>2.4799999999999999E-2</v>
      </c>
      <c r="BE99" s="755">
        <f t="shared" si="419"/>
        <v>2.4799999999999999E-2</v>
      </c>
      <c r="BF99" s="755">
        <f t="shared" si="419"/>
        <v>2.4799999999999999E-2</v>
      </c>
      <c r="BG99" s="755">
        <f t="shared" si="419"/>
        <v>2.4799999999999999E-2</v>
      </c>
      <c r="BH99" s="755">
        <f t="shared" si="419"/>
        <v>2.4799999999999999E-2</v>
      </c>
      <c r="BI99" s="755">
        <f>ROUND(BI97/BI87,4)</f>
        <v>2.4799999999999999E-2</v>
      </c>
      <c r="BJ99" s="755">
        <f t="shared" ref="BJ99:BK99" si="420">ROUND(BJ97/BJ87,4)</f>
        <v>2.4899999999999999E-2</v>
      </c>
      <c r="BK99" s="755">
        <f t="shared" si="420"/>
        <v>2.4899999999999999E-2</v>
      </c>
      <c r="BL99" s="755">
        <f t="shared" ref="BL99:BV99" si="421">ROUND(BL97/BL87,4)</f>
        <v>2.4899999999999999E-2</v>
      </c>
      <c r="BM99" s="755">
        <f t="shared" si="421"/>
        <v>2.4899999999999999E-2</v>
      </c>
      <c r="BN99" s="755">
        <f t="shared" si="421"/>
        <v>2.4899999999999999E-2</v>
      </c>
      <c r="BO99" s="755">
        <f t="shared" si="421"/>
        <v>2.4899999999999999E-2</v>
      </c>
      <c r="BP99" s="755">
        <f t="shared" si="421"/>
        <v>2.4899999999999999E-2</v>
      </c>
      <c r="BQ99" s="755">
        <f t="shared" si="421"/>
        <v>2.4899999999999999E-2</v>
      </c>
      <c r="BR99" s="755">
        <f t="shared" si="421"/>
        <v>2.4899999999999999E-2</v>
      </c>
      <c r="BS99" s="755">
        <f t="shared" si="421"/>
        <v>2.4899999999999999E-2</v>
      </c>
      <c r="BT99" s="755">
        <f t="shared" si="421"/>
        <v>2.4799999999999999E-2</v>
      </c>
      <c r="BU99" s="755">
        <f t="shared" si="421"/>
        <v>2.4799999999999999E-2</v>
      </c>
      <c r="BV99" s="755">
        <f t="shared" si="421"/>
        <v>2.4799999999999999E-2</v>
      </c>
      <c r="BW99" s="755">
        <f>ROUND(BW97/BW87,4)</f>
        <v>2.4799999999999999E-2</v>
      </c>
      <c r="BX99" s="755">
        <f t="shared" ref="BX99:CI99" si="422">ROUND(BX97/BX87,4)</f>
        <v>2.4799999999999999E-2</v>
      </c>
      <c r="BY99" s="755">
        <f t="shared" si="422"/>
        <v>2.4799999999999999E-2</v>
      </c>
      <c r="BZ99" s="755">
        <f t="shared" si="422"/>
        <v>2.4799999999999999E-2</v>
      </c>
      <c r="CA99" s="755">
        <f t="shared" si="422"/>
        <v>2.4799999999999999E-2</v>
      </c>
      <c r="CB99" s="755">
        <f t="shared" si="422"/>
        <v>2.4799999999999999E-2</v>
      </c>
      <c r="CC99" s="755">
        <f t="shared" si="422"/>
        <v>2.4799999999999999E-2</v>
      </c>
      <c r="CD99" s="755">
        <f t="shared" si="422"/>
        <v>2.4799999999999999E-2</v>
      </c>
      <c r="CE99" s="755">
        <f t="shared" si="422"/>
        <v>2.4799999999999999E-2</v>
      </c>
      <c r="CF99" s="755">
        <f t="shared" si="422"/>
        <v>2.4799999999999999E-2</v>
      </c>
      <c r="CG99" s="755">
        <f t="shared" si="422"/>
        <v>2.4899999999999999E-2</v>
      </c>
      <c r="CH99" s="755">
        <f t="shared" si="422"/>
        <v>2.4899999999999999E-2</v>
      </c>
      <c r="CI99" s="755">
        <f t="shared" si="422"/>
        <v>2.52E-2</v>
      </c>
      <c r="CJ99" s="755">
        <f t="shared" ref="CJ99:CU99" si="423">ROUND(CJ97/CJ87,4)</f>
        <v>2.53E-2</v>
      </c>
      <c r="CK99" s="755">
        <f t="shared" si="423"/>
        <v>2.53E-2</v>
      </c>
      <c r="CL99" s="755">
        <f t="shared" si="423"/>
        <v>2.53E-2</v>
      </c>
      <c r="CM99" s="755">
        <f t="shared" si="423"/>
        <v>2.53E-2</v>
      </c>
      <c r="CN99" s="755">
        <f t="shared" si="423"/>
        <v>2.53E-2</v>
      </c>
      <c r="CO99" s="755">
        <f t="shared" si="423"/>
        <v>2.53E-2</v>
      </c>
      <c r="CP99" s="755">
        <f t="shared" si="423"/>
        <v>2.53E-2</v>
      </c>
      <c r="CQ99" s="755">
        <f t="shared" si="423"/>
        <v>2.53E-2</v>
      </c>
      <c r="CR99" s="755">
        <f t="shared" si="423"/>
        <v>2.53E-2</v>
      </c>
      <c r="CS99" s="755">
        <f t="shared" si="423"/>
        <v>2.53E-2</v>
      </c>
      <c r="CT99" s="755">
        <f t="shared" si="423"/>
        <v>2.53E-2</v>
      </c>
      <c r="CU99" s="755">
        <f t="shared" si="423"/>
        <v>2.53E-2</v>
      </c>
    </row>
    <row r="100" spans="2:99">
      <c r="B100" s="375"/>
      <c r="C100" s="37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447"/>
      <c r="AY100" s="447"/>
      <c r="AZ100" s="447"/>
      <c r="BA100" s="447"/>
      <c r="BB100" s="447"/>
      <c r="BC100" s="447"/>
      <c r="BD100" s="447"/>
      <c r="BE100" s="447"/>
      <c r="BF100" s="447"/>
      <c r="BG100" s="447"/>
      <c r="BH100" s="447"/>
      <c r="BI100" s="447"/>
      <c r="BJ100" s="447"/>
      <c r="BK100" s="447"/>
      <c r="BL100" s="447"/>
      <c r="BM100" s="447"/>
      <c r="BN100" s="447"/>
      <c r="BO100" s="447"/>
      <c r="BP100" s="447"/>
      <c r="BQ100" s="447"/>
      <c r="BR100" s="447"/>
      <c r="BS100" s="447"/>
      <c r="BT100" s="447"/>
      <c r="BU100" s="447"/>
      <c r="BV100" s="447"/>
      <c r="BW100" s="447"/>
      <c r="BX100" s="447"/>
      <c r="BY100" s="447"/>
      <c r="BZ100" s="447"/>
      <c r="CA100" s="447"/>
      <c r="CB100" s="447"/>
      <c r="CC100" s="447"/>
      <c r="CD100" s="447"/>
      <c r="CE100" s="447"/>
      <c r="CF100" s="447"/>
      <c r="CG100" s="447"/>
      <c r="CH100" s="447"/>
      <c r="CI100" s="447"/>
      <c r="CJ100" s="447"/>
      <c r="CK100" s="447"/>
      <c r="CL100" s="447"/>
      <c r="CM100" s="447"/>
      <c r="CN100" s="447"/>
      <c r="CO100" s="447"/>
      <c r="CP100" s="447"/>
      <c r="CQ100" s="447"/>
      <c r="CR100" s="447"/>
      <c r="CS100" s="447"/>
      <c r="CT100" s="447"/>
      <c r="CU100" s="447"/>
    </row>
    <row r="101" spans="2:99" ht="15">
      <c r="B101" s="375" t="s">
        <v>620</v>
      </c>
      <c r="C101" s="743">
        <f>+CU101</f>
        <v>2.52E-2</v>
      </c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 t="e">
        <f t="shared" ref="AM101" si="424">ROUND(AM97/AM85,4)</f>
        <v>#N/A</v>
      </c>
      <c r="AN101" s="209" t="e">
        <f t="shared" ref="AN101:AX101" si="425">ROUND(AN97/AN85,4)</f>
        <v>#N/A</v>
      </c>
      <c r="AO101" s="209">
        <f t="shared" si="425"/>
        <v>2.46E-2</v>
      </c>
      <c r="AP101" s="209">
        <f t="shared" si="425"/>
        <v>2.46E-2</v>
      </c>
      <c r="AQ101" s="209">
        <f t="shared" si="425"/>
        <v>2.47E-2</v>
      </c>
      <c r="AR101" s="209">
        <f t="shared" si="425"/>
        <v>2.4799999999999999E-2</v>
      </c>
      <c r="AS101" s="209">
        <f t="shared" si="425"/>
        <v>2.4799999999999999E-2</v>
      </c>
      <c r="AT101" s="209">
        <f t="shared" si="425"/>
        <v>2.4799999999999999E-2</v>
      </c>
      <c r="AU101" s="209">
        <f t="shared" si="425"/>
        <v>2.4899999999999999E-2</v>
      </c>
      <c r="AV101" s="209">
        <f t="shared" si="425"/>
        <v>2.4899999999999999E-2</v>
      </c>
      <c r="AW101" s="209">
        <f t="shared" si="425"/>
        <v>2.4899999999999999E-2</v>
      </c>
      <c r="AX101" s="755">
        <f t="shared" si="425"/>
        <v>2.4899999999999999E-2</v>
      </c>
      <c r="AY101" s="755">
        <f>ROUND(AY97/AY85,4)</f>
        <v>2.52E-2</v>
      </c>
      <c r="AZ101" s="755">
        <f t="shared" ref="AZ101:BH101" si="426">ROUND(AZ97/AZ85,4)</f>
        <v>2.5000000000000001E-2</v>
      </c>
      <c r="BA101" s="755">
        <f t="shared" si="426"/>
        <v>2.4899999999999999E-2</v>
      </c>
      <c r="BB101" s="755">
        <f t="shared" si="426"/>
        <v>2.4799999999999999E-2</v>
      </c>
      <c r="BC101" s="755">
        <f t="shared" si="426"/>
        <v>2.4899999999999999E-2</v>
      </c>
      <c r="BD101" s="755">
        <f t="shared" si="426"/>
        <v>2.4799999999999999E-2</v>
      </c>
      <c r="BE101" s="755">
        <f t="shared" si="426"/>
        <v>2.47E-2</v>
      </c>
      <c r="BF101" s="755">
        <f t="shared" si="426"/>
        <v>2.4500000000000001E-2</v>
      </c>
      <c r="BG101" s="755">
        <f t="shared" si="426"/>
        <v>2.4500000000000001E-2</v>
      </c>
      <c r="BH101" s="755">
        <f t="shared" si="426"/>
        <v>2.4400000000000002E-2</v>
      </c>
      <c r="BI101" s="755">
        <f>ROUND(BI97/BI85,4)</f>
        <v>2.4299999999999999E-2</v>
      </c>
      <c r="BJ101" s="755">
        <f t="shared" ref="BJ101:BK101" si="427">ROUND(BJ97/BJ85,4)</f>
        <v>2.4199999999999999E-2</v>
      </c>
      <c r="BK101" s="755">
        <f t="shared" si="427"/>
        <v>2.4199999999999999E-2</v>
      </c>
      <c r="BL101" s="755">
        <f t="shared" ref="BL101:BW101" si="428">ROUND(BL97/BL85,4)</f>
        <v>2.4E-2</v>
      </c>
      <c r="BM101" s="755">
        <f t="shared" si="428"/>
        <v>2.4E-2</v>
      </c>
      <c r="BN101" s="755">
        <f t="shared" si="428"/>
        <v>2.4E-2</v>
      </c>
      <c r="BO101" s="755">
        <f t="shared" si="428"/>
        <v>2.4E-2</v>
      </c>
      <c r="BP101" s="755">
        <f t="shared" si="428"/>
        <v>2.3900000000000001E-2</v>
      </c>
      <c r="BQ101" s="755">
        <f t="shared" si="428"/>
        <v>2.3800000000000002E-2</v>
      </c>
      <c r="BR101" s="755">
        <f t="shared" si="428"/>
        <v>2.3800000000000002E-2</v>
      </c>
      <c r="BS101" s="755">
        <f t="shared" si="428"/>
        <v>2.3699999999999999E-2</v>
      </c>
      <c r="BT101" s="755">
        <f t="shared" si="428"/>
        <v>2.3699999999999999E-2</v>
      </c>
      <c r="BU101" s="755">
        <f t="shared" si="428"/>
        <v>2.3699999999999999E-2</v>
      </c>
      <c r="BV101" s="755">
        <f t="shared" si="428"/>
        <v>2.3699999999999999E-2</v>
      </c>
      <c r="BW101" s="755">
        <f t="shared" si="428"/>
        <v>2.35E-2</v>
      </c>
      <c r="BX101" s="755">
        <f t="shared" ref="BX101:CI101" si="429">ROUND(BX97/BX85,4)</f>
        <v>2.46E-2</v>
      </c>
      <c r="BY101" s="755">
        <f t="shared" si="429"/>
        <v>2.47E-2</v>
      </c>
      <c r="BZ101" s="755">
        <f t="shared" si="429"/>
        <v>2.4799999999999999E-2</v>
      </c>
      <c r="CA101" s="755">
        <f t="shared" si="429"/>
        <v>2.4799999999999999E-2</v>
      </c>
      <c r="CB101" s="755">
        <f t="shared" si="429"/>
        <v>2.4899999999999999E-2</v>
      </c>
      <c r="CC101" s="755">
        <f t="shared" si="429"/>
        <v>2.4899999999999999E-2</v>
      </c>
      <c r="CD101" s="755">
        <f t="shared" si="429"/>
        <v>2.4899999999999999E-2</v>
      </c>
      <c r="CE101" s="755">
        <f t="shared" si="429"/>
        <v>2.4899999999999999E-2</v>
      </c>
      <c r="CF101" s="755">
        <f t="shared" si="429"/>
        <v>2.4899999999999999E-2</v>
      </c>
      <c r="CG101" s="755">
        <f t="shared" si="429"/>
        <v>2.4899999999999999E-2</v>
      </c>
      <c r="CH101" s="755">
        <f t="shared" si="429"/>
        <v>2.4899999999999999E-2</v>
      </c>
      <c r="CI101" s="755">
        <f t="shared" si="429"/>
        <v>2.52E-2</v>
      </c>
      <c r="CJ101" s="755">
        <f t="shared" ref="CJ101:CU101" si="430">ROUND(CJ97/CJ85,4)</f>
        <v>2.5399999999999999E-2</v>
      </c>
      <c r="CK101" s="755">
        <f t="shared" si="430"/>
        <v>2.5399999999999999E-2</v>
      </c>
      <c r="CL101" s="755">
        <f t="shared" si="430"/>
        <v>2.53E-2</v>
      </c>
      <c r="CM101" s="755">
        <f t="shared" si="430"/>
        <v>2.53E-2</v>
      </c>
      <c r="CN101" s="755">
        <f t="shared" si="430"/>
        <v>2.53E-2</v>
      </c>
      <c r="CO101" s="755">
        <f t="shared" si="430"/>
        <v>2.53E-2</v>
      </c>
      <c r="CP101" s="755">
        <f t="shared" si="430"/>
        <v>2.53E-2</v>
      </c>
      <c r="CQ101" s="755">
        <f t="shared" si="430"/>
        <v>2.53E-2</v>
      </c>
      <c r="CR101" s="755">
        <f t="shared" si="430"/>
        <v>2.52E-2</v>
      </c>
      <c r="CS101" s="755">
        <f t="shared" si="430"/>
        <v>2.52E-2</v>
      </c>
      <c r="CT101" s="755">
        <f t="shared" si="430"/>
        <v>2.52E-2</v>
      </c>
      <c r="CU101" s="755">
        <f t="shared" si="430"/>
        <v>2.52E-2</v>
      </c>
    </row>
    <row r="103" spans="2:99">
      <c r="AJ103" s="448"/>
      <c r="AK103" s="448"/>
      <c r="AL103" s="448"/>
      <c r="AM103" s="448"/>
      <c r="AN103" s="448"/>
      <c r="AO103" s="448"/>
      <c r="AP103" s="448"/>
      <c r="AQ103" s="448"/>
    </row>
  </sheetData>
  <pageMargins left="0.25" right="0.25" top="0.75" bottom="0.75" header="0.3" footer="0.3"/>
  <pageSetup paperSize="5"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C000"/>
  </sheetPr>
  <dimension ref="A1:M50"/>
  <sheetViews>
    <sheetView workbookViewId="0">
      <selection activeCell="B18" sqref="B18"/>
    </sheetView>
  </sheetViews>
  <sheetFormatPr defaultRowHeight="12.75"/>
  <cols>
    <col min="1" max="1" width="43" customWidth="1"/>
    <col min="2" max="2" width="21.28515625" customWidth="1"/>
    <col min="3" max="3" width="17.140625" customWidth="1"/>
    <col min="4" max="4" width="9" bestFit="1" customWidth="1"/>
    <col min="5" max="5" width="7.85546875" bestFit="1" customWidth="1"/>
    <col min="13" max="13" width="14" bestFit="1" customWidth="1"/>
  </cols>
  <sheetData>
    <row r="1" spans="1:13" ht="15.75">
      <c r="A1" s="749" t="s">
        <v>621</v>
      </c>
      <c r="B1" s="750"/>
      <c r="C1" s="751"/>
      <c r="D1" s="68"/>
      <c r="E1" s="68"/>
    </row>
    <row r="2" spans="1:13" ht="15.75">
      <c r="A2" s="656"/>
      <c r="B2" s="68"/>
      <c r="C2" s="657"/>
      <c r="D2" s="68"/>
      <c r="E2" s="68"/>
    </row>
    <row r="3" spans="1:13" ht="15.75">
      <c r="A3" s="658"/>
      <c r="B3" s="536" t="s">
        <v>622</v>
      </c>
      <c r="C3" s="659" t="s">
        <v>623</v>
      </c>
      <c r="D3" s="68"/>
      <c r="E3" s="68"/>
    </row>
    <row r="4" spans="1:13" ht="15.75">
      <c r="A4" s="658" t="s">
        <v>624</v>
      </c>
      <c r="B4" s="537">
        <f ca="1">+Report!B160+Report!D160+Report!F160</f>
        <v>832185.47550413886</v>
      </c>
      <c r="C4" s="660">
        <f>+'Report YE'!B156+'Report YE'!D156+'Report YE'!F156</f>
        <v>856500.968804462</v>
      </c>
      <c r="D4" s="68">
        <v>160</v>
      </c>
    </row>
    <row r="5" spans="1:13" ht="15.75">
      <c r="A5" s="658" t="s">
        <v>625</v>
      </c>
      <c r="B5" s="537">
        <f ca="1">+Report!B162+Report!D162+Report!F162</f>
        <v>99671.443862618078</v>
      </c>
      <c r="C5" s="660">
        <f>+'Report YE'!B158+'Report YE'!D158+'Report YE'!F158</f>
        <v>123678.57438283906</v>
      </c>
      <c r="D5" s="68"/>
    </row>
    <row r="6" spans="1:13" ht="15.75">
      <c r="A6" s="661"/>
      <c r="B6" s="556">
        <f ca="1">SUM(B4:B5)</f>
        <v>931856.91936675692</v>
      </c>
      <c r="C6" s="662">
        <f>SUM(C4:C5)</f>
        <v>980179.54318730102</v>
      </c>
      <c r="D6" s="68"/>
    </row>
    <row r="7" spans="1:13">
      <c r="A7" s="663"/>
      <c r="B7" s="3"/>
      <c r="C7" s="664"/>
      <c r="M7" s="174"/>
    </row>
    <row r="8" spans="1:13" ht="15">
      <c r="A8" s="658" t="s">
        <v>626</v>
      </c>
      <c r="B8" s="487">
        <f ca="1">+B4/B6</f>
        <v>0.89303997020234638</v>
      </c>
      <c r="C8" s="665">
        <f>+C4/C6</f>
        <v>0.87382049009034923</v>
      </c>
      <c r="M8" s="174"/>
    </row>
    <row r="9" spans="1:13" ht="15">
      <c r="A9" s="658" t="s">
        <v>627</v>
      </c>
      <c r="B9" s="557">
        <f ca="1">+B5/B6</f>
        <v>0.10696002979765368</v>
      </c>
      <c r="C9" s="666">
        <f>+C5/C6</f>
        <v>0.12617950990965082</v>
      </c>
      <c r="M9" s="174"/>
    </row>
    <row r="10" spans="1:13" ht="15">
      <c r="A10" s="663"/>
      <c r="B10" s="487">
        <f ca="1">SUM(B8:B9)</f>
        <v>1</v>
      </c>
      <c r="C10" s="665">
        <f>SUM(C8:C9)</f>
        <v>1</v>
      </c>
      <c r="M10" s="174"/>
    </row>
    <row r="11" spans="1:13">
      <c r="A11" s="663"/>
      <c r="B11" s="3"/>
      <c r="C11" s="664"/>
      <c r="M11" s="174"/>
    </row>
    <row r="12" spans="1:13" ht="15">
      <c r="A12" s="658" t="s">
        <v>628</v>
      </c>
      <c r="B12" s="537">
        <f ca="1">B4+B5+Report!B166+Report!D166+Report!F166</f>
        <v>2055863.0319626287</v>
      </c>
      <c r="C12" s="660">
        <f>C4+C5+'Report YE'!B162+'Report YE'!D162+'Report YE'!F162</f>
        <v>2140055.2597540114</v>
      </c>
      <c r="M12" s="174"/>
    </row>
    <row r="13" spans="1:13" ht="15">
      <c r="A13" s="667"/>
      <c r="B13" s="3"/>
      <c r="C13" s="664"/>
      <c r="E13" s="190"/>
    </row>
    <row r="14" spans="1:13" ht="15">
      <c r="A14" s="658" t="s">
        <v>629</v>
      </c>
      <c r="B14" s="538">
        <v>0.54700000000000004</v>
      </c>
      <c r="C14" s="668">
        <v>0.54700000000000004</v>
      </c>
      <c r="E14" s="190"/>
    </row>
    <row r="15" spans="1:13" ht="15">
      <c r="A15" s="658" t="s">
        <v>630</v>
      </c>
      <c r="B15" s="487">
        <f ca="1">Report!H166/(Report!H160+Report!H162+Report!H166)</f>
        <v>0.54673200262900779</v>
      </c>
      <c r="C15" s="665">
        <f>+'Report YE'!H162/('Report YE'!H156+'Report YE'!H158+'Report YE'!H162)</f>
        <v>0.54699999999999982</v>
      </c>
      <c r="E15" s="190"/>
    </row>
    <row r="16" spans="1:13" ht="15">
      <c r="A16" s="667"/>
      <c r="B16" s="3"/>
      <c r="C16" s="664"/>
      <c r="E16" s="190"/>
    </row>
    <row r="17" spans="1:6" ht="15">
      <c r="A17" s="658" t="s">
        <v>631</v>
      </c>
      <c r="B17" s="539">
        <f ca="1">(1-(B6/B12)-B14)*B12*0</f>
        <v>0</v>
      </c>
      <c r="C17" s="669">
        <f>(1-(C6/C12)-C14)*C12</f>
        <v>-10734.51051873385</v>
      </c>
    </row>
    <row r="18" spans="1:6">
      <c r="A18" s="637"/>
      <c r="C18" s="636"/>
      <c r="F18" s="12"/>
    </row>
    <row r="19" spans="1:6" ht="15">
      <c r="A19" s="670" t="s">
        <v>550</v>
      </c>
      <c r="B19" s="671">
        <f ca="1">Report!H171-Report!T92</f>
        <v>0</v>
      </c>
      <c r="C19" s="672">
        <f>'Report YE'!H167-'Report YE'!T90</f>
        <v>0</v>
      </c>
    </row>
    <row r="21" spans="1:6" ht="15.75">
      <c r="A21" s="749" t="s">
        <v>632</v>
      </c>
      <c r="B21" s="752"/>
      <c r="C21" s="753"/>
    </row>
    <row r="22" spans="1:6" ht="15">
      <c r="A22" s="754" t="s">
        <v>633</v>
      </c>
      <c r="B22" s="536"/>
      <c r="C22" s="659"/>
    </row>
    <row r="23" spans="1:6" ht="15">
      <c r="A23" s="637"/>
      <c r="B23" s="536" t="s">
        <v>634</v>
      </c>
      <c r="C23" s="659" t="s">
        <v>635</v>
      </c>
    </row>
    <row r="24" spans="1:6" ht="15">
      <c r="A24" s="658" t="str">
        <f>+Report!A160</f>
        <v>LONG TERM DEBT</v>
      </c>
      <c r="B24" s="537">
        <f ca="1">+Report!B160+Report!D160</f>
        <v>878846.15384615387</v>
      </c>
      <c r="C24" s="665">
        <f ca="1">+B24/$B$30</f>
        <v>0.40478643886586807</v>
      </c>
    </row>
    <row r="25" spans="1:6" ht="15">
      <c r="A25" s="658" t="str">
        <f>+Report!A162</f>
        <v>SHORT TERM DEBT</v>
      </c>
      <c r="B25" s="537">
        <f ca="1">+Report!B162+Report!D162</f>
        <v>105260.02635877408</v>
      </c>
      <c r="C25" s="665">
        <f t="shared" ref="C25:C30" ca="1" si="0">+B25/$B$30</f>
        <v>4.8481558505124055E-2</v>
      </c>
    </row>
    <row r="26" spans="1:6" ht="15">
      <c r="A26" s="658" t="str">
        <f>+Report!A164</f>
        <v>CUSTOMER DEPOSITS</v>
      </c>
      <c r="B26" s="537">
        <v>0</v>
      </c>
      <c r="C26" s="665">
        <v>0</v>
      </c>
    </row>
    <row r="27" spans="1:6" ht="15">
      <c r="A27" s="658" t="str">
        <f>+Report!A166</f>
        <v>COMMON EQUITY</v>
      </c>
      <c r="B27" s="537">
        <f ca="1">+Report!B166+Report!D166</f>
        <v>1187029.1876411587</v>
      </c>
      <c r="C27" s="665">
        <f t="shared" ca="1" si="0"/>
        <v>0.5467320026290079</v>
      </c>
    </row>
    <row r="28" spans="1:6" ht="15">
      <c r="A28" s="658" t="str">
        <f>+Report!A168</f>
        <v>DEFERRED INCOME TAX</v>
      </c>
      <c r="B28" s="537">
        <v>0</v>
      </c>
      <c r="C28" s="665">
        <v>0</v>
      </c>
    </row>
    <row r="29" spans="1:6" ht="15">
      <c r="A29" s="658" t="str">
        <f>+Report!A170</f>
        <v>TAX CREDITS - ZERO COST</v>
      </c>
      <c r="B29" s="537">
        <v>0</v>
      </c>
      <c r="C29" s="665">
        <v>0</v>
      </c>
    </row>
    <row r="30" spans="1:6" ht="15">
      <c r="A30" s="674" t="str">
        <f>+Report!A171</f>
        <v>TOTAL</v>
      </c>
      <c r="B30" s="675">
        <f ca="1">SUM(B24:B27)</f>
        <v>2171135.3678460866</v>
      </c>
      <c r="C30" s="676">
        <f t="shared" ca="1" si="0"/>
        <v>1</v>
      </c>
    </row>
    <row r="32" spans="1:6" ht="15.75">
      <c r="A32" s="749" t="s">
        <v>632</v>
      </c>
      <c r="B32" s="752"/>
      <c r="C32" s="753"/>
    </row>
    <row r="33" spans="1:3">
      <c r="A33" s="754" t="s">
        <v>636</v>
      </c>
      <c r="C33" s="636"/>
    </row>
    <row r="34" spans="1:3" ht="15">
      <c r="A34" s="673"/>
      <c r="B34" s="536" t="s">
        <v>634</v>
      </c>
      <c r="C34" s="659" t="s">
        <v>635</v>
      </c>
    </row>
    <row r="35" spans="1:3" ht="15">
      <c r="A35" s="658" t="str">
        <f>+Report!A160</f>
        <v>LONG TERM DEBT</v>
      </c>
      <c r="B35" s="537">
        <f ca="1">+Report!B160+Report!D160</f>
        <v>878846.15384615387</v>
      </c>
      <c r="C35" s="665">
        <f ca="1">+B35/$B$41</f>
        <v>0.35189522904045034</v>
      </c>
    </row>
    <row r="36" spans="1:3" ht="15">
      <c r="A36" s="658" t="str">
        <f>+Report!A162</f>
        <v>SHORT TERM DEBT</v>
      </c>
      <c r="B36" s="537">
        <f ca="1">+Report!B162+Report!D162</f>
        <v>105260.02635877408</v>
      </c>
      <c r="C36" s="665">
        <f t="shared" ref="C36:C41" ca="1" si="1">+B36/$B$41</f>
        <v>4.2146740839931765E-2</v>
      </c>
    </row>
    <row r="37" spans="1:3" ht="15">
      <c r="A37" s="658" t="str">
        <f>+Report!A164</f>
        <v>CUSTOMER DEPOSITS</v>
      </c>
      <c r="B37" s="537">
        <f ca="1">+Report!B164+Report!D164</f>
        <v>28892.061538461534</v>
      </c>
      <c r="C37" s="665">
        <f t="shared" ca="1" si="1"/>
        <v>1.1568553344670477E-2</v>
      </c>
    </row>
    <row r="38" spans="1:3" ht="15">
      <c r="A38" s="658" t="str">
        <f>+Report!A166</f>
        <v>COMMON EQUITY</v>
      </c>
      <c r="B38" s="537">
        <f ca="1">+Report!B166+Report!D166</f>
        <v>1187029.1876411587</v>
      </c>
      <c r="C38" s="665">
        <f t="shared" ca="1" si="1"/>
        <v>0.47529354942800073</v>
      </c>
    </row>
    <row r="39" spans="1:3" ht="15">
      <c r="A39" s="658" t="str">
        <f>+Report!A168</f>
        <v>DEFERRED INCOME TAX</v>
      </c>
      <c r="B39" s="537">
        <f ca="1">+Report!B168+Report!D168</f>
        <v>294124.65610134182</v>
      </c>
      <c r="C39" s="665">
        <f t="shared" ca="1" si="1"/>
        <v>0.11776926231316673</v>
      </c>
    </row>
    <row r="40" spans="1:3" ht="15">
      <c r="A40" s="658" t="str">
        <f>+Report!A170</f>
        <v>TAX CREDITS - ZERO COST</v>
      </c>
      <c r="B40" s="537">
        <f ca="1">+Report!B170+Report!D170</f>
        <v>3313.3000000000006</v>
      </c>
      <c r="C40" s="665">
        <f t="shared" ca="1" si="1"/>
        <v>1.3266650337799928E-3</v>
      </c>
    </row>
    <row r="41" spans="1:3" ht="15">
      <c r="A41" s="674" t="str">
        <f>+Report!A171</f>
        <v>TOTAL</v>
      </c>
      <c r="B41" s="675">
        <f ca="1">+Report!B171+Report!D171</f>
        <v>2497465.3854858899</v>
      </c>
      <c r="C41" s="676">
        <f t="shared" ca="1" si="1"/>
        <v>1</v>
      </c>
    </row>
    <row r="43" spans="1:3" ht="15.75">
      <c r="A43" s="749" t="s">
        <v>637</v>
      </c>
      <c r="B43" s="752"/>
      <c r="C43" s="753"/>
    </row>
    <row r="44" spans="1:3">
      <c r="A44" s="637"/>
      <c r="C44" s="636"/>
    </row>
    <row r="45" spans="1:3" ht="15">
      <c r="A45" s="637"/>
      <c r="B45" s="536" t="s">
        <v>634</v>
      </c>
      <c r="C45" s="659" t="s">
        <v>635</v>
      </c>
    </row>
    <row r="46" spans="1:3" ht="15">
      <c r="A46" s="658" t="str">
        <f>+Report!A160</f>
        <v>LONG TERM DEBT</v>
      </c>
      <c r="B46" s="537">
        <f ca="1">+Report!H160</f>
        <v>832185.47550413886</v>
      </c>
      <c r="C46" s="665">
        <f ca="1">+B46/$B$49</f>
        <v>0.40478643886586813</v>
      </c>
    </row>
    <row r="47" spans="1:3" ht="15">
      <c r="A47" s="658" t="str">
        <f>+Report!A162</f>
        <v>SHORT TERM DEBT</v>
      </c>
      <c r="B47" s="537">
        <f ca="1">+Report!H162</f>
        <v>99671.443862618078</v>
      </c>
      <c r="C47" s="665">
        <f t="shared" ref="C47:C49" ca="1" si="2">+B47/$B$49</f>
        <v>4.8481558505124138E-2</v>
      </c>
    </row>
    <row r="48" spans="1:3" ht="15">
      <c r="A48" s="658" t="str">
        <f>+Report!A166</f>
        <v>COMMON EQUITY</v>
      </c>
      <c r="B48" s="537">
        <f ca="1">+Report!H166</f>
        <v>1124006.1125958718</v>
      </c>
      <c r="C48" s="665">
        <f t="shared" ca="1" si="2"/>
        <v>0.54673200262900779</v>
      </c>
    </row>
    <row r="49" spans="1:3" ht="15">
      <c r="A49" s="674" t="str">
        <f>+Report!A171</f>
        <v>TOTAL</v>
      </c>
      <c r="B49" s="675">
        <f ca="1">SUM(B46:B48)</f>
        <v>2055863.0319626287</v>
      </c>
      <c r="C49" s="676">
        <f t="shared" ca="1" si="2"/>
        <v>1</v>
      </c>
    </row>
    <row r="50" spans="1:3" ht="15">
      <c r="A50" s="658"/>
    </row>
  </sheetData>
  <pageMargins left="0.7" right="0.7" top="0.75" bottom="0.75" header="0.3" footer="0.3"/>
  <pageSetup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321537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321537" r:id="rId6" name="FPMExcelClientSheetOptionstb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  <pageSetUpPr fitToPage="1"/>
  </sheetPr>
  <dimension ref="A1:G65"/>
  <sheetViews>
    <sheetView topLeftCell="A2" workbookViewId="0">
      <selection activeCell="D17" sqref="D17"/>
    </sheetView>
  </sheetViews>
  <sheetFormatPr defaultColWidth="8.42578125" defaultRowHeight="12.75"/>
  <cols>
    <col min="1" max="1" width="33.28515625" customWidth="1"/>
    <col min="2" max="2" width="19.7109375" customWidth="1"/>
    <col min="3" max="3" width="20.42578125" bestFit="1" customWidth="1"/>
    <col min="4" max="4" width="19.85546875" customWidth="1"/>
    <col min="5" max="5" width="30.7109375" bestFit="1" customWidth="1"/>
    <col min="6" max="6" width="10.85546875" customWidth="1"/>
    <col min="7" max="7" width="10.7109375" customWidth="1"/>
    <col min="8" max="8" width="9.85546875" customWidth="1"/>
    <col min="9" max="9" width="8.85546875" bestFit="1" customWidth="1"/>
    <col min="10" max="10" width="20.42578125" bestFit="1" customWidth="1"/>
  </cols>
  <sheetData>
    <row r="1" spans="1:7" ht="13.5" thickBot="1"/>
    <row r="2" spans="1:7" ht="15">
      <c r="A2" s="1122" t="s">
        <v>638</v>
      </c>
      <c r="B2" s="1123"/>
      <c r="C2" s="1123"/>
      <c r="D2" s="1123"/>
      <c r="E2" s="1124"/>
    </row>
    <row r="3" spans="1:7" ht="15">
      <c r="A3" s="1125" t="s">
        <v>639</v>
      </c>
      <c r="B3" s="1126"/>
      <c r="C3" s="1126"/>
      <c r="D3" s="1126"/>
      <c r="E3" s="1127"/>
    </row>
    <row r="4" spans="1:7">
      <c r="A4" s="217"/>
      <c r="E4" s="172"/>
    </row>
    <row r="5" spans="1:7">
      <c r="A5" s="217"/>
      <c r="B5" s="1"/>
      <c r="C5" s="375" t="s">
        <v>640</v>
      </c>
      <c r="D5" s="375" t="s">
        <v>222</v>
      </c>
      <c r="E5" s="961" t="str">
        <f>Reconcil!E172</f>
        <v>2024 Budget</v>
      </c>
      <c r="F5" s="1"/>
      <c r="G5" s="1"/>
    </row>
    <row r="6" spans="1:7">
      <c r="A6" s="217"/>
      <c r="E6" s="172"/>
    </row>
    <row r="7" spans="1:7">
      <c r="A7" s="217" t="s">
        <v>641</v>
      </c>
      <c r="E7" s="172"/>
    </row>
    <row r="8" spans="1:7">
      <c r="A8" s="217" t="s">
        <v>642</v>
      </c>
      <c r="E8" s="172"/>
    </row>
    <row r="9" spans="1:7">
      <c r="A9" s="217"/>
      <c r="E9" s="172"/>
    </row>
    <row r="10" spans="1:7">
      <c r="A10" s="444"/>
      <c r="B10" s="375"/>
      <c r="C10" s="375"/>
      <c r="D10" s="375"/>
      <c r="E10" s="543"/>
    </row>
    <row r="11" spans="1:7">
      <c r="A11" s="444"/>
      <c r="B11" s="375"/>
      <c r="C11" s="375"/>
      <c r="D11" s="375"/>
      <c r="E11" s="544" t="s">
        <v>643</v>
      </c>
      <c r="F11" s="1"/>
      <c r="G11" s="1"/>
    </row>
    <row r="12" spans="1:7">
      <c r="A12" s="218" t="s">
        <v>644</v>
      </c>
      <c r="B12" s="375"/>
      <c r="C12" s="219" t="s">
        <v>645</v>
      </c>
      <c r="D12" s="219" t="s">
        <v>646</v>
      </c>
      <c r="E12" s="220" t="s">
        <v>647</v>
      </c>
      <c r="F12" s="1"/>
      <c r="G12" s="1"/>
    </row>
    <row r="13" spans="1:7">
      <c r="A13" s="545"/>
      <c r="B13" s="375"/>
      <c r="C13" s="376"/>
      <c r="D13" s="376"/>
      <c r="E13" s="544"/>
      <c r="F13" s="1"/>
      <c r="G13" s="1"/>
    </row>
    <row r="14" spans="1:7">
      <c r="A14" s="444"/>
      <c r="B14" s="375"/>
      <c r="C14" s="546"/>
      <c r="D14" s="547"/>
      <c r="E14" s="548"/>
      <c r="F14" s="1"/>
      <c r="G14" s="1"/>
    </row>
    <row r="15" spans="1:7">
      <c r="A15" s="444" t="s">
        <v>648</v>
      </c>
      <c r="B15" s="375"/>
      <c r="C15" s="549">
        <f ca="1">+Report!H160</f>
        <v>832185.47550413886</v>
      </c>
      <c r="D15" s="769">
        <f ca="1">'Debt &amp; Cust Dep'!C34</f>
        <v>5.5399999999999998E-2</v>
      </c>
      <c r="E15" s="548">
        <f ca="1">(C15*D15)</f>
        <v>46103.075342929289</v>
      </c>
      <c r="F15" s="3"/>
      <c r="G15" s="3"/>
    </row>
    <row r="16" spans="1:7">
      <c r="A16" s="444" t="s">
        <v>649</v>
      </c>
      <c r="B16" s="375"/>
      <c r="C16" s="221"/>
      <c r="D16" s="222" t="s">
        <v>650</v>
      </c>
      <c r="E16" s="548"/>
      <c r="F16" s="3"/>
      <c r="G16" s="3"/>
    </row>
    <row r="17" spans="1:7">
      <c r="A17" s="444" t="s">
        <v>651</v>
      </c>
      <c r="B17" s="375"/>
      <c r="C17" s="549">
        <f ca="1">+Report!H162</f>
        <v>99671.443862618078</v>
      </c>
      <c r="D17" s="769">
        <f ca="1">'Debt &amp; Cust Dep'!C73</f>
        <v>4.8500000000000001E-2</v>
      </c>
      <c r="E17" s="548">
        <f ca="1">(C17*D17)</f>
        <v>4834.0650273369765</v>
      </c>
      <c r="F17" s="3"/>
      <c r="G17" s="3"/>
    </row>
    <row r="18" spans="1:7">
      <c r="A18" s="444"/>
      <c r="B18" s="375"/>
      <c r="C18" s="221"/>
      <c r="D18" s="547"/>
      <c r="E18" s="548"/>
      <c r="F18" s="3"/>
      <c r="G18" s="3"/>
    </row>
    <row r="19" spans="1:7">
      <c r="A19" s="444" t="s">
        <v>652</v>
      </c>
      <c r="B19" s="375"/>
      <c r="C19" s="549">
        <f ca="1">+Report!H164</f>
        <v>27528.181226768535</v>
      </c>
      <c r="D19" s="769">
        <f ca="1">'Debt &amp; Cust Dep'!C99</f>
        <v>2.53E-2</v>
      </c>
      <c r="E19" s="548">
        <f ca="1">(C19*D19)</f>
        <v>696.46298503724393</v>
      </c>
      <c r="F19" s="3"/>
      <c r="G19" s="3"/>
    </row>
    <row r="20" spans="1:7">
      <c r="A20" s="444"/>
      <c r="B20" s="375"/>
      <c r="C20" s="550"/>
      <c r="D20" s="547"/>
      <c r="E20" s="551"/>
      <c r="F20" s="3"/>
      <c r="G20" s="3"/>
    </row>
    <row r="21" spans="1:7">
      <c r="A21" s="444" t="s">
        <v>653</v>
      </c>
      <c r="B21" s="375"/>
      <c r="C21" s="546">
        <f ca="1">SUM(C15:C19)</f>
        <v>959385.10059352545</v>
      </c>
      <c r="D21" s="547"/>
      <c r="E21" s="548">
        <f ca="1">SUM(E15:E19)</f>
        <v>51633.603355303509</v>
      </c>
      <c r="F21" s="3"/>
      <c r="G21" s="3"/>
    </row>
    <row r="22" spans="1:7">
      <c r="A22" s="444"/>
      <c r="B22" s="375"/>
      <c r="C22" s="546"/>
      <c r="D22" s="547"/>
      <c r="E22" s="552"/>
      <c r="F22" s="1"/>
      <c r="G22" s="1"/>
    </row>
    <row r="23" spans="1:7">
      <c r="A23" s="444" t="s">
        <v>654</v>
      </c>
      <c r="B23" s="375"/>
      <c r="C23" s="546"/>
      <c r="D23" s="547"/>
      <c r="E23" s="553">
        <f ca="1">+IncomeStmt!F41</f>
        <v>52917.240700252165</v>
      </c>
      <c r="F23" s="3"/>
      <c r="G23" s="1"/>
    </row>
    <row r="24" spans="1:7">
      <c r="A24" s="444"/>
      <c r="B24" s="375"/>
      <c r="C24" s="546"/>
      <c r="D24" s="547"/>
      <c r="E24" s="551"/>
      <c r="F24" s="1"/>
      <c r="G24" s="1"/>
    </row>
    <row r="25" spans="1:7">
      <c r="A25" s="444"/>
      <c r="B25" s="375"/>
      <c r="C25" s="546"/>
      <c r="D25" s="547"/>
      <c r="E25" s="548"/>
      <c r="F25" s="1"/>
      <c r="G25" s="1"/>
    </row>
    <row r="26" spans="1:7" ht="13.5" thickBot="1">
      <c r="A26" s="444" t="s">
        <v>655</v>
      </c>
      <c r="B26" s="375"/>
      <c r="C26" s="546"/>
      <c r="D26" s="547"/>
      <c r="E26" s="554">
        <f ca="1">E21-E23</f>
        <v>-1283.6373449486564</v>
      </c>
      <c r="F26" s="1"/>
      <c r="G26" s="1"/>
    </row>
    <row r="27" spans="1:7" ht="13.5" thickTop="1">
      <c r="A27" s="444"/>
      <c r="B27" s="375"/>
      <c r="C27" s="546"/>
      <c r="D27" s="547"/>
      <c r="E27" s="548"/>
      <c r="F27" s="1"/>
      <c r="G27" s="1"/>
    </row>
    <row r="28" spans="1:7">
      <c r="A28" s="444"/>
      <c r="B28" s="375"/>
      <c r="C28" s="546"/>
      <c r="D28" s="547"/>
      <c r="E28" s="548"/>
      <c r="F28" s="1"/>
      <c r="G28" s="1"/>
    </row>
    <row r="29" spans="1:7" ht="13.5" thickBot="1">
      <c r="A29" s="444" t="s">
        <v>656</v>
      </c>
      <c r="B29" s="402">
        <f>+'Input Tax Rate'!B36</f>
        <v>0.25345000000000001</v>
      </c>
      <c r="C29" s="546"/>
      <c r="D29" s="547"/>
      <c r="E29" s="770">
        <f ca="1">(E26*B29)</f>
        <v>-325.33788507723699</v>
      </c>
      <c r="F29" s="1"/>
      <c r="G29" s="1"/>
    </row>
    <row r="30" spans="1:7" ht="13.5" thickTop="1">
      <c r="A30" s="444"/>
      <c r="B30" s="375"/>
      <c r="C30" s="375"/>
      <c r="D30" s="375"/>
      <c r="E30" s="555"/>
    </row>
    <row r="31" spans="1:7">
      <c r="A31" s="444"/>
      <c r="B31" s="375"/>
      <c r="C31" s="375"/>
      <c r="D31" s="375"/>
      <c r="E31" s="543"/>
    </row>
    <row r="32" spans="1:7" ht="13.5" thickBot="1">
      <c r="A32" s="223"/>
      <c r="B32" s="224"/>
      <c r="C32" s="224"/>
      <c r="D32" s="224"/>
      <c r="E32" s="225"/>
    </row>
    <row r="34" spans="1:5" ht="13.5" thickBot="1"/>
    <row r="35" spans="1:5" ht="15">
      <c r="A35" s="1122" t="s">
        <v>638</v>
      </c>
      <c r="B35" s="1123"/>
      <c r="C35" s="1123"/>
      <c r="D35" s="1123"/>
      <c r="E35" s="1124"/>
    </row>
    <row r="36" spans="1:5" ht="15">
      <c r="A36" s="1125" t="s">
        <v>639</v>
      </c>
      <c r="B36" s="1126"/>
      <c r="C36" s="1126"/>
      <c r="D36" s="1126"/>
      <c r="E36" s="1127"/>
    </row>
    <row r="37" spans="1:5">
      <c r="A37" s="217"/>
      <c r="E37" s="172"/>
    </row>
    <row r="38" spans="1:5">
      <c r="A38" s="217"/>
      <c r="B38" s="1"/>
      <c r="C38" s="375" t="s">
        <v>640</v>
      </c>
      <c r="D38" s="541" t="s">
        <v>657</v>
      </c>
      <c r="E38" s="542" t="str">
        <f>+Input!A4</f>
        <v>December 2024</v>
      </c>
    </row>
    <row r="39" spans="1:5">
      <c r="A39" s="217"/>
      <c r="E39" s="172"/>
    </row>
    <row r="40" spans="1:5">
      <c r="A40" s="217" t="s">
        <v>641</v>
      </c>
      <c r="E40" s="172"/>
    </row>
    <row r="41" spans="1:5">
      <c r="A41" s="217" t="s">
        <v>658</v>
      </c>
      <c r="E41" s="172"/>
    </row>
    <row r="42" spans="1:5">
      <c r="A42" s="217"/>
      <c r="E42" s="172"/>
    </row>
    <row r="43" spans="1:5">
      <c r="A43" s="444"/>
      <c r="B43" s="375"/>
      <c r="C43" s="375"/>
      <c r="D43" s="375"/>
      <c r="E43" s="543"/>
    </row>
    <row r="44" spans="1:5">
      <c r="A44" s="444"/>
      <c r="B44" s="375"/>
      <c r="C44" s="375"/>
      <c r="D44" s="375"/>
      <c r="E44" s="544" t="s">
        <v>643</v>
      </c>
    </row>
    <row r="45" spans="1:5">
      <c r="A45" s="218" t="s">
        <v>644</v>
      </c>
      <c r="B45" s="375"/>
      <c r="C45" s="219" t="s">
        <v>645</v>
      </c>
      <c r="D45" s="219" t="s">
        <v>646</v>
      </c>
      <c r="E45" s="220" t="s">
        <v>647</v>
      </c>
    </row>
    <row r="46" spans="1:5">
      <c r="A46" s="545"/>
      <c r="B46" s="375"/>
      <c r="C46" s="376"/>
      <c r="D46" s="376"/>
      <c r="E46" s="544"/>
    </row>
    <row r="47" spans="1:5">
      <c r="A47" s="444"/>
      <c r="B47" s="375"/>
      <c r="C47" s="546"/>
      <c r="D47" s="547"/>
      <c r="E47" s="548"/>
    </row>
    <row r="48" spans="1:5">
      <c r="A48" s="444" t="s">
        <v>648</v>
      </c>
      <c r="B48" s="375"/>
      <c r="C48" s="549">
        <f>+'Report YE'!H156</f>
        <v>847120.93356210203</v>
      </c>
      <c r="D48" s="769">
        <f>+'Debt &amp; Cust Dep'!C36</f>
        <v>5.2600000000000001E-2</v>
      </c>
      <c r="E48" s="548">
        <f>(C48*D48)</f>
        <v>44558.561105366571</v>
      </c>
    </row>
    <row r="49" spans="1:5">
      <c r="A49" s="444" t="s">
        <v>649</v>
      </c>
      <c r="B49" s="375"/>
      <c r="C49" s="221"/>
      <c r="D49" s="222" t="s">
        <v>650</v>
      </c>
      <c r="E49" s="548"/>
    </row>
    <row r="50" spans="1:5">
      <c r="A50" s="444" t="s">
        <v>651</v>
      </c>
      <c r="B50" s="375"/>
      <c r="C50" s="549">
        <f>+'Report YE'!H158</f>
        <v>122324.09910646523</v>
      </c>
      <c r="D50" s="769">
        <f>+'Debt &amp; Cust Dep'!C75</f>
        <v>3.85E-2</v>
      </c>
      <c r="E50" s="548">
        <f>(C50*D50)</f>
        <v>4709.4778155989115</v>
      </c>
    </row>
    <row r="51" spans="1:5">
      <c r="A51" s="444"/>
      <c r="B51" s="375"/>
      <c r="C51" s="221"/>
      <c r="D51" s="547"/>
      <c r="E51" s="548"/>
    </row>
    <row r="52" spans="1:5">
      <c r="A52" s="444" t="s">
        <v>652</v>
      </c>
      <c r="B52" s="375"/>
      <c r="C52" s="549">
        <f>+'Report YE'!H160</f>
        <v>27055.296033084</v>
      </c>
      <c r="D52" s="769">
        <f>+'Debt &amp; Cust Dep'!C101</f>
        <v>2.52E-2</v>
      </c>
      <c r="E52" s="548">
        <f>(C52*D52)</f>
        <v>681.79346003371677</v>
      </c>
    </row>
    <row r="53" spans="1:5">
      <c r="A53" s="444"/>
      <c r="B53" s="375"/>
      <c r="C53" s="550"/>
      <c r="D53" s="547"/>
      <c r="E53" s="551"/>
    </row>
    <row r="54" spans="1:5">
      <c r="A54" s="444" t="s">
        <v>653</v>
      </c>
      <c r="B54" s="375"/>
      <c r="C54" s="546">
        <f>SUM(C48:C52)</f>
        <v>996500.32870165131</v>
      </c>
      <c r="D54" s="547"/>
      <c r="E54" s="548">
        <f>SUM(E48:E52)</f>
        <v>49949.8323809992</v>
      </c>
    </row>
    <row r="55" spans="1:5">
      <c r="A55" s="444"/>
      <c r="B55" s="375"/>
      <c r="C55" s="546"/>
      <c r="D55" s="547"/>
      <c r="E55" s="552"/>
    </row>
    <row r="56" spans="1:5">
      <c r="A56" s="444" t="s">
        <v>654</v>
      </c>
      <c r="B56" s="375"/>
      <c r="C56" s="546"/>
      <c r="D56" s="547"/>
      <c r="E56" s="553">
        <f ca="1">+IncomeStmt!F41</f>
        <v>52917.240700252165</v>
      </c>
    </row>
    <row r="57" spans="1:5">
      <c r="A57" s="444"/>
      <c r="B57" s="375"/>
      <c r="C57" s="546"/>
      <c r="D57" s="547"/>
      <c r="E57" s="551"/>
    </row>
    <row r="58" spans="1:5">
      <c r="A58" s="444"/>
      <c r="B58" s="375"/>
      <c r="C58" s="546"/>
      <c r="D58" s="547"/>
      <c r="E58" s="548"/>
    </row>
    <row r="59" spans="1:5" ht="13.5" thickBot="1">
      <c r="A59" s="444" t="s">
        <v>655</v>
      </c>
      <c r="B59" s="375"/>
      <c r="C59" s="546"/>
      <c r="D59" s="547"/>
      <c r="E59" s="554">
        <f ca="1">E54-E56</f>
        <v>-2967.4083192529652</v>
      </c>
    </row>
    <row r="60" spans="1:5" ht="13.5" thickTop="1">
      <c r="A60" s="444"/>
      <c r="B60" s="375"/>
      <c r="C60" s="546"/>
      <c r="D60" s="547"/>
      <c r="E60" s="548"/>
    </row>
    <row r="61" spans="1:5">
      <c r="A61" s="444"/>
      <c r="B61" s="375"/>
      <c r="C61" s="546"/>
      <c r="D61" s="547"/>
      <c r="E61" s="548"/>
    </row>
    <row r="62" spans="1:5" ht="13.5" thickBot="1">
      <c r="A62" s="444" t="s">
        <v>656</v>
      </c>
      <c r="B62" s="402">
        <f>+'Input Tax Rate'!B36</f>
        <v>0.25345000000000001</v>
      </c>
      <c r="C62" s="546"/>
      <c r="D62" s="547"/>
      <c r="E62" s="770">
        <f ca="1">(E59*B62)</f>
        <v>-752.08963851466399</v>
      </c>
    </row>
    <row r="63" spans="1:5" ht="13.5" thickTop="1">
      <c r="A63" s="444"/>
      <c r="B63" s="375"/>
      <c r="C63" s="375"/>
      <c r="D63" s="375"/>
      <c r="E63" s="555"/>
    </row>
    <row r="64" spans="1:5">
      <c r="A64" s="444"/>
      <c r="B64" s="375"/>
      <c r="C64" s="375"/>
      <c r="D64" s="375"/>
      <c r="E64" s="543"/>
    </row>
    <row r="65" spans="1:5" ht="13.5" thickBot="1">
      <c r="A65" s="223"/>
      <c r="B65" s="224"/>
      <c r="C65" s="224"/>
      <c r="D65" s="224"/>
      <c r="E65" s="225"/>
    </row>
  </sheetData>
  <mergeCells count="4">
    <mergeCell ref="A2:E2"/>
    <mergeCell ref="A3:E3"/>
    <mergeCell ref="A35:E35"/>
    <mergeCell ref="A36:E36"/>
  </mergeCells>
  <phoneticPr fontId="0" type="noConversion"/>
  <printOptions horizontalCentered="1"/>
  <pageMargins left="0.25" right="0.25" top="0.5" bottom="0.5" header="0.5" footer="0.5"/>
  <pageSetup scale="84" orientation="portrait" r:id="rId1"/>
  <headerFooter alignWithMargins="0">
    <oddFooter>&amp;R&amp;F</oddFooter>
  </headerFooter>
  <ignoredErrors>
    <ignoredError sqref="C16:D16 E23 C15 C18:D18 C17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CP370"/>
  <sheetViews>
    <sheetView tabSelected="1" zoomScale="85" zoomScaleNormal="85" workbookViewId="0">
      <selection activeCell="W10" sqref="W10"/>
    </sheetView>
  </sheetViews>
  <sheetFormatPr defaultColWidth="13.5703125" defaultRowHeight="12.75"/>
  <cols>
    <col min="1" max="1" width="31.140625" customWidth="1"/>
    <col min="2" max="2" width="14.140625" customWidth="1"/>
    <col min="3" max="3" width="2.28515625" customWidth="1"/>
    <col min="4" max="4" width="10.85546875" customWidth="1"/>
    <col min="5" max="5" width="2.28515625" customWidth="1"/>
    <col min="6" max="6" width="11" customWidth="1"/>
    <col min="7" max="7" width="2.28515625" customWidth="1"/>
    <col min="8" max="8" width="11.7109375" customWidth="1"/>
    <col min="9" max="9" width="2.28515625" customWidth="1"/>
    <col min="10" max="10" width="11" customWidth="1"/>
    <col min="11" max="11" width="2.28515625" customWidth="1"/>
    <col min="12" max="12" width="10.85546875" customWidth="1"/>
    <col min="13" max="13" width="3" customWidth="1"/>
    <col min="14" max="14" width="14.140625" customWidth="1"/>
    <col min="15" max="15" width="2.28515625" customWidth="1"/>
    <col min="16" max="16" width="12.5703125" customWidth="1"/>
    <col min="17" max="17" width="2.28515625" customWidth="1"/>
    <col min="18" max="18" width="13.5703125" customWidth="1"/>
    <col min="19" max="19" width="2.28515625" customWidth="1"/>
    <col min="20" max="20" width="15.85546875" bestFit="1" customWidth="1"/>
    <col min="21" max="21" width="2.28515625" customWidth="1"/>
    <col min="22" max="22" width="9.7109375" customWidth="1"/>
    <col min="23" max="23" width="14.28515625" bestFit="1" customWidth="1"/>
    <col min="24" max="24" width="14" customWidth="1"/>
    <col min="25" max="26" width="13.5703125" customWidth="1"/>
    <col min="27" max="27" width="7.5703125" customWidth="1"/>
    <col min="28" max="28" width="14" customWidth="1"/>
    <col min="29" max="30" width="13.5703125" customWidth="1"/>
    <col min="31" max="31" width="7.28515625" customWidth="1"/>
    <col min="32" max="32" width="19.28515625" bestFit="1" customWidth="1"/>
    <col min="33" max="33" width="8.85546875" bestFit="1" customWidth="1"/>
    <col min="36" max="36" width="31.140625" customWidth="1"/>
    <col min="37" max="37" width="14.140625" customWidth="1"/>
    <col min="38" max="38" width="2.28515625" customWidth="1"/>
    <col min="39" max="39" width="9.7109375" customWidth="1"/>
    <col min="40" max="40" width="2.28515625" customWidth="1"/>
    <col min="41" max="41" width="9.7109375" customWidth="1"/>
    <col min="42" max="42" width="2.28515625" customWidth="1"/>
    <col min="43" max="43" width="9.7109375" customWidth="1"/>
    <col min="44" max="44" width="2.28515625" customWidth="1"/>
    <col min="45" max="45" width="11" customWidth="1"/>
    <col min="46" max="46" width="2.28515625" customWidth="1"/>
    <col min="47" max="47" width="10.85546875" customWidth="1"/>
    <col min="48" max="48" width="3" customWidth="1"/>
    <col min="49" max="49" width="12.28515625" customWidth="1"/>
    <col min="50" max="50" width="2.28515625" customWidth="1"/>
    <col min="51" max="51" width="9.7109375" customWidth="1"/>
    <col min="52" max="52" width="2.28515625" customWidth="1"/>
    <col min="53" max="53" width="9.7109375" customWidth="1"/>
    <col min="54" max="54" width="2.28515625" customWidth="1"/>
    <col min="55" max="55" width="9.7109375" customWidth="1"/>
    <col min="56" max="56" width="2.28515625" customWidth="1"/>
    <col min="57" max="57" width="9.7109375" customWidth="1"/>
    <col min="58" max="58" width="13.28515625" bestFit="1" customWidth="1"/>
    <col min="59" max="59" width="14" hidden="1" customWidth="1"/>
    <col min="60" max="61" width="0" hidden="1" customWidth="1"/>
    <col min="62" max="62" width="2.5703125" hidden="1" customWidth="1"/>
    <col min="63" max="63" width="19.28515625" bestFit="1" customWidth="1"/>
    <col min="64" max="64" width="8.85546875" bestFit="1" customWidth="1"/>
    <col min="66" max="66" width="31.140625" customWidth="1"/>
    <col min="67" max="67" width="14.140625" customWidth="1"/>
    <col min="68" max="68" width="2.28515625" customWidth="1"/>
    <col min="69" max="69" width="9.7109375" customWidth="1"/>
    <col min="70" max="70" width="2.28515625" customWidth="1"/>
    <col min="71" max="71" width="9.7109375" customWidth="1"/>
    <col min="72" max="72" width="2.28515625" customWidth="1"/>
    <col min="73" max="73" width="9.7109375" customWidth="1"/>
    <col min="74" max="74" width="2.28515625" customWidth="1"/>
    <col min="75" max="75" width="11" customWidth="1"/>
    <col min="76" max="76" width="2.28515625" customWidth="1"/>
    <col min="77" max="77" width="10.85546875" customWidth="1"/>
    <col min="78" max="78" width="3" customWidth="1"/>
    <col min="79" max="79" width="12.28515625" customWidth="1"/>
    <col min="80" max="80" width="2.28515625" customWidth="1"/>
    <col min="81" max="81" width="9.7109375" customWidth="1"/>
    <col min="82" max="82" width="2.28515625" customWidth="1"/>
    <col min="83" max="83" width="9.7109375" customWidth="1"/>
    <col min="84" max="84" width="2.28515625" customWidth="1"/>
    <col min="85" max="85" width="9.7109375" customWidth="1"/>
    <col min="86" max="86" width="2.28515625" customWidth="1"/>
    <col min="87" max="87" width="9.7109375" customWidth="1"/>
    <col min="88" max="88" width="13.28515625" bestFit="1" customWidth="1"/>
    <col min="89" max="89" width="14" hidden="1" customWidth="1"/>
    <col min="90" max="91" width="0" hidden="1" customWidth="1"/>
    <col min="92" max="92" width="2.5703125" hidden="1" customWidth="1"/>
    <col min="93" max="93" width="19.28515625" bestFit="1" customWidth="1"/>
    <col min="94" max="94" width="8.85546875" bestFit="1" customWidth="1"/>
  </cols>
  <sheetData>
    <row r="1" spans="1:33">
      <c r="A1" s="90" t="s">
        <v>659</v>
      </c>
      <c r="B1" s="91"/>
      <c r="C1" s="91"/>
      <c r="D1" s="91"/>
      <c r="E1" s="91"/>
      <c r="F1" s="91"/>
      <c r="G1" s="91"/>
      <c r="H1" s="91"/>
      <c r="I1" s="91"/>
      <c r="J1" s="91"/>
      <c r="K1" s="92"/>
      <c r="L1" s="92"/>
      <c r="M1" s="91"/>
      <c r="N1" s="91" t="s">
        <v>660</v>
      </c>
      <c r="O1" s="9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2.95" customHeight="1">
      <c r="A2" s="90" t="s">
        <v>661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  <c r="O2" s="92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>
      <c r="A3" s="90" t="str">
        <f>+Input!A8</f>
        <v>2024 Budget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8"/>
      <c r="O3" s="9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>
      <c r="A4" s="569" t="s">
        <v>662</v>
      </c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8"/>
      <c r="P4" s="39"/>
    </row>
    <row r="5" spans="1:33">
      <c r="A5" s="93"/>
      <c r="P5" s="39"/>
    </row>
    <row r="6" spans="1:33">
      <c r="A6" s="93"/>
      <c r="P6" s="39"/>
    </row>
    <row r="7" spans="1:33">
      <c r="A7" s="94"/>
      <c r="B7" s="94"/>
      <c r="C7" s="94"/>
      <c r="D7" s="1"/>
      <c r="E7" s="94"/>
      <c r="F7" s="95" t="s">
        <v>663</v>
      </c>
      <c r="G7" s="94"/>
      <c r="H7" s="95" t="s">
        <v>664</v>
      </c>
      <c r="I7" s="94"/>
      <c r="J7" s="95" t="s">
        <v>665</v>
      </c>
      <c r="K7" s="94"/>
      <c r="L7" s="95" t="s">
        <v>666</v>
      </c>
      <c r="M7" s="94"/>
      <c r="N7" s="95" t="s">
        <v>667</v>
      </c>
      <c r="O7" s="1"/>
      <c r="P7" s="1"/>
      <c r="Q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>
      <c r="A8" s="94"/>
      <c r="B8" s="94"/>
      <c r="C8" s="94"/>
      <c r="D8" s="1"/>
      <c r="E8" s="94"/>
      <c r="F8" s="95" t="s">
        <v>2</v>
      </c>
      <c r="G8" s="94"/>
      <c r="H8" s="95" t="s">
        <v>668</v>
      </c>
      <c r="I8" s="94"/>
      <c r="J8" s="95" t="s">
        <v>668</v>
      </c>
      <c r="K8" s="94"/>
      <c r="L8" s="95" t="s">
        <v>669</v>
      </c>
      <c r="M8" s="94"/>
      <c r="N8" s="95" t="s">
        <v>669</v>
      </c>
      <c r="O8" s="1"/>
      <c r="P8" s="1"/>
      <c r="Q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>
      <c r="A9" s="94"/>
      <c r="B9" s="94"/>
      <c r="C9" s="94"/>
      <c r="D9" s="1"/>
      <c r="E9" s="94"/>
      <c r="F9" s="96" t="s">
        <v>670</v>
      </c>
      <c r="G9" s="94"/>
      <c r="H9" s="96" t="s">
        <v>671</v>
      </c>
      <c r="I9" s="94"/>
      <c r="J9" s="96" t="s">
        <v>672</v>
      </c>
      <c r="K9" s="94"/>
      <c r="L9" s="96" t="s">
        <v>671</v>
      </c>
      <c r="M9" s="94"/>
      <c r="N9" s="96" t="s">
        <v>672</v>
      </c>
      <c r="O9" s="1"/>
      <c r="P9" s="1"/>
      <c r="Q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>
      <c r="A10" s="94" t="s">
        <v>673</v>
      </c>
      <c r="B10" s="94"/>
      <c r="C10" s="94"/>
      <c r="D10" s="1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1"/>
      <c r="P10" s="1"/>
      <c r="Q10" s="1"/>
      <c r="S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97" t="s">
        <v>674</v>
      </c>
      <c r="B11" s="97"/>
      <c r="C11" s="94"/>
      <c r="D11" s="1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1"/>
      <c r="P11" s="1"/>
      <c r="Q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94" t="s">
        <v>675</v>
      </c>
      <c r="B12" s="94"/>
      <c r="C12" s="94"/>
      <c r="D12" s="1"/>
      <c r="E12" s="94" t="s">
        <v>676</v>
      </c>
      <c r="F12" s="98">
        <f ca="1">V106</f>
        <v>70184</v>
      </c>
      <c r="G12" s="86" t="s">
        <v>676</v>
      </c>
      <c r="H12" s="98">
        <f ca="1">V126</f>
        <v>2154.711039144227</v>
      </c>
      <c r="I12" s="86" t="s">
        <v>676</v>
      </c>
      <c r="J12" s="98">
        <f ca="1">F12+H12</f>
        <v>72338.711039144226</v>
      </c>
      <c r="K12" s="86" t="s">
        <v>676</v>
      </c>
      <c r="L12" s="98">
        <f>V139</f>
        <v>0</v>
      </c>
      <c r="M12" s="86" t="s">
        <v>676</v>
      </c>
      <c r="N12" s="98">
        <f ca="1">J12+L12</f>
        <v>72338.711039144226</v>
      </c>
      <c r="O12" s="1"/>
      <c r="P12" s="1"/>
      <c r="Q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>
      <c r="A13" s="94"/>
      <c r="B13" s="94"/>
      <c r="C13" s="94"/>
      <c r="D13" s="1"/>
      <c r="E13" s="94"/>
      <c r="F13" s="86"/>
      <c r="G13" s="86"/>
      <c r="H13" s="86"/>
      <c r="I13" s="86"/>
      <c r="J13" s="86"/>
      <c r="K13" s="86"/>
      <c r="L13" s="86"/>
      <c r="M13" s="86"/>
      <c r="N13" s="86"/>
      <c r="O13" s="1"/>
      <c r="P13" s="1"/>
      <c r="Q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94" t="s">
        <v>677</v>
      </c>
      <c r="B14" s="94"/>
      <c r="C14" s="94"/>
      <c r="D14" s="1"/>
      <c r="E14" s="94" t="s">
        <v>676</v>
      </c>
      <c r="F14" s="98">
        <f ca="1">T55</f>
        <v>2509267.9031391586</v>
      </c>
      <c r="G14" s="86" t="s">
        <v>676</v>
      </c>
      <c r="H14" s="98">
        <f ca="1">T77</f>
        <v>-142479.88396210931</v>
      </c>
      <c r="I14" s="86" t="s">
        <v>676</v>
      </c>
      <c r="J14" s="98">
        <f ca="1">F14+H14</f>
        <v>2366788.0191770494</v>
      </c>
      <c r="K14" s="86" t="s">
        <v>676</v>
      </c>
      <c r="L14" s="98">
        <f>T90</f>
        <v>0</v>
      </c>
      <c r="M14" s="86" t="s">
        <v>676</v>
      </c>
      <c r="N14" s="98">
        <f ca="1">J14+L14</f>
        <v>2366788.0191770494</v>
      </c>
      <c r="O14" s="1"/>
      <c r="P14" s="1"/>
      <c r="Q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>
      <c r="A15" s="94" t="s">
        <v>650</v>
      </c>
      <c r="B15" s="94"/>
      <c r="C15" s="94"/>
      <c r="D15" s="1"/>
      <c r="E15" s="94"/>
      <c r="F15" s="94"/>
      <c r="G15" s="94"/>
      <c r="H15" s="94"/>
      <c r="I15" s="94"/>
      <c r="J15" s="94"/>
      <c r="K15" s="94"/>
      <c r="L15" s="1"/>
      <c r="M15" s="94"/>
      <c r="N15" s="94"/>
      <c r="O15" s="1"/>
      <c r="P15" s="1"/>
      <c r="Q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94" t="s">
        <v>678</v>
      </c>
      <c r="B16" s="94"/>
      <c r="C16" s="94"/>
      <c r="D16" s="1"/>
      <c r="E16" s="94"/>
      <c r="F16" s="99">
        <f ca="1">ROUND(F12/F14*100,4)</f>
        <v>2.7970000000000002</v>
      </c>
      <c r="G16" s="100" t="s">
        <v>105</v>
      </c>
      <c r="H16" s="100"/>
      <c r="I16" s="100" t="s">
        <v>650</v>
      </c>
      <c r="J16" s="99">
        <f ca="1">ROUND(J12/J14*100,4)</f>
        <v>3.0564</v>
      </c>
      <c r="K16" s="100" t="s">
        <v>105</v>
      </c>
      <c r="L16" s="101"/>
      <c r="M16" s="100"/>
      <c r="N16" s="99">
        <f ca="1">ROUND(N12/N14*100,4)</f>
        <v>3.0564</v>
      </c>
      <c r="O16" s="94" t="s">
        <v>105</v>
      </c>
      <c r="P16" s="1"/>
      <c r="Q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94"/>
      <c r="B17" s="94"/>
      <c r="C17" s="94"/>
      <c r="D17" s="1"/>
      <c r="E17" s="94"/>
      <c r="F17" s="94"/>
      <c r="G17" s="94"/>
      <c r="H17" s="94"/>
      <c r="I17" s="94"/>
      <c r="J17" s="94"/>
      <c r="K17" s="94"/>
      <c r="L17" s="94"/>
      <c r="M17" s="94"/>
      <c r="N17" s="1"/>
      <c r="O17" s="94"/>
      <c r="P17" s="1"/>
      <c r="Q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94"/>
      <c r="B18" s="94"/>
      <c r="C18" s="94"/>
      <c r="D18" s="1"/>
      <c r="E18" s="94"/>
      <c r="F18" s="94"/>
      <c r="G18" s="94"/>
      <c r="H18" s="94"/>
      <c r="I18" s="94"/>
      <c r="J18" s="94"/>
      <c r="K18" s="94"/>
      <c r="L18" s="94"/>
      <c r="M18" s="94"/>
      <c r="N18" s="1"/>
      <c r="O18" s="9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3.5" thickBot="1">
      <c r="A19" s="102"/>
      <c r="B19" s="102"/>
      <c r="C19" s="102"/>
      <c r="D19" s="103"/>
      <c r="E19" s="102"/>
      <c r="F19" s="102"/>
      <c r="G19" s="102"/>
      <c r="H19" s="102"/>
      <c r="I19" s="102"/>
      <c r="J19" s="102"/>
      <c r="K19" s="102"/>
      <c r="L19" s="102"/>
      <c r="M19" s="102"/>
      <c r="N19" s="103"/>
      <c r="O19" s="9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3.5" thickTop="1">
      <c r="A20" s="94"/>
      <c r="B20" s="94"/>
      <c r="C20" s="94"/>
      <c r="D20" s="1"/>
      <c r="E20" s="94"/>
      <c r="F20" s="94"/>
      <c r="G20" s="94"/>
      <c r="H20" s="94"/>
      <c r="I20" s="94"/>
      <c r="J20" s="94"/>
      <c r="K20" s="94"/>
      <c r="L20" s="94"/>
      <c r="M20" s="94"/>
      <c r="N20" s="1"/>
      <c r="O20" s="9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>
      <c r="A21" s="94" t="s">
        <v>679</v>
      </c>
      <c r="B21" s="94"/>
      <c r="C21" s="94"/>
      <c r="D21" s="1"/>
      <c r="E21" s="94"/>
      <c r="F21" s="94"/>
      <c r="G21" s="1"/>
      <c r="H21" s="1"/>
      <c r="I21" s="104" t="s">
        <v>680</v>
      </c>
      <c r="J21" s="1"/>
      <c r="K21" s="94"/>
      <c r="L21" s="94"/>
      <c r="M21" s="9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>
      <c r="A22" s="94" t="s">
        <v>681</v>
      </c>
      <c r="B22" s="94"/>
      <c r="C22" s="94"/>
      <c r="D22" s="1"/>
      <c r="E22" s="94"/>
      <c r="F22" s="94"/>
      <c r="G22" s="1"/>
      <c r="H22" s="1"/>
      <c r="I22" s="1"/>
      <c r="J22" s="1"/>
      <c r="K22" s="1"/>
      <c r="L22" s="1"/>
      <c r="M22" s="94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>
      <c r="A23" s="97" t="s">
        <v>682</v>
      </c>
      <c r="B23" s="97"/>
      <c r="C23" s="94"/>
      <c r="D23" s="1"/>
      <c r="E23" s="94"/>
      <c r="F23" s="94"/>
      <c r="G23" s="1"/>
      <c r="H23" s="1"/>
      <c r="I23" s="1"/>
      <c r="J23" s="1"/>
      <c r="K23" s="1"/>
      <c r="L23" s="95" t="s">
        <v>668</v>
      </c>
      <c r="M23" s="2"/>
      <c r="N23" s="95" t="s">
        <v>683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>
      <c r="A24" s="1"/>
      <c r="B24" s="94" t="s">
        <v>684</v>
      </c>
      <c r="C24" s="94"/>
      <c r="D24" s="99">
        <f ca="1">N171</f>
        <v>6.89</v>
      </c>
      <c r="E24" s="94" t="s">
        <v>105</v>
      </c>
      <c r="F24" s="1"/>
      <c r="G24" s="1"/>
      <c r="H24" s="1"/>
      <c r="I24" s="1"/>
      <c r="J24" s="1"/>
      <c r="K24" s="1"/>
      <c r="L24" s="105" t="s">
        <v>622</v>
      </c>
      <c r="M24" s="2"/>
      <c r="N24" s="105" t="s">
        <v>622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>
      <c r="A25" s="1"/>
      <c r="B25" s="94"/>
      <c r="C25" s="94"/>
      <c r="D25" s="100"/>
      <c r="E25" s="94"/>
      <c r="F25" s="1"/>
      <c r="G25" s="94" t="s">
        <v>685</v>
      </c>
      <c r="H25" s="1"/>
      <c r="I25" s="94"/>
      <c r="J25" s="94"/>
      <c r="K25" s="94"/>
      <c r="L25" s="1"/>
      <c r="M25" s="94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>
      <c r="A26" s="1"/>
      <c r="B26" s="94" t="s">
        <v>686</v>
      </c>
      <c r="C26" s="94"/>
      <c r="D26" s="99">
        <f ca="1">R171</f>
        <v>7.4099999999999993</v>
      </c>
      <c r="E26" s="94" t="s">
        <v>105</v>
      </c>
      <c r="F26" s="1"/>
      <c r="G26" s="94" t="s">
        <v>687</v>
      </c>
      <c r="H26" s="1"/>
      <c r="I26" s="94"/>
      <c r="J26" s="94"/>
      <c r="K26" s="94"/>
      <c r="L26" s="99">
        <f ca="1">H202</f>
        <v>1.8453999999999999</v>
      </c>
      <c r="M26" s="94" t="s">
        <v>105</v>
      </c>
      <c r="N26" s="182">
        <f ca="1">H263</f>
        <v>1.8453999999999999</v>
      </c>
      <c r="O26" s="94" t="s">
        <v>105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>
      <c r="A27" s="1"/>
      <c r="B27" s="94"/>
      <c r="C27" s="94"/>
      <c r="D27" s="100"/>
      <c r="E27" s="94"/>
      <c r="F27" s="1"/>
      <c r="G27" s="1"/>
      <c r="H27" s="1"/>
      <c r="I27" s="1"/>
      <c r="J27" s="1"/>
      <c r="K27" s="1"/>
      <c r="L27" s="1"/>
      <c r="M27" s="9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>
      <c r="A28" s="1"/>
      <c r="B28" s="94" t="s">
        <v>688</v>
      </c>
      <c r="C28" s="94"/>
      <c r="D28" s="99">
        <f ca="1">V171</f>
        <v>7.89</v>
      </c>
      <c r="E28" s="94" t="s">
        <v>105</v>
      </c>
      <c r="F28" s="1"/>
      <c r="G28" s="94" t="s">
        <v>689</v>
      </c>
      <c r="H28" s="1"/>
      <c r="I28" s="94"/>
      <c r="J28" s="94"/>
      <c r="K28" s="94"/>
      <c r="L28" s="1"/>
      <c r="M28" s="94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>
      <c r="A29" s="94"/>
      <c r="B29" s="94"/>
      <c r="C29" s="94"/>
      <c r="D29" s="94"/>
      <c r="E29" s="94"/>
      <c r="F29" s="94"/>
      <c r="G29" s="94" t="s">
        <v>687</v>
      </c>
      <c r="H29" s="94"/>
      <c r="I29" s="94"/>
      <c r="J29" s="94"/>
      <c r="K29" s="94"/>
      <c r="L29" s="99">
        <f ca="1">H229</f>
        <v>1.5990553263144955</v>
      </c>
      <c r="M29" s="94" t="s">
        <v>105</v>
      </c>
      <c r="N29" s="99">
        <f ca="1">H290</f>
        <v>1.5990553263144955</v>
      </c>
      <c r="O29" s="94" t="s">
        <v>105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1"/>
      <c r="O30" s="9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>
      <c r="A31" s="94"/>
      <c r="B31" s="94"/>
      <c r="C31" s="94" t="s">
        <v>650</v>
      </c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1"/>
      <c r="O31" s="9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>
      <c r="A32" s="106" t="s">
        <v>690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8"/>
      <c r="M32" s="94"/>
      <c r="N32" s="1"/>
      <c r="O32" s="9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>
      <c r="A33" s="109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110"/>
      <c r="M33" s="94"/>
      <c r="N33" s="1"/>
      <c r="O33" s="9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>
      <c r="A34" s="109"/>
      <c r="B34" s="94" t="s">
        <v>691</v>
      </c>
      <c r="C34" s="94"/>
      <c r="D34" s="94"/>
      <c r="E34" s="94"/>
      <c r="F34" s="94"/>
      <c r="G34" s="94"/>
      <c r="H34" s="94"/>
      <c r="I34" s="94"/>
      <c r="J34" s="94"/>
      <c r="K34" s="94"/>
      <c r="L34" s="110"/>
      <c r="M34" s="94"/>
      <c r="N34" s="1"/>
      <c r="O34" s="9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>
      <c r="A35" s="109"/>
      <c r="B35" s="94" t="s">
        <v>692</v>
      </c>
      <c r="C35" s="94"/>
      <c r="D35" s="94"/>
      <c r="E35" s="94"/>
      <c r="F35" s="94"/>
      <c r="G35" s="94"/>
      <c r="H35" s="94"/>
      <c r="I35" s="94"/>
      <c r="J35" s="94"/>
      <c r="K35" s="94"/>
      <c r="L35" s="110"/>
      <c r="M35" s="94"/>
      <c r="N35" s="1"/>
      <c r="O35" s="9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>
      <c r="A36" s="109"/>
      <c r="B36" s="94" t="s">
        <v>693</v>
      </c>
      <c r="C36" s="94"/>
      <c r="D36" s="94"/>
      <c r="E36" s="94"/>
      <c r="F36" s="94"/>
      <c r="G36" s="94"/>
      <c r="H36" s="94"/>
      <c r="I36" s="94"/>
      <c r="J36" s="94"/>
      <c r="K36" s="94"/>
      <c r="L36" s="110"/>
      <c r="M36" s="94"/>
      <c r="N36" s="1"/>
      <c r="O36" s="9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>
      <c r="A37" s="109"/>
      <c r="B37" s="94" t="s">
        <v>694</v>
      </c>
      <c r="C37" s="94"/>
      <c r="D37" s="94"/>
      <c r="E37" s="94"/>
      <c r="F37" s="94"/>
      <c r="G37" s="94"/>
      <c r="H37" s="94"/>
      <c r="I37" s="94"/>
      <c r="J37" s="94"/>
      <c r="K37" s="94"/>
      <c r="L37" s="110"/>
      <c r="M37" s="94"/>
      <c r="N37" s="1"/>
      <c r="O37" s="9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>
      <c r="A38" s="109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110"/>
      <c r="M38" s="94"/>
      <c r="N38" s="1"/>
      <c r="O38" s="9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>
      <c r="A39" s="109" t="s">
        <v>695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110"/>
      <c r="M39" s="94"/>
      <c r="N39" s="1"/>
      <c r="O39" s="9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>
      <c r="A40" s="106" t="s">
        <v>696</v>
      </c>
      <c r="B40" s="107"/>
      <c r="C40" s="94"/>
      <c r="D40" s="94"/>
      <c r="E40" s="107" t="s">
        <v>697</v>
      </c>
      <c r="F40" s="107"/>
      <c r="G40" s="107"/>
      <c r="H40" s="107"/>
      <c r="I40" s="111"/>
      <c r="J40" s="1"/>
      <c r="K40" s="111"/>
      <c r="L40" s="112" t="s">
        <v>698</v>
      </c>
      <c r="M40" s="94"/>
      <c r="N40" s="1"/>
      <c r="O40" s="9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>
      <c r="A41" s="113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114"/>
      <c r="M41" s="94"/>
      <c r="N41" s="115" t="s">
        <v>699</v>
      </c>
      <c r="O41" s="9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5" spans="1:33">
      <c r="A45" s="90" t="s">
        <v>232</v>
      </c>
      <c r="B45" s="91"/>
      <c r="C45" s="91"/>
      <c r="D45" s="91"/>
      <c r="E45" s="91"/>
      <c r="F45" s="91"/>
      <c r="G45" s="92"/>
      <c r="H45" s="14"/>
      <c r="I45" s="91"/>
      <c r="J45" s="91"/>
      <c r="K45" s="91"/>
      <c r="L45" s="91"/>
      <c r="M45" s="91"/>
      <c r="N45" s="91"/>
      <c r="O45" s="91"/>
      <c r="P45" s="91"/>
      <c r="Q45" s="92"/>
      <c r="R45" s="92"/>
      <c r="S45" s="1"/>
      <c r="T45" s="91" t="s">
        <v>700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90" t="s">
        <v>701</v>
      </c>
      <c r="B46" s="91"/>
      <c r="C46" s="91"/>
      <c r="D46" s="91"/>
      <c r="E46" s="91"/>
      <c r="F46" s="91"/>
      <c r="G46" s="91"/>
      <c r="H46" s="14"/>
      <c r="I46" s="91"/>
      <c r="J46" s="91"/>
      <c r="K46" s="91"/>
      <c r="L46" s="91"/>
      <c r="M46" s="91"/>
      <c r="N46" s="91"/>
      <c r="O46" s="91"/>
      <c r="P46" s="92"/>
      <c r="Q46" s="92"/>
      <c r="R46" s="92"/>
      <c r="S46" s="1"/>
      <c r="T46" s="9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>
      <c r="A47" s="116" t="str">
        <f>A3</f>
        <v>2024 Budget</v>
      </c>
      <c r="B47" s="91"/>
      <c r="C47" s="91"/>
      <c r="D47" s="91"/>
      <c r="E47" s="91"/>
      <c r="F47" s="91"/>
      <c r="G47" s="91"/>
      <c r="H47" s="90"/>
      <c r="I47" s="92"/>
      <c r="J47" s="91"/>
      <c r="K47" s="91"/>
      <c r="L47" s="91"/>
      <c r="M47" s="91"/>
      <c r="N47" s="91"/>
      <c r="O47" s="91"/>
      <c r="P47" s="91"/>
      <c r="Q47" s="92"/>
      <c r="R47" s="92"/>
      <c r="S47" s="117"/>
      <c r="T47" s="117"/>
      <c r="U47" s="117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>
      <c r="A48" s="116"/>
      <c r="B48" s="91"/>
      <c r="C48" s="91"/>
      <c r="D48" s="91"/>
      <c r="E48" s="91"/>
      <c r="F48" s="91"/>
      <c r="G48" s="91"/>
      <c r="H48" s="90"/>
      <c r="I48" s="92"/>
      <c r="J48" s="91"/>
      <c r="K48" s="91"/>
      <c r="L48" s="91"/>
      <c r="M48" s="91"/>
      <c r="N48" s="91"/>
      <c r="O48" s="91"/>
      <c r="P48" s="91"/>
      <c r="Q48" s="92"/>
      <c r="R48" s="92"/>
      <c r="S48" s="117"/>
      <c r="T48" s="117"/>
      <c r="U48" s="117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>
      <c r="A49" s="94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</row>
    <row r="51" spans="1:33">
      <c r="A51" s="1"/>
      <c r="B51" s="2" t="s">
        <v>663</v>
      </c>
      <c r="C51" s="1"/>
      <c r="D51" s="2" t="s">
        <v>664</v>
      </c>
      <c r="E51" s="1"/>
      <c r="F51" s="2" t="s">
        <v>665</v>
      </c>
      <c r="G51" s="1"/>
      <c r="H51" s="2" t="s">
        <v>666</v>
      </c>
      <c r="I51" s="1"/>
      <c r="J51" s="2" t="s">
        <v>667</v>
      </c>
      <c r="K51" s="1"/>
      <c r="L51" s="2" t="s">
        <v>702</v>
      </c>
      <c r="M51" s="1"/>
      <c r="N51" s="2" t="s">
        <v>703</v>
      </c>
      <c r="O51" s="1"/>
      <c r="P51" s="2" t="s">
        <v>704</v>
      </c>
      <c r="Q51" s="1"/>
      <c r="R51" s="2" t="s">
        <v>705</v>
      </c>
      <c r="S51" s="1"/>
      <c r="T51" s="2" t="s">
        <v>706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>
      <c r="A52" s="1"/>
      <c r="B52" s="1"/>
      <c r="C52" s="1"/>
      <c r="D52" s="2" t="s">
        <v>707</v>
      </c>
      <c r="E52" s="1"/>
      <c r="F52" s="2" t="s">
        <v>708</v>
      </c>
      <c r="G52" s="1"/>
      <c r="H52" s="2" t="s">
        <v>709</v>
      </c>
      <c r="I52" s="1"/>
      <c r="J52" s="2" t="s">
        <v>710</v>
      </c>
      <c r="K52" s="1"/>
      <c r="L52" s="1"/>
      <c r="M52" s="1"/>
      <c r="N52" s="2" t="s">
        <v>711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>
      <c r="A53" s="1"/>
      <c r="B53" s="2" t="s">
        <v>712</v>
      </c>
      <c r="C53" s="1"/>
      <c r="D53" s="2" t="s">
        <v>713</v>
      </c>
      <c r="E53" s="1"/>
      <c r="F53" s="2" t="s">
        <v>714</v>
      </c>
      <c r="G53" s="1"/>
      <c r="H53" s="2" t="s">
        <v>715</v>
      </c>
      <c r="I53" s="1"/>
      <c r="J53" s="2" t="s">
        <v>712</v>
      </c>
      <c r="K53" s="1"/>
      <c r="L53" s="2" t="s">
        <v>716</v>
      </c>
      <c r="M53" s="1"/>
      <c r="N53" s="2" t="s">
        <v>717</v>
      </c>
      <c r="O53" s="1"/>
      <c r="P53" s="2" t="s">
        <v>710</v>
      </c>
      <c r="Q53" s="1"/>
      <c r="R53" s="2" t="s">
        <v>718</v>
      </c>
      <c r="S53" s="1"/>
      <c r="T53" s="2" t="s">
        <v>719</v>
      </c>
      <c r="U53" s="1"/>
      <c r="V53" s="2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>
      <c r="A54" s="1"/>
      <c r="B54" s="118" t="s">
        <v>720</v>
      </c>
      <c r="C54" s="1"/>
      <c r="D54" s="118" t="s">
        <v>721</v>
      </c>
      <c r="E54" s="1"/>
      <c r="F54" s="118" t="s">
        <v>722</v>
      </c>
      <c r="G54" s="1"/>
      <c r="H54" s="118" t="s">
        <v>711</v>
      </c>
      <c r="I54" s="1"/>
      <c r="J54" s="118" t="s">
        <v>723</v>
      </c>
      <c r="K54" s="1"/>
      <c r="L54" s="118" t="s">
        <v>724</v>
      </c>
      <c r="M54" s="1"/>
      <c r="N54" s="118" t="s">
        <v>725</v>
      </c>
      <c r="O54" s="1"/>
      <c r="P54" s="118" t="s">
        <v>466</v>
      </c>
      <c r="Q54" s="1"/>
      <c r="R54" s="118" t="s">
        <v>726</v>
      </c>
      <c r="S54" s="1"/>
      <c r="T54" s="118" t="s">
        <v>727</v>
      </c>
      <c r="U54" s="1"/>
      <c r="V54" s="2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3.9" customHeight="1">
      <c r="A55" s="1" t="s">
        <v>728</v>
      </c>
      <c r="B55" s="84">
        <f ca="1">Reconcil!C57</f>
        <v>3319121.5923076924</v>
      </c>
      <c r="C55" s="31"/>
      <c r="D55" s="84">
        <f ca="1">Reconcil!C60</f>
        <v>5031.9000000000005</v>
      </c>
      <c r="E55" s="31"/>
      <c r="F55" s="84">
        <f ca="1">-Reconcil!C63</f>
        <v>923335.28461538453</v>
      </c>
      <c r="G55" s="31"/>
      <c r="H55" s="84">
        <f ca="1">Reconcil!C149</f>
        <v>20000</v>
      </c>
      <c r="I55" s="31"/>
      <c r="J55" s="84">
        <f ca="1">B55+D55-F55-H55</f>
        <v>2380818.2076923079</v>
      </c>
      <c r="K55" s="31"/>
      <c r="L55" s="84">
        <f ca="1">Reconcil!C58</f>
        <v>1939.5999999999997</v>
      </c>
      <c r="M55" s="31"/>
      <c r="N55" s="84">
        <f ca="1">Reconcil!C59</f>
        <v>135611.36153846153</v>
      </c>
      <c r="O55" s="31"/>
      <c r="P55" s="84">
        <f ca="1">J55+L55+N55</f>
        <v>2518369.1692307694</v>
      </c>
      <c r="Q55" s="31"/>
      <c r="R55" s="84">
        <f ca="1">Reconcil!I210</f>
        <v>-9101.2660916105669</v>
      </c>
      <c r="S55" s="31"/>
      <c r="T55" s="84">
        <f ca="1">P55+R55</f>
        <v>2509267.9031391586</v>
      </c>
      <c r="U55" s="3"/>
      <c r="V55" s="2"/>
      <c r="W55" s="1116"/>
      <c r="X55" s="1"/>
      <c r="Y55" s="1"/>
      <c r="Z55" s="3"/>
      <c r="AA55" s="3"/>
      <c r="AB55" s="1"/>
      <c r="AC55" s="1"/>
      <c r="AD55" s="1"/>
      <c r="AE55" s="3"/>
      <c r="AF55" s="3"/>
      <c r="AG55" s="3"/>
    </row>
    <row r="56" spans="1:33">
      <c r="A56" s="1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3"/>
      <c r="V56" s="2"/>
      <c r="W56" s="1"/>
      <c r="X56" s="1"/>
      <c r="Y56" s="1"/>
      <c r="Z56" s="3"/>
      <c r="AA56" s="3"/>
      <c r="AB56" s="1"/>
      <c r="AC56" s="1"/>
      <c r="AD56" s="1"/>
      <c r="AE56" s="3"/>
      <c r="AF56" s="3"/>
      <c r="AG56" s="3"/>
    </row>
    <row r="57" spans="1:33">
      <c r="A57" s="119" t="s">
        <v>729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3"/>
      <c r="V57" s="2"/>
      <c r="W57" s="1"/>
      <c r="X57" s="1"/>
      <c r="Y57" s="1"/>
      <c r="Z57" s="3"/>
      <c r="AA57" s="3"/>
      <c r="AB57" s="1"/>
      <c r="AC57" s="1"/>
      <c r="AD57" s="1"/>
      <c r="AE57" s="3"/>
      <c r="AF57" s="3"/>
      <c r="AG57" s="3"/>
    </row>
    <row r="58" spans="1:33">
      <c r="A58" s="1" t="s">
        <v>38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>
        <f ca="1">-L55</f>
        <v>-1939.5999999999997</v>
      </c>
      <c r="M58" s="31"/>
      <c r="N58" s="31"/>
      <c r="O58" s="31"/>
      <c r="P58" s="31">
        <f ca="1">J58+L58+N58</f>
        <v>-1939.5999999999997</v>
      </c>
      <c r="Q58" s="31"/>
      <c r="R58" s="31"/>
      <c r="S58" s="31"/>
      <c r="T58" s="31">
        <f t="shared" ref="T58:T73" ca="1" si="0">P58+R58</f>
        <v>-1939.5999999999997</v>
      </c>
      <c r="U58" s="3"/>
      <c r="V58" s="2"/>
      <c r="W58" s="1"/>
      <c r="X58" s="1"/>
      <c r="Y58" s="1"/>
      <c r="Z58" s="3"/>
      <c r="AA58" s="3"/>
      <c r="AB58" s="1"/>
      <c r="AC58" s="1"/>
      <c r="AD58" s="1"/>
      <c r="AE58" s="3"/>
      <c r="AF58" s="3"/>
      <c r="AG58" s="3"/>
    </row>
    <row r="59" spans="1:33">
      <c r="A59" s="1" t="s">
        <v>47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>
        <f ca="1">-Reconcil!C76</f>
        <v>-3</v>
      </c>
      <c r="S59" s="31"/>
      <c r="T59" s="31">
        <f t="shared" ca="1" si="0"/>
        <v>-3</v>
      </c>
      <c r="U59" s="3"/>
      <c r="V59" s="2"/>
      <c r="W59" s="1"/>
      <c r="X59" s="1"/>
      <c r="Y59" s="1"/>
      <c r="Z59" s="3"/>
      <c r="AA59" s="3"/>
      <c r="AB59" s="1"/>
      <c r="AC59" s="1"/>
      <c r="AD59" s="1"/>
      <c r="AE59" s="3"/>
      <c r="AF59" s="3"/>
      <c r="AG59" s="3"/>
    </row>
    <row r="60" spans="1:33">
      <c r="A60" s="1" t="s">
        <v>730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>
        <f ca="1">-Reconcil!C77</f>
        <v>0</v>
      </c>
      <c r="S60" s="31"/>
      <c r="T60" s="31">
        <f t="shared" ca="1" si="0"/>
        <v>0</v>
      </c>
      <c r="U60" s="3"/>
      <c r="V60" s="2"/>
      <c r="W60" s="1"/>
      <c r="X60" s="1"/>
      <c r="Y60" s="1"/>
      <c r="Z60" s="3"/>
      <c r="AA60" s="3"/>
      <c r="AB60" s="1"/>
      <c r="AC60" s="1"/>
      <c r="AD60" s="1"/>
      <c r="AE60" s="3"/>
      <c r="AF60" s="3"/>
      <c r="AG60" s="3"/>
    </row>
    <row r="61" spans="1:33">
      <c r="A61" s="1" t="s">
        <v>48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>
        <f ca="1">-Reconcil!$C$81+Reconcil!$C$128</f>
        <v>-10135.300000000001</v>
      </c>
      <c r="S61" s="31"/>
      <c r="T61" s="31">
        <f t="shared" ca="1" si="0"/>
        <v>-10135.300000000001</v>
      </c>
      <c r="U61" s="3"/>
      <c r="V61" s="2"/>
      <c r="W61" s="1"/>
      <c r="X61" s="1"/>
      <c r="Y61" s="1"/>
      <c r="Z61" s="3"/>
      <c r="AA61" s="3"/>
      <c r="AB61" s="1"/>
      <c r="AC61" s="1"/>
      <c r="AD61" s="1"/>
      <c r="AE61" s="3"/>
      <c r="AF61" s="3"/>
      <c r="AG61" s="3"/>
    </row>
    <row r="62" spans="1:33">
      <c r="A62" s="1" t="s">
        <v>49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43">
        <f ca="1">-Reconcil!$C$79</f>
        <v>-737.36153846153843</v>
      </c>
      <c r="S62" s="31"/>
      <c r="T62" s="31">
        <f t="shared" ca="1" si="0"/>
        <v>-737.36153846153843</v>
      </c>
      <c r="U62" s="3"/>
      <c r="V62" s="2"/>
      <c r="W62" s="1"/>
      <c r="X62" s="1"/>
      <c r="Y62" s="1"/>
      <c r="Z62" s="3"/>
      <c r="AA62" s="3"/>
      <c r="AB62" s="1"/>
      <c r="AC62" s="1"/>
      <c r="AD62" s="1"/>
      <c r="AE62" s="3"/>
      <c r="AF62" s="3"/>
      <c r="AG62" s="3"/>
    </row>
    <row r="63" spans="1:33">
      <c r="A63" s="1" t="s">
        <v>27</v>
      </c>
      <c r="B63" s="1094">
        <f ca="1">(-'Input Plant'!CL11/1000)</f>
        <v>-1528.7188608514389</v>
      </c>
      <c r="C63" s="164"/>
      <c r="D63" s="164"/>
      <c r="E63" s="164"/>
      <c r="F63" s="1094">
        <f ca="1">'Input Plant'!CL23/1000</f>
        <v>-468.55401951135872</v>
      </c>
      <c r="G63" s="31"/>
      <c r="H63" s="31"/>
      <c r="I63" s="31"/>
      <c r="J63" s="31">
        <f ca="1">B63+D63-F63-H63</f>
        <v>-1060.1648413400801</v>
      </c>
      <c r="K63" s="31"/>
      <c r="L63" s="31"/>
      <c r="M63" s="31"/>
      <c r="N63" s="31"/>
      <c r="O63" s="31"/>
      <c r="P63" s="31">
        <f ca="1">J63+L63+N63</f>
        <v>-1060.1648413400801</v>
      </c>
      <c r="Q63" s="31"/>
      <c r="R63" s="31"/>
      <c r="S63" s="31"/>
      <c r="T63" s="31">
        <f t="shared" ca="1" si="0"/>
        <v>-1060.1648413400801</v>
      </c>
      <c r="U63" s="3"/>
      <c r="V63" s="2"/>
      <c r="W63" s="1"/>
      <c r="X63" s="1"/>
      <c r="Y63" s="1"/>
      <c r="Z63" s="3"/>
      <c r="AA63" s="3"/>
      <c r="AB63" s="1"/>
      <c r="AC63" s="1"/>
      <c r="AD63" s="1"/>
      <c r="AE63" s="3"/>
      <c r="AF63" s="3"/>
      <c r="AG63" s="3"/>
    </row>
    <row r="64" spans="1:33" ht="12" customHeight="1">
      <c r="A64" s="1" t="s">
        <v>50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>
        <f ca="1">-Reconcil!$C$91</f>
        <v>0</v>
      </c>
      <c r="S64" s="31"/>
      <c r="T64" s="31">
        <f t="shared" ca="1" si="0"/>
        <v>0</v>
      </c>
      <c r="U64" s="3"/>
      <c r="V64" s="2"/>
      <c r="W64" s="1"/>
      <c r="X64" s="1"/>
      <c r="Y64" s="1"/>
      <c r="Z64" s="3"/>
      <c r="AA64" s="3"/>
      <c r="AB64" s="1"/>
      <c r="AC64" s="1"/>
      <c r="AD64" s="1"/>
      <c r="AE64" s="3"/>
      <c r="AF64" s="3"/>
      <c r="AG64" s="3"/>
    </row>
    <row r="65" spans="1:33">
      <c r="A65" s="361" t="s">
        <v>51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429">
        <f ca="1">IF(Reconcil!$C$99&gt;0,Reconcil!$C$99*-1,0)</f>
        <v>-0.10769230768626305</v>
      </c>
      <c r="S65" s="31"/>
      <c r="T65" s="31">
        <f t="shared" ca="1" si="0"/>
        <v>-0.10769230768626305</v>
      </c>
      <c r="U65" s="3"/>
      <c r="V65" s="2"/>
      <c r="W65" s="1"/>
      <c r="X65" s="1"/>
      <c r="Y65" s="1"/>
      <c r="Z65" s="3"/>
      <c r="AA65" s="3"/>
      <c r="AB65" s="1"/>
      <c r="AC65" s="1"/>
      <c r="AD65" s="1"/>
      <c r="AE65" s="3"/>
      <c r="AF65" s="3"/>
      <c r="AG65" s="3"/>
    </row>
    <row r="66" spans="1:33">
      <c r="A66" s="1" t="s">
        <v>52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>
        <f ca="1">Reconcil!$C$134</f>
        <v>0</v>
      </c>
      <c r="S66" s="31"/>
      <c r="T66" s="31">
        <f t="shared" ca="1" si="0"/>
        <v>0</v>
      </c>
      <c r="U66" s="3"/>
      <c r="V66" s="2"/>
      <c r="W66" s="1"/>
      <c r="X66" s="1"/>
      <c r="Y66" s="1"/>
      <c r="Z66" s="3"/>
      <c r="AA66" s="3"/>
      <c r="AB66" s="1"/>
      <c r="AC66" s="1"/>
      <c r="AD66" s="1"/>
      <c r="AE66" s="3"/>
      <c r="AF66" s="3"/>
      <c r="AG66" s="3"/>
    </row>
    <row r="67" spans="1:33">
      <c r="A67" s="361" t="s">
        <v>53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429">
        <f ca="1">IF((Reconcil!$C$137-Reconcil!$C$95)&lt;0,(Reconcil!$C$137-Reconcil!$C$95),0)</f>
        <v>-759.95384615384614</v>
      </c>
      <c r="S67" s="31"/>
      <c r="T67" s="31">
        <f t="shared" ca="1" si="0"/>
        <v>-759.95384615384614</v>
      </c>
      <c r="U67" s="3"/>
      <c r="V67" s="2"/>
      <c r="W67" s="1"/>
      <c r="X67" s="1"/>
      <c r="Y67" s="1"/>
      <c r="Z67" s="3"/>
      <c r="AA67" s="3"/>
      <c r="AB67" s="1"/>
      <c r="AC67" s="1"/>
      <c r="AD67" s="1"/>
      <c r="AE67" s="3"/>
      <c r="AF67" s="3"/>
      <c r="AG67" s="3"/>
    </row>
    <row r="68" spans="1:33">
      <c r="A68" s="361" t="s">
        <v>54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43">
        <f ca="1">IF((Reconcil!$C$138-Reconcil!$C$96)&lt;0,(Reconcil!$C$138-Reconcil!$C$96),0)</f>
        <v>0</v>
      </c>
      <c r="S68" s="31"/>
      <c r="T68" s="31">
        <f ca="1">P68+R68</f>
        <v>0</v>
      </c>
      <c r="U68" s="3"/>
      <c r="V68" s="2"/>
      <c r="W68" s="1"/>
      <c r="X68" s="1"/>
      <c r="Y68" s="1"/>
      <c r="Z68" s="3"/>
      <c r="AA68" s="3"/>
      <c r="AB68" s="1"/>
      <c r="AC68" s="1"/>
      <c r="AD68" s="1"/>
      <c r="AE68" s="3"/>
      <c r="AF68" s="3"/>
      <c r="AG68" s="3"/>
    </row>
    <row r="69" spans="1:33">
      <c r="A69" s="1" t="s">
        <v>55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>
        <f ca="1">-Input!B14/1000</f>
        <v>-3407.6923076923076</v>
      </c>
      <c r="S69" s="31"/>
      <c r="T69" s="31">
        <f t="shared" ca="1" si="0"/>
        <v>-3407.6923076923076</v>
      </c>
      <c r="U69" s="3"/>
      <c r="V69" s="2"/>
      <c r="W69" s="1"/>
      <c r="X69" s="1"/>
      <c r="Y69" s="1"/>
      <c r="Z69" s="3"/>
      <c r="AA69" s="3"/>
      <c r="AB69" s="1"/>
      <c r="AC69" s="1"/>
      <c r="AD69" s="1"/>
      <c r="AE69" s="3"/>
      <c r="AF69" s="3"/>
      <c r="AG69" s="3"/>
    </row>
    <row r="70" spans="1:33">
      <c r="A70" s="1" t="s">
        <v>56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>
        <f ca="1">-Reconcil!$C$98</f>
        <v>-2653.8076923076924</v>
      </c>
      <c r="S70" s="31"/>
      <c r="T70" s="31">
        <f t="shared" ca="1" si="0"/>
        <v>-2653.8076923076924</v>
      </c>
      <c r="U70" s="3"/>
      <c r="V70" s="2"/>
      <c r="W70" s="1"/>
      <c r="X70" s="1"/>
      <c r="Y70" s="1"/>
      <c r="Z70" s="3"/>
      <c r="AA70" s="3"/>
      <c r="AB70" s="1"/>
      <c r="AC70" s="1"/>
      <c r="AD70" s="1"/>
      <c r="AE70" s="3"/>
      <c r="AF70" s="3"/>
      <c r="AG70" s="3"/>
    </row>
    <row r="71" spans="1:33">
      <c r="A71" s="1" t="s">
        <v>731</v>
      </c>
      <c r="B71" s="31"/>
      <c r="C71" s="31"/>
      <c r="D71" s="37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170">
        <v>0</v>
      </c>
      <c r="S71" s="31"/>
      <c r="T71" s="31">
        <f t="shared" si="0"/>
        <v>0</v>
      </c>
      <c r="U71" s="3"/>
      <c r="V71" s="2"/>
      <c r="W71" s="1"/>
      <c r="X71" s="1"/>
      <c r="Y71" s="1"/>
      <c r="Z71" s="3"/>
      <c r="AA71" s="3"/>
      <c r="AB71" s="1"/>
      <c r="AC71" s="1"/>
      <c r="AD71" s="1"/>
      <c r="AE71" s="3"/>
      <c r="AF71" s="3"/>
      <c r="AG71" s="3"/>
    </row>
    <row r="72" spans="1:33">
      <c r="A72" s="1" t="s">
        <v>31</v>
      </c>
      <c r="B72" s="120"/>
      <c r="C72" s="120"/>
      <c r="D72" s="1099">
        <f>-+'Input WFNG'!C290*0</f>
        <v>0</v>
      </c>
      <c r="E72" s="121"/>
      <c r="F72" s="1099">
        <f>-+'Input WFNG'!E290*0</f>
        <v>0</v>
      </c>
      <c r="G72" s="31"/>
      <c r="H72" s="31"/>
      <c r="I72" s="31"/>
      <c r="J72" s="31">
        <f>B72+D72-F72-H72</f>
        <v>0</v>
      </c>
      <c r="K72" s="31"/>
      <c r="L72" s="31"/>
      <c r="M72" s="31"/>
      <c r="N72" s="31"/>
      <c r="O72" s="31"/>
      <c r="P72" s="31">
        <f>J72+L72+N72</f>
        <v>0</v>
      </c>
      <c r="Q72" s="31"/>
      <c r="R72" s="31"/>
      <c r="S72" s="31"/>
      <c r="T72" s="31">
        <f t="shared" si="0"/>
        <v>0</v>
      </c>
      <c r="U72" s="3"/>
      <c r="V72" s="2"/>
      <c r="W72" s="1"/>
      <c r="X72" s="1"/>
      <c r="Y72" s="1"/>
      <c r="Z72" s="3"/>
      <c r="AA72" s="3"/>
      <c r="AB72" s="1"/>
      <c r="AC72" s="1"/>
      <c r="AD72" s="1"/>
      <c r="AE72" s="3"/>
      <c r="AF72" s="3"/>
      <c r="AG72" s="3"/>
    </row>
    <row r="73" spans="1:33">
      <c r="A73" s="1" t="s">
        <v>732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>
        <f ca="1">(-Reconcil!C87+Reconcil!C140)*0</f>
        <v>0</v>
      </c>
      <c r="S73" s="31"/>
      <c r="T73" s="31">
        <f t="shared" ca="1" si="0"/>
        <v>0</v>
      </c>
      <c r="U73" s="3"/>
      <c r="V73" s="2"/>
      <c r="W73" s="1"/>
      <c r="X73" s="1"/>
      <c r="Y73" s="1"/>
      <c r="Z73" s="3"/>
      <c r="AA73" s="3"/>
      <c r="AB73" s="1"/>
      <c r="AC73" s="1"/>
      <c r="AD73" s="1"/>
      <c r="AE73" s="3"/>
      <c r="AF73" s="3"/>
      <c r="AG73" s="3"/>
    </row>
    <row r="74" spans="1:33">
      <c r="A74" s="1" t="s">
        <v>28</v>
      </c>
      <c r="B74" s="1037">
        <f ca="1">-Input!B60/1000</f>
        <v>-9272.4909161538471</v>
      </c>
      <c r="C74" s="31"/>
      <c r="D74" s="31"/>
      <c r="E74" s="31"/>
      <c r="F74" s="1037">
        <f ca="1">-Input!B61/1000</f>
        <v>-40.390593846153855</v>
      </c>
      <c r="G74" s="31"/>
      <c r="H74" s="31"/>
      <c r="I74" s="31"/>
      <c r="J74" s="31">
        <f ca="1">B74+D74-F74-H74</f>
        <v>-9232.1003223076932</v>
      </c>
      <c r="K74" s="31"/>
      <c r="L74" s="31"/>
      <c r="M74" s="31"/>
      <c r="N74" s="1037">
        <f ca="1">-Input!B62/1000</f>
        <v>-1178.3056992307695</v>
      </c>
      <c r="O74" s="31"/>
      <c r="P74" s="31">
        <f ca="1">J74+L74+N74</f>
        <v>-10410.406021538463</v>
      </c>
      <c r="Q74" s="31"/>
      <c r="R74" s="202"/>
      <c r="S74" s="31"/>
      <c r="T74" s="31">
        <f ca="1">P74+R74</f>
        <v>-10410.406021538463</v>
      </c>
      <c r="U74" s="3"/>
      <c r="V74" s="2"/>
      <c r="W74" s="1"/>
      <c r="X74" s="1"/>
      <c r="Y74" s="1"/>
      <c r="Z74" s="3"/>
      <c r="AA74" s="3"/>
      <c r="AB74" s="1"/>
      <c r="AC74" s="1"/>
      <c r="AD74" s="1"/>
      <c r="AE74" s="3"/>
      <c r="AF74" s="3"/>
      <c r="AG74" s="3"/>
    </row>
    <row r="75" spans="1:33">
      <c r="A75" s="1" t="s">
        <v>733</v>
      </c>
      <c r="B75" s="37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1037">
        <f ca="1">+-'Input Plant'!CJ40/1000</f>
        <v>-110123.60540692307</v>
      </c>
      <c r="O75" s="31"/>
      <c r="P75" s="31">
        <f ca="1">J75+L75+N75</f>
        <v>-110123.60540692307</v>
      </c>
      <c r="Q75" s="31"/>
      <c r="R75" s="37"/>
      <c r="S75" s="31"/>
      <c r="T75" s="31">
        <f ca="1">P75+R75</f>
        <v>-110123.60540692307</v>
      </c>
      <c r="U75" s="3"/>
      <c r="V75" s="2"/>
      <c r="W75" s="1"/>
      <c r="X75" s="1"/>
      <c r="Y75" s="1"/>
      <c r="Z75" s="3"/>
      <c r="AA75" s="3"/>
      <c r="AB75" s="1"/>
      <c r="AC75" s="1"/>
      <c r="AD75" s="1"/>
      <c r="AE75" s="3"/>
      <c r="AF75" s="3"/>
      <c r="AG75" s="3"/>
    </row>
    <row r="76" spans="1:33">
      <c r="A76" s="1" t="s">
        <v>57</v>
      </c>
      <c r="B76" s="84"/>
      <c r="C76" s="31"/>
      <c r="D76" s="84"/>
      <c r="E76" s="31"/>
      <c r="F76" s="84"/>
      <c r="G76" s="31"/>
      <c r="H76" s="84"/>
      <c r="I76" s="31"/>
      <c r="J76" s="84"/>
      <c r="K76" s="31"/>
      <c r="L76" s="84"/>
      <c r="M76" s="31"/>
      <c r="N76" s="84"/>
      <c r="O76" s="31"/>
      <c r="P76" s="84"/>
      <c r="Q76" s="31"/>
      <c r="R76" s="122">
        <f ca="1">-Reconcil!C67</f>
        <v>-1248.8846153846155</v>
      </c>
      <c r="S76" s="31"/>
      <c r="T76" s="122">
        <f ca="1">P76+R76</f>
        <v>-1248.8846153846155</v>
      </c>
      <c r="U76" s="3"/>
      <c r="V76" s="2"/>
      <c r="W76" s="1"/>
      <c r="X76" s="1"/>
      <c r="Y76" s="1"/>
      <c r="Z76" s="3"/>
      <c r="AA76" s="3"/>
      <c r="AB76" s="1"/>
      <c r="AC76" s="1"/>
      <c r="AD76" s="1"/>
      <c r="AE76" s="3"/>
      <c r="AF76" s="3"/>
      <c r="AG76" s="3"/>
    </row>
    <row r="77" spans="1:33" ht="12.95" customHeight="1">
      <c r="A77" s="1" t="s">
        <v>734</v>
      </c>
      <c r="B77" s="84">
        <f ca="1">SUM(B58:B76)</f>
        <v>-10801.209777005286</v>
      </c>
      <c r="C77" s="31"/>
      <c r="D77" s="84">
        <f>SUM(D58:D76)</f>
        <v>0</v>
      </c>
      <c r="E77" s="31"/>
      <c r="F77" s="84">
        <f ca="1">SUM(F58:F76)</f>
        <v>-508.94461335751259</v>
      </c>
      <c r="G77" s="31"/>
      <c r="H77" s="84">
        <f>SUM(H58:H76)</f>
        <v>0</v>
      </c>
      <c r="I77" s="31"/>
      <c r="J77" s="84">
        <f ca="1">SUM(J58:J76)</f>
        <v>-10292.265163647773</v>
      </c>
      <c r="K77" s="31"/>
      <c r="L77" s="84">
        <f ca="1">SUM(L58:L76)</f>
        <v>-1939.5999999999997</v>
      </c>
      <c r="M77" s="31"/>
      <c r="N77" s="84">
        <f ca="1">SUM(N58:N76)</f>
        <v>-111301.91110615384</v>
      </c>
      <c r="O77" s="31"/>
      <c r="P77" s="84">
        <f ca="1">SUM(P58:P76)</f>
        <v>-123533.77626980162</v>
      </c>
      <c r="Q77" s="31"/>
      <c r="R77" s="84">
        <f ca="1">SUM(R58:R76)</f>
        <v>-18946.107692307691</v>
      </c>
      <c r="S77" s="31"/>
      <c r="T77" s="84">
        <f ca="1">SUM(T58:T76)</f>
        <v>-142479.88396210931</v>
      </c>
      <c r="U77" s="3"/>
      <c r="V77" s="2"/>
      <c r="W77" s="1"/>
      <c r="X77" s="1"/>
      <c r="Y77" s="1"/>
      <c r="Z77" s="3"/>
      <c r="AA77" s="3"/>
      <c r="AB77" s="1"/>
      <c r="AC77" s="1"/>
      <c r="AD77" s="1"/>
      <c r="AE77" s="3"/>
      <c r="AF77" s="3"/>
      <c r="AG77" s="3"/>
    </row>
    <row r="78" spans="1:33">
      <c r="A78" s="1"/>
      <c r="B78" s="31" t="s">
        <v>650</v>
      </c>
      <c r="C78" s="31"/>
      <c r="D78" s="31" t="s">
        <v>650</v>
      </c>
      <c r="E78" s="31"/>
      <c r="F78" s="31" t="s">
        <v>650</v>
      </c>
      <c r="G78" s="31"/>
      <c r="H78" s="31" t="s">
        <v>650</v>
      </c>
      <c r="I78" s="31"/>
      <c r="J78" s="31" t="s">
        <v>650</v>
      </c>
      <c r="K78" s="31"/>
      <c r="L78" s="31" t="s">
        <v>650</v>
      </c>
      <c r="M78" s="31"/>
      <c r="N78" s="31" t="s">
        <v>650</v>
      </c>
      <c r="O78" s="31"/>
      <c r="P78" s="31" t="s">
        <v>650</v>
      </c>
      <c r="Q78" s="31"/>
      <c r="R78" s="31" t="s">
        <v>650</v>
      </c>
      <c r="S78" s="31"/>
      <c r="T78" s="31" t="s">
        <v>650</v>
      </c>
      <c r="U78" s="3"/>
      <c r="V78" s="2"/>
      <c r="W78" s="1"/>
      <c r="X78" s="1"/>
      <c r="Y78" s="1"/>
      <c r="Z78" s="3"/>
      <c r="AA78" s="3"/>
      <c r="AB78" s="1"/>
      <c r="AC78" s="1"/>
      <c r="AD78" s="1"/>
      <c r="AE78" s="3"/>
      <c r="AF78" s="3"/>
      <c r="AG78" s="3"/>
    </row>
    <row r="79" spans="1:33" ht="13.5" thickBot="1">
      <c r="A79" s="1" t="s">
        <v>735</v>
      </c>
      <c r="B79" s="123">
        <f ca="1">B55+B77</f>
        <v>3308320.3825306869</v>
      </c>
      <c r="C79" s="31"/>
      <c r="D79" s="123">
        <f ca="1">D55+D77</f>
        <v>5031.9000000000005</v>
      </c>
      <c r="E79" s="31"/>
      <c r="F79" s="123">
        <f ca="1">F55+F77</f>
        <v>922826.34000202699</v>
      </c>
      <c r="G79" s="31"/>
      <c r="H79" s="123">
        <f ca="1">H55+H77</f>
        <v>20000</v>
      </c>
      <c r="I79" s="31"/>
      <c r="J79" s="123">
        <f ca="1">J55+J77</f>
        <v>2370525.9425286599</v>
      </c>
      <c r="K79" s="31"/>
      <c r="L79" s="123">
        <f ca="1">L55+L77</f>
        <v>0</v>
      </c>
      <c r="M79" s="31"/>
      <c r="N79" s="123">
        <f ca="1">N55+N77</f>
        <v>24309.450432307684</v>
      </c>
      <c r="O79" s="31"/>
      <c r="P79" s="123">
        <f ca="1">P55+P77</f>
        <v>2394835.392960968</v>
      </c>
      <c r="Q79" s="31"/>
      <c r="R79" s="123">
        <f ca="1">R55+R77</f>
        <v>-28047.373783918258</v>
      </c>
      <c r="S79" s="31"/>
      <c r="T79" s="123">
        <f ca="1">T55+T77</f>
        <v>2366788.0191770494</v>
      </c>
      <c r="U79" s="31"/>
      <c r="V79" s="2"/>
      <c r="W79" s="1"/>
      <c r="X79" s="1"/>
      <c r="Y79" s="1"/>
      <c r="Z79" s="3"/>
      <c r="AA79" s="3"/>
      <c r="AB79" s="1"/>
      <c r="AC79" s="1"/>
      <c r="AD79" s="1"/>
      <c r="AE79" s="3"/>
      <c r="AF79" s="3"/>
      <c r="AG79" s="3"/>
    </row>
    <row r="80" spans="1:33" ht="13.5" thickTop="1">
      <c r="A80" s="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"/>
      <c r="V80" s="3"/>
      <c r="W80" s="1"/>
      <c r="X80" s="1"/>
      <c r="Y80" s="1"/>
      <c r="Z80" s="3"/>
      <c r="AA80" s="3"/>
      <c r="AB80" s="1"/>
      <c r="AC80" s="1"/>
      <c r="AD80" s="1"/>
      <c r="AE80" s="3"/>
      <c r="AF80" s="3"/>
      <c r="AG80" s="3"/>
    </row>
    <row r="81" spans="1:33">
      <c r="A81" s="119" t="s">
        <v>736</v>
      </c>
      <c r="B81" s="84"/>
      <c r="C81" s="31"/>
      <c r="D81" s="84"/>
      <c r="E81" s="31"/>
      <c r="F81" s="84"/>
      <c r="G81" s="31"/>
      <c r="H81" s="84"/>
      <c r="I81" s="31"/>
      <c r="J81" s="84"/>
      <c r="K81" s="31"/>
      <c r="L81" s="84"/>
      <c r="M81" s="31"/>
      <c r="N81" s="84"/>
      <c r="O81" s="31"/>
      <c r="P81" s="84"/>
      <c r="Q81" s="31"/>
      <c r="R81" s="84"/>
      <c r="S81" s="31"/>
      <c r="T81" s="84"/>
      <c r="U81" s="3"/>
      <c r="V81" s="3"/>
      <c r="W81" s="1"/>
      <c r="X81" s="1"/>
      <c r="Y81" s="1"/>
      <c r="Z81" s="3"/>
      <c r="AA81" s="3"/>
      <c r="AB81" s="1"/>
      <c r="AC81" s="1"/>
      <c r="AD81" s="1"/>
      <c r="AE81" s="3"/>
      <c r="AF81" s="3"/>
      <c r="AG81" s="3"/>
    </row>
    <row r="82" spans="1:33">
      <c r="A82" s="1" t="s">
        <v>737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"/>
      <c r="V82" s="3"/>
      <c r="W82" s="1"/>
      <c r="X82" s="1"/>
      <c r="Y82" s="1"/>
      <c r="Z82" s="3"/>
      <c r="AA82" s="3"/>
      <c r="AB82" s="1"/>
      <c r="AC82" s="1"/>
      <c r="AD82" s="1"/>
      <c r="AE82" s="3"/>
      <c r="AF82" s="3"/>
      <c r="AG82" s="3"/>
    </row>
    <row r="83" spans="1:33" ht="13.5" thickBot="1">
      <c r="A83" s="1" t="s">
        <v>736</v>
      </c>
      <c r="B83" s="123">
        <f ca="1">B79+B81</f>
        <v>3308320.3825306869</v>
      </c>
      <c r="C83" s="31"/>
      <c r="D83" s="123">
        <f ca="1">D79+D81</f>
        <v>5031.9000000000005</v>
      </c>
      <c r="E83" s="31"/>
      <c r="F83" s="123">
        <f ca="1">F79+F81</f>
        <v>922826.34000202699</v>
      </c>
      <c r="G83" s="31"/>
      <c r="H83" s="123">
        <f ca="1">H79+H81</f>
        <v>20000</v>
      </c>
      <c r="I83" s="31"/>
      <c r="J83" s="123">
        <f ca="1">J79+J81</f>
        <v>2370525.9425286599</v>
      </c>
      <c r="K83" s="31"/>
      <c r="L83" s="123">
        <f ca="1">L79+L81</f>
        <v>0</v>
      </c>
      <c r="M83" s="31"/>
      <c r="N83" s="123">
        <f ca="1">N79+N81</f>
        <v>24309.450432307684</v>
      </c>
      <c r="O83" s="31"/>
      <c r="P83" s="123">
        <f ca="1">P79+P81</f>
        <v>2394835.392960968</v>
      </c>
      <c r="Q83" s="31"/>
      <c r="R83" s="123">
        <f ca="1">R79+R81</f>
        <v>-28047.373783918258</v>
      </c>
      <c r="S83" s="31"/>
      <c r="T83" s="123">
        <f ca="1">T79+T81</f>
        <v>2366788.0191770494</v>
      </c>
      <c r="U83" s="3"/>
      <c r="V83" s="31"/>
      <c r="W83" s="1"/>
      <c r="X83" s="1"/>
      <c r="Y83" s="1"/>
      <c r="Z83" s="3"/>
      <c r="AA83" s="3"/>
      <c r="AB83" s="1"/>
      <c r="AC83" s="1"/>
      <c r="AD83" s="1"/>
      <c r="AE83" s="3"/>
      <c r="AF83" s="3"/>
      <c r="AG83" s="3"/>
    </row>
    <row r="84" spans="1:33" ht="13.5" thickTop="1">
      <c r="A84" s="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"/>
      <c r="V84" s="3"/>
      <c r="W84" s="1"/>
      <c r="X84" s="1"/>
      <c r="Y84" s="1"/>
      <c r="Z84" s="3"/>
      <c r="AA84" s="3"/>
      <c r="AB84" s="1"/>
      <c r="AC84" s="1"/>
      <c r="AD84" s="1"/>
      <c r="AE84" s="3"/>
      <c r="AF84" s="3"/>
      <c r="AG84" s="3"/>
    </row>
    <row r="85" spans="1:33">
      <c r="A85" s="1" t="s">
        <v>738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"/>
      <c r="V85" s="3"/>
      <c r="W85" s="1"/>
      <c r="X85" s="1"/>
      <c r="Y85" s="1"/>
      <c r="Z85" s="3"/>
      <c r="AA85" s="3"/>
      <c r="AB85" s="1"/>
      <c r="AC85" s="1"/>
      <c r="AD85" s="1"/>
      <c r="AE85" s="3"/>
      <c r="AF85" s="3"/>
      <c r="AG85" s="3"/>
    </row>
    <row r="86" spans="1:33">
      <c r="A86" s="119" t="s">
        <v>739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"/>
      <c r="V86" s="3"/>
      <c r="W86" s="1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>
      <c r="A87" s="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"/>
      <c r="V87" s="3"/>
      <c r="W87" s="1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>
      <c r="A88" s="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>
        <f>P88+R88</f>
        <v>0</v>
      </c>
      <c r="U88" s="3"/>
      <c r="V88" s="31"/>
      <c r="W88" s="1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>
      <c r="A89" s="1"/>
      <c r="B89" s="84"/>
      <c r="C89" s="31"/>
      <c r="D89" s="84"/>
      <c r="E89" s="31"/>
      <c r="F89" s="84"/>
      <c r="G89" s="31"/>
      <c r="H89" s="84"/>
      <c r="I89" s="31"/>
      <c r="J89" s="84"/>
      <c r="K89" s="31"/>
      <c r="L89" s="84"/>
      <c r="M89" s="31"/>
      <c r="N89" s="84"/>
      <c r="O89" s="31"/>
      <c r="P89" s="84"/>
      <c r="Q89" s="31"/>
      <c r="R89" s="84"/>
      <c r="S89" s="31"/>
      <c r="T89" s="84"/>
      <c r="U89" s="3"/>
      <c r="V89" s="3"/>
      <c r="W89" s="1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ht="12.95" customHeight="1">
      <c r="A90" s="1" t="s">
        <v>740</v>
      </c>
      <c r="B90" s="84">
        <f>SUM(B88:B88)</f>
        <v>0</v>
      </c>
      <c r="C90" s="31"/>
      <c r="D90" s="84">
        <f>SUM(D88:D88)</f>
        <v>0</v>
      </c>
      <c r="E90" s="31"/>
      <c r="F90" s="84">
        <f>SUM(F88:F88)</f>
        <v>0</v>
      </c>
      <c r="G90" s="31"/>
      <c r="H90" s="84">
        <f>SUM(H88:H88)</f>
        <v>0</v>
      </c>
      <c r="I90" s="31"/>
      <c r="J90" s="84">
        <f>SUM(J88:J88)</f>
        <v>0</v>
      </c>
      <c r="K90" s="31"/>
      <c r="L90" s="84">
        <f>SUM(L88:L88)</f>
        <v>0</v>
      </c>
      <c r="M90" s="31"/>
      <c r="N90" s="84">
        <f>SUM(N88:N88)</f>
        <v>0</v>
      </c>
      <c r="O90" s="31"/>
      <c r="P90" s="84">
        <f>SUM(P88:P88)</f>
        <v>0</v>
      </c>
      <c r="Q90" s="31"/>
      <c r="R90" s="84">
        <f>SUM(R88:R88)</f>
        <v>0</v>
      </c>
      <c r="S90" s="31"/>
      <c r="T90" s="84">
        <f>SUM(T88:T88)</f>
        <v>0</v>
      </c>
      <c r="U90" s="3"/>
      <c r="V90" s="31"/>
      <c r="W90" s="1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>
      <c r="A91" s="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"/>
      <c r="V91" s="3"/>
      <c r="W91" s="1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ht="13.5" thickBot="1">
      <c r="A92" s="1" t="s">
        <v>741</v>
      </c>
      <c r="B92" s="123">
        <f ca="1">B83+B90</f>
        <v>3308320.3825306869</v>
      </c>
      <c r="C92" s="31"/>
      <c r="D92" s="123">
        <f ca="1">D83+D90</f>
        <v>5031.9000000000005</v>
      </c>
      <c r="E92" s="31"/>
      <c r="F92" s="123">
        <f ca="1">F83+F90</f>
        <v>922826.34000202699</v>
      </c>
      <c r="G92" s="31"/>
      <c r="H92" s="123">
        <f ca="1">H83+H90</f>
        <v>20000</v>
      </c>
      <c r="I92" s="31"/>
      <c r="J92" s="123">
        <f ca="1">J83+J90</f>
        <v>2370525.9425286599</v>
      </c>
      <c r="K92" s="31"/>
      <c r="L92" s="123">
        <f ca="1">L83+L90</f>
        <v>0</v>
      </c>
      <c r="M92" s="31"/>
      <c r="N92" s="123">
        <f ca="1">N83+N90</f>
        <v>24309.450432307684</v>
      </c>
      <c r="O92" s="31"/>
      <c r="P92" s="123">
        <f ca="1">P83+P90</f>
        <v>2394835.392960968</v>
      </c>
      <c r="Q92" s="31"/>
      <c r="R92" s="123">
        <f ca="1">R83+R90</f>
        <v>-28047.373783918258</v>
      </c>
      <c r="S92" s="31"/>
      <c r="T92" s="123">
        <f ca="1">T83+T90</f>
        <v>2366788.0191770494</v>
      </c>
      <c r="U92" s="3"/>
      <c r="V92" s="31"/>
      <c r="W92" s="1"/>
      <c r="X92" s="3"/>
      <c r="Y92" s="3"/>
      <c r="Z92" s="3"/>
      <c r="AA92" s="3"/>
      <c r="AB92" s="3"/>
      <c r="AC92" s="3"/>
      <c r="AD92" s="3"/>
      <c r="AE92" s="3"/>
      <c r="AF92" s="3"/>
      <c r="AG92" s="3"/>
    </row>
    <row r="93" spans="1:33" ht="13.5" thickTop="1">
      <c r="A93" s="1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3">
      <c r="A94" s="1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</row>
    <row r="95" spans="1:33" ht="15.75">
      <c r="A95" s="124" t="s">
        <v>232</v>
      </c>
      <c r="B95" s="125"/>
      <c r="C95" s="125"/>
      <c r="D95" s="125"/>
      <c r="E95" s="125"/>
      <c r="F95" s="92"/>
      <c r="G95" s="125"/>
      <c r="H95" s="124"/>
      <c r="I95" s="92"/>
      <c r="J95" s="126"/>
      <c r="K95" s="125"/>
      <c r="L95" s="125"/>
      <c r="M95" s="125"/>
      <c r="N95" s="125"/>
      <c r="O95" s="125"/>
      <c r="P95" s="125"/>
      <c r="Q95" s="125"/>
      <c r="R95" s="125"/>
      <c r="S95" s="125"/>
      <c r="T95" s="125" t="s">
        <v>742</v>
      </c>
      <c r="U95" s="126"/>
      <c r="V95" s="125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</row>
    <row r="96" spans="1:33" ht="15.75">
      <c r="A96" s="127" t="s">
        <v>675</v>
      </c>
      <c r="B96" s="125"/>
      <c r="C96" s="125"/>
      <c r="D96" s="125"/>
      <c r="E96" s="125"/>
      <c r="F96" s="92"/>
      <c r="G96" s="125"/>
      <c r="H96" s="127"/>
      <c r="I96" s="92"/>
      <c r="J96" s="126"/>
      <c r="K96" s="125"/>
      <c r="L96" s="125"/>
      <c r="M96" s="125"/>
      <c r="N96" s="125"/>
      <c r="O96" s="125"/>
      <c r="P96" s="125"/>
      <c r="Q96" s="125"/>
      <c r="R96" s="125"/>
      <c r="S96" s="125"/>
      <c r="T96" s="128"/>
      <c r="U96" s="128"/>
      <c r="V96" s="128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spans="1:33" ht="15.75">
      <c r="A97" s="129" t="str">
        <f>A3</f>
        <v>2024 Budget</v>
      </c>
      <c r="B97" s="125"/>
      <c r="C97" s="125"/>
      <c r="D97" s="125"/>
      <c r="E97" s="125"/>
      <c r="F97" s="125"/>
      <c r="G97" s="124"/>
      <c r="H97" s="125"/>
      <c r="I97" s="92"/>
      <c r="J97" s="126"/>
      <c r="K97" s="125"/>
      <c r="L97" s="125"/>
      <c r="M97" s="125"/>
      <c r="N97" s="125"/>
      <c r="O97" s="125"/>
      <c r="P97" s="125"/>
      <c r="Q97" s="125"/>
      <c r="R97" s="125"/>
      <c r="S97" s="125"/>
      <c r="T97" s="128"/>
      <c r="U97" s="128"/>
      <c r="V97" s="128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</row>
    <row r="98" spans="1:33" ht="15.75">
      <c r="A98" s="129"/>
      <c r="B98" s="125"/>
      <c r="C98" s="125"/>
      <c r="D98" s="125"/>
      <c r="E98" s="125"/>
      <c r="F98" s="125"/>
      <c r="G98" s="124"/>
      <c r="H98" s="125"/>
      <c r="I98" s="92"/>
      <c r="J98" s="126"/>
      <c r="K98" s="125"/>
      <c r="L98" s="125"/>
      <c r="M98" s="125"/>
      <c r="N98" s="125"/>
      <c r="O98" s="125"/>
      <c r="P98" s="125"/>
      <c r="Q98" s="125"/>
      <c r="R98" s="125"/>
      <c r="S98" s="125"/>
      <c r="T98" s="128"/>
      <c r="U98" s="128"/>
      <c r="V98" s="128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</row>
    <row r="99" spans="1:33">
      <c r="A99" s="1"/>
      <c r="B99" s="3"/>
      <c r="C99" s="3"/>
      <c r="D99" s="3"/>
      <c r="E99" s="3"/>
      <c r="F99" s="3"/>
      <c r="G99" s="3"/>
      <c r="H99" s="3"/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</row>
    <row r="100" spans="1:33">
      <c r="A100" s="1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3"/>
      <c r="V100" s="288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</row>
    <row r="101" spans="1:33">
      <c r="A101" s="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779" t="s">
        <v>743</v>
      </c>
      <c r="Y101" s="3"/>
      <c r="Z101" s="3"/>
      <c r="AA101" s="3"/>
      <c r="AB101" s="3"/>
      <c r="AC101" s="3"/>
      <c r="AD101" s="3"/>
      <c r="AE101" s="3"/>
      <c r="AF101" s="3"/>
      <c r="AG101" s="3"/>
    </row>
    <row r="102" spans="1:33">
      <c r="A102" s="1"/>
      <c r="B102" s="85" t="s">
        <v>663</v>
      </c>
      <c r="C102" s="3"/>
      <c r="D102" s="85" t="s">
        <v>664</v>
      </c>
      <c r="E102" s="3"/>
      <c r="F102" s="85" t="s">
        <v>665</v>
      </c>
      <c r="G102" s="3"/>
      <c r="H102" s="85" t="s">
        <v>666</v>
      </c>
      <c r="I102" s="1"/>
      <c r="J102" s="85" t="s">
        <v>667</v>
      </c>
      <c r="K102" s="3"/>
      <c r="L102" s="85" t="s">
        <v>744</v>
      </c>
      <c r="M102" s="3"/>
      <c r="N102" s="85" t="s">
        <v>702</v>
      </c>
      <c r="O102" s="3"/>
      <c r="P102" s="85" t="s">
        <v>703</v>
      </c>
      <c r="Q102" s="3"/>
      <c r="R102" s="85" t="s">
        <v>704</v>
      </c>
      <c r="S102" s="3"/>
      <c r="T102" s="85" t="s">
        <v>705</v>
      </c>
      <c r="U102" s="3"/>
      <c r="V102" s="85" t="s">
        <v>706</v>
      </c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</row>
    <row r="103" spans="1:33">
      <c r="A103" s="1"/>
      <c r="B103" s="3"/>
      <c r="C103" s="3"/>
      <c r="D103" s="3"/>
      <c r="E103" s="3"/>
      <c r="F103" s="3"/>
      <c r="G103" s="3"/>
      <c r="H103" s="85" t="s">
        <v>745</v>
      </c>
      <c r="I103" s="1"/>
      <c r="J103" s="3"/>
      <c r="K103" s="3"/>
      <c r="L103" s="3"/>
      <c r="M103" s="3"/>
      <c r="N103" s="85" t="s">
        <v>746</v>
      </c>
      <c r="O103" s="3"/>
      <c r="P103" s="85" t="s">
        <v>747</v>
      </c>
      <c r="Q103" s="3"/>
      <c r="R103" s="3"/>
      <c r="S103" s="3"/>
      <c r="T103" s="85" t="s">
        <v>719</v>
      </c>
      <c r="U103" s="3"/>
      <c r="V103" s="85" t="s">
        <v>710</v>
      </c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</row>
    <row r="104" spans="1:33">
      <c r="A104" s="1"/>
      <c r="B104" s="85" t="s">
        <v>748</v>
      </c>
      <c r="C104" s="3"/>
      <c r="D104" s="85" t="s">
        <v>749</v>
      </c>
      <c r="E104" s="3"/>
      <c r="F104" s="85" t="s">
        <v>749</v>
      </c>
      <c r="G104" s="3"/>
      <c r="H104" s="85" t="s">
        <v>714</v>
      </c>
      <c r="I104" s="1"/>
      <c r="J104" s="85" t="s">
        <v>750</v>
      </c>
      <c r="K104" s="3"/>
      <c r="L104" s="85" t="s">
        <v>751</v>
      </c>
      <c r="M104" s="3"/>
      <c r="N104" s="85" t="s">
        <v>751</v>
      </c>
      <c r="O104" s="3"/>
      <c r="P104" s="85" t="s">
        <v>752</v>
      </c>
      <c r="Q104" s="3"/>
      <c r="R104" s="85" t="s">
        <v>753</v>
      </c>
      <c r="S104" s="3"/>
      <c r="T104" s="85" t="s">
        <v>748</v>
      </c>
      <c r="U104" s="3"/>
      <c r="V104" s="85" t="s">
        <v>748</v>
      </c>
      <c r="W104" s="85"/>
      <c r="X104" s="3"/>
      <c r="Y104" s="3"/>
      <c r="Z104" s="3"/>
      <c r="AA104" s="3"/>
      <c r="AB104" s="3"/>
      <c r="AC104" s="3"/>
      <c r="AD104" s="3"/>
      <c r="AE104" s="3"/>
      <c r="AF104" s="3"/>
      <c r="AG104" s="3"/>
    </row>
    <row r="105" spans="1:33">
      <c r="A105" s="1"/>
      <c r="B105" s="130" t="s">
        <v>61</v>
      </c>
      <c r="C105" s="3"/>
      <c r="D105" s="130" t="s">
        <v>754</v>
      </c>
      <c r="E105" s="3"/>
      <c r="F105" s="130" t="s">
        <v>512</v>
      </c>
      <c r="G105" s="3"/>
      <c r="H105" s="130" t="s">
        <v>722</v>
      </c>
      <c r="I105" s="1"/>
      <c r="J105" s="130" t="s">
        <v>755</v>
      </c>
      <c r="K105" s="3"/>
      <c r="L105" s="130" t="s">
        <v>404</v>
      </c>
      <c r="M105" s="3"/>
      <c r="N105" s="130" t="s">
        <v>756</v>
      </c>
      <c r="O105" s="3"/>
      <c r="P105" s="130" t="s">
        <v>756</v>
      </c>
      <c r="Q105" s="3"/>
      <c r="R105" s="130" t="s">
        <v>757</v>
      </c>
      <c r="S105" s="3"/>
      <c r="T105" s="130" t="s">
        <v>758</v>
      </c>
      <c r="U105" s="3"/>
      <c r="V105" s="130" t="s">
        <v>759</v>
      </c>
      <c r="W105" s="2"/>
      <c r="X105" s="3"/>
      <c r="Y105" s="3"/>
      <c r="Z105" s="3"/>
      <c r="AA105" s="3"/>
      <c r="AB105" s="3"/>
      <c r="AC105" s="3"/>
      <c r="AD105" s="3"/>
      <c r="AE105" s="3"/>
      <c r="AF105" s="3"/>
      <c r="AG105" s="3"/>
    </row>
    <row r="106" spans="1:33" ht="13.9" customHeight="1">
      <c r="A106" s="1" t="s">
        <v>728</v>
      </c>
      <c r="B106" s="84">
        <f ca="1">+IncomeStmt!$F$7</f>
        <v>635196.80000000005</v>
      </c>
      <c r="C106" s="31"/>
      <c r="D106" s="204">
        <f ca="1">+IncomeStmt!$F$8</f>
        <v>228428.9</v>
      </c>
      <c r="E106" s="31"/>
      <c r="F106" s="204">
        <f ca="1">+IncomeStmt!$F$11</f>
        <v>176207.9</v>
      </c>
      <c r="G106" s="31"/>
      <c r="H106" s="84">
        <f ca="1">SUM(IncomeStmt!$F$12:$F$15)</f>
        <v>88775.700000000012</v>
      </c>
      <c r="I106" s="31"/>
      <c r="J106" s="84">
        <f ca="1">+IncomeStmt!$F$16</f>
        <v>66038.8</v>
      </c>
      <c r="K106" s="31"/>
      <c r="L106" s="84">
        <f ca="1">SUM(IncomeStmt!$F$17:$F$17)</f>
        <v>-16433</v>
      </c>
      <c r="M106" s="31"/>
      <c r="N106" s="84">
        <f ca="1">SUM(IncomeStmt!$F$18:$F$18)</f>
        <v>22490.1</v>
      </c>
      <c r="O106" s="31"/>
      <c r="P106" s="84">
        <f ca="1">+IncomeStmt!$F$19</f>
        <v>0</v>
      </c>
      <c r="Q106" s="31"/>
      <c r="R106" s="1098">
        <f>+-AA107</f>
        <v>-495.59999999999997</v>
      </c>
      <c r="S106" s="31"/>
      <c r="T106" s="84">
        <f ca="1">SUM(D106:R106)</f>
        <v>565012.80000000005</v>
      </c>
      <c r="U106" s="31"/>
      <c r="V106" s="84">
        <f ca="1">B106-T106</f>
        <v>70184</v>
      </c>
      <c r="W106" s="31"/>
      <c r="X106" s="3" t="s">
        <v>760</v>
      </c>
      <c r="Y106" s="3" t="s">
        <v>761</v>
      </c>
      <c r="Z106" s="3" t="s">
        <v>762</v>
      </c>
      <c r="AA106" s="3" t="s">
        <v>763</v>
      </c>
      <c r="AB106" s="3"/>
      <c r="AC106" s="3"/>
      <c r="AD106" s="3"/>
    </row>
    <row r="107" spans="1:33">
      <c r="A107" s="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">
        <v>495.59999999999997</v>
      </c>
      <c r="Y107" s="3">
        <v>495.59999999999997</v>
      </c>
      <c r="Z107" s="3">
        <v>495.59999999999997</v>
      </c>
      <c r="AA107" s="3">
        <v>495.59999999999997</v>
      </c>
      <c r="AB107" s="1080"/>
      <c r="AC107" s="1080" t="s">
        <v>1216</v>
      </c>
      <c r="AD107" s="1080" t="s">
        <v>1217</v>
      </c>
    </row>
    <row r="108" spans="1:33">
      <c r="A108" s="119" t="s">
        <v>729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"/>
      <c r="Y108" s="3"/>
      <c r="Z108" s="3"/>
      <c r="AA108" s="3"/>
      <c r="AB108" s="1080" t="s">
        <v>1218</v>
      </c>
      <c r="AC108" s="1080" t="s">
        <v>1219</v>
      </c>
      <c r="AD108" s="1080" t="s">
        <v>1220</v>
      </c>
      <c r="AE108" s="3"/>
      <c r="AF108" s="3"/>
      <c r="AG108" s="3"/>
    </row>
    <row r="109" spans="1:33">
      <c r="A109" s="197" t="s">
        <v>62</v>
      </c>
      <c r="B109" s="343">
        <f ca="1">-Input!B15/1000-Input!B16/1000</f>
        <v>-24949.7</v>
      </c>
      <c r="C109" s="31"/>
      <c r="D109" s="31"/>
      <c r="E109" s="31"/>
      <c r="F109" s="343">
        <f ca="1">B109</f>
        <v>-24949.7</v>
      </c>
      <c r="G109" s="31"/>
      <c r="H109" s="31"/>
      <c r="I109" s="31"/>
      <c r="J109" s="31"/>
      <c r="K109" s="31"/>
      <c r="L109" s="398">
        <f ca="1">((+B109-D109-F109-H109-J109)*'Input Tax Rate'!$B$36)</f>
        <v>0</v>
      </c>
      <c r="M109" s="31"/>
      <c r="N109" s="31"/>
      <c r="O109" s="31"/>
      <c r="P109" s="31"/>
      <c r="Q109" s="31"/>
      <c r="R109" s="31"/>
      <c r="S109" s="31"/>
      <c r="T109" s="31">
        <f t="shared" ref="T109:T125" ca="1" si="1">SUM(D109:R109)</f>
        <v>-24949.7</v>
      </c>
      <c r="U109" s="31"/>
      <c r="V109" s="203">
        <f t="shared" ref="V109:V125" ca="1" si="2">B109-T109</f>
        <v>0</v>
      </c>
      <c r="W109" s="203" t="s">
        <v>764</v>
      </c>
      <c r="X109" s="31"/>
      <c r="Y109" s="3"/>
      <c r="Z109" s="3"/>
      <c r="AA109" s="3"/>
      <c r="AB109" s="3"/>
      <c r="AC109" s="3"/>
      <c r="AD109" s="3"/>
      <c r="AE109" s="3"/>
      <c r="AF109" s="3"/>
      <c r="AG109" s="3"/>
    </row>
    <row r="110" spans="1:33">
      <c r="A110" s="197" t="s">
        <v>80</v>
      </c>
      <c r="B110" s="31"/>
      <c r="C110" s="31"/>
      <c r="D110" s="31"/>
      <c r="E110" s="31"/>
      <c r="F110" s="31"/>
      <c r="G110" s="31"/>
      <c r="H110" s="1094">
        <f ca="1">-'Input Plant'!CL34/1000</f>
        <v>-43.270178208362147</v>
      </c>
      <c r="I110" s="31"/>
      <c r="J110" s="362">
        <v>0</v>
      </c>
      <c r="K110" s="31"/>
      <c r="L110" s="398">
        <f ca="1">((+B110-D110-F110-H110-J110)*'Input Tax Rate'!$B$36)</f>
        <v>10.966826666909386</v>
      </c>
      <c r="M110" s="31"/>
      <c r="N110" s="31"/>
      <c r="O110" s="31"/>
      <c r="P110" s="31"/>
      <c r="Q110" s="31"/>
      <c r="R110" s="31"/>
      <c r="S110" s="31"/>
      <c r="T110" s="31">
        <f t="shared" ca="1" si="1"/>
        <v>-32.303351541452763</v>
      </c>
      <c r="U110" s="31"/>
      <c r="V110" s="31">
        <f t="shared" ca="1" si="2"/>
        <v>32.303351541452763</v>
      </c>
      <c r="W110" s="31"/>
      <c r="X110" s="31"/>
      <c r="Y110" s="3"/>
      <c r="Z110" s="3"/>
      <c r="AA110" s="3"/>
      <c r="AB110" s="31"/>
      <c r="AC110" s="3"/>
      <c r="AD110" s="3"/>
      <c r="AE110" s="3"/>
      <c r="AF110" s="3"/>
      <c r="AG110" s="3"/>
    </row>
    <row r="111" spans="1:33">
      <c r="A111" s="197" t="s">
        <v>86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43">
        <f ca="1">-'Int Synch'!E29</f>
        <v>325.33788507723699</v>
      </c>
      <c r="M111" s="31"/>
      <c r="N111" s="31"/>
      <c r="O111" s="31"/>
      <c r="P111" s="31"/>
      <c r="Q111" s="31"/>
      <c r="R111" s="31"/>
      <c r="S111" s="31"/>
      <c r="T111" s="31">
        <f t="shared" ca="1" si="1"/>
        <v>325.33788507723699</v>
      </c>
      <c r="U111" s="31"/>
      <c r="V111" s="31">
        <f t="shared" ca="1" si="2"/>
        <v>-325.33788507723699</v>
      </c>
      <c r="W111" s="31"/>
      <c r="X111" s="31"/>
      <c r="Y111" s="3"/>
      <c r="Z111" s="3"/>
      <c r="AA111" s="3"/>
      <c r="AB111" s="31"/>
      <c r="AC111" s="3"/>
      <c r="AD111" s="3"/>
      <c r="AE111" s="3"/>
      <c r="AF111" s="3"/>
      <c r="AG111" s="3"/>
    </row>
    <row r="112" spans="1:33">
      <c r="A112" s="197" t="s">
        <v>87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62">
        <f>-(3084)</f>
        <v>-3084</v>
      </c>
      <c r="M112" s="31"/>
      <c r="N112" s="31"/>
      <c r="O112" s="31"/>
      <c r="P112" s="31"/>
      <c r="Q112" s="31"/>
      <c r="R112" s="31"/>
      <c r="S112" s="31"/>
      <c r="T112" s="31">
        <f t="shared" si="1"/>
        <v>-3084</v>
      </c>
      <c r="U112" s="31"/>
      <c r="V112" s="31">
        <f t="shared" si="2"/>
        <v>3084</v>
      </c>
      <c r="W112" s="31"/>
      <c r="X112" s="31"/>
      <c r="Y112" s="3"/>
      <c r="Z112" s="3"/>
      <c r="AA112" s="3"/>
      <c r="AB112" s="31"/>
      <c r="AC112" s="3"/>
      <c r="AD112" s="3"/>
      <c r="AE112" s="3"/>
      <c r="AF112" s="3"/>
      <c r="AG112" s="3"/>
    </row>
    <row r="113" spans="1:33">
      <c r="A113" s="197" t="s">
        <v>63</v>
      </c>
      <c r="B113" s="343">
        <f ca="1">+-D106+J113</f>
        <v>-229472.69999999998</v>
      </c>
      <c r="C113" s="31"/>
      <c r="D113" s="343">
        <f ca="1">-D106</f>
        <v>-228428.9</v>
      </c>
      <c r="E113" s="31"/>
      <c r="F113" s="31"/>
      <c r="G113" s="31"/>
      <c r="H113" s="31"/>
      <c r="I113" s="31"/>
      <c r="J113" s="343">
        <f ca="1">-Input!B17/1000</f>
        <v>-1043.8</v>
      </c>
      <c r="K113" s="31"/>
      <c r="L113" s="398">
        <f ca="1">((+B113-D113-F113-H113-J113)*'Input Tax Rate'!$B$36)</f>
        <v>2.9390207600954455E-12</v>
      </c>
      <c r="M113" s="31"/>
      <c r="N113" s="31"/>
      <c r="O113" s="31"/>
      <c r="P113" s="31"/>
      <c r="Q113" s="31"/>
      <c r="R113" s="31"/>
      <c r="S113" s="31"/>
      <c r="T113" s="31">
        <f t="shared" ca="1" si="1"/>
        <v>-229472.69999999998</v>
      </c>
      <c r="U113" s="31"/>
      <c r="V113" s="31">
        <f t="shared" ca="1" si="2"/>
        <v>0</v>
      </c>
      <c r="W113" s="31"/>
      <c r="X113" s="31"/>
      <c r="Y113" s="3"/>
      <c r="Z113" s="3"/>
      <c r="AA113" s="3"/>
      <c r="AB113" s="31"/>
      <c r="AC113" s="3"/>
      <c r="AD113" s="3"/>
      <c r="AE113" s="3"/>
      <c r="AF113" s="3"/>
      <c r="AG113" s="3"/>
    </row>
    <row r="114" spans="1:33">
      <c r="A114" s="197" t="s">
        <v>72</v>
      </c>
      <c r="B114" s="31"/>
      <c r="C114" s="31"/>
      <c r="D114" s="31"/>
      <c r="E114" s="31"/>
      <c r="F114" s="1097">
        <f ca="1">-Input!B20/1000</f>
        <v>-18.420000000000002</v>
      </c>
      <c r="G114" s="31"/>
      <c r="H114" s="31"/>
      <c r="I114" s="31"/>
      <c r="J114" s="31"/>
      <c r="K114" s="31"/>
      <c r="L114" s="398">
        <f ca="1">((+B114-D114-F114-H114-J114)*'Input Tax Rate'!$B$36)</f>
        <v>4.6685490000000005</v>
      </c>
      <c r="M114" s="31"/>
      <c r="N114" s="31"/>
      <c r="O114" s="31"/>
      <c r="P114" s="31"/>
      <c r="Q114" s="31"/>
      <c r="R114" s="31"/>
      <c r="S114" s="31"/>
      <c r="T114" s="31">
        <f t="shared" ca="1" si="1"/>
        <v>-13.751451000000001</v>
      </c>
      <c r="U114" s="31"/>
      <c r="V114" s="31">
        <f t="shared" ca="1" si="2"/>
        <v>13.751451000000001</v>
      </c>
      <c r="W114" s="31"/>
      <c r="X114" s="31"/>
      <c r="Y114" s="3"/>
      <c r="Z114" s="3"/>
      <c r="AA114" s="3"/>
      <c r="AB114" s="31"/>
      <c r="AC114" s="3"/>
      <c r="AD114" s="3"/>
      <c r="AE114" s="3"/>
      <c r="AF114" s="3"/>
      <c r="AG114" s="3"/>
    </row>
    <row r="115" spans="1:33">
      <c r="A115" s="197" t="s">
        <v>73</v>
      </c>
      <c r="B115" s="31"/>
      <c r="C115" s="31"/>
      <c r="D115" s="31"/>
      <c r="E115" s="31"/>
      <c r="F115" s="1094">
        <f ca="1">-Input!B51/1000</f>
        <v>-79.175510000000003</v>
      </c>
      <c r="G115" s="31"/>
      <c r="H115" s="31"/>
      <c r="I115" s="31"/>
      <c r="J115" s="31"/>
      <c r="K115" s="31"/>
      <c r="L115" s="398">
        <f ca="1">((+B115-D115-F115-H115-J115)*'Input Tax Rate'!$B$36)</f>
        <v>20.067033009500001</v>
      </c>
      <c r="M115" s="31"/>
      <c r="N115" s="31"/>
      <c r="O115" s="31"/>
      <c r="P115" s="31"/>
      <c r="Q115" s="31"/>
      <c r="R115" s="31"/>
      <c r="S115" s="31"/>
      <c r="T115" s="31">
        <f t="shared" ca="1" si="1"/>
        <v>-59.108476990500002</v>
      </c>
      <c r="U115" s="31"/>
      <c r="V115" s="31">
        <f t="shared" ca="1" si="2"/>
        <v>59.108476990500002</v>
      </c>
      <c r="X115" s="31"/>
      <c r="Y115" s="31"/>
      <c r="Z115" s="3"/>
      <c r="AA115" s="3"/>
      <c r="AB115" s="31"/>
      <c r="AC115" s="31"/>
      <c r="AD115" s="3"/>
      <c r="AE115" s="3"/>
      <c r="AF115" s="3"/>
      <c r="AG115" s="3"/>
    </row>
    <row r="116" spans="1:33">
      <c r="A116" s="197" t="s">
        <v>64</v>
      </c>
      <c r="B116" s="1097">
        <f ca="1">+Input!B28/1000</f>
        <v>-33289.800000000003</v>
      </c>
      <c r="C116" s="31"/>
      <c r="D116" s="31"/>
      <c r="E116" s="31"/>
      <c r="F116" s="31"/>
      <c r="G116" s="31"/>
      <c r="H116" s="31"/>
      <c r="I116" s="31"/>
      <c r="J116" s="1097">
        <f ca="1">-Input!B24/1000</f>
        <v>-33289.800000000003</v>
      </c>
      <c r="K116" s="31"/>
      <c r="L116" s="398">
        <f ca="1">((+B116-D116-F116-H116-J116)*'Input Tax Rate'!$B$36)</f>
        <v>0</v>
      </c>
      <c r="M116" s="31"/>
      <c r="N116" s="31"/>
      <c r="O116" s="31"/>
      <c r="P116" s="31"/>
      <c r="Q116" s="31"/>
      <c r="R116" s="31"/>
      <c r="S116" s="31"/>
      <c r="T116" s="31">
        <f t="shared" ca="1" si="1"/>
        <v>-33289.800000000003</v>
      </c>
      <c r="U116" s="31"/>
      <c r="V116" s="31">
        <f t="shared" ca="1" si="2"/>
        <v>0</v>
      </c>
      <c r="W116" s="31"/>
      <c r="X116" s="31"/>
      <c r="Y116" s="3"/>
      <c r="Z116" s="3"/>
      <c r="AA116" s="3"/>
      <c r="AB116" s="31"/>
      <c r="AC116" s="3"/>
      <c r="AD116" s="3"/>
      <c r="AE116" s="3"/>
      <c r="AF116" s="3"/>
      <c r="AG116" s="3"/>
    </row>
    <row r="117" spans="1:33">
      <c r="A117" s="197" t="s">
        <v>75</v>
      </c>
      <c r="B117" s="31"/>
      <c r="C117" s="31"/>
      <c r="D117" s="31"/>
      <c r="E117" s="31"/>
      <c r="F117" s="1094">
        <f ca="1">-((Input!B43/1000)*0.1328)</f>
        <v>-38.448500351999989</v>
      </c>
      <c r="G117" s="31"/>
      <c r="H117" s="31"/>
      <c r="I117" s="31"/>
      <c r="J117" s="31"/>
      <c r="K117" s="31"/>
      <c r="L117" s="398">
        <f ca="1">((+B117-D117-F117-H117-J117)*'Input Tax Rate'!$B$36)</f>
        <v>9.7447724142143972</v>
      </c>
      <c r="M117" s="31"/>
      <c r="N117" s="31"/>
      <c r="O117" s="31"/>
      <c r="P117" s="31"/>
      <c r="Q117" s="31"/>
      <c r="R117" s="31"/>
      <c r="S117" s="31"/>
      <c r="T117" s="31">
        <f t="shared" ca="1" si="1"/>
        <v>-28.703727937785594</v>
      </c>
      <c r="U117" s="31"/>
      <c r="V117" s="31">
        <f t="shared" ca="1" si="2"/>
        <v>28.703727937785594</v>
      </c>
      <c r="W117" s="31"/>
      <c r="X117" s="31"/>
      <c r="Y117" s="3"/>
      <c r="Z117" s="3"/>
      <c r="AA117" s="3"/>
      <c r="AB117" s="31"/>
      <c r="AC117" s="3"/>
      <c r="AD117" s="3"/>
      <c r="AE117" s="3"/>
      <c r="AF117" s="3"/>
      <c r="AG117" s="3"/>
    </row>
    <row r="118" spans="1:33">
      <c r="A118" s="197" t="s">
        <v>76</v>
      </c>
      <c r="B118" s="31"/>
      <c r="C118" s="31"/>
      <c r="D118" s="31"/>
      <c r="E118" s="31"/>
      <c r="F118" s="1094">
        <f ca="1">+-(Input!B44/1000)*0.031</f>
        <v>-5.9299689200000003</v>
      </c>
      <c r="G118" s="31"/>
      <c r="H118" s="31"/>
      <c r="I118" s="31"/>
      <c r="J118" s="31"/>
      <c r="K118" s="31"/>
      <c r="L118" s="398">
        <f ca="1">((+B118-D118-F118-H118-J118)*'Input Tax Rate'!$B$36)</f>
        <v>1.5029506227740002</v>
      </c>
      <c r="M118" s="31"/>
      <c r="N118" s="31"/>
      <c r="O118" s="31"/>
      <c r="P118" s="31"/>
      <c r="Q118" s="31"/>
      <c r="R118" s="31"/>
      <c r="S118" s="31"/>
      <c r="T118" s="31">
        <f t="shared" ca="1" si="1"/>
        <v>-4.4270182972260006</v>
      </c>
      <c r="U118" s="31"/>
      <c r="V118" s="31">
        <f t="shared" ca="1" si="2"/>
        <v>4.4270182972260006</v>
      </c>
      <c r="W118" s="31"/>
      <c r="X118" s="31"/>
      <c r="Y118" s="3"/>
      <c r="Z118" s="3"/>
      <c r="AA118" s="3"/>
      <c r="AB118" s="31"/>
      <c r="AC118" s="3"/>
      <c r="AD118" s="3"/>
      <c r="AE118" s="3"/>
      <c r="AF118" s="3"/>
      <c r="AG118" s="3"/>
    </row>
    <row r="119" spans="1:33">
      <c r="A119" s="197" t="s">
        <v>81</v>
      </c>
      <c r="B119" s="37"/>
      <c r="C119" s="31"/>
      <c r="D119" s="31"/>
      <c r="E119" s="31"/>
      <c r="F119" s="37"/>
      <c r="G119" s="31"/>
      <c r="H119" s="1094">
        <f>+'Input WFNG'!T280/1000</f>
        <v>0</v>
      </c>
      <c r="I119" s="31"/>
      <c r="J119" s="31"/>
      <c r="K119" s="31"/>
      <c r="L119" s="398">
        <f>((+B119-D119-F119-H119-J119)*'Input Tax Rate'!$B$36)</f>
        <v>0</v>
      </c>
      <c r="M119" s="31"/>
      <c r="N119" s="31"/>
      <c r="O119" s="31"/>
      <c r="P119" s="31"/>
      <c r="Q119" s="31"/>
      <c r="R119" s="31"/>
      <c r="S119" s="31"/>
      <c r="T119" s="31">
        <f t="shared" si="1"/>
        <v>0</v>
      </c>
      <c r="U119" s="31"/>
      <c r="V119" s="31">
        <f t="shared" si="2"/>
        <v>0</v>
      </c>
      <c r="W119" s="31"/>
      <c r="X119" s="31"/>
      <c r="Y119" s="3"/>
      <c r="Z119" s="3"/>
      <c r="AA119" s="3"/>
      <c r="AB119" s="31"/>
      <c r="AC119" s="3"/>
      <c r="AD119" s="3"/>
      <c r="AE119" s="3"/>
      <c r="AF119" s="3"/>
      <c r="AG119" s="3"/>
    </row>
    <row r="120" spans="1:33">
      <c r="A120" s="197" t="s">
        <v>88</v>
      </c>
      <c r="B120" s="199"/>
      <c r="C120" s="31"/>
      <c r="D120" s="31"/>
      <c r="E120" s="31"/>
      <c r="F120" s="35"/>
      <c r="G120" s="31"/>
      <c r="H120" s="31"/>
      <c r="I120" s="31"/>
      <c r="J120" s="31"/>
      <c r="K120" s="31"/>
      <c r="L120" s="398">
        <f>((+B120-D120-F120-H120-J120)*'Input Tax Rate'!$B$36)</f>
        <v>0</v>
      </c>
      <c r="M120" s="31"/>
      <c r="N120" s="31"/>
      <c r="O120" s="31"/>
      <c r="P120" s="31"/>
      <c r="Q120" s="31"/>
      <c r="R120" s="362">
        <v>0</v>
      </c>
      <c r="S120" s="31"/>
      <c r="T120" s="31">
        <f>SUM(D120:R120)</f>
        <v>0</v>
      </c>
      <c r="U120" s="31"/>
      <c r="V120" s="31">
        <f>B120-T120</f>
        <v>0</v>
      </c>
      <c r="W120" s="31"/>
      <c r="X120" s="31"/>
      <c r="Y120" s="3"/>
      <c r="Z120" s="3"/>
      <c r="AA120" s="3"/>
      <c r="AB120" s="31"/>
      <c r="AC120" s="3"/>
      <c r="AD120" s="3"/>
      <c r="AE120" s="3"/>
      <c r="AF120" s="3"/>
      <c r="AG120" s="3"/>
    </row>
    <row r="121" spans="1:33">
      <c r="A121" s="197" t="s">
        <v>65</v>
      </c>
      <c r="B121" s="429">
        <f ca="1">-Input!B45/1000</f>
        <v>-117.79600000000001</v>
      </c>
      <c r="C121" s="31"/>
      <c r="D121" s="31"/>
      <c r="E121" s="31"/>
      <c r="F121" s="35"/>
      <c r="G121" s="31"/>
      <c r="H121" s="31"/>
      <c r="I121" s="31"/>
      <c r="J121" s="31"/>
      <c r="K121" s="31"/>
      <c r="L121" s="398">
        <f ca="1">((+B121-D121-F121-H121-J121)*'Input Tax Rate'!$B$36)</f>
        <v>-29.855396200000001</v>
      </c>
      <c r="M121" s="31"/>
      <c r="N121" s="31"/>
      <c r="O121" s="31"/>
      <c r="P121" s="31"/>
      <c r="Q121" s="31"/>
      <c r="R121" s="31"/>
      <c r="S121" s="31"/>
      <c r="T121" s="31">
        <f ca="1">SUM(D121:R121)</f>
        <v>-29.855396200000001</v>
      </c>
      <c r="U121" s="31"/>
      <c r="V121" s="31">
        <f ca="1">B121-T121</f>
        <v>-87.940603800000005</v>
      </c>
      <c r="W121" s="31"/>
      <c r="X121" s="31"/>
      <c r="Y121" s="3"/>
      <c r="Z121" s="3"/>
      <c r="AA121" s="3"/>
      <c r="AB121" s="31"/>
      <c r="AC121" s="3"/>
      <c r="AD121" s="3"/>
      <c r="AE121" s="3"/>
      <c r="AF121" s="3"/>
      <c r="AG121" s="3"/>
    </row>
    <row r="122" spans="1:33" ht="13.5" customHeight="1">
      <c r="A122" s="197" t="s">
        <v>89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98">
        <f>((+B122-D122-F122-H122-J122)*'Input Tax Rate'!$B$36)</f>
        <v>0</v>
      </c>
      <c r="M122" s="31"/>
      <c r="N122" s="31"/>
      <c r="O122" s="31"/>
      <c r="P122" s="31"/>
      <c r="Q122" s="31"/>
      <c r="R122" s="31"/>
      <c r="S122" s="31"/>
      <c r="T122" s="31">
        <f t="shared" si="1"/>
        <v>0</v>
      </c>
      <c r="U122" s="31"/>
      <c r="V122" s="31">
        <f t="shared" si="2"/>
        <v>0</v>
      </c>
      <c r="W122" s="31"/>
      <c r="X122" s="31"/>
      <c r="Y122" s="3"/>
      <c r="Z122" s="3"/>
      <c r="AA122" s="3"/>
      <c r="AB122" s="31"/>
      <c r="AC122" s="3"/>
      <c r="AD122" s="3"/>
      <c r="AE122" s="3"/>
      <c r="AF122" s="3"/>
      <c r="AG122" s="3"/>
    </row>
    <row r="123" spans="1:33">
      <c r="A123" s="197" t="s">
        <v>66</v>
      </c>
      <c r="B123" s="343">
        <f ca="1">((-Input!B63+Input!B65)/1000)-B124</f>
        <v>-421.95497000000012</v>
      </c>
      <c r="C123" s="31"/>
      <c r="D123" s="31"/>
      <c r="E123" s="31"/>
      <c r="F123" s="343">
        <f ca="1">((-Input!B66)/1000)</f>
        <v>-299.01400000000001</v>
      </c>
      <c r="G123" s="31"/>
      <c r="H123" s="343">
        <f ca="1">-Input!B68/1000</f>
        <v>-119.43751</v>
      </c>
      <c r="I123" s="31"/>
      <c r="J123" s="343">
        <f ca="1">-(Input!B69+Input!B64)/1000</f>
        <v>-3.5038499999999999</v>
      </c>
      <c r="K123" s="31"/>
      <c r="L123" s="398">
        <f ca="1">((+B123-D123-F123-H123-J123)*'Input Tax Rate'!$B$36)</f>
        <v>9.8845499973747062E-5</v>
      </c>
      <c r="M123" s="31"/>
      <c r="N123" s="31"/>
      <c r="O123" s="31"/>
      <c r="P123" s="31"/>
      <c r="Q123" s="31"/>
      <c r="R123" s="31"/>
      <c r="S123" s="31"/>
      <c r="T123" s="31">
        <f ca="1">SUM(D123:R123)</f>
        <v>-421.95526115450002</v>
      </c>
      <c r="U123" s="31"/>
      <c r="V123" s="203">
        <f ca="1">B123-T123</f>
        <v>2.9115449990513298E-4</v>
      </c>
      <c r="W123" s="203" t="s">
        <v>764</v>
      </c>
      <c r="X123" s="31"/>
      <c r="Y123" s="3"/>
      <c r="Z123" s="3"/>
      <c r="AA123" s="3"/>
      <c r="AB123" s="31"/>
      <c r="AC123" s="3"/>
      <c r="AD123" s="3"/>
      <c r="AE123" s="3"/>
      <c r="AF123" s="3"/>
      <c r="AG123" s="3"/>
    </row>
    <row r="124" spans="1:33">
      <c r="A124" s="197" t="s">
        <v>67</v>
      </c>
      <c r="B124" s="343">
        <f ca="1">(-Input!B67)/1000</f>
        <v>-876.43799999999999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98">
        <f ca="1">((+B124-D124-F124-H124-J124)*'Input Tax Rate'!$B$36)</f>
        <v>-222.13321110000001</v>
      </c>
      <c r="M124" s="31"/>
      <c r="N124" s="31"/>
      <c r="O124" s="31"/>
      <c r="P124" s="31"/>
      <c r="Q124" s="31"/>
      <c r="R124" s="31"/>
      <c r="S124" s="31"/>
      <c r="T124" s="31">
        <f ca="1">SUM(D124:R124)</f>
        <v>-222.13321110000001</v>
      </c>
      <c r="U124" s="31"/>
      <c r="V124" s="31">
        <f t="shared" ca="1" si="2"/>
        <v>-654.30478889999995</v>
      </c>
      <c r="W124" s="31"/>
      <c r="X124" s="31"/>
      <c r="Y124" s="3"/>
      <c r="Z124" s="3"/>
      <c r="AA124" s="3"/>
      <c r="AB124" s="31"/>
      <c r="AC124" s="3"/>
      <c r="AD124" s="3"/>
      <c r="AE124" s="3"/>
      <c r="AF124" s="3"/>
      <c r="AG124" s="3"/>
    </row>
    <row r="125" spans="1:33">
      <c r="A125" s="198" t="s">
        <v>765</v>
      </c>
      <c r="B125" s="84">
        <v>0</v>
      </c>
      <c r="C125" s="31"/>
      <c r="D125" s="84"/>
      <c r="E125" s="31"/>
      <c r="F125" s="84"/>
      <c r="G125" s="31"/>
      <c r="H125" s="84"/>
      <c r="I125" s="31"/>
      <c r="J125" s="84"/>
      <c r="K125" s="31"/>
      <c r="L125" s="399">
        <f>((+B125-D125-F125-H125-J125)*'Input Tax Rate'!$B$36)</f>
        <v>0</v>
      </c>
      <c r="M125" s="31"/>
      <c r="N125" s="84"/>
      <c r="O125" s="31"/>
      <c r="P125" s="84"/>
      <c r="Q125" s="31"/>
      <c r="R125" s="84"/>
      <c r="S125" s="31"/>
      <c r="T125" s="122">
        <f t="shared" si="1"/>
        <v>0</v>
      </c>
      <c r="U125" s="31"/>
      <c r="V125" s="122">
        <f t="shared" si="2"/>
        <v>0</v>
      </c>
      <c r="W125" s="31"/>
      <c r="X125" s="31"/>
      <c r="Y125" s="3"/>
      <c r="Z125" s="3"/>
      <c r="AA125" s="3"/>
      <c r="AB125" s="31"/>
      <c r="AC125" s="3"/>
      <c r="AD125" s="3"/>
      <c r="AE125" s="3"/>
      <c r="AF125" s="3"/>
      <c r="AG125" s="3"/>
    </row>
    <row r="126" spans="1:33" ht="12.95" customHeight="1">
      <c r="A126" s="1" t="s">
        <v>734</v>
      </c>
      <c r="B126" s="84">
        <f ca="1">SUM(B109:B125)</f>
        <v>-289128.38897000003</v>
      </c>
      <c r="C126" s="31"/>
      <c r="D126" s="84">
        <f ca="1">SUM(D109:D125)</f>
        <v>-228428.9</v>
      </c>
      <c r="E126" s="31"/>
      <c r="F126" s="84">
        <f ca="1">SUM(F109:F125)</f>
        <v>-25390.687979271999</v>
      </c>
      <c r="G126" s="31"/>
      <c r="H126" s="84">
        <f ca="1">SUM(H109:H125)</f>
        <v>-162.70768820836216</v>
      </c>
      <c r="I126" s="31"/>
      <c r="J126" s="84">
        <f ca="1">SUM(J109:J125)</f>
        <v>-34337.103850000007</v>
      </c>
      <c r="K126" s="31"/>
      <c r="L126" s="84">
        <f ca="1">SUM(L109:L125)</f>
        <v>-2963.700491663863</v>
      </c>
      <c r="M126" s="31"/>
      <c r="N126" s="84">
        <f>SUM(N109:N125)</f>
        <v>0</v>
      </c>
      <c r="O126" s="31"/>
      <c r="P126" s="84">
        <f>SUM(P109:P125)</f>
        <v>0</v>
      </c>
      <c r="Q126" s="31"/>
      <c r="R126" s="84">
        <f>SUM(R109:R125)</f>
        <v>0</v>
      </c>
      <c r="S126" s="31"/>
      <c r="T126" s="84">
        <f ca="1">SUM(T109:T125)</f>
        <v>-291283.10000914423</v>
      </c>
      <c r="U126" s="31"/>
      <c r="V126" s="84">
        <f ca="1">SUM(V109:V125)</f>
        <v>2154.711039144227</v>
      </c>
      <c r="W126" s="31"/>
      <c r="X126" s="31"/>
      <c r="Y126" s="3"/>
      <c r="Z126" s="3"/>
      <c r="AA126" s="3"/>
      <c r="AB126" s="31"/>
      <c r="AC126" s="3"/>
      <c r="AD126" s="3"/>
      <c r="AE126" s="3"/>
      <c r="AF126" s="3"/>
      <c r="AG126" s="3"/>
    </row>
    <row r="127" spans="1:33">
      <c r="A127" s="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"/>
      <c r="Z127" s="3"/>
      <c r="AA127" s="3"/>
      <c r="AB127" s="31"/>
      <c r="AC127" s="3"/>
      <c r="AD127" s="3"/>
      <c r="AE127" s="3"/>
      <c r="AF127" s="3"/>
      <c r="AG127" s="3"/>
    </row>
    <row r="128" spans="1:33" ht="13.5" thickBot="1">
      <c r="A128" s="1" t="s">
        <v>735</v>
      </c>
      <c r="B128" s="123">
        <f ca="1">B106+B126</f>
        <v>346068.41103000002</v>
      </c>
      <c r="C128" s="31"/>
      <c r="D128" s="123">
        <f ca="1">D106+D126</f>
        <v>0</v>
      </c>
      <c r="E128" s="31"/>
      <c r="F128" s="123">
        <f ca="1">F106+F126</f>
        <v>150817.21202072798</v>
      </c>
      <c r="G128" s="31"/>
      <c r="H128" s="123">
        <f ca="1">H106+H126</f>
        <v>88612.992311791648</v>
      </c>
      <c r="I128" s="31"/>
      <c r="J128" s="123">
        <f ca="1">J106+J126</f>
        <v>31701.696149999996</v>
      </c>
      <c r="K128" s="31"/>
      <c r="L128" s="123">
        <f ca="1">L106+L126</f>
        <v>-19396.700491663862</v>
      </c>
      <c r="M128" s="31"/>
      <c r="N128" s="123">
        <f ca="1">N106+N126</f>
        <v>22490.1</v>
      </c>
      <c r="O128" s="31"/>
      <c r="P128" s="123">
        <f ca="1">P106+P126</f>
        <v>0</v>
      </c>
      <c r="Q128" s="31"/>
      <c r="R128" s="123">
        <f>R106+R126</f>
        <v>-495.59999999999997</v>
      </c>
      <c r="S128" s="31"/>
      <c r="T128" s="123">
        <f ca="1">T106+T126</f>
        <v>273729.69999085582</v>
      </c>
      <c r="U128" s="31"/>
      <c r="V128" s="123">
        <f ca="1">V106+V126</f>
        <v>72338.711039144226</v>
      </c>
      <c r="W128" s="31"/>
      <c r="X128" s="31"/>
      <c r="Y128" s="3"/>
      <c r="Z128" s="3"/>
      <c r="AA128" s="3"/>
      <c r="AB128" s="31"/>
      <c r="AC128" s="3"/>
      <c r="AD128" s="3"/>
      <c r="AE128" s="3"/>
      <c r="AF128" s="3"/>
      <c r="AG128" s="3"/>
    </row>
    <row r="129" spans="1:33" ht="13.5" thickTop="1">
      <c r="A129" s="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169"/>
      <c r="Z129" s="3"/>
      <c r="AA129" s="3"/>
      <c r="AB129" s="31"/>
      <c r="AC129" s="169"/>
      <c r="AD129" s="3"/>
      <c r="AE129" s="3"/>
      <c r="AF129" s="3"/>
      <c r="AG129" s="3"/>
    </row>
    <row r="130" spans="1:33">
      <c r="A130" s="119" t="s">
        <v>736</v>
      </c>
      <c r="B130" s="1102">
        <f ca="1">-Input!B57/1000</f>
        <v>-3709.7959300000002</v>
      </c>
      <c r="C130" s="31"/>
      <c r="D130" s="84"/>
      <c r="E130" s="31"/>
      <c r="F130" s="84"/>
      <c r="G130" s="31"/>
      <c r="H130" s="84"/>
      <c r="I130" s="31"/>
      <c r="J130" s="84"/>
      <c r="K130" s="31"/>
      <c r="L130" s="400">
        <f ca="1">((+B130-D130-F130-H130-J130)*'Input Tax Rate'!$B$36)</f>
        <v>-940.24777845850008</v>
      </c>
      <c r="M130" s="31"/>
      <c r="N130" s="84"/>
      <c r="O130" s="31"/>
      <c r="P130" s="84"/>
      <c r="Q130" s="31"/>
      <c r="R130" s="84"/>
      <c r="S130" s="31"/>
      <c r="T130" s="84">
        <f ca="1">SUM(D130:R130)</f>
        <v>-940.24777845850008</v>
      </c>
      <c r="U130" s="31"/>
      <c r="V130" s="84">
        <f ca="1">B130-T130</f>
        <v>-2769.5481515415004</v>
      </c>
      <c r="W130" s="31"/>
      <c r="X130" s="31"/>
      <c r="Y130" s="3"/>
      <c r="Z130" s="3"/>
      <c r="AA130" s="3"/>
      <c r="AB130" s="31"/>
      <c r="AC130" s="3"/>
      <c r="AD130" s="3"/>
      <c r="AE130" s="3"/>
      <c r="AF130" s="3"/>
      <c r="AG130" s="3"/>
    </row>
    <row r="131" spans="1:33">
      <c r="A131" s="1" t="s">
        <v>737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"/>
      <c r="Z131" s="3"/>
      <c r="AA131" s="3"/>
      <c r="AB131" s="31"/>
      <c r="AC131" s="3"/>
      <c r="AD131" s="3"/>
      <c r="AE131" s="3"/>
      <c r="AF131" s="3"/>
      <c r="AG131" s="3"/>
    </row>
    <row r="132" spans="1:33" ht="13.5" thickBot="1">
      <c r="A132" s="1" t="s">
        <v>736</v>
      </c>
      <c r="B132" s="123">
        <f ca="1">B128+B130</f>
        <v>342358.6151</v>
      </c>
      <c r="C132" s="31"/>
      <c r="D132" s="123">
        <f ca="1">D128+D130</f>
        <v>0</v>
      </c>
      <c r="E132" s="31"/>
      <c r="F132" s="123">
        <f ca="1">F128+F130</f>
        <v>150817.21202072798</v>
      </c>
      <c r="G132" s="31"/>
      <c r="H132" s="123">
        <f ca="1">H128+H130</f>
        <v>88612.992311791648</v>
      </c>
      <c r="I132" s="31"/>
      <c r="J132" s="123">
        <f ca="1">J128+J130</f>
        <v>31701.696149999996</v>
      </c>
      <c r="K132" s="31"/>
      <c r="L132" s="123">
        <f ca="1">L128+L130</f>
        <v>-20336.948270122361</v>
      </c>
      <c r="M132" s="31"/>
      <c r="N132" s="123">
        <f ca="1">N128+N130</f>
        <v>22490.1</v>
      </c>
      <c r="O132" s="31"/>
      <c r="P132" s="123">
        <f ca="1">P128+P130</f>
        <v>0</v>
      </c>
      <c r="Q132" s="31"/>
      <c r="R132" s="123">
        <f>R128+R130</f>
        <v>-495.59999999999997</v>
      </c>
      <c r="S132" s="31"/>
      <c r="T132" s="123">
        <f ca="1">T128+T130</f>
        <v>272789.4522123973</v>
      </c>
      <c r="U132" s="31"/>
      <c r="V132" s="123">
        <f ca="1">V128+V130</f>
        <v>69569.162887602724</v>
      </c>
      <c r="W132" s="31"/>
      <c r="X132" s="31"/>
      <c r="Y132" s="3"/>
      <c r="Z132" s="3"/>
      <c r="AA132" s="3"/>
      <c r="AB132" s="31"/>
      <c r="AC132" s="3"/>
      <c r="AD132" s="3"/>
      <c r="AE132" s="3"/>
      <c r="AF132" s="3"/>
      <c r="AG132" s="3"/>
    </row>
    <row r="133" spans="1:33" ht="13.5" thickTop="1">
      <c r="A133" s="1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31"/>
      <c r="X133" s="3"/>
      <c r="Y133" s="3"/>
      <c r="Z133" s="3"/>
      <c r="AA133" s="3"/>
      <c r="AB133" s="3"/>
      <c r="AC133" s="3"/>
      <c r="AD133" s="3"/>
      <c r="AE133" s="3"/>
      <c r="AF133" s="3"/>
      <c r="AG133" s="3"/>
    </row>
    <row r="134" spans="1:33">
      <c r="A134" s="1" t="s">
        <v>738</v>
      </c>
      <c r="B134" s="31"/>
      <c r="C134" s="164"/>
      <c r="D134" s="164"/>
      <c r="E134" s="164"/>
      <c r="F134" s="164"/>
      <c r="G134" s="164"/>
      <c r="H134" s="164"/>
      <c r="I134" s="363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31"/>
      <c r="X134" s="3"/>
      <c r="Y134" s="3"/>
      <c r="Z134" s="3"/>
      <c r="AA134" s="3"/>
      <c r="AB134" s="3"/>
      <c r="AC134" s="3"/>
      <c r="AD134" s="3"/>
      <c r="AE134" s="3"/>
      <c r="AF134" s="3"/>
      <c r="AG134" s="3"/>
    </row>
    <row r="135" spans="1:33">
      <c r="A135" s="119" t="s">
        <v>739</v>
      </c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31"/>
      <c r="X135" s="3"/>
      <c r="Y135" s="3"/>
      <c r="Z135" s="3"/>
      <c r="AA135" s="3"/>
      <c r="AB135" s="3"/>
      <c r="AC135" s="3"/>
      <c r="AD135" s="3"/>
      <c r="AE135" s="3"/>
      <c r="AF135" s="3"/>
      <c r="AG135" s="3"/>
    </row>
    <row r="136" spans="1:33">
      <c r="A136" s="1"/>
      <c r="B136" s="164"/>
      <c r="C136" s="164"/>
      <c r="D136" s="164"/>
      <c r="E136" s="164"/>
      <c r="F136" s="164"/>
      <c r="G136" s="164"/>
      <c r="H136" s="164"/>
      <c r="I136" s="3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31"/>
      <c r="U136" s="31"/>
      <c r="V136" s="31"/>
      <c r="W136" s="31"/>
      <c r="X136" s="31"/>
      <c r="Y136" s="3"/>
      <c r="Z136" s="3"/>
      <c r="AA136" s="3"/>
      <c r="AB136" s="31"/>
      <c r="AC136" s="3"/>
      <c r="AD136" s="3"/>
      <c r="AE136" s="3"/>
      <c r="AF136" s="3"/>
      <c r="AG136" s="3"/>
    </row>
    <row r="137" spans="1:33">
      <c r="A137" s="131" t="s">
        <v>766</v>
      </c>
      <c r="B137" s="164"/>
      <c r="C137" s="164"/>
      <c r="D137" s="164"/>
      <c r="E137" s="164"/>
      <c r="F137" s="164"/>
      <c r="G137" s="164"/>
      <c r="H137" s="164"/>
      <c r="I137" s="370"/>
      <c r="J137" s="164"/>
      <c r="K137" s="164"/>
      <c r="L137" s="37">
        <v>0</v>
      </c>
      <c r="M137" s="164"/>
      <c r="N137" s="164"/>
      <c r="O137" s="164"/>
      <c r="P137" s="164"/>
      <c r="Q137" s="164"/>
      <c r="R137" s="133"/>
      <c r="S137" s="164"/>
      <c r="T137" s="31">
        <f>SUM(D137:R137)</f>
        <v>0</v>
      </c>
      <c r="U137" s="31"/>
      <c r="V137" s="31">
        <f>B137-T137</f>
        <v>0</v>
      </c>
      <c r="W137" s="31"/>
      <c r="X137" s="31"/>
      <c r="Y137" s="3"/>
      <c r="Z137" s="3"/>
      <c r="AA137" s="3"/>
      <c r="AB137" s="31"/>
      <c r="AC137" s="3"/>
      <c r="AD137" s="3"/>
      <c r="AE137" s="3"/>
      <c r="AF137" s="3"/>
      <c r="AG137" s="3"/>
    </row>
    <row r="138" spans="1:33">
      <c r="A138" s="131"/>
      <c r="B138" s="371"/>
      <c r="C138" s="164"/>
      <c r="D138" s="371"/>
      <c r="E138" s="164"/>
      <c r="F138" s="372"/>
      <c r="G138" s="164"/>
      <c r="H138" s="371"/>
      <c r="I138" s="164"/>
      <c r="J138" s="371"/>
      <c r="K138" s="164"/>
      <c r="L138" s="122"/>
      <c r="M138" s="164"/>
      <c r="N138" s="371"/>
      <c r="O138" s="164"/>
      <c r="P138" s="371"/>
      <c r="Q138" s="164"/>
      <c r="R138" s="134"/>
      <c r="S138" s="164"/>
      <c r="T138" s="122"/>
      <c r="U138" s="31"/>
      <c r="V138" s="122"/>
      <c r="W138" s="31"/>
      <c r="X138" s="3"/>
      <c r="Y138" s="3"/>
      <c r="Z138" s="3"/>
      <c r="AA138" s="3"/>
      <c r="AB138" s="3"/>
      <c r="AC138" s="3"/>
      <c r="AD138" s="3"/>
      <c r="AE138" s="3"/>
      <c r="AF138" s="3"/>
      <c r="AG138" s="3"/>
    </row>
    <row r="139" spans="1:33" ht="12.95" customHeight="1">
      <c r="A139" s="1" t="s">
        <v>740</v>
      </c>
      <c r="B139" s="84">
        <f>SUM(B137:B138)</f>
        <v>0</v>
      </c>
      <c r="C139" s="31"/>
      <c r="D139" s="84"/>
      <c r="E139" s="31"/>
      <c r="F139" s="84">
        <f>SUM(F137:F138)</f>
        <v>0</v>
      </c>
      <c r="G139" s="31"/>
      <c r="H139" s="84"/>
      <c r="I139" s="31"/>
      <c r="J139" s="84"/>
      <c r="K139" s="31"/>
      <c r="L139" s="84">
        <f>SUM(L137:L138)</f>
        <v>0</v>
      </c>
      <c r="M139" s="31"/>
      <c r="N139" s="84"/>
      <c r="O139" s="31"/>
      <c r="P139" s="84"/>
      <c r="Q139" s="31"/>
      <c r="R139" s="84">
        <f>SUM(R137:R138)</f>
        <v>0</v>
      </c>
      <c r="S139" s="31"/>
      <c r="T139" s="84">
        <f>SUM(T137:T138)</f>
        <v>0</v>
      </c>
      <c r="U139" s="31"/>
      <c r="V139" s="84">
        <f>SUM(V137:V138)</f>
        <v>0</v>
      </c>
      <c r="W139" s="31"/>
      <c r="X139" s="31"/>
      <c r="Y139" s="3"/>
      <c r="Z139" s="3"/>
      <c r="AA139" s="3"/>
      <c r="AB139" s="31"/>
      <c r="AC139" s="3"/>
      <c r="AD139" s="3"/>
      <c r="AE139" s="3"/>
      <c r="AF139" s="3"/>
      <c r="AG139" s="3"/>
    </row>
    <row r="140" spans="1:33">
      <c r="A140" s="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"/>
      <c r="Y140" s="3"/>
      <c r="Z140" s="3"/>
      <c r="AA140" s="3"/>
      <c r="AB140" s="3"/>
      <c r="AC140" s="3"/>
      <c r="AD140" s="3"/>
      <c r="AE140" s="3"/>
      <c r="AF140" s="3"/>
      <c r="AG140" s="3"/>
    </row>
    <row r="141" spans="1:33" ht="13.5" thickBot="1">
      <c r="A141" s="1" t="s">
        <v>741</v>
      </c>
      <c r="B141" s="123">
        <f ca="1">B128+B139</f>
        <v>346068.41103000002</v>
      </c>
      <c r="C141" s="31"/>
      <c r="D141" s="123">
        <f ca="1">D128+D139</f>
        <v>0</v>
      </c>
      <c r="E141" s="31"/>
      <c r="F141" s="123">
        <f ca="1">F128+F139</f>
        <v>150817.21202072798</v>
      </c>
      <c r="G141" s="31"/>
      <c r="H141" s="123">
        <f ca="1">H128+H139</f>
        <v>88612.992311791648</v>
      </c>
      <c r="I141" s="31"/>
      <c r="J141" s="123">
        <f ca="1">J128+J139</f>
        <v>31701.696149999996</v>
      </c>
      <c r="K141" s="31"/>
      <c r="L141" s="123">
        <f ca="1">L128+L139</f>
        <v>-19396.700491663862</v>
      </c>
      <c r="M141" s="31"/>
      <c r="N141" s="123">
        <f ca="1">N128+N139</f>
        <v>22490.1</v>
      </c>
      <c r="O141" s="31"/>
      <c r="P141" s="123">
        <f ca="1">P128+P139</f>
        <v>0</v>
      </c>
      <c r="Q141" s="31"/>
      <c r="R141" s="123">
        <f>R128+R139</f>
        <v>-495.59999999999997</v>
      </c>
      <c r="S141" s="31"/>
      <c r="T141" s="123">
        <f ca="1">T128+T139</f>
        <v>273729.69999085582</v>
      </c>
      <c r="U141" s="31"/>
      <c r="V141" s="123">
        <f ca="1">V128+V139</f>
        <v>72338.711039144226</v>
      </c>
      <c r="W141" s="31"/>
      <c r="X141" s="31"/>
      <c r="Y141" s="3"/>
      <c r="Z141" s="3"/>
      <c r="AA141" s="3"/>
      <c r="AB141" s="31"/>
      <c r="AC141" s="3"/>
      <c r="AD141" s="3"/>
      <c r="AE141" s="3"/>
      <c r="AF141" s="3"/>
      <c r="AG141" s="3"/>
    </row>
    <row r="142" spans="1:33" ht="13.5" thickTop="1">
      <c r="A142" s="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"/>
      <c r="Y142" s="3"/>
      <c r="Z142" s="3"/>
      <c r="AA142" s="3"/>
      <c r="AB142" s="3"/>
      <c r="AC142" s="3"/>
      <c r="AD142" s="3"/>
      <c r="AE142" s="3"/>
      <c r="AF142" s="3"/>
      <c r="AG142" s="3"/>
    </row>
    <row r="143" spans="1:33">
      <c r="A143" s="1" t="s">
        <v>728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"/>
      <c r="Y143" s="3"/>
      <c r="Z143" s="3"/>
      <c r="AA143" s="3"/>
      <c r="AB143" s="3"/>
      <c r="AC143" s="3"/>
      <c r="AD143" s="3"/>
      <c r="AE143" s="3"/>
      <c r="AF143" s="3"/>
      <c r="AG143" s="3"/>
    </row>
    <row r="144" spans="1:33" ht="13.5" thickBot="1">
      <c r="A144" s="1" t="s">
        <v>767</v>
      </c>
      <c r="B144" s="32">
        <f>+IncomeStmt!$D$7</f>
        <v>635196.80000000005</v>
      </c>
      <c r="C144" s="31"/>
      <c r="D144" s="32">
        <f>+IncomeStmt!$D$8</f>
        <v>228428.9</v>
      </c>
      <c r="E144" s="31"/>
      <c r="F144" s="32">
        <f>+IncomeStmt!$D$11</f>
        <v>176207.9</v>
      </c>
      <c r="G144" s="31"/>
      <c r="H144" s="32">
        <f>SUM(IncomeStmt!$D$12:$D$15)</f>
        <v>88775.700000000012</v>
      </c>
      <c r="I144" s="31"/>
      <c r="J144" s="32">
        <f>+IncomeStmt!$D$16</f>
        <v>66038.8</v>
      </c>
      <c r="K144" s="31"/>
      <c r="L144" s="32">
        <f>SUM(IncomeStmt!$D$17:$D$17)</f>
        <v>-16433</v>
      </c>
      <c r="M144" s="31"/>
      <c r="N144" s="32">
        <f>SUM(IncomeStmt!$D$18:$D$18)</f>
        <v>22490.1</v>
      </c>
      <c r="O144" s="31"/>
      <c r="P144" s="32">
        <f>+IncomeStmt!$D$19</f>
        <v>0</v>
      </c>
      <c r="Q144" s="31"/>
      <c r="R144" s="135">
        <v>0</v>
      </c>
      <c r="S144" s="31"/>
      <c r="T144" s="123">
        <f>SUM(D144:R144)</f>
        <v>565508.4</v>
      </c>
      <c r="U144" s="31"/>
      <c r="V144" s="123">
        <f>B144-T144</f>
        <v>69688.400000000023</v>
      </c>
      <c r="W144" s="31"/>
      <c r="X144" s="31"/>
      <c r="Y144" s="3"/>
      <c r="Z144" s="3"/>
      <c r="AA144" s="3"/>
      <c r="AB144" s="31"/>
      <c r="AC144" s="3"/>
      <c r="AD144" s="3"/>
      <c r="AE144" s="3"/>
      <c r="AF144" s="3"/>
      <c r="AG144" s="3"/>
    </row>
    <row r="145" spans="1:33" ht="13.5" thickTop="1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</row>
    <row r="146" spans="1:33">
      <c r="A146" s="1"/>
      <c r="B146" s="288"/>
      <c r="C146" s="288"/>
      <c r="D146" s="288"/>
      <c r="E146" s="288"/>
      <c r="F146" s="288"/>
      <c r="G146" s="288"/>
      <c r="H146" s="288"/>
      <c r="I146" s="288"/>
      <c r="J146" s="288"/>
      <c r="K146" s="288"/>
      <c r="L146" s="288"/>
      <c r="M146" s="288"/>
      <c r="N146" s="288"/>
      <c r="O146" s="288"/>
      <c r="P146" s="288"/>
      <c r="Q146" s="288"/>
      <c r="R146" s="288"/>
      <c r="S146" s="288"/>
      <c r="T146" s="288"/>
      <c r="U146" s="288"/>
      <c r="V146" s="288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</row>
    <row r="147" spans="1:33">
      <c r="A147" s="1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</row>
    <row r="148" spans="1:33" ht="15.75">
      <c r="A148" s="127" t="s">
        <v>232</v>
      </c>
      <c r="B148" s="125"/>
      <c r="C148" s="125"/>
      <c r="D148" s="125"/>
      <c r="E148" s="125"/>
      <c r="F148" s="124"/>
      <c r="G148" s="124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8" t="s">
        <v>768</v>
      </c>
      <c r="U148" s="136"/>
      <c r="V148" s="136"/>
      <c r="W148" s="86"/>
      <c r="X148" s="3"/>
      <c r="Y148" s="3"/>
      <c r="Z148" s="3"/>
      <c r="AA148" s="3"/>
      <c r="AB148" s="3"/>
      <c r="AC148" s="3"/>
      <c r="AD148" s="3"/>
      <c r="AE148" s="3"/>
      <c r="AF148" s="3"/>
      <c r="AG148" s="3"/>
    </row>
    <row r="149" spans="1:33" ht="15.75">
      <c r="A149" s="127" t="s">
        <v>769</v>
      </c>
      <c r="B149" s="125"/>
      <c r="C149" s="125"/>
      <c r="D149" s="125"/>
      <c r="E149" s="125"/>
      <c r="F149" s="124"/>
      <c r="G149" s="124"/>
      <c r="H149" s="125"/>
      <c r="I149" s="124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8"/>
      <c r="U149" s="128"/>
      <c r="V149" s="128"/>
      <c r="W149" s="86"/>
      <c r="X149" s="3"/>
      <c r="Y149" s="3"/>
      <c r="Z149" s="3"/>
      <c r="AA149" s="3"/>
      <c r="AB149" s="3"/>
      <c r="AC149" s="3"/>
      <c r="AD149" s="3"/>
      <c r="AE149" s="3"/>
      <c r="AF149" s="3"/>
      <c r="AG149" s="3"/>
    </row>
    <row r="150" spans="1:33" ht="15.75">
      <c r="A150" s="127" t="s">
        <v>770</v>
      </c>
      <c r="B150" s="125"/>
      <c r="C150" s="125"/>
      <c r="D150" s="125"/>
      <c r="E150" s="125"/>
      <c r="F150" s="125"/>
      <c r="G150" s="124"/>
      <c r="H150" s="124"/>
      <c r="I150" s="124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8"/>
      <c r="U150" s="128"/>
      <c r="V150" s="128"/>
      <c r="W150" s="86"/>
      <c r="X150" s="3"/>
      <c r="Y150" s="3"/>
      <c r="Z150" s="3"/>
      <c r="AA150" s="3"/>
      <c r="AB150" s="3"/>
      <c r="AC150" s="3"/>
      <c r="AD150" s="3"/>
      <c r="AE150" s="3"/>
      <c r="AF150" s="3"/>
      <c r="AG150" s="3"/>
    </row>
    <row r="151" spans="1:33" ht="15.75">
      <c r="A151" s="129" t="str">
        <f>A3</f>
        <v>2024 Budget</v>
      </c>
      <c r="B151" s="125"/>
      <c r="C151" s="125"/>
      <c r="D151" s="125"/>
      <c r="E151" s="125"/>
      <c r="F151" s="124"/>
      <c r="G151" s="124"/>
      <c r="H151" s="125"/>
      <c r="I151" s="124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8"/>
      <c r="U151" s="128"/>
      <c r="V151" s="128"/>
      <c r="W151" s="86"/>
      <c r="X151" s="3"/>
      <c r="Y151" s="3"/>
      <c r="Z151" s="3"/>
      <c r="AA151" s="3"/>
      <c r="AB151" s="3"/>
      <c r="AC151" s="3"/>
      <c r="AD151" s="3"/>
      <c r="AE151" s="3"/>
      <c r="AF151" s="3"/>
      <c r="AG151" s="3"/>
    </row>
    <row r="152" spans="1:33" ht="15.75">
      <c r="A152" s="129"/>
      <c r="B152" s="125"/>
      <c r="C152" s="125"/>
      <c r="D152" s="125"/>
      <c r="E152" s="125"/>
      <c r="F152" s="124"/>
      <c r="G152" s="124"/>
      <c r="H152" s="125"/>
      <c r="I152" s="124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8"/>
      <c r="U152" s="128"/>
      <c r="V152" s="128"/>
      <c r="W152" s="86"/>
      <c r="X152" s="3"/>
      <c r="Y152" s="3"/>
      <c r="Z152" s="3"/>
      <c r="AA152" s="3"/>
      <c r="AB152" s="3"/>
      <c r="AC152" s="3"/>
      <c r="AD152" s="3"/>
      <c r="AE152" s="3"/>
      <c r="AF152" s="3"/>
      <c r="AG152" s="3"/>
    </row>
    <row r="153" spans="1:33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86"/>
      <c r="X153" s="3"/>
      <c r="Y153" s="3"/>
      <c r="Z153" s="3"/>
      <c r="AA153" s="3"/>
      <c r="AB153" s="3"/>
      <c r="AC153" s="3"/>
      <c r="AD153" s="3"/>
      <c r="AE153" s="3"/>
      <c r="AF153" s="3"/>
      <c r="AG153" s="3"/>
    </row>
    <row r="154" spans="1:33">
      <c r="A154" s="1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86"/>
      <c r="X154" s="259"/>
      <c r="Y154" s="3"/>
      <c r="Z154" s="3"/>
      <c r="AA154" s="3"/>
      <c r="AB154" s="3"/>
      <c r="AC154" s="3"/>
      <c r="AD154" s="3"/>
      <c r="AE154" s="3"/>
      <c r="AF154" s="3"/>
      <c r="AG154" s="3"/>
    </row>
    <row r="155" spans="1:33">
      <c r="A155" s="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86"/>
      <c r="X155" s="3"/>
      <c r="Y155" s="3"/>
      <c r="Z155" s="3"/>
      <c r="AA155" s="3"/>
      <c r="AB155" s="3"/>
      <c r="AC155" s="3"/>
      <c r="AD155" s="3"/>
      <c r="AE155" s="3"/>
      <c r="AF155" s="3"/>
      <c r="AG155" s="3"/>
    </row>
    <row r="156" spans="1:33">
      <c r="A156" s="137"/>
      <c r="B156" s="143"/>
      <c r="C156" s="138"/>
      <c r="D156" s="143"/>
      <c r="E156" s="138"/>
      <c r="F156" s="143"/>
      <c r="G156" s="138"/>
      <c r="H156" s="143"/>
      <c r="I156" s="138"/>
      <c r="J156" s="138"/>
      <c r="K156" s="138"/>
      <c r="L156" s="139" t="s">
        <v>771</v>
      </c>
      <c r="M156" s="139"/>
      <c r="N156" s="139"/>
      <c r="O156" s="138"/>
      <c r="P156" s="139" t="s">
        <v>772</v>
      </c>
      <c r="Q156" s="139"/>
      <c r="R156" s="139"/>
      <c r="S156" s="138"/>
      <c r="T156" s="139" t="s">
        <v>773</v>
      </c>
      <c r="U156" s="139"/>
      <c r="V156" s="139"/>
      <c r="W156" s="86"/>
      <c r="X156" s="3"/>
      <c r="Y156" s="3"/>
      <c r="Z156" s="3"/>
      <c r="AA156" s="3"/>
      <c r="AB156" s="3"/>
      <c r="AC156" s="3"/>
      <c r="AD156" s="3"/>
      <c r="AE156" s="3"/>
      <c r="AF156" s="3"/>
      <c r="AG156" s="3"/>
    </row>
    <row r="157" spans="1:33" ht="13.9" customHeight="1">
      <c r="A157" s="137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40" t="s">
        <v>774</v>
      </c>
      <c r="M157" s="138"/>
      <c r="N157" s="140" t="s">
        <v>775</v>
      </c>
      <c r="O157" s="138"/>
      <c r="P157" s="140" t="s">
        <v>774</v>
      </c>
      <c r="Q157" s="138"/>
      <c r="R157" s="140" t="s">
        <v>775</v>
      </c>
      <c r="S157" s="138"/>
      <c r="T157" s="140" t="s">
        <v>774</v>
      </c>
      <c r="U157" s="138"/>
      <c r="V157" s="140" t="s">
        <v>775</v>
      </c>
      <c r="W157" s="86"/>
      <c r="X157" s="3"/>
      <c r="Y157" s="3" t="s">
        <v>1236</v>
      </c>
      <c r="Z157" s="3"/>
      <c r="AA157" s="3" t="s">
        <v>1237</v>
      </c>
      <c r="AB157" s="3"/>
      <c r="AC157" s="3" t="s">
        <v>1238</v>
      </c>
      <c r="AD157" s="3"/>
      <c r="AE157" s="3"/>
      <c r="AF157" s="3"/>
      <c r="AG157" s="3"/>
    </row>
    <row r="158" spans="1:33" ht="13.9" customHeight="1">
      <c r="A158" s="137"/>
      <c r="B158" s="138"/>
      <c r="C158" s="138"/>
      <c r="D158" s="139" t="s">
        <v>776</v>
      </c>
      <c r="E158" s="139"/>
      <c r="F158" s="139"/>
      <c r="G158" s="138"/>
      <c r="H158" s="138"/>
      <c r="I158" s="138"/>
      <c r="J158" s="140" t="s">
        <v>777</v>
      </c>
      <c r="K158" s="138"/>
      <c r="L158" s="140" t="s">
        <v>323</v>
      </c>
      <c r="M158" s="138"/>
      <c r="N158" s="140" t="s">
        <v>774</v>
      </c>
      <c r="O158" s="138"/>
      <c r="P158" s="140" t="s">
        <v>323</v>
      </c>
      <c r="Q158" s="138"/>
      <c r="R158" s="140" t="s">
        <v>774</v>
      </c>
      <c r="S158" s="138"/>
      <c r="T158" s="140" t="s">
        <v>323</v>
      </c>
      <c r="U158" s="138"/>
      <c r="V158" s="140" t="s">
        <v>774</v>
      </c>
      <c r="W158" s="86"/>
      <c r="X158" s="3"/>
      <c r="Y158" s="3"/>
      <c r="Z158" s="3"/>
      <c r="AA158" s="337"/>
      <c r="AB158" s="3"/>
      <c r="AC158" s="3"/>
      <c r="AD158" s="3"/>
      <c r="AE158" s="337"/>
      <c r="AF158" s="3"/>
      <c r="AG158" s="3"/>
    </row>
    <row r="159" spans="1:33" ht="13.9" customHeight="1">
      <c r="A159" s="141" t="s">
        <v>247</v>
      </c>
      <c r="B159" s="142" t="s">
        <v>728</v>
      </c>
      <c r="C159" s="138"/>
      <c r="D159" s="142" t="s">
        <v>778</v>
      </c>
      <c r="E159" s="138"/>
      <c r="F159" s="142" t="s">
        <v>779</v>
      </c>
      <c r="G159" s="138"/>
      <c r="H159" s="142" t="s">
        <v>780</v>
      </c>
      <c r="I159" s="138"/>
      <c r="J159" s="142" t="s">
        <v>781</v>
      </c>
      <c r="K159" s="138"/>
      <c r="L159" s="142" t="s">
        <v>781</v>
      </c>
      <c r="M159" s="138"/>
      <c r="N159" s="142" t="s">
        <v>781</v>
      </c>
      <c r="O159" s="138"/>
      <c r="P159" s="142" t="s">
        <v>781</v>
      </c>
      <c r="Q159" s="138"/>
      <c r="R159" s="142" t="s">
        <v>781</v>
      </c>
      <c r="S159" s="138"/>
      <c r="T159" s="142" t="s">
        <v>781</v>
      </c>
      <c r="U159" s="138"/>
      <c r="V159" s="142" t="s">
        <v>781</v>
      </c>
      <c r="W159" s="86"/>
    </row>
    <row r="160" spans="1:33" ht="13.9" customHeight="1">
      <c r="A160" s="137" t="s">
        <v>782</v>
      </c>
      <c r="B160" s="143">
        <f ca="1">Reconcil!C119+Reconcil!C120</f>
        <v>878846.15384615387</v>
      </c>
      <c r="C160" s="143"/>
      <c r="D160" s="143">
        <f ca="1">+Reconcil!D43</f>
        <v>0</v>
      </c>
      <c r="E160" s="143"/>
      <c r="F160" s="143">
        <f ca="1">ROUND(Reconcil!$K$43*'Cap Str 54.7%'!C24,9)+ROUND(Reconcil!$J$43*'Cap Str 54.7%'!C35,9)</f>
        <v>-46660.678342015002</v>
      </c>
      <c r="G160" s="143"/>
      <c r="H160" s="533">
        <f ca="1">B160+D160+F160+('Cap Str 54.7%'!B17*'Cap Str 54.7%'!B8)</f>
        <v>832185.47550413886</v>
      </c>
      <c r="I160" s="138"/>
      <c r="J160" s="193">
        <f ca="1">ROUND(H160/$H$171,4)</f>
        <v>0.35160000000000002</v>
      </c>
      <c r="K160" s="138"/>
      <c r="L160" s="144">
        <f ca="1">'Int Synch'!D15*100</f>
        <v>5.54</v>
      </c>
      <c r="M160" s="289"/>
      <c r="N160" s="144">
        <f ca="1">ROUND(L160*J160,2)</f>
        <v>1.95</v>
      </c>
      <c r="O160" s="138"/>
      <c r="P160" s="144">
        <f ca="1">L160</f>
        <v>5.54</v>
      </c>
      <c r="Q160" s="138"/>
      <c r="R160" s="144">
        <f ca="1">ROUND(P160*J160,2)</f>
        <v>1.95</v>
      </c>
      <c r="S160" s="138"/>
      <c r="T160" s="144">
        <f ca="1">L160</f>
        <v>5.54</v>
      </c>
      <c r="U160" s="138"/>
      <c r="V160" s="144">
        <f ca="1">ROUND(T160*J160,2)</f>
        <v>1.95</v>
      </c>
      <c r="W160" s="86"/>
      <c r="X160" s="177">
        <f ca="1">H160/SUM($H$160,$H$162,$H$166)</f>
        <v>0.40478643886586813</v>
      </c>
      <c r="Y160" s="1093">
        <f ca="1">L160*X160</f>
        <v>2.2425168713169095</v>
      </c>
      <c r="Z160" s="3"/>
      <c r="AA160" s="1093">
        <f ca="1">P160*X160</f>
        <v>2.2425168713169095</v>
      </c>
      <c r="AB160" s="3"/>
      <c r="AC160" s="1093">
        <f ca="1">T160*X160</f>
        <v>2.2425168713169095</v>
      </c>
    </row>
    <row r="161" spans="1:34" ht="6" customHeight="1">
      <c r="A161" s="137"/>
      <c r="B161" s="143"/>
      <c r="C161" s="143"/>
      <c r="D161" s="143"/>
      <c r="E161" s="143"/>
      <c r="F161" s="143"/>
      <c r="G161" s="143"/>
      <c r="H161" s="143"/>
      <c r="I161" s="138"/>
      <c r="J161" s="194"/>
      <c r="K161" s="138"/>
      <c r="L161" s="138"/>
      <c r="M161" s="138"/>
      <c r="N161" s="138"/>
      <c r="O161" s="138"/>
      <c r="P161" s="144"/>
      <c r="Q161" s="138"/>
      <c r="R161" s="144"/>
      <c r="S161" s="138"/>
      <c r="T161" s="144"/>
      <c r="U161" s="138"/>
      <c r="V161" s="144"/>
      <c r="W161" s="86"/>
      <c r="X161" s="3"/>
      <c r="Y161" s="3"/>
      <c r="Z161" s="3"/>
      <c r="AA161" s="3"/>
      <c r="AB161" s="3"/>
      <c r="AC161" s="3"/>
    </row>
    <row r="162" spans="1:34" ht="13.9" customHeight="1">
      <c r="A162" s="137" t="s">
        <v>783</v>
      </c>
      <c r="B162" s="143">
        <f ca="1">Reconcil!C126</f>
        <v>106020.08789723561</v>
      </c>
      <c r="C162" s="143"/>
      <c r="D162" s="143">
        <f ca="1">+Reconcil!E43</f>
        <v>-760.06153846153245</v>
      </c>
      <c r="E162" s="143"/>
      <c r="F162" s="143">
        <f ca="1">ROUND(Reconcil!$K$43*'Cap Str 54.7%'!C25,9)+ROUND(Reconcil!$J$43*'Cap Str 54.7%'!C36,9)</f>
        <v>-5588.5824961560002</v>
      </c>
      <c r="G162" s="143"/>
      <c r="H162" s="533">
        <f ca="1">B162+D162+F162+('Cap Str 54.7%'!B17*'Cap Str 54.7%'!B9)</f>
        <v>99671.443862618078</v>
      </c>
      <c r="I162" s="138"/>
      <c r="J162" s="1103">
        <f ca="1">ROUND(H162/$H$171,4)+0.0001</f>
        <v>4.2200000000000001E-2</v>
      </c>
      <c r="K162" s="138"/>
      <c r="L162" s="144">
        <f ca="1">'Int Synch'!D17*100</f>
        <v>4.8500000000000005</v>
      </c>
      <c r="M162" s="289"/>
      <c r="N162" s="144">
        <f ca="1">ROUND(L162*J162,2)</f>
        <v>0.2</v>
      </c>
      <c r="O162" s="138"/>
      <c r="P162" s="144">
        <f ca="1">L162</f>
        <v>4.8500000000000005</v>
      </c>
      <c r="Q162" s="138"/>
      <c r="R162" s="144">
        <f ca="1">ROUND(P162*J162,2)</f>
        <v>0.2</v>
      </c>
      <c r="S162" s="138"/>
      <c r="T162" s="144">
        <f ca="1">L162</f>
        <v>4.8500000000000005</v>
      </c>
      <c r="U162" s="138"/>
      <c r="V162" s="144">
        <f ca="1">ROUND(T162*J162,2)</f>
        <v>0.2</v>
      </c>
      <c r="W162" s="86"/>
      <c r="X162" s="177">
        <f ca="1">H162/SUM($H$160,$H$162,$H$166)</f>
        <v>4.8481558505124138E-2</v>
      </c>
      <c r="Y162" s="1093">
        <f ca="1">L162*X162</f>
        <v>0.23513555874985209</v>
      </c>
      <c r="Z162" s="3"/>
      <c r="AA162" s="1093">
        <f ca="1">P162*X162</f>
        <v>0.23513555874985209</v>
      </c>
      <c r="AB162" s="3"/>
      <c r="AC162" s="1093">
        <f ca="1">T162*X162</f>
        <v>0.23513555874985209</v>
      </c>
    </row>
    <row r="163" spans="1:34" ht="6" customHeight="1">
      <c r="A163" s="137"/>
      <c r="B163" s="143"/>
      <c r="C163" s="143"/>
      <c r="D163" s="143"/>
      <c r="E163" s="143"/>
      <c r="F163" s="143"/>
      <c r="G163" s="143"/>
      <c r="H163" s="143"/>
      <c r="I163" s="138"/>
      <c r="J163" s="194"/>
      <c r="K163" s="138"/>
      <c r="L163" s="144"/>
      <c r="M163" s="138"/>
      <c r="N163" s="144"/>
      <c r="O163" s="138"/>
      <c r="P163" s="144"/>
      <c r="Q163" s="138"/>
      <c r="R163" s="144"/>
      <c r="S163" s="138"/>
      <c r="T163" s="144"/>
      <c r="U163" s="138"/>
      <c r="V163" s="144"/>
      <c r="W163" s="86"/>
      <c r="X163" s="3"/>
      <c r="Y163" s="3"/>
      <c r="Z163" s="3"/>
      <c r="AA163" s="3"/>
      <c r="AB163" s="3"/>
      <c r="AC163" s="3"/>
    </row>
    <row r="164" spans="1:34" ht="13.9" customHeight="1">
      <c r="A164" s="137" t="s">
        <v>784</v>
      </c>
      <c r="B164" s="143">
        <f ca="1">Reconcil!C130+Reconcil!C150+Reconcil!C136</f>
        <v>28892.061538461534</v>
      </c>
      <c r="C164" s="143"/>
      <c r="D164" s="143"/>
      <c r="E164" s="143"/>
      <c r="F164" s="143">
        <f ca="1">ROUND(Reconcil!$K$43*'Cap Str 54.7%'!B26,9)+ROUND(Reconcil!$J$43*'Cap Str 54.7%'!C37,9)</f>
        <v>-1363.8803116930001</v>
      </c>
      <c r="G164" s="143"/>
      <c r="H164" s="143">
        <f ca="1">B164+D164+F164</f>
        <v>27528.181226768535</v>
      </c>
      <c r="I164" s="138"/>
      <c r="J164" s="193">
        <f ca="1">ROUND(H164/$H$171,4)</f>
        <v>1.1599999999999999E-2</v>
      </c>
      <c r="K164" s="138"/>
      <c r="L164" s="144">
        <f ca="1">'Int Synch'!D19*100</f>
        <v>2.5299999999999998</v>
      </c>
      <c r="M164" s="289"/>
      <c r="N164" s="144">
        <f ca="1">ROUND(L164*J164,2)</f>
        <v>0.03</v>
      </c>
      <c r="O164" s="138"/>
      <c r="P164" s="144">
        <f ca="1">L164</f>
        <v>2.5299999999999998</v>
      </c>
      <c r="Q164" s="138"/>
      <c r="R164" s="144">
        <f ca="1">ROUND(P164*J164,2)</f>
        <v>0.03</v>
      </c>
      <c r="S164" s="138"/>
      <c r="T164" s="144">
        <f ca="1">L164</f>
        <v>2.5299999999999998</v>
      </c>
      <c r="U164" s="138"/>
      <c r="V164" s="144">
        <f ca="1">ROUND(T164*J164,2)</f>
        <v>0.03</v>
      </c>
      <c r="W164" s="86"/>
      <c r="X164" s="3"/>
      <c r="Y164" s="3"/>
      <c r="Z164" s="3"/>
      <c r="AA164" s="3"/>
      <c r="AB164" s="3"/>
      <c r="AC164" s="3"/>
    </row>
    <row r="165" spans="1:34" ht="6" customHeight="1">
      <c r="A165" s="137"/>
      <c r="B165" s="143"/>
      <c r="C165" s="143"/>
      <c r="D165" s="143"/>
      <c r="E165" s="143"/>
      <c r="F165" s="143"/>
      <c r="G165" s="143"/>
      <c r="H165" s="143"/>
      <c r="I165" s="138"/>
      <c r="J165" s="194"/>
      <c r="K165" s="138"/>
      <c r="L165" s="144"/>
      <c r="M165" s="138"/>
      <c r="N165" s="144"/>
      <c r="O165" s="138"/>
      <c r="P165" s="144"/>
      <c r="Q165" s="138"/>
      <c r="R165" s="144"/>
      <c r="S165" s="138"/>
      <c r="T165" s="144"/>
      <c r="U165" s="138"/>
      <c r="V165" s="144"/>
      <c r="W165" s="86"/>
      <c r="X165" s="3"/>
      <c r="Y165" s="3"/>
      <c r="Z165" s="3"/>
      <c r="AA165" s="3"/>
      <c r="AB165" s="3"/>
      <c r="AC165" s="3"/>
    </row>
    <row r="166" spans="1:34" ht="13.9" customHeight="1">
      <c r="A166" s="137" t="s">
        <v>785</v>
      </c>
      <c r="B166" s="143">
        <f ca="1">Reconcil!C116</f>
        <v>1191009.1383188458</v>
      </c>
      <c r="C166" s="143"/>
      <c r="D166" s="143">
        <f ca="1">Reconcil!G43</f>
        <v>-3979.9506776870521</v>
      </c>
      <c r="E166" s="143"/>
      <c r="F166" s="143">
        <f ca="1">ROUND(Reconcil!$K$43*'Cap Str 54.7%'!C27,9)+ROUND(Reconcil!$J$43*'Cap Str 54.7%'!C38,9)</f>
        <v>-63023.075045286998</v>
      </c>
      <c r="G166" s="143"/>
      <c r="H166" s="533">
        <f ca="1">B166+D166+F166-'Cap Str 54.7%'!B17</f>
        <v>1124006.1125958718</v>
      </c>
      <c r="I166" s="138"/>
      <c r="J166" s="193">
        <f ca="1">ROUND(H166/$H$171,4)</f>
        <v>0.47489999999999999</v>
      </c>
      <c r="K166" s="138"/>
      <c r="L166" s="1106">
        <v>9.9</v>
      </c>
      <c r="M166" s="289"/>
      <c r="N166" s="144">
        <f ca="1">ROUND(L166*J166,2)</f>
        <v>4.7</v>
      </c>
      <c r="O166" s="138"/>
      <c r="P166" s="171">
        <v>11</v>
      </c>
      <c r="Q166" s="138"/>
      <c r="R166" s="144">
        <f ca="1">ROUND(P166*J166,2)</f>
        <v>5.22</v>
      </c>
      <c r="S166" s="138"/>
      <c r="T166" s="145">
        <v>12</v>
      </c>
      <c r="U166" s="138"/>
      <c r="V166" s="144">
        <f ca="1">ROUND(T166*J166,2)</f>
        <v>5.7</v>
      </c>
      <c r="W166" s="86"/>
      <c r="X166" s="177">
        <f ca="1">H166/SUM($H$160,$H$162,$H$166)</f>
        <v>0.54673200262900779</v>
      </c>
      <c r="Y166" s="1093">
        <f ca="1">L166*X166</f>
        <v>5.4126468260271769</v>
      </c>
      <c r="Z166" s="3"/>
      <c r="AA166" s="1093">
        <f ca="1">P166*X166</f>
        <v>6.0140520289190853</v>
      </c>
      <c r="AB166" s="3"/>
      <c r="AC166" s="1093">
        <f ca="1">T166*X166</f>
        <v>6.5607840315480939</v>
      </c>
    </row>
    <row r="167" spans="1:34" ht="6" customHeight="1">
      <c r="A167" s="137"/>
      <c r="B167" s="143"/>
      <c r="C167" s="143"/>
      <c r="D167" s="143"/>
      <c r="E167" s="143"/>
      <c r="F167" s="143"/>
      <c r="G167" s="143"/>
      <c r="H167" s="143"/>
      <c r="I167" s="138"/>
      <c r="J167" s="194"/>
      <c r="K167" s="138"/>
      <c r="L167" s="144"/>
      <c r="M167" s="138"/>
      <c r="N167" s="144"/>
      <c r="O167" s="138"/>
      <c r="P167" s="144"/>
      <c r="Q167" s="138"/>
      <c r="R167" s="144"/>
      <c r="S167" s="138"/>
      <c r="T167" s="144"/>
      <c r="U167" s="138"/>
      <c r="V167" s="144"/>
      <c r="W167" s="86"/>
    </row>
    <row r="168" spans="1:34" ht="13.9" customHeight="1">
      <c r="A168" s="137" t="s">
        <v>786</v>
      </c>
      <c r="B168" s="143">
        <f ca="1">Reconcil!C145+Reconcil!C146+Reconcil!C148-Reconcil!C92</f>
        <v>301187.4384615384</v>
      </c>
      <c r="C168" s="143"/>
      <c r="D168" s="143">
        <f ca="1">Reconcil!H43</f>
        <v>-7062.7823601965665</v>
      </c>
      <c r="E168" s="143"/>
      <c r="F168" s="143">
        <f ca="1">ROUND(Reconcil!$K$43*'Cap Str 54.7%'!B28,9)+ROUND(Reconcil!$J$43*'Cap Str 54.7%'!C39,9)</f>
        <v>-13884.465361053</v>
      </c>
      <c r="G168" s="143"/>
      <c r="H168" s="143">
        <f ca="1">B168+D168+F168</f>
        <v>280240.19074028882</v>
      </c>
      <c r="I168" s="138"/>
      <c r="J168" s="193">
        <f ca="1">ROUND(H168/$H$171,4)</f>
        <v>0.11840000000000001</v>
      </c>
      <c r="K168" s="138"/>
      <c r="L168" s="144"/>
      <c r="M168" s="138"/>
      <c r="N168" s="144"/>
      <c r="O168" s="138"/>
      <c r="P168" s="144"/>
      <c r="Q168" s="138"/>
      <c r="R168" s="144"/>
      <c r="S168" s="138"/>
      <c r="T168" s="144"/>
      <c r="U168" s="138"/>
      <c r="V168" s="144"/>
      <c r="W168" s="86"/>
    </row>
    <row r="169" spans="1:34" ht="6" customHeight="1">
      <c r="A169" s="137"/>
      <c r="B169" s="143"/>
      <c r="C169" s="143"/>
      <c r="D169" s="143"/>
      <c r="E169" s="143"/>
      <c r="F169" s="143"/>
      <c r="G169" s="143"/>
      <c r="H169" s="143"/>
      <c r="I169" s="138"/>
      <c r="J169" s="194"/>
      <c r="K169" s="138"/>
      <c r="L169" s="144"/>
      <c r="M169" s="138"/>
      <c r="N169" s="144"/>
      <c r="O169" s="138"/>
      <c r="P169" s="144"/>
      <c r="Q169" s="138"/>
      <c r="R169" s="144"/>
      <c r="S169" s="138"/>
      <c r="T169" s="144"/>
      <c r="U169" s="138"/>
      <c r="V169" s="144"/>
      <c r="W169" s="86"/>
    </row>
    <row r="170" spans="1:34" ht="13.9" customHeight="1">
      <c r="A170" s="137" t="s">
        <v>787</v>
      </c>
      <c r="B170" s="146">
        <f ca="1">Reconcil!C147</f>
        <v>3313.3000000000006</v>
      </c>
      <c r="C170" s="143"/>
      <c r="D170" s="146">
        <f>Reconcil!I43</f>
        <v>0</v>
      </c>
      <c r="E170" s="143"/>
      <c r="F170" s="146">
        <f ca="1">ROUND(Reconcil!$K$43*'Cap Str 54.7%'!B29,9)+ROUND(Reconcil!$J$43*'Cap Str 54.7%'!C40,9)</f>
        <v>-156.40782956000001</v>
      </c>
      <c r="G170" s="143"/>
      <c r="H170" s="146">
        <f ca="1">B170+D170+F170</f>
        <v>3156.8921704400004</v>
      </c>
      <c r="I170" s="138"/>
      <c r="J170" s="195">
        <f ca="1">ROUND(H170/$H$171,4)</f>
        <v>1.2999999999999999E-3</v>
      </c>
      <c r="K170" s="138"/>
      <c r="L170" s="144">
        <f ca="1">SUM(Y160:Y166)</f>
        <v>7.8902992560939387</v>
      </c>
      <c r="M170" s="138"/>
      <c r="N170" s="1105">
        <f ca="1">ROUND(L170*$J$170,2)</f>
        <v>0.01</v>
      </c>
      <c r="O170" s="138"/>
      <c r="P170" s="144">
        <f ca="1">SUM(AA160:AA166)</f>
        <v>8.491704458985847</v>
      </c>
      <c r="Q170" s="138"/>
      <c r="R170" s="1105">
        <f ca="1">ROUND(P170*$J$170,2)</f>
        <v>0.01</v>
      </c>
      <c r="S170" s="138"/>
      <c r="T170" s="144">
        <f ca="1">SUM(AC160:AC166)</f>
        <v>9.0384364616148556</v>
      </c>
      <c r="U170" s="138"/>
      <c r="V170" s="1105">
        <f ca="1">ROUND(T170*$J$170,2)</f>
        <v>0.01</v>
      </c>
      <c r="W170" s="86"/>
    </row>
    <row r="171" spans="1:34" ht="15.95" customHeight="1" thickBot="1">
      <c r="A171" s="137" t="s">
        <v>230</v>
      </c>
      <c r="B171" s="148">
        <f ca="1">SUM(B160:B170)</f>
        <v>2509268.1800622349</v>
      </c>
      <c r="C171" s="138"/>
      <c r="D171" s="148">
        <f ca="1">SUM(D160:D170)</f>
        <v>-11802.79457634515</v>
      </c>
      <c r="E171" s="138"/>
      <c r="F171" s="148">
        <f ca="1">H171-D171-B171</f>
        <v>-130677.36630884046</v>
      </c>
      <c r="G171" s="138"/>
      <c r="H171" s="148">
        <f ca="1">T92</f>
        <v>2366788.0191770494</v>
      </c>
      <c r="I171" s="138"/>
      <c r="J171" s="196">
        <f ca="1">SUM(J160:J170)</f>
        <v>1.0000000000000002</v>
      </c>
      <c r="K171" s="138"/>
      <c r="L171" s="144"/>
      <c r="M171" s="144"/>
      <c r="N171" s="1104">
        <f ca="1">SUM(N160:N170)</f>
        <v>6.89</v>
      </c>
      <c r="O171" s="144"/>
      <c r="P171" s="144"/>
      <c r="Q171" s="144"/>
      <c r="R171" s="1104">
        <f ca="1">SUM(R160:R170)</f>
        <v>7.4099999999999993</v>
      </c>
      <c r="S171" s="144"/>
      <c r="T171" s="144"/>
      <c r="U171" s="144"/>
      <c r="V171" s="1104">
        <f ca="1">SUM(V160:V170)</f>
        <v>7.89</v>
      </c>
      <c r="W171" s="86"/>
    </row>
    <row r="172" spans="1:34" ht="9" customHeight="1" thickTop="1">
      <c r="A172" s="137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86"/>
    </row>
    <row r="173" spans="1:34">
      <c r="A173" s="137"/>
      <c r="B173" s="143">
        <f ca="1">+B171-T55</f>
        <v>0.27692307624965906</v>
      </c>
      <c r="C173" s="138"/>
      <c r="D173" s="143">
        <f ca="1">+D171-SUM(Reconcil!D43:I43)</f>
        <v>0</v>
      </c>
      <c r="E173" s="138"/>
      <c r="F173" s="143">
        <f ca="1">+F171-Reconcil!K43-Reconcil!J43</f>
        <v>-0.27692307629331481</v>
      </c>
      <c r="G173" s="138"/>
      <c r="H173" s="143">
        <f ca="1">H171-T92</f>
        <v>0</v>
      </c>
      <c r="I173" s="138"/>
      <c r="J173" s="457">
        <f ca="1">1-J171</f>
        <v>0</v>
      </c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3"/>
    </row>
    <row r="174" spans="1:34">
      <c r="A174" s="137"/>
      <c r="B174" s="138"/>
      <c r="C174" s="138"/>
      <c r="D174" s="138"/>
      <c r="E174" s="138"/>
      <c r="F174" s="143">
        <f ca="1">SUM(F160:F170)-F171</f>
        <v>0.27692307643883396</v>
      </c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3"/>
      <c r="Y174" s="3"/>
      <c r="Z174" s="3"/>
      <c r="AA174" s="138"/>
      <c r="AB174" s="3"/>
      <c r="AC174" s="3"/>
      <c r="AD174" s="3"/>
      <c r="AE174" s="138"/>
      <c r="AF174" s="3"/>
      <c r="AG174" s="3"/>
      <c r="AH174" s="138"/>
    </row>
    <row r="175" spans="1:34">
      <c r="A175" s="137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3"/>
      <c r="AC175" s="3"/>
      <c r="AD175" s="3"/>
      <c r="AE175" s="138"/>
      <c r="AF175" s="3"/>
      <c r="AG175" s="3"/>
      <c r="AH175" s="138"/>
    </row>
    <row r="176" spans="1:34" ht="15">
      <c r="A176" s="150" t="s">
        <v>232</v>
      </c>
      <c r="B176" s="151"/>
      <c r="C176" s="92"/>
      <c r="D176" s="14"/>
      <c r="E176" s="151"/>
      <c r="F176" s="151"/>
      <c r="G176" s="151"/>
      <c r="H176" s="151"/>
      <c r="I176" s="126"/>
      <c r="J176" s="14"/>
      <c r="K176" s="151"/>
      <c r="L176" s="86" t="s">
        <v>788</v>
      </c>
      <c r="M176" s="136"/>
      <c r="N176" s="153"/>
      <c r="O176" s="153"/>
      <c r="P176" s="138"/>
      <c r="Q176" s="3"/>
      <c r="R176" s="132"/>
      <c r="S176" s="3"/>
      <c r="T176" s="259"/>
      <c r="U176" s="3"/>
      <c r="V176" s="138"/>
      <c r="W176" s="138"/>
      <c r="X176" s="138"/>
      <c r="Y176" s="138"/>
      <c r="Z176" s="138"/>
      <c r="AA176" s="138"/>
      <c r="AB176" s="3"/>
      <c r="AC176" s="3"/>
      <c r="AD176" s="3"/>
      <c r="AE176" s="138"/>
      <c r="AF176" s="3"/>
      <c r="AG176" s="3"/>
      <c r="AH176" s="138"/>
    </row>
    <row r="177" spans="1:94" ht="15">
      <c r="A177" s="90" t="s">
        <v>789</v>
      </c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2"/>
      <c r="M177" s="128"/>
      <c r="N177" s="153"/>
      <c r="O177" s="153"/>
      <c r="P177" s="138"/>
      <c r="Q177" s="3"/>
      <c r="R177" s="132"/>
      <c r="S177" s="3"/>
      <c r="T177" s="259"/>
      <c r="U177" s="3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3"/>
      <c r="AG177" s="3"/>
      <c r="AH177" s="138"/>
    </row>
    <row r="178" spans="1:94" ht="15">
      <c r="A178" s="90" t="s">
        <v>770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2"/>
      <c r="M178" s="128"/>
      <c r="N178" s="153"/>
      <c r="O178" s="153"/>
      <c r="P178" s="138"/>
      <c r="Q178" s="3"/>
      <c r="R178" s="132"/>
      <c r="S178" s="3"/>
      <c r="T178" s="259"/>
      <c r="U178" s="3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3"/>
      <c r="AG178" s="3"/>
      <c r="AH178" s="138"/>
    </row>
    <row r="179" spans="1:94" ht="15">
      <c r="A179" s="116" t="str">
        <f>A3</f>
        <v>2024 Budget</v>
      </c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2"/>
      <c r="M179" s="128"/>
      <c r="N179" s="3"/>
      <c r="O179" s="3"/>
      <c r="P179" s="132"/>
      <c r="Q179" s="3"/>
      <c r="R179" s="132"/>
      <c r="S179" s="3"/>
      <c r="T179" s="259"/>
      <c r="U179" s="3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</row>
    <row r="180" spans="1:94">
      <c r="A180" s="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32"/>
      <c r="Q180" s="3"/>
      <c r="R180" s="132"/>
      <c r="S180" s="3"/>
      <c r="T180" s="259"/>
      <c r="U180" s="3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</row>
    <row r="181" spans="1:94">
      <c r="A181" s="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32"/>
      <c r="Q181" s="3"/>
      <c r="R181" s="132"/>
      <c r="S181" s="3"/>
      <c r="T181" s="259"/>
      <c r="U181" s="3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</row>
    <row r="182" spans="1:94">
      <c r="A182" s="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32"/>
      <c r="Q182" s="3"/>
      <c r="R182" s="132"/>
      <c r="S182" s="3"/>
      <c r="T182" s="259"/>
      <c r="U182" s="3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</row>
    <row r="183" spans="1:94">
      <c r="A183" s="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32"/>
      <c r="Q183" s="3"/>
      <c r="R183" s="132"/>
      <c r="S183" s="3"/>
      <c r="T183" s="259"/>
      <c r="U183" s="3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</row>
    <row r="184" spans="1:94" ht="15.75">
      <c r="A184" s="104" t="s">
        <v>790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169"/>
      <c r="Q184" s="3"/>
      <c r="R184" s="3"/>
      <c r="S184" s="3"/>
      <c r="T184" s="3"/>
      <c r="U184" s="3"/>
      <c r="V184" s="138"/>
      <c r="W184" s="3"/>
      <c r="X184" s="3"/>
      <c r="Y184" s="3"/>
      <c r="Z184" s="3"/>
      <c r="AC184" s="68"/>
      <c r="AD184" s="138"/>
      <c r="AE184" s="68"/>
      <c r="AF184" s="68"/>
      <c r="AG184" s="3"/>
    </row>
    <row r="185" spans="1:94" ht="12.95" customHeight="1">
      <c r="A185" s="104" t="s">
        <v>791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3"/>
      <c r="Q185" s="3"/>
      <c r="R185" s="3"/>
      <c r="S185" s="3"/>
      <c r="T185" s="3"/>
      <c r="U185" s="3"/>
      <c r="V185" s="138"/>
      <c r="W185" s="3"/>
      <c r="X185" s="3"/>
      <c r="Y185" s="3"/>
      <c r="Z185" s="3"/>
      <c r="AC185" s="68"/>
      <c r="AD185" s="138"/>
      <c r="AE185" s="68"/>
      <c r="AF185" s="68"/>
      <c r="AG185" s="3"/>
      <c r="BE185" s="3"/>
      <c r="BF185" s="3"/>
      <c r="BG185" s="3"/>
      <c r="BH185" s="3"/>
      <c r="BI185" s="3"/>
      <c r="BJ185" s="3"/>
      <c r="BK185" s="3"/>
      <c r="BL185" s="3"/>
      <c r="CI185" s="3"/>
      <c r="CJ185" s="3"/>
      <c r="CK185" s="3"/>
      <c r="CL185" s="3"/>
      <c r="CM185" s="3"/>
      <c r="CN185" s="3"/>
      <c r="CO185" s="3"/>
      <c r="CP185" s="3"/>
    </row>
    <row r="186" spans="1:94" ht="12.95" customHeight="1">
      <c r="A186" s="94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3"/>
      <c r="Q186" s="3"/>
      <c r="R186" s="3"/>
      <c r="S186" s="3"/>
      <c r="T186" s="3"/>
      <c r="U186" s="3"/>
      <c r="V186" s="138"/>
      <c r="W186" s="3"/>
      <c r="X186" s="3"/>
      <c r="Y186" s="3"/>
      <c r="Z186" s="3"/>
      <c r="AA186" s="536"/>
      <c r="AB186" s="190"/>
      <c r="AC186" s="3"/>
      <c r="AD186" s="3"/>
      <c r="AE186" s="3"/>
      <c r="AF186" s="3"/>
      <c r="AG186" s="3"/>
      <c r="BE186" s="3"/>
      <c r="BF186" s="3"/>
      <c r="BG186" s="3"/>
      <c r="BH186" s="3"/>
      <c r="BI186" s="3"/>
      <c r="BJ186" s="3"/>
      <c r="BK186" s="3"/>
      <c r="BL186" s="3"/>
      <c r="CI186" s="3"/>
      <c r="CJ186" s="3"/>
      <c r="CK186" s="3"/>
      <c r="CL186" s="3"/>
      <c r="CM186" s="3"/>
      <c r="CN186" s="3"/>
      <c r="CO186" s="3"/>
      <c r="CP186" s="3"/>
    </row>
    <row r="187" spans="1:94" ht="12.95" customHeight="1">
      <c r="A187" s="94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3"/>
      <c r="Q187" s="3"/>
      <c r="R187" s="3"/>
      <c r="S187" s="3"/>
      <c r="T187" s="3"/>
      <c r="U187" s="3"/>
      <c r="V187" s="138"/>
      <c r="W187" s="3"/>
      <c r="X187" s="3"/>
      <c r="Y187" s="3"/>
      <c r="Z187" s="3"/>
      <c r="AA187" s="536"/>
      <c r="AB187" s="190"/>
      <c r="AC187" s="3"/>
      <c r="AD187" s="3"/>
      <c r="AE187" s="3"/>
      <c r="AF187" s="3"/>
      <c r="AG187" s="3"/>
      <c r="BE187" s="3"/>
      <c r="BF187" s="3"/>
      <c r="BG187" s="3"/>
      <c r="BH187" s="3"/>
      <c r="BI187" s="3"/>
      <c r="BJ187" s="3"/>
      <c r="BK187" s="3"/>
      <c r="BL187" s="3"/>
      <c r="CI187" s="3"/>
      <c r="CJ187" s="3"/>
      <c r="CK187" s="3"/>
      <c r="CL187" s="3"/>
      <c r="CM187" s="3"/>
      <c r="CN187" s="3"/>
      <c r="CO187" s="3"/>
      <c r="CP187" s="3"/>
    </row>
    <row r="188" spans="1:94" ht="12.95" customHeight="1">
      <c r="A188" s="94" t="s">
        <v>792</v>
      </c>
      <c r="B188" s="86"/>
      <c r="C188" s="86"/>
      <c r="D188" s="86"/>
      <c r="E188" s="86"/>
      <c r="F188" s="86"/>
      <c r="G188" s="86"/>
      <c r="H188" s="99">
        <f ca="1">J16</f>
        <v>3.0564</v>
      </c>
      <c r="I188" s="86" t="s">
        <v>105</v>
      </c>
      <c r="J188" s="86" t="s">
        <v>793</v>
      </c>
      <c r="K188" s="86"/>
      <c r="L188" s="86"/>
      <c r="M188" s="86"/>
      <c r="N188" s="86"/>
      <c r="O188" s="86"/>
      <c r="P188" s="3"/>
      <c r="Q188" s="3"/>
      <c r="R188" s="3"/>
      <c r="S188" s="3"/>
      <c r="T188" s="3"/>
      <c r="U188" s="3"/>
      <c r="V188" s="138"/>
      <c r="W188" s="3"/>
      <c r="X188" s="3"/>
      <c r="Y188" s="3"/>
      <c r="Z188" s="3"/>
      <c r="AA188" s="536"/>
      <c r="AB188" s="190"/>
      <c r="AC188" s="3"/>
      <c r="AD188" s="3"/>
      <c r="AE188" s="3"/>
      <c r="AF188" s="3"/>
      <c r="AG188" s="3"/>
      <c r="BE188" s="3"/>
      <c r="BF188" s="3"/>
      <c r="BG188" s="3"/>
      <c r="BH188" s="3"/>
      <c r="BI188" s="3"/>
      <c r="BJ188" s="3"/>
      <c r="BK188" s="3"/>
      <c r="BL188" s="3"/>
      <c r="CI188" s="3"/>
      <c r="CJ188" s="3"/>
      <c r="CK188" s="3"/>
      <c r="CL188" s="3"/>
      <c r="CM188" s="3"/>
      <c r="CN188" s="3"/>
      <c r="CO188" s="3"/>
      <c r="CP188" s="3"/>
    </row>
    <row r="189" spans="1:94" ht="12.95" customHeight="1">
      <c r="A189" s="94" t="s">
        <v>794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3"/>
      <c r="Q189" s="3"/>
      <c r="R189" s="3"/>
      <c r="S189" s="3"/>
      <c r="T189" s="3"/>
      <c r="U189" s="3"/>
      <c r="V189" s="138"/>
      <c r="W189" s="3"/>
      <c r="X189" s="3"/>
      <c r="Y189" s="3"/>
      <c r="Z189" s="3"/>
      <c r="AA189" s="190"/>
      <c r="AB189" s="190"/>
      <c r="AC189" s="3"/>
      <c r="AD189" s="3"/>
      <c r="AE189" s="3"/>
      <c r="AF189" s="3"/>
      <c r="AG189" s="3"/>
      <c r="BE189" s="3"/>
      <c r="BF189" s="3"/>
      <c r="BG189" s="3"/>
      <c r="BH189" s="3"/>
      <c r="BI189" s="3"/>
      <c r="BJ189" s="3"/>
      <c r="BK189" s="3"/>
      <c r="BL189" s="3"/>
      <c r="CI189" s="3"/>
      <c r="CJ189" s="3"/>
      <c r="CK189" s="3"/>
      <c r="CL189" s="3"/>
      <c r="CM189" s="3"/>
      <c r="CN189" s="3"/>
      <c r="CO189" s="3"/>
      <c r="CP189" s="3"/>
    </row>
    <row r="190" spans="1:94" ht="12.95" customHeight="1">
      <c r="A190" s="94" t="s">
        <v>795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BE190" s="3"/>
      <c r="BF190" s="3"/>
      <c r="BG190" s="3"/>
      <c r="BH190" s="3"/>
      <c r="BI190" s="3"/>
      <c r="BJ190" s="3"/>
      <c r="BK190" s="3"/>
      <c r="BL190" s="3"/>
      <c r="CI190" s="3"/>
      <c r="CJ190" s="3"/>
      <c r="CK190" s="3"/>
      <c r="CL190" s="3"/>
      <c r="CM190" s="3"/>
      <c r="CN190" s="3"/>
      <c r="CO190" s="3"/>
      <c r="CP190" s="3"/>
    </row>
    <row r="191" spans="1:94" ht="12.95" customHeight="1">
      <c r="A191" s="94" t="s">
        <v>782</v>
      </c>
      <c r="B191" s="86"/>
      <c r="C191" s="86"/>
      <c r="D191" s="86"/>
      <c r="E191" s="86"/>
      <c r="F191" s="86"/>
      <c r="G191" s="86"/>
      <c r="H191" s="155">
        <f ca="1">-R160</f>
        <v>-1.95</v>
      </c>
      <c r="I191" s="86" t="s">
        <v>105</v>
      </c>
      <c r="J191" s="86"/>
      <c r="K191" s="86"/>
      <c r="L191" s="86"/>
      <c r="M191" s="86"/>
      <c r="N191" s="86"/>
      <c r="O191" s="8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BE191" s="3"/>
      <c r="BF191" s="3"/>
      <c r="BG191" s="3"/>
      <c r="BH191" s="3"/>
      <c r="BI191" s="3"/>
      <c r="BJ191" s="3"/>
      <c r="BK191" s="3"/>
      <c r="BL191" s="3"/>
      <c r="CI191" s="3"/>
      <c r="CJ191" s="3"/>
      <c r="CK191" s="3"/>
      <c r="CL191" s="3"/>
      <c r="CM191" s="3"/>
      <c r="CN191" s="3"/>
      <c r="CO191" s="3"/>
      <c r="CP191" s="3"/>
    </row>
    <row r="192" spans="1:94" ht="12.95" customHeight="1">
      <c r="A192" s="94" t="s">
        <v>783</v>
      </c>
      <c r="B192" s="86"/>
      <c r="C192" s="86"/>
      <c r="D192" s="86"/>
      <c r="E192" s="86"/>
      <c r="F192" s="86"/>
      <c r="G192" s="86"/>
      <c r="H192" s="155">
        <f ca="1">-R162</f>
        <v>-0.2</v>
      </c>
      <c r="I192" s="86" t="s">
        <v>105</v>
      </c>
      <c r="J192" s="86"/>
      <c r="K192" s="86"/>
      <c r="L192" s="86"/>
      <c r="M192" s="86"/>
      <c r="N192" s="86"/>
      <c r="O192" s="8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BE192" s="3"/>
      <c r="BF192" s="3"/>
      <c r="BG192" s="3"/>
      <c r="BH192" s="3"/>
      <c r="BI192" s="3"/>
      <c r="BJ192" s="3"/>
      <c r="BK192" s="3"/>
      <c r="BL192" s="3"/>
      <c r="CI192" s="3"/>
      <c r="CJ192" s="3"/>
      <c r="CK192" s="3"/>
      <c r="CL192" s="3"/>
      <c r="CM192" s="3"/>
      <c r="CN192" s="3"/>
      <c r="CO192" s="3"/>
      <c r="CP192" s="3"/>
    </row>
    <row r="193" spans="1:94" ht="12.95" customHeight="1">
      <c r="A193" s="94" t="s">
        <v>796</v>
      </c>
      <c r="B193" s="86"/>
      <c r="C193" s="86"/>
      <c r="D193" s="86"/>
      <c r="E193" s="86"/>
      <c r="F193" s="86"/>
      <c r="G193" s="86"/>
      <c r="H193" s="156">
        <v>0</v>
      </c>
      <c r="I193" s="86" t="s">
        <v>105</v>
      </c>
      <c r="J193" s="86"/>
      <c r="K193" s="86"/>
      <c r="L193" s="86"/>
      <c r="M193" s="86"/>
      <c r="N193" s="86"/>
      <c r="O193" s="8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BE193" s="3"/>
      <c r="BF193" s="3"/>
      <c r="BG193" s="3"/>
      <c r="BH193" s="3"/>
      <c r="BI193" s="3"/>
      <c r="BJ193" s="3"/>
      <c r="BK193" s="3"/>
      <c r="BL193" s="3"/>
      <c r="CI193" s="3"/>
      <c r="CJ193" s="3"/>
      <c r="CK193" s="3"/>
      <c r="CL193" s="3"/>
      <c r="CM193" s="3"/>
      <c r="CN193" s="3"/>
      <c r="CO193" s="3"/>
      <c r="CP193" s="3"/>
    </row>
    <row r="194" spans="1:94" ht="12.95" customHeight="1">
      <c r="A194" s="94" t="s">
        <v>784</v>
      </c>
      <c r="B194" s="86"/>
      <c r="C194" s="86"/>
      <c r="D194" s="86"/>
      <c r="E194" s="86"/>
      <c r="F194" s="86"/>
      <c r="G194" s="86"/>
      <c r="H194" s="155">
        <f ca="1">-R164</f>
        <v>-0.03</v>
      </c>
      <c r="I194" s="86" t="s">
        <v>105</v>
      </c>
      <c r="J194" s="86"/>
      <c r="K194" s="86"/>
      <c r="L194" s="86"/>
      <c r="M194" s="86"/>
      <c r="N194" s="86"/>
      <c r="O194" s="8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BE194" s="3"/>
      <c r="BF194" s="3"/>
      <c r="BG194" s="3"/>
      <c r="BH194" s="3"/>
      <c r="BI194" s="3"/>
      <c r="BJ194" s="3"/>
      <c r="BK194" s="3"/>
      <c r="BL194" s="3"/>
      <c r="CI194" s="3"/>
      <c r="CJ194" s="3"/>
      <c r="CK194" s="3"/>
      <c r="CL194" s="3"/>
      <c r="CM194" s="3"/>
      <c r="CN194" s="3"/>
      <c r="CO194" s="3"/>
      <c r="CP194" s="3"/>
    </row>
    <row r="195" spans="1:94" ht="12.95" customHeight="1">
      <c r="A195" s="94" t="s">
        <v>797</v>
      </c>
      <c r="B195" s="86"/>
      <c r="C195" s="86"/>
      <c r="D195" s="86"/>
      <c r="E195" s="86"/>
      <c r="F195" s="86"/>
      <c r="G195" s="86"/>
      <c r="H195" s="156">
        <v>0</v>
      </c>
      <c r="I195" s="86" t="s">
        <v>105</v>
      </c>
      <c r="J195" s="86"/>
      <c r="K195" s="86"/>
      <c r="L195" s="86"/>
      <c r="M195" s="86"/>
      <c r="N195" s="86"/>
      <c r="O195" s="8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BE195" s="3"/>
      <c r="BF195" s="3"/>
      <c r="BG195" s="3"/>
      <c r="BH195" s="3"/>
      <c r="BI195" s="3"/>
      <c r="BJ195" s="3"/>
      <c r="BK195" s="3"/>
      <c r="BL195" s="3"/>
      <c r="CI195" s="3"/>
      <c r="CJ195" s="3"/>
      <c r="CK195" s="3"/>
      <c r="CL195" s="3"/>
      <c r="CM195" s="3"/>
      <c r="CN195" s="3"/>
      <c r="CO195" s="3"/>
      <c r="CP195" s="3"/>
    </row>
    <row r="196" spans="1:94" ht="12.95" customHeight="1">
      <c r="A196" s="94" t="s">
        <v>798</v>
      </c>
      <c r="B196" s="86"/>
      <c r="C196" s="86"/>
      <c r="D196" s="86"/>
      <c r="E196" s="86"/>
      <c r="F196" s="86"/>
      <c r="G196" s="86"/>
      <c r="H196" s="157">
        <f ca="1">SUM(H191:H195)</f>
        <v>-2.1799999999999997</v>
      </c>
      <c r="I196" s="86" t="s">
        <v>105</v>
      </c>
      <c r="J196" s="86"/>
      <c r="K196" s="86"/>
      <c r="L196" s="86"/>
      <c r="M196" s="86"/>
      <c r="N196" s="86"/>
      <c r="O196" s="8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BE196" s="3"/>
      <c r="BF196" s="3"/>
      <c r="BG196" s="3"/>
      <c r="BH196" s="3"/>
      <c r="BI196" s="3"/>
      <c r="BJ196" s="3"/>
      <c r="BK196" s="3"/>
      <c r="BL196" s="3"/>
      <c r="CI196" s="3"/>
      <c r="CJ196" s="3"/>
      <c r="CK196" s="3"/>
      <c r="CL196" s="3"/>
      <c r="CM196" s="3"/>
      <c r="CN196" s="3"/>
      <c r="CO196" s="3"/>
      <c r="CP196" s="3"/>
    </row>
    <row r="197" spans="1:94" ht="12.95" customHeight="1">
      <c r="A197" s="94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BE197" s="3"/>
      <c r="BF197" s="3"/>
      <c r="BG197" s="3"/>
      <c r="BH197" s="3"/>
      <c r="BI197" s="3"/>
      <c r="BJ197" s="3"/>
      <c r="BK197" s="3"/>
      <c r="BL197" s="3"/>
      <c r="CI197" s="3"/>
      <c r="CJ197" s="3"/>
      <c r="CK197" s="3"/>
      <c r="CL197" s="3"/>
      <c r="CM197" s="3"/>
      <c r="CN197" s="3"/>
      <c r="CO197" s="3"/>
      <c r="CP197" s="3"/>
    </row>
    <row r="198" spans="1:94" ht="12.95" customHeight="1">
      <c r="A198" s="94" t="s">
        <v>230</v>
      </c>
      <c r="B198" s="86"/>
      <c r="C198" s="86"/>
      <c r="D198" s="86"/>
      <c r="E198" s="86"/>
      <c r="F198" s="86"/>
      <c r="G198" s="86"/>
      <c r="H198" s="155">
        <f ca="1">ROUND(H188+H196,4)</f>
        <v>0.87639999999999996</v>
      </c>
      <c r="I198" s="86" t="s">
        <v>105</v>
      </c>
      <c r="J198" s="86"/>
      <c r="K198" s="86"/>
      <c r="L198" s="86"/>
      <c r="M198" s="86"/>
      <c r="N198" s="86"/>
      <c r="O198" s="8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BE198" s="3"/>
      <c r="BF198" s="3"/>
      <c r="BG198" s="3"/>
      <c r="BH198" s="3"/>
      <c r="BI198" s="3"/>
      <c r="BJ198" s="3"/>
      <c r="BK198" s="3"/>
      <c r="BL198" s="3"/>
      <c r="CI198" s="3"/>
      <c r="CJ198" s="3"/>
      <c r="CK198" s="3"/>
      <c r="CL198" s="3"/>
      <c r="CM198" s="3"/>
      <c r="CN198" s="3"/>
      <c r="CO198" s="3"/>
      <c r="CP198" s="3"/>
    </row>
    <row r="199" spans="1:94" ht="12.95" customHeight="1">
      <c r="A199" s="94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BE199" s="3"/>
      <c r="BF199" s="3"/>
      <c r="BG199" s="3"/>
      <c r="BH199" s="3"/>
      <c r="BI199" s="3"/>
      <c r="BJ199" s="3"/>
      <c r="BK199" s="3"/>
      <c r="BL199" s="3"/>
      <c r="CI199" s="3"/>
      <c r="CJ199" s="3"/>
      <c r="CK199" s="3"/>
      <c r="CL199" s="3"/>
      <c r="CM199" s="3"/>
      <c r="CN199" s="3"/>
      <c r="CO199" s="3"/>
      <c r="CP199" s="3"/>
    </row>
    <row r="200" spans="1:94" ht="12.95" customHeight="1">
      <c r="A200" s="94" t="s">
        <v>799</v>
      </c>
      <c r="B200" s="86"/>
      <c r="C200" s="86"/>
      <c r="D200" s="86"/>
      <c r="E200" s="86"/>
      <c r="F200" s="86"/>
      <c r="G200" s="86"/>
      <c r="H200" s="158">
        <f ca="1">ROUND(J166*100,4)</f>
        <v>47.49</v>
      </c>
      <c r="I200" s="86" t="s">
        <v>105</v>
      </c>
      <c r="J200" s="86"/>
      <c r="K200" s="86"/>
      <c r="L200" s="86"/>
      <c r="M200" s="86"/>
      <c r="N200" s="86"/>
      <c r="O200" s="8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BE200" s="3"/>
      <c r="BF200" s="3"/>
      <c r="BG200" s="3"/>
      <c r="BH200" s="3"/>
      <c r="BI200" s="3"/>
      <c r="BJ200" s="3"/>
      <c r="BK200" s="3"/>
      <c r="BL200" s="3"/>
      <c r="CI200" s="3"/>
      <c r="CJ200" s="3"/>
      <c r="CK200" s="3"/>
      <c r="CL200" s="3"/>
      <c r="CM200" s="3"/>
      <c r="CN200" s="3"/>
      <c r="CO200" s="3"/>
      <c r="CP200" s="3"/>
    </row>
    <row r="201" spans="1:94" ht="12.95" customHeight="1">
      <c r="A201" s="94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BE201" s="3"/>
      <c r="BF201" s="3"/>
      <c r="BG201" s="3"/>
      <c r="BH201" s="3"/>
      <c r="BI201" s="3"/>
      <c r="BJ201" s="3"/>
      <c r="BK201" s="3"/>
      <c r="BL201" s="3"/>
      <c r="CI201" s="3"/>
      <c r="CJ201" s="3"/>
      <c r="CK201" s="3"/>
      <c r="CL201" s="3"/>
      <c r="CM201" s="3"/>
      <c r="CN201" s="3"/>
      <c r="CO201" s="3"/>
      <c r="CP201" s="3"/>
    </row>
    <row r="202" spans="1:94" ht="12.95" customHeight="1" thickBot="1">
      <c r="A202" s="94" t="s">
        <v>800</v>
      </c>
      <c r="B202" s="86"/>
      <c r="C202" s="86"/>
      <c r="D202" s="86"/>
      <c r="E202" s="86"/>
      <c r="F202" s="86"/>
      <c r="G202" s="86"/>
      <c r="H202" s="159">
        <f ca="1">ROUND((H198)/(H200/100),4)</f>
        <v>1.8453999999999999</v>
      </c>
      <c r="I202" s="86" t="s">
        <v>105</v>
      </c>
      <c r="J202" s="86"/>
      <c r="K202" s="86"/>
      <c r="L202" s="86"/>
      <c r="M202" s="86"/>
      <c r="N202" s="86"/>
      <c r="O202" s="8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BE202" s="3"/>
      <c r="BF202" s="3"/>
      <c r="BG202" s="3"/>
      <c r="BH202" s="3"/>
      <c r="BI202" s="3"/>
      <c r="BJ202" s="3"/>
      <c r="BK202" s="3"/>
      <c r="BL202" s="3"/>
      <c r="CI202" s="3"/>
      <c r="CJ202" s="3"/>
      <c r="CK202" s="3"/>
      <c r="CL202" s="3"/>
      <c r="CM202" s="3"/>
      <c r="CN202" s="3"/>
      <c r="CO202" s="3"/>
      <c r="CP202" s="3"/>
    </row>
    <row r="203" spans="1:94" ht="12.95" customHeight="1" thickTop="1">
      <c r="A203" s="94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BE203" s="3"/>
      <c r="BF203" s="3"/>
      <c r="BG203" s="3"/>
      <c r="BH203" s="3"/>
      <c r="BI203" s="3"/>
      <c r="BJ203" s="3"/>
      <c r="BK203" s="3"/>
      <c r="BL203" s="3"/>
      <c r="CI203" s="3"/>
      <c r="CJ203" s="3"/>
      <c r="CK203" s="3"/>
      <c r="CL203" s="3"/>
      <c r="CM203" s="3"/>
      <c r="CN203" s="3"/>
      <c r="CO203" s="3"/>
      <c r="CP203" s="3"/>
    </row>
    <row r="204" spans="1:94">
      <c r="A204" s="94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BE204" s="3"/>
      <c r="BF204" s="3"/>
      <c r="BG204" s="3"/>
      <c r="BH204" s="3"/>
      <c r="BI204" s="3"/>
      <c r="BJ204" s="3"/>
      <c r="BK204" s="3"/>
      <c r="BL204" s="3"/>
      <c r="CI204" s="3"/>
      <c r="CJ204" s="3"/>
      <c r="CK204" s="3"/>
      <c r="CL204" s="3"/>
      <c r="CM204" s="3"/>
      <c r="CN204" s="3"/>
      <c r="CO204" s="3"/>
      <c r="CP204" s="3"/>
    </row>
    <row r="205" spans="1:94" ht="12.95" customHeight="1">
      <c r="A205" s="94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BE205" s="3"/>
      <c r="BF205" s="3"/>
      <c r="BG205" s="3"/>
      <c r="BH205" s="3"/>
      <c r="BI205" s="3"/>
      <c r="BJ205" s="3"/>
      <c r="BK205" s="3"/>
      <c r="BL205" s="3"/>
      <c r="CI205" s="3"/>
      <c r="CJ205" s="3"/>
      <c r="CK205" s="3"/>
      <c r="CL205" s="3"/>
      <c r="CM205" s="3"/>
      <c r="CN205" s="3"/>
      <c r="CO205" s="3"/>
      <c r="CP205" s="3"/>
    </row>
    <row r="206" spans="1:94" ht="12.95" customHeight="1">
      <c r="A206" s="94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BE206" s="3"/>
      <c r="BF206" s="3"/>
      <c r="BG206" s="3"/>
      <c r="BH206" s="3"/>
      <c r="BI206" s="3"/>
      <c r="BJ206" s="3"/>
      <c r="BK206" s="3"/>
      <c r="BL206" s="3"/>
      <c r="CI206" s="3"/>
      <c r="CJ206" s="3"/>
      <c r="CK206" s="3"/>
      <c r="CL206" s="3"/>
      <c r="CM206" s="3"/>
      <c r="CN206" s="3"/>
      <c r="CO206" s="3"/>
      <c r="CP206" s="3"/>
    </row>
    <row r="207" spans="1:94" ht="12.95" customHeight="1">
      <c r="A207" s="104" t="s">
        <v>801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BE207" s="3"/>
      <c r="BF207" s="3"/>
      <c r="BG207" s="3"/>
      <c r="BH207" s="3"/>
      <c r="BI207" s="3"/>
      <c r="BJ207" s="3"/>
      <c r="BK207" s="3"/>
      <c r="BL207" s="3"/>
      <c r="CI207" s="3"/>
      <c r="CJ207" s="3"/>
      <c r="CK207" s="3"/>
      <c r="CL207" s="3"/>
      <c r="CM207" s="3"/>
      <c r="CN207" s="3"/>
      <c r="CO207" s="3"/>
      <c r="CP207" s="3"/>
    </row>
    <row r="208" spans="1:94" ht="12.95" customHeight="1">
      <c r="A208" s="104" t="s">
        <v>802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BE208" s="3"/>
      <c r="BF208" s="3"/>
      <c r="BG208" s="3"/>
      <c r="BH208" s="3"/>
      <c r="BI208" s="3"/>
      <c r="BJ208" s="3"/>
      <c r="BK208" s="3"/>
      <c r="BL208" s="3"/>
      <c r="CI208" s="3"/>
      <c r="CJ208" s="3"/>
      <c r="CK208" s="3"/>
      <c r="CL208" s="3"/>
      <c r="CM208" s="3"/>
      <c r="CN208" s="3"/>
      <c r="CO208" s="3"/>
      <c r="CP208" s="3"/>
    </row>
    <row r="209" spans="1:94" ht="12.95" customHeight="1">
      <c r="A209" s="94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BE209" s="3"/>
      <c r="BF209" s="3"/>
      <c r="BG209" s="3"/>
      <c r="BH209" s="3"/>
      <c r="BI209" s="3"/>
      <c r="BJ209" s="3"/>
      <c r="BK209" s="3"/>
      <c r="BL209" s="3"/>
      <c r="CI209" s="3"/>
      <c r="CJ209" s="3"/>
      <c r="CK209" s="3"/>
      <c r="CL209" s="3"/>
      <c r="CM209" s="3"/>
      <c r="CN209" s="3"/>
      <c r="CO209" s="3"/>
      <c r="CP209" s="3"/>
    </row>
    <row r="210" spans="1:94" ht="12.95" customHeight="1">
      <c r="A210" s="94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BE210" s="3"/>
      <c r="BF210" s="3"/>
      <c r="BG210" s="3"/>
      <c r="BH210" s="3"/>
      <c r="BI210" s="3"/>
      <c r="BJ210" s="3"/>
      <c r="BK210" s="3"/>
      <c r="BL210" s="3"/>
      <c r="CI210" s="3"/>
      <c r="CJ210" s="3"/>
      <c r="CK210" s="3"/>
      <c r="CL210" s="3"/>
      <c r="CM210" s="3"/>
      <c r="CN210" s="3"/>
      <c r="CO210" s="3"/>
      <c r="CP210" s="3"/>
    </row>
    <row r="211" spans="1:94" ht="12.95" customHeight="1">
      <c r="A211" s="94" t="s">
        <v>803</v>
      </c>
      <c r="B211" s="86"/>
      <c r="C211" s="86"/>
      <c r="D211" s="86"/>
      <c r="E211" s="86"/>
      <c r="F211" s="86"/>
      <c r="G211" s="86" t="s">
        <v>676</v>
      </c>
      <c r="H211" s="86">
        <f ca="1">V132</f>
        <v>69569.162887602724</v>
      </c>
      <c r="I211" s="86"/>
      <c r="J211" s="86" t="s">
        <v>804</v>
      </c>
      <c r="K211" s="86"/>
      <c r="L211" s="86"/>
      <c r="M211" s="86"/>
      <c r="N211" s="86"/>
      <c r="O211" s="8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BE211" s="3"/>
      <c r="BF211" s="3"/>
      <c r="BG211" s="3"/>
      <c r="BH211" s="3"/>
      <c r="BI211" s="3"/>
      <c r="BJ211" s="3"/>
      <c r="BK211" s="3"/>
      <c r="BL211" s="3"/>
      <c r="CI211" s="3"/>
      <c r="CJ211" s="3"/>
      <c r="CK211" s="3"/>
      <c r="CL211" s="3"/>
      <c r="CM211" s="3"/>
      <c r="CN211" s="3"/>
      <c r="CO211" s="3"/>
      <c r="CP211" s="3"/>
    </row>
    <row r="212" spans="1:94" ht="12.95" customHeight="1">
      <c r="A212" s="94"/>
      <c r="B212" s="86"/>
      <c r="C212" s="86"/>
      <c r="D212" s="86"/>
      <c r="E212" s="86"/>
      <c r="F212" s="86"/>
      <c r="G212" s="86"/>
      <c r="H212" s="86"/>
      <c r="I212" s="86"/>
      <c r="J212" s="160"/>
      <c r="K212" s="86"/>
      <c r="L212" s="86"/>
      <c r="M212" s="86"/>
      <c r="N212" s="86"/>
      <c r="O212" s="8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BE212" s="3"/>
      <c r="BF212" s="3"/>
      <c r="BG212" s="3"/>
      <c r="BH212" s="3"/>
      <c r="BI212" s="3"/>
      <c r="BJ212" s="3"/>
      <c r="BK212" s="3"/>
      <c r="BL212" s="3"/>
      <c r="CI212" s="3"/>
      <c r="CJ212" s="3"/>
      <c r="CK212" s="3"/>
      <c r="CL212" s="3"/>
      <c r="CM212" s="3"/>
      <c r="CN212" s="3"/>
      <c r="CO212" s="3"/>
      <c r="CP212" s="3"/>
    </row>
    <row r="213" spans="1:94" ht="12.95" customHeight="1">
      <c r="A213" s="94" t="s">
        <v>805</v>
      </c>
      <c r="B213" s="86"/>
      <c r="C213" s="86"/>
      <c r="D213" s="86"/>
      <c r="E213" s="86"/>
      <c r="F213" s="86"/>
      <c r="G213" s="86" t="s">
        <v>676</v>
      </c>
      <c r="H213" s="98">
        <f ca="1">T83</f>
        <v>2366788.0191770494</v>
      </c>
      <c r="I213" s="86"/>
      <c r="J213" s="86" t="s">
        <v>806</v>
      </c>
      <c r="K213" s="86"/>
      <c r="L213" s="86"/>
      <c r="M213" s="86"/>
      <c r="N213" s="86"/>
      <c r="O213" s="8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BE213" s="3"/>
      <c r="BF213" s="3"/>
      <c r="BG213" s="3"/>
      <c r="BH213" s="3"/>
      <c r="BI213" s="3"/>
      <c r="BJ213" s="3"/>
      <c r="BK213" s="3"/>
      <c r="BL213" s="3"/>
      <c r="CI213" s="3"/>
      <c r="CJ213" s="3"/>
      <c r="CK213" s="3"/>
      <c r="CL213" s="3"/>
      <c r="CM213" s="3"/>
      <c r="CN213" s="3"/>
      <c r="CO213" s="3"/>
      <c r="CP213" s="3"/>
    </row>
    <row r="214" spans="1:94" ht="12.95" customHeight="1">
      <c r="A214" s="94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BE214" s="3"/>
      <c r="BF214" s="3"/>
      <c r="BG214" s="3"/>
      <c r="BH214" s="3"/>
      <c r="BI214" s="3"/>
      <c r="BJ214" s="3"/>
      <c r="BK214" s="3"/>
      <c r="BL214" s="3"/>
      <c r="CI214" s="3"/>
      <c r="CJ214" s="3"/>
      <c r="CK214" s="3"/>
      <c r="CL214" s="3"/>
      <c r="CM214" s="3"/>
      <c r="CN214" s="3"/>
      <c r="CO214" s="3"/>
      <c r="CP214" s="3"/>
    </row>
    <row r="215" spans="1:94" ht="12.95" customHeight="1">
      <c r="A215" s="94" t="s">
        <v>792</v>
      </c>
      <c r="B215" s="86"/>
      <c r="C215" s="86"/>
      <c r="D215" s="86"/>
      <c r="E215" s="86"/>
      <c r="F215" s="86"/>
      <c r="G215" s="86"/>
      <c r="H215" s="158">
        <f ca="1">(H211/H213)*100</f>
        <v>2.9393913744667537</v>
      </c>
      <c r="I215" s="86" t="s">
        <v>105</v>
      </c>
      <c r="J215" s="86"/>
      <c r="K215" s="86"/>
      <c r="L215" s="86"/>
      <c r="M215" s="86"/>
      <c r="N215" s="86"/>
      <c r="O215" s="8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BE215" s="3"/>
      <c r="BF215" s="3"/>
      <c r="BG215" s="3"/>
      <c r="BH215" s="3"/>
      <c r="BI215" s="3"/>
      <c r="BJ215" s="3"/>
      <c r="BK215" s="3"/>
      <c r="BL215" s="3"/>
      <c r="CI215" s="3"/>
      <c r="CJ215" s="3"/>
      <c r="CK215" s="3"/>
      <c r="CL215" s="3"/>
      <c r="CM215" s="3"/>
      <c r="CN215" s="3"/>
      <c r="CO215" s="3"/>
      <c r="CP215" s="3"/>
    </row>
    <row r="216" spans="1:94" ht="12.95" customHeight="1">
      <c r="A216" s="94" t="s">
        <v>794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BE216" s="3"/>
      <c r="BF216" s="3"/>
      <c r="BG216" s="3"/>
      <c r="BH216" s="3"/>
      <c r="BI216" s="3"/>
      <c r="BJ216" s="3"/>
      <c r="BK216" s="3"/>
      <c r="BL216" s="3"/>
      <c r="CI216" s="3"/>
      <c r="CJ216" s="3"/>
      <c r="CK216" s="3"/>
      <c r="CL216" s="3"/>
      <c r="CM216" s="3"/>
      <c r="CN216" s="3"/>
      <c r="CO216" s="3"/>
      <c r="CP216" s="3"/>
    </row>
    <row r="217" spans="1:94" ht="12.95" customHeight="1">
      <c r="A217" s="94" t="s">
        <v>795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BE217" s="3"/>
      <c r="BF217" s="3"/>
      <c r="BG217" s="3"/>
      <c r="BH217" s="3"/>
      <c r="BI217" s="3"/>
      <c r="BJ217" s="3"/>
      <c r="BK217" s="3"/>
      <c r="BL217" s="3"/>
      <c r="CI217" s="3"/>
      <c r="CJ217" s="3"/>
      <c r="CK217" s="3"/>
      <c r="CL217" s="3"/>
      <c r="CM217" s="3"/>
      <c r="CN217" s="3"/>
      <c r="CO217" s="3"/>
      <c r="CP217" s="3"/>
    </row>
    <row r="218" spans="1:94" ht="12.95" customHeight="1">
      <c r="A218" s="94" t="s">
        <v>782</v>
      </c>
      <c r="B218" s="86"/>
      <c r="C218" s="86"/>
      <c r="D218" s="86"/>
      <c r="E218" s="86"/>
      <c r="F218" s="86"/>
      <c r="G218" s="86"/>
      <c r="H218" s="155">
        <f ca="1">H191</f>
        <v>-1.95</v>
      </c>
      <c r="I218" s="86" t="s">
        <v>105</v>
      </c>
      <c r="J218" s="86"/>
      <c r="K218" s="86"/>
      <c r="L218" s="86"/>
      <c r="M218" s="86"/>
      <c r="N218" s="86"/>
      <c r="O218" s="8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BE218" s="3"/>
      <c r="BF218" s="3"/>
      <c r="BG218" s="3"/>
      <c r="BH218" s="3"/>
      <c r="BI218" s="3"/>
      <c r="BJ218" s="3"/>
      <c r="BK218" s="3"/>
      <c r="BL218" s="3"/>
      <c r="CI218" s="3"/>
      <c r="CJ218" s="3"/>
      <c r="CK218" s="3"/>
      <c r="CL218" s="3"/>
      <c r="CM218" s="3"/>
      <c r="CN218" s="3"/>
      <c r="CO218" s="3"/>
      <c r="CP218" s="3"/>
    </row>
    <row r="219" spans="1:94" ht="12.95" customHeight="1">
      <c r="A219" s="94" t="s">
        <v>783</v>
      </c>
      <c r="B219" s="86"/>
      <c r="C219" s="86"/>
      <c r="D219" s="86"/>
      <c r="E219" s="86"/>
      <c r="F219" s="86"/>
      <c r="G219" s="86"/>
      <c r="H219" s="155">
        <f ca="1">H192</f>
        <v>-0.2</v>
      </c>
      <c r="I219" s="86" t="s">
        <v>105</v>
      </c>
      <c r="J219" s="86"/>
      <c r="K219" s="86"/>
      <c r="L219" s="86"/>
      <c r="M219" s="86"/>
      <c r="N219" s="86"/>
      <c r="O219" s="8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BE219" s="3"/>
      <c r="BF219" s="3"/>
      <c r="BG219" s="3"/>
      <c r="BH219" s="3"/>
      <c r="BI219" s="3"/>
      <c r="BJ219" s="3"/>
      <c r="BK219" s="3"/>
      <c r="BL219" s="3"/>
      <c r="CI219" s="3"/>
      <c r="CJ219" s="3"/>
      <c r="CK219" s="3"/>
      <c r="CL219" s="3"/>
      <c r="CM219" s="3"/>
      <c r="CN219" s="3"/>
      <c r="CO219" s="3"/>
      <c r="CP219" s="3"/>
    </row>
    <row r="220" spans="1:94" ht="12.95" customHeight="1">
      <c r="A220" s="94" t="s">
        <v>796</v>
      </c>
      <c r="B220" s="86"/>
      <c r="C220" s="86"/>
      <c r="D220" s="86"/>
      <c r="E220" s="86"/>
      <c r="F220" s="86"/>
      <c r="G220" s="86"/>
      <c r="H220" s="155">
        <f>H193</f>
        <v>0</v>
      </c>
      <c r="I220" s="86" t="s">
        <v>105</v>
      </c>
      <c r="J220" s="86"/>
      <c r="K220" s="86"/>
      <c r="L220" s="86"/>
      <c r="M220" s="86"/>
      <c r="N220" s="86"/>
      <c r="O220" s="8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BE220" s="3"/>
      <c r="BF220" s="3"/>
      <c r="BG220" s="3"/>
      <c r="BH220" s="3"/>
      <c r="BI220" s="3"/>
      <c r="BJ220" s="3"/>
      <c r="BK220" s="3"/>
      <c r="BL220" s="3"/>
      <c r="CI220" s="3"/>
      <c r="CJ220" s="3"/>
      <c r="CK220" s="3"/>
      <c r="CL220" s="3"/>
      <c r="CM220" s="3"/>
      <c r="CN220" s="3"/>
      <c r="CO220" s="3"/>
      <c r="CP220" s="3"/>
    </row>
    <row r="221" spans="1:94" ht="12.95" customHeight="1">
      <c r="A221" s="94" t="s">
        <v>784</v>
      </c>
      <c r="B221" s="86"/>
      <c r="C221" s="86"/>
      <c r="D221" s="86"/>
      <c r="E221" s="86"/>
      <c r="F221" s="86"/>
      <c r="G221" s="86"/>
      <c r="H221" s="155">
        <f ca="1">H194</f>
        <v>-0.03</v>
      </c>
      <c r="I221" s="86" t="s">
        <v>105</v>
      </c>
      <c r="J221" s="86"/>
      <c r="K221" s="86"/>
      <c r="L221" s="86"/>
      <c r="M221" s="86"/>
      <c r="N221" s="86"/>
      <c r="O221" s="8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BE221" s="3"/>
      <c r="BF221" s="3"/>
      <c r="BG221" s="3"/>
      <c r="BH221" s="3"/>
      <c r="BI221" s="3"/>
      <c r="BJ221" s="3"/>
      <c r="BK221" s="3"/>
      <c r="BL221" s="3"/>
      <c r="CI221" s="3"/>
      <c r="CJ221" s="3"/>
      <c r="CK221" s="3"/>
      <c r="CL221" s="3"/>
      <c r="CM221" s="3"/>
      <c r="CN221" s="3"/>
      <c r="CO221" s="3"/>
      <c r="CP221" s="3"/>
    </row>
    <row r="222" spans="1:94" ht="12.95" customHeight="1">
      <c r="A222" s="94" t="s">
        <v>797</v>
      </c>
      <c r="B222" s="86"/>
      <c r="C222" s="86"/>
      <c r="D222" s="86"/>
      <c r="E222" s="86"/>
      <c r="F222" s="86"/>
      <c r="G222" s="86"/>
      <c r="H222" s="155">
        <f>H195</f>
        <v>0</v>
      </c>
      <c r="I222" s="86" t="s">
        <v>105</v>
      </c>
      <c r="J222" s="86"/>
      <c r="K222" s="86"/>
      <c r="L222" s="86"/>
      <c r="M222" s="86"/>
      <c r="N222" s="86"/>
      <c r="O222" s="8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BE222" s="3"/>
      <c r="BF222" s="3"/>
      <c r="BG222" s="3"/>
      <c r="BH222" s="3"/>
      <c r="BI222" s="3"/>
      <c r="BJ222" s="3"/>
      <c r="BK222" s="3"/>
      <c r="BL222" s="3"/>
      <c r="CI222" s="3"/>
      <c r="CJ222" s="3"/>
      <c r="CK222" s="3"/>
      <c r="CL222" s="3"/>
      <c r="CM222" s="3"/>
      <c r="CN222" s="3"/>
      <c r="CO222" s="3"/>
      <c r="CP222" s="3"/>
    </row>
    <row r="223" spans="1:94" ht="12.95" customHeight="1">
      <c r="A223" s="94" t="s">
        <v>798</v>
      </c>
      <c r="B223" s="86"/>
      <c r="C223" s="86"/>
      <c r="D223" s="86"/>
      <c r="E223" s="86"/>
      <c r="F223" s="86"/>
      <c r="G223" s="86"/>
      <c r="H223" s="157">
        <f ca="1">SUM(H218:H222)</f>
        <v>-2.1799999999999997</v>
      </c>
      <c r="I223" s="86" t="s">
        <v>105</v>
      </c>
      <c r="J223" s="86"/>
      <c r="K223" s="86"/>
      <c r="L223" s="86"/>
      <c r="M223" s="86"/>
      <c r="N223" s="86"/>
      <c r="O223" s="8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BE223" s="3"/>
      <c r="BF223" s="3"/>
      <c r="BG223" s="3"/>
      <c r="BH223" s="3"/>
      <c r="BI223" s="3"/>
      <c r="BJ223" s="3"/>
      <c r="BK223" s="3"/>
      <c r="BL223" s="3"/>
      <c r="CI223" s="3"/>
      <c r="CJ223" s="3"/>
      <c r="CK223" s="3"/>
      <c r="CL223" s="3"/>
      <c r="CM223" s="3"/>
      <c r="CN223" s="3"/>
      <c r="CO223" s="3"/>
      <c r="CP223" s="3"/>
    </row>
    <row r="224" spans="1:94" ht="12.95" customHeight="1">
      <c r="A224" s="94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BE224" s="3"/>
      <c r="BF224" s="3"/>
      <c r="BG224" s="3"/>
      <c r="BH224" s="3"/>
      <c r="BI224" s="3"/>
      <c r="BJ224" s="3"/>
      <c r="BK224" s="3"/>
      <c r="BL224" s="3"/>
      <c r="CI224" s="3"/>
      <c r="CJ224" s="3"/>
      <c r="CK224" s="3"/>
      <c r="CL224" s="3"/>
      <c r="CM224" s="3"/>
      <c r="CN224" s="3"/>
      <c r="CO224" s="3"/>
      <c r="CP224" s="3"/>
    </row>
    <row r="225" spans="1:94" ht="12.95" customHeight="1">
      <c r="A225" s="94" t="s">
        <v>230</v>
      </c>
      <c r="B225" s="86"/>
      <c r="C225" s="86"/>
      <c r="D225" s="86"/>
      <c r="E225" s="86"/>
      <c r="F225" s="86"/>
      <c r="G225" s="86"/>
      <c r="H225" s="155">
        <f ca="1">H215+H223</f>
        <v>0.75939137446675398</v>
      </c>
      <c r="I225" s="86" t="s">
        <v>105</v>
      </c>
      <c r="J225" s="86"/>
      <c r="K225" s="86"/>
      <c r="L225" s="86"/>
      <c r="M225" s="86"/>
      <c r="N225" s="86"/>
      <c r="O225" s="8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BE225" s="3"/>
      <c r="BF225" s="3"/>
      <c r="BG225" s="3"/>
      <c r="BH225" s="3"/>
      <c r="BI225" s="3"/>
      <c r="BJ225" s="3"/>
      <c r="BK225" s="3"/>
      <c r="BL225" s="3"/>
      <c r="CI225" s="3"/>
      <c r="CJ225" s="3"/>
      <c r="CK225" s="3"/>
      <c r="CL225" s="3"/>
      <c r="CM225" s="3"/>
      <c r="CN225" s="3"/>
      <c r="CO225" s="3"/>
      <c r="CP225" s="3"/>
    </row>
    <row r="226" spans="1:94" ht="12.95" customHeight="1">
      <c r="A226" s="94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BE226" s="3"/>
      <c r="BF226" s="3"/>
      <c r="BG226" s="3"/>
      <c r="BH226" s="3"/>
      <c r="BI226" s="3"/>
      <c r="BJ226" s="3"/>
      <c r="BK226" s="3"/>
      <c r="BL226" s="3"/>
      <c r="CI226" s="3"/>
      <c r="CJ226" s="3"/>
      <c r="CK226" s="3"/>
      <c r="CL226" s="3"/>
      <c r="CM226" s="3"/>
      <c r="CN226" s="3"/>
      <c r="CO226" s="3"/>
      <c r="CP226" s="3"/>
    </row>
    <row r="227" spans="1:94" ht="12.95" customHeight="1">
      <c r="A227" s="94" t="s">
        <v>799</v>
      </c>
      <c r="B227" s="86"/>
      <c r="C227" s="86"/>
      <c r="D227" s="86"/>
      <c r="E227" s="86"/>
      <c r="F227" s="86"/>
      <c r="G227" s="86"/>
      <c r="H227" s="158">
        <f ca="1">H200</f>
        <v>47.49</v>
      </c>
      <c r="I227" s="86" t="s">
        <v>105</v>
      </c>
      <c r="J227" s="86"/>
      <c r="K227" s="86"/>
      <c r="L227" s="86"/>
      <c r="M227" s="86"/>
      <c r="N227" s="86"/>
      <c r="O227" s="8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BE227" s="3"/>
      <c r="BF227" s="3"/>
      <c r="BG227" s="3"/>
      <c r="BH227" s="3"/>
      <c r="BI227" s="3"/>
      <c r="BJ227" s="3"/>
      <c r="BK227" s="3"/>
      <c r="BL227" s="3"/>
      <c r="CI227" s="3"/>
      <c r="CJ227" s="3"/>
      <c r="CK227" s="3"/>
      <c r="CL227" s="3"/>
      <c r="CM227" s="3"/>
      <c r="CN227" s="3"/>
      <c r="CO227" s="3"/>
      <c r="CP227" s="3"/>
    </row>
    <row r="228" spans="1:94" ht="12.95" customHeight="1">
      <c r="A228" s="94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BE228" s="3"/>
      <c r="BF228" s="3"/>
      <c r="BG228" s="3"/>
      <c r="BH228" s="3"/>
      <c r="BI228" s="3"/>
      <c r="BJ228" s="3"/>
      <c r="BK228" s="3"/>
      <c r="BL228" s="3"/>
      <c r="CI228" s="3"/>
      <c r="CJ228" s="3"/>
      <c r="CK228" s="3"/>
      <c r="CL228" s="3"/>
      <c r="CM228" s="3"/>
      <c r="CN228" s="3"/>
      <c r="CO228" s="3"/>
      <c r="CP228" s="3"/>
    </row>
    <row r="229" spans="1:94" ht="12.95" customHeight="1" thickBot="1">
      <c r="A229" s="94" t="s">
        <v>800</v>
      </c>
      <c r="B229" s="86"/>
      <c r="C229" s="86"/>
      <c r="D229" s="86"/>
      <c r="E229" s="86"/>
      <c r="F229" s="86"/>
      <c r="G229" s="86"/>
      <c r="H229" s="159">
        <f ca="1">(H225)/(H227/100)</f>
        <v>1.5990553263144955</v>
      </c>
      <c r="I229" s="86" t="s">
        <v>105</v>
      </c>
      <c r="J229" s="86"/>
      <c r="K229" s="86"/>
      <c r="L229" s="86"/>
      <c r="M229" s="86"/>
      <c r="N229" s="86"/>
      <c r="O229" s="8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BE229" s="3"/>
      <c r="BF229" s="3"/>
      <c r="BG229" s="3"/>
      <c r="BH229" s="3"/>
      <c r="BI229" s="3"/>
      <c r="BJ229" s="3"/>
      <c r="BK229" s="3"/>
      <c r="BL229" s="3"/>
      <c r="CI229" s="3"/>
      <c r="CJ229" s="3"/>
      <c r="CK229" s="3"/>
      <c r="CL229" s="3"/>
      <c r="CM229" s="3"/>
      <c r="CN229" s="3"/>
      <c r="CO229" s="3"/>
      <c r="CP229" s="3"/>
    </row>
    <row r="230" spans="1:94" ht="13.5" thickTop="1">
      <c r="A230" s="94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BE230" s="3"/>
      <c r="BF230" s="3"/>
      <c r="BG230" s="3"/>
      <c r="BH230" s="3"/>
      <c r="BI230" s="3"/>
      <c r="BJ230" s="3"/>
      <c r="BK230" s="3"/>
      <c r="BL230" s="3"/>
      <c r="CI230" s="3"/>
      <c r="CJ230" s="3"/>
      <c r="CK230" s="3"/>
      <c r="CL230" s="3"/>
      <c r="CM230" s="3"/>
      <c r="CN230" s="3"/>
      <c r="CO230" s="3"/>
      <c r="CP230" s="3"/>
    </row>
    <row r="231" spans="1:94">
      <c r="A231" s="119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BE231" s="3"/>
      <c r="BF231" s="3"/>
      <c r="BG231" s="3"/>
      <c r="BH231" s="3"/>
      <c r="BI231" s="3"/>
      <c r="BJ231" s="3"/>
      <c r="BK231" s="3"/>
      <c r="BL231" s="3"/>
      <c r="CI231" s="3"/>
      <c r="CJ231" s="3"/>
      <c r="CK231" s="3"/>
      <c r="CL231" s="3"/>
      <c r="CM231" s="3"/>
      <c r="CN231" s="3"/>
      <c r="CO231" s="3"/>
      <c r="CP231" s="3"/>
    </row>
    <row r="232" spans="1:94">
      <c r="A232" s="119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BE232" s="3"/>
      <c r="BF232" s="3"/>
      <c r="BG232" s="3"/>
      <c r="BH232" s="3"/>
      <c r="BI232" s="3"/>
      <c r="BJ232" s="3"/>
      <c r="BK232" s="3"/>
      <c r="BL232" s="3"/>
      <c r="CI232" s="3"/>
      <c r="CJ232" s="3"/>
      <c r="CK232" s="3"/>
      <c r="CL232" s="3"/>
      <c r="CM232" s="3"/>
      <c r="CN232" s="3"/>
      <c r="CO232" s="3"/>
      <c r="CP232" s="3"/>
    </row>
    <row r="233" spans="1:94">
      <c r="A233" s="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BE233" s="3"/>
      <c r="BF233" s="3"/>
      <c r="BG233" s="3"/>
      <c r="BH233" s="3"/>
      <c r="BI233" s="3"/>
      <c r="BJ233" s="3"/>
      <c r="BK233" s="3"/>
      <c r="BL233" s="3"/>
      <c r="CI233" s="3"/>
      <c r="CJ233" s="3"/>
      <c r="CK233" s="3"/>
      <c r="CL233" s="3"/>
      <c r="CM233" s="3"/>
      <c r="CN233" s="3"/>
      <c r="CO233" s="3"/>
      <c r="CP233" s="3"/>
    </row>
    <row r="237" spans="1:94">
      <c r="A237" s="90" t="s">
        <v>232</v>
      </c>
      <c r="B237" s="151"/>
      <c r="C237" s="151"/>
      <c r="D237" s="151"/>
      <c r="E237" s="151"/>
      <c r="F237" s="151"/>
      <c r="G237" s="151"/>
      <c r="H237" s="151"/>
      <c r="I237" s="14"/>
      <c r="J237" s="92"/>
      <c r="K237" s="151"/>
      <c r="L237" s="152" t="s">
        <v>807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BE237" s="1"/>
      <c r="BF237" s="1"/>
      <c r="BG237" s="1"/>
      <c r="BH237" s="1"/>
      <c r="BI237" s="1"/>
      <c r="BJ237" s="1"/>
      <c r="BK237" s="1"/>
      <c r="BL237" s="1"/>
      <c r="CI237" s="1"/>
      <c r="CJ237" s="1"/>
      <c r="CK237" s="1"/>
      <c r="CL237" s="1"/>
      <c r="CM237" s="1"/>
      <c r="CN237" s="1"/>
      <c r="CO237" s="1"/>
      <c r="CP237" s="1"/>
    </row>
    <row r="238" spans="1:94">
      <c r="A238" s="90" t="s">
        <v>789</v>
      </c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17"/>
      <c r="M238" s="11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BE238" s="1"/>
      <c r="BF238" s="1"/>
      <c r="BG238" s="1"/>
      <c r="BH238" s="1"/>
      <c r="BI238" s="1"/>
      <c r="BJ238" s="1"/>
      <c r="BK238" s="1"/>
      <c r="BL238" s="1"/>
      <c r="CI238" s="1"/>
      <c r="CJ238" s="1"/>
      <c r="CK238" s="1"/>
      <c r="CL238" s="1"/>
      <c r="CM238" s="1"/>
      <c r="CN238" s="1"/>
      <c r="CO238" s="1"/>
      <c r="CP238" s="1"/>
    </row>
    <row r="239" spans="1:94">
      <c r="A239" s="90" t="s">
        <v>808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17"/>
      <c r="M239" s="11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BE239" s="1"/>
      <c r="BF239" s="1"/>
      <c r="BG239" s="1"/>
      <c r="BH239" s="1"/>
      <c r="BI239" s="1"/>
      <c r="BJ239" s="1"/>
      <c r="BK239" s="1"/>
      <c r="BL239" s="1"/>
      <c r="CI239" s="1"/>
      <c r="CJ239" s="1"/>
      <c r="CK239" s="1"/>
      <c r="CL239" s="1"/>
      <c r="CM239" s="1"/>
      <c r="CN239" s="1"/>
      <c r="CO239" s="1"/>
      <c r="CP239" s="1"/>
    </row>
    <row r="240" spans="1:94">
      <c r="A240" s="116" t="str">
        <f>A3</f>
        <v>2024 Budget</v>
      </c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17"/>
      <c r="M240" s="11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BE240" s="1"/>
      <c r="BF240" s="1"/>
      <c r="BG240" s="1"/>
      <c r="BH240" s="1"/>
      <c r="BI240" s="1"/>
      <c r="BJ240" s="1"/>
      <c r="BK240" s="1"/>
      <c r="BL240" s="1"/>
      <c r="CI240" s="1"/>
      <c r="CJ240" s="1"/>
      <c r="CK240" s="1"/>
      <c r="CL240" s="1"/>
      <c r="CM240" s="1"/>
      <c r="CN240" s="1"/>
      <c r="CO240" s="1"/>
      <c r="CP240" s="1"/>
    </row>
    <row r="241" spans="1:94">
      <c r="A241" s="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BE241" s="1"/>
      <c r="BF241" s="1"/>
      <c r="BG241" s="1"/>
      <c r="BH241" s="1"/>
      <c r="BI241" s="1"/>
      <c r="BJ241" s="1"/>
      <c r="BK241" s="1"/>
      <c r="BL241" s="1"/>
      <c r="CI241" s="1"/>
      <c r="CJ241" s="1"/>
      <c r="CK241" s="1"/>
      <c r="CL241" s="1"/>
      <c r="CM241" s="1"/>
      <c r="CN241" s="1"/>
      <c r="CO241" s="1"/>
      <c r="CP241" s="1"/>
    </row>
    <row r="242" spans="1:94">
      <c r="A242" s="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BE242" s="1"/>
      <c r="BF242" s="1"/>
      <c r="BG242" s="1"/>
      <c r="BH242" s="1"/>
      <c r="BI242" s="1"/>
      <c r="BJ242" s="1"/>
      <c r="BK242" s="1"/>
      <c r="BL242" s="1"/>
      <c r="CI242" s="1"/>
      <c r="CJ242" s="1"/>
      <c r="CK242" s="1"/>
      <c r="CL242" s="1"/>
      <c r="CM242" s="1"/>
      <c r="CN242" s="1"/>
      <c r="CO242" s="1"/>
      <c r="CP242" s="1"/>
    </row>
    <row r="243" spans="1:94">
      <c r="A243" s="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BE243" s="1"/>
      <c r="BF243" s="1"/>
      <c r="BG243" s="1"/>
      <c r="BH243" s="1"/>
      <c r="BI243" s="1"/>
      <c r="BJ243" s="1"/>
      <c r="BK243" s="1"/>
      <c r="BL243" s="1"/>
      <c r="CI243" s="1"/>
      <c r="CJ243" s="1"/>
      <c r="CK243" s="1"/>
      <c r="CL243" s="1"/>
      <c r="CM243" s="1"/>
      <c r="CN243" s="1"/>
      <c r="CO243" s="1"/>
      <c r="CP243" s="1"/>
    </row>
    <row r="244" spans="1:94">
      <c r="A244" s="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BE244" s="1"/>
      <c r="BF244" s="1"/>
      <c r="BG244" s="1"/>
      <c r="BH244" s="1"/>
      <c r="BI244" s="1"/>
      <c r="BJ244" s="1"/>
      <c r="BK244" s="1"/>
      <c r="BL244" s="1"/>
      <c r="CI244" s="1"/>
      <c r="CJ244" s="1"/>
      <c r="CK244" s="1"/>
      <c r="CL244" s="1"/>
      <c r="CM244" s="1"/>
      <c r="CN244" s="1"/>
      <c r="CO244" s="1"/>
      <c r="CP244" s="1"/>
    </row>
    <row r="245" spans="1:94">
      <c r="A245" s="104" t="s">
        <v>809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BE245" s="1"/>
      <c r="BF245" s="1"/>
      <c r="BG245" s="1"/>
      <c r="BH245" s="1"/>
      <c r="BI245" s="1"/>
      <c r="BJ245" s="1"/>
      <c r="BK245" s="1"/>
      <c r="BL245" s="1"/>
      <c r="CI245" s="1"/>
      <c r="CJ245" s="1"/>
      <c r="CK245" s="1"/>
      <c r="CL245" s="1"/>
      <c r="CM245" s="1"/>
      <c r="CN245" s="1"/>
      <c r="CO245" s="1"/>
      <c r="CP245" s="1"/>
    </row>
    <row r="246" spans="1:94">
      <c r="A246" s="104" t="s">
        <v>791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BE246" s="1"/>
      <c r="BF246" s="1"/>
      <c r="BG246" s="1"/>
      <c r="BH246" s="1"/>
      <c r="BI246" s="1"/>
      <c r="BJ246" s="1"/>
      <c r="BK246" s="1"/>
      <c r="BL246" s="1"/>
      <c r="CI246" s="1"/>
      <c r="CJ246" s="1"/>
      <c r="CK246" s="1"/>
      <c r="CL246" s="1"/>
      <c r="CM246" s="1"/>
      <c r="CN246" s="1"/>
      <c r="CO246" s="1"/>
      <c r="CP246" s="1"/>
    </row>
    <row r="247" spans="1:94">
      <c r="A247" s="94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BE247" s="1"/>
      <c r="BF247" s="1"/>
      <c r="BG247" s="1"/>
      <c r="BH247" s="1"/>
      <c r="BI247" s="1"/>
      <c r="BJ247" s="1"/>
      <c r="BK247" s="1"/>
      <c r="BL247" s="1"/>
      <c r="CI247" s="1"/>
      <c r="CJ247" s="1"/>
      <c r="CK247" s="1"/>
      <c r="CL247" s="1"/>
      <c r="CM247" s="1"/>
      <c r="CN247" s="1"/>
      <c r="CO247" s="1"/>
      <c r="CP247" s="1"/>
    </row>
    <row r="248" spans="1:94">
      <c r="A248" s="94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BE248" s="1"/>
      <c r="BF248" s="1"/>
      <c r="BG248" s="1"/>
      <c r="BH248" s="1"/>
      <c r="BI248" s="1"/>
      <c r="BJ248" s="1"/>
      <c r="BK248" s="1"/>
      <c r="BL248" s="1"/>
      <c r="CI248" s="1"/>
      <c r="CJ248" s="1"/>
      <c r="CK248" s="1"/>
      <c r="CL248" s="1"/>
      <c r="CM248" s="1"/>
      <c r="CN248" s="1"/>
      <c r="CO248" s="1"/>
      <c r="CP248" s="1"/>
    </row>
    <row r="249" spans="1:94">
      <c r="A249" s="94" t="s">
        <v>810</v>
      </c>
      <c r="B249" s="86"/>
      <c r="C249" s="86"/>
      <c r="D249" s="86"/>
      <c r="E249" s="86"/>
      <c r="F249" s="86"/>
      <c r="G249" s="86"/>
      <c r="H249" s="99">
        <f ca="1">ROUND(N16,4)</f>
        <v>3.0564</v>
      </c>
      <c r="I249" s="86" t="s">
        <v>105</v>
      </c>
      <c r="J249" s="86" t="s">
        <v>793</v>
      </c>
      <c r="K249" s="8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BE249" s="1"/>
      <c r="BF249" s="1"/>
      <c r="BG249" s="1"/>
      <c r="BH249" s="1"/>
      <c r="BI249" s="1"/>
      <c r="BJ249" s="1"/>
      <c r="BK249" s="1"/>
      <c r="BL249" s="1"/>
      <c r="CI249" s="1"/>
      <c r="CJ249" s="1"/>
      <c r="CK249" s="1"/>
      <c r="CL249" s="1"/>
      <c r="CM249" s="1"/>
      <c r="CN249" s="1"/>
      <c r="CO249" s="1"/>
      <c r="CP249" s="1"/>
    </row>
    <row r="250" spans="1:94">
      <c r="A250" s="94" t="s">
        <v>794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BE250" s="1"/>
      <c r="BF250" s="1"/>
      <c r="BG250" s="1"/>
      <c r="BH250" s="1"/>
      <c r="BI250" s="1"/>
      <c r="BJ250" s="1"/>
      <c r="BK250" s="1"/>
      <c r="BL250" s="1"/>
      <c r="CI250" s="1"/>
      <c r="CJ250" s="1"/>
      <c r="CK250" s="1"/>
      <c r="CL250" s="1"/>
      <c r="CM250" s="1"/>
      <c r="CN250" s="1"/>
      <c r="CO250" s="1"/>
      <c r="CP250" s="1"/>
    </row>
    <row r="251" spans="1:94">
      <c r="A251" s="94" t="s">
        <v>795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BE251" s="1"/>
      <c r="BF251" s="1"/>
      <c r="BG251" s="1"/>
      <c r="BH251" s="1"/>
      <c r="BI251" s="1"/>
      <c r="BJ251" s="1"/>
      <c r="BK251" s="1"/>
      <c r="BL251" s="1"/>
      <c r="CI251" s="1"/>
      <c r="CJ251" s="1"/>
      <c r="CK251" s="1"/>
      <c r="CL251" s="1"/>
      <c r="CM251" s="1"/>
      <c r="CN251" s="1"/>
      <c r="CO251" s="1"/>
      <c r="CP251" s="1"/>
    </row>
    <row r="252" spans="1:94">
      <c r="A252" s="94" t="s">
        <v>782</v>
      </c>
      <c r="B252" s="86"/>
      <c r="C252" s="86"/>
      <c r="D252" s="86"/>
      <c r="E252" s="86"/>
      <c r="F252" s="86"/>
      <c r="G252" s="86"/>
      <c r="H252" s="155">
        <f ca="1">-R160</f>
        <v>-1.95</v>
      </c>
      <c r="I252" s="86" t="s">
        <v>105</v>
      </c>
      <c r="J252" s="86"/>
      <c r="K252" s="8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BE252" s="1"/>
      <c r="BF252" s="1"/>
      <c r="BG252" s="1"/>
      <c r="BH252" s="1"/>
      <c r="BI252" s="1"/>
      <c r="BJ252" s="1"/>
      <c r="BK252" s="1"/>
      <c r="BL252" s="1"/>
      <c r="CI252" s="1"/>
      <c r="CJ252" s="1"/>
      <c r="CK252" s="1"/>
      <c r="CL252" s="1"/>
      <c r="CM252" s="1"/>
      <c r="CN252" s="1"/>
      <c r="CO252" s="1"/>
      <c r="CP252" s="1"/>
    </row>
    <row r="253" spans="1:94">
      <c r="A253" s="94" t="s">
        <v>783</v>
      </c>
      <c r="B253" s="86"/>
      <c r="C253" s="86"/>
      <c r="D253" s="86"/>
      <c r="E253" s="86"/>
      <c r="F253" s="86"/>
      <c r="G253" s="86"/>
      <c r="H253" s="155">
        <f ca="1">-R162</f>
        <v>-0.2</v>
      </c>
      <c r="I253" s="86" t="s">
        <v>105</v>
      </c>
      <c r="J253" s="86"/>
      <c r="K253" s="8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BE253" s="1"/>
      <c r="BF253" s="1"/>
      <c r="BG253" s="1"/>
      <c r="BH253" s="1"/>
      <c r="BI253" s="1"/>
      <c r="BJ253" s="1"/>
      <c r="BK253" s="1"/>
      <c r="BL253" s="1"/>
      <c r="CI253" s="1"/>
      <c r="CJ253" s="1"/>
      <c r="CK253" s="1"/>
      <c r="CL253" s="1"/>
      <c r="CM253" s="1"/>
      <c r="CN253" s="1"/>
      <c r="CO253" s="1"/>
      <c r="CP253" s="1"/>
    </row>
    <row r="254" spans="1:94">
      <c r="A254" s="94" t="s">
        <v>796</v>
      </c>
      <c r="B254" s="86"/>
      <c r="C254" s="86"/>
      <c r="D254" s="86"/>
      <c r="E254" s="86"/>
      <c r="F254" s="86"/>
      <c r="G254" s="86"/>
      <c r="H254" s="156">
        <v>0</v>
      </c>
      <c r="I254" s="86" t="s">
        <v>105</v>
      </c>
      <c r="J254" s="86"/>
      <c r="K254" s="8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BE254" s="1"/>
      <c r="BF254" s="1"/>
      <c r="BG254" s="1"/>
      <c r="BH254" s="1"/>
      <c r="BI254" s="1"/>
      <c r="BJ254" s="1"/>
      <c r="BK254" s="1"/>
      <c r="BL254" s="1"/>
      <c r="CI254" s="1"/>
      <c r="CJ254" s="1"/>
      <c r="CK254" s="1"/>
      <c r="CL254" s="1"/>
      <c r="CM254" s="1"/>
      <c r="CN254" s="1"/>
      <c r="CO254" s="1"/>
      <c r="CP254" s="1"/>
    </row>
    <row r="255" spans="1:94">
      <c r="A255" s="94" t="s">
        <v>784</v>
      </c>
      <c r="B255" s="86"/>
      <c r="C255" s="86"/>
      <c r="D255" s="86"/>
      <c r="E255" s="86"/>
      <c r="F255" s="86"/>
      <c r="G255" s="86"/>
      <c r="H255" s="155">
        <f ca="1">ROUND(-R164,4)</f>
        <v>-0.03</v>
      </c>
      <c r="I255" s="86" t="s">
        <v>105</v>
      </c>
      <c r="J255" s="86"/>
      <c r="K255" s="8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BE255" s="1"/>
      <c r="BF255" s="1"/>
      <c r="BG255" s="1"/>
      <c r="BH255" s="1"/>
      <c r="BI255" s="1"/>
      <c r="BJ255" s="1"/>
      <c r="BK255" s="1"/>
      <c r="BL255" s="1"/>
      <c r="CI255" s="1"/>
      <c r="CJ255" s="1"/>
      <c r="CK255" s="1"/>
      <c r="CL255" s="1"/>
      <c r="CM255" s="1"/>
      <c r="CN255" s="1"/>
      <c r="CO255" s="1"/>
      <c r="CP255" s="1"/>
    </row>
    <row r="256" spans="1:94">
      <c r="A256" s="94" t="s">
        <v>797</v>
      </c>
      <c r="B256" s="86"/>
      <c r="C256" s="86"/>
      <c r="D256" s="86"/>
      <c r="E256" s="86"/>
      <c r="F256" s="86"/>
      <c r="G256" s="86"/>
      <c r="H256" s="156">
        <v>0</v>
      </c>
      <c r="I256" s="86" t="s">
        <v>105</v>
      </c>
      <c r="J256" s="86"/>
      <c r="K256" s="8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BE256" s="1"/>
      <c r="BF256" s="1"/>
      <c r="BG256" s="1"/>
      <c r="BH256" s="1"/>
      <c r="BI256" s="1"/>
      <c r="BJ256" s="1"/>
      <c r="BK256" s="1"/>
      <c r="BL256" s="1"/>
      <c r="CI256" s="1"/>
      <c r="CJ256" s="1"/>
      <c r="CK256" s="1"/>
      <c r="CL256" s="1"/>
      <c r="CM256" s="1"/>
      <c r="CN256" s="1"/>
      <c r="CO256" s="1"/>
      <c r="CP256" s="1"/>
    </row>
    <row r="257" spans="1:94">
      <c r="A257" s="94" t="s">
        <v>798</v>
      </c>
      <c r="B257" s="86"/>
      <c r="C257" s="86"/>
      <c r="D257" s="86"/>
      <c r="E257" s="86"/>
      <c r="F257" s="86"/>
      <c r="G257" s="86"/>
      <c r="H257" s="157">
        <f ca="1">ROUND(SUM(H252:H256),4)</f>
        <v>-2.1800000000000002</v>
      </c>
      <c r="I257" s="86" t="s">
        <v>105</v>
      </c>
      <c r="J257" s="86"/>
      <c r="K257" s="8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BE257" s="1"/>
      <c r="BF257" s="1"/>
      <c r="BG257" s="1"/>
      <c r="BH257" s="1"/>
      <c r="BI257" s="1"/>
      <c r="BJ257" s="1"/>
      <c r="BK257" s="1"/>
      <c r="BL257" s="1"/>
      <c r="CI257" s="1"/>
      <c r="CJ257" s="1"/>
      <c r="CK257" s="1"/>
      <c r="CL257" s="1"/>
      <c r="CM257" s="1"/>
      <c r="CN257" s="1"/>
      <c r="CO257" s="1"/>
      <c r="CP257" s="1"/>
    </row>
    <row r="258" spans="1:94">
      <c r="A258" s="94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BE258" s="1"/>
      <c r="BF258" s="1"/>
      <c r="BG258" s="1"/>
      <c r="BH258" s="1"/>
      <c r="BI258" s="1"/>
      <c r="BJ258" s="1"/>
      <c r="BK258" s="1"/>
      <c r="BL258" s="1"/>
      <c r="CI258" s="1"/>
      <c r="CJ258" s="1"/>
      <c r="CK258" s="1"/>
      <c r="CL258" s="1"/>
      <c r="CM258" s="1"/>
      <c r="CN258" s="1"/>
      <c r="CO258" s="1"/>
      <c r="CP258" s="1"/>
    </row>
    <row r="259" spans="1:94">
      <c r="A259" s="94" t="s">
        <v>230</v>
      </c>
      <c r="B259" s="86"/>
      <c r="C259" s="86"/>
      <c r="D259" s="86"/>
      <c r="E259" s="86"/>
      <c r="F259" s="86"/>
      <c r="G259" s="86"/>
      <c r="H259" s="155">
        <f ca="1">ROUND(H249+H257,4)</f>
        <v>0.87639999999999996</v>
      </c>
      <c r="I259" s="86" t="s">
        <v>105</v>
      </c>
      <c r="J259" s="86"/>
      <c r="K259" s="8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BE259" s="1"/>
      <c r="BF259" s="1"/>
      <c r="BG259" s="1"/>
      <c r="BH259" s="1"/>
      <c r="BI259" s="1"/>
      <c r="BJ259" s="1"/>
      <c r="BK259" s="1"/>
      <c r="BL259" s="1"/>
      <c r="CI259" s="1"/>
      <c r="CJ259" s="1"/>
      <c r="CK259" s="1"/>
      <c r="CL259" s="1"/>
      <c r="CM259" s="1"/>
      <c r="CN259" s="1"/>
      <c r="CO259" s="1"/>
      <c r="CP259" s="1"/>
    </row>
    <row r="260" spans="1:94">
      <c r="A260" s="94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BE260" s="1"/>
      <c r="BF260" s="1"/>
      <c r="BG260" s="1"/>
      <c r="BH260" s="1"/>
      <c r="BI260" s="1"/>
      <c r="BJ260" s="1"/>
      <c r="BK260" s="1"/>
      <c r="BL260" s="1"/>
      <c r="CI260" s="1"/>
      <c r="CJ260" s="1"/>
      <c r="CK260" s="1"/>
      <c r="CL260" s="1"/>
      <c r="CM260" s="1"/>
      <c r="CN260" s="1"/>
      <c r="CO260" s="1"/>
      <c r="CP260" s="1"/>
    </row>
    <row r="261" spans="1:94">
      <c r="A261" s="94" t="s">
        <v>799</v>
      </c>
      <c r="B261" s="86"/>
      <c r="C261" s="86"/>
      <c r="D261" s="86"/>
      <c r="E261" s="86"/>
      <c r="F261" s="86"/>
      <c r="G261" s="86"/>
      <c r="H261" s="158">
        <f ca="1">ROUND(J166*100,4)</f>
        <v>47.49</v>
      </c>
      <c r="I261" s="86" t="s">
        <v>105</v>
      </c>
      <c r="J261" s="86"/>
      <c r="K261" s="8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BE261" s="1"/>
      <c r="BF261" s="1"/>
      <c r="BG261" s="1"/>
      <c r="BH261" s="1"/>
      <c r="BI261" s="1"/>
      <c r="BJ261" s="1"/>
      <c r="BK261" s="1"/>
      <c r="BL261" s="1"/>
      <c r="CI261" s="1"/>
      <c r="CJ261" s="1"/>
      <c r="CK261" s="1"/>
      <c r="CL261" s="1"/>
      <c r="CM261" s="1"/>
      <c r="CN261" s="1"/>
      <c r="CO261" s="1"/>
      <c r="CP261" s="1"/>
    </row>
    <row r="262" spans="1:94">
      <c r="A262" s="94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BE262" s="1"/>
      <c r="BF262" s="1"/>
      <c r="BG262" s="1"/>
      <c r="BH262" s="1"/>
      <c r="BI262" s="1"/>
      <c r="BJ262" s="1"/>
      <c r="BK262" s="1"/>
      <c r="BL262" s="1"/>
      <c r="CI262" s="1"/>
      <c r="CJ262" s="1"/>
      <c r="CK262" s="1"/>
      <c r="CL262" s="1"/>
      <c r="CM262" s="1"/>
      <c r="CN262" s="1"/>
      <c r="CO262" s="1"/>
      <c r="CP262" s="1"/>
    </row>
    <row r="263" spans="1:94" ht="13.5" thickBot="1">
      <c r="A263" s="94" t="s">
        <v>800</v>
      </c>
      <c r="B263" s="86"/>
      <c r="C263" s="86"/>
      <c r="D263" s="86"/>
      <c r="E263" s="86"/>
      <c r="F263" s="86"/>
      <c r="G263" s="86"/>
      <c r="H263" s="159">
        <f ca="1">ROUND((H259)/(H261/100),4)</f>
        <v>1.8453999999999999</v>
      </c>
      <c r="I263" s="86" t="s">
        <v>105</v>
      </c>
      <c r="J263" s="86"/>
      <c r="K263" s="8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BE263" s="1"/>
      <c r="BF263" s="1"/>
      <c r="BG263" s="1"/>
      <c r="BH263" s="1"/>
      <c r="BI263" s="1"/>
      <c r="BJ263" s="1"/>
      <c r="BK263" s="1"/>
      <c r="BL263" s="1"/>
      <c r="CI263" s="1"/>
      <c r="CJ263" s="1"/>
      <c r="CK263" s="1"/>
      <c r="CL263" s="1"/>
      <c r="CM263" s="1"/>
      <c r="CN263" s="1"/>
      <c r="CO263" s="1"/>
      <c r="CP263" s="1"/>
    </row>
    <row r="264" spans="1:94" ht="13.5" thickTop="1">
      <c r="A264" s="94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BE264" s="1"/>
      <c r="BF264" s="1"/>
      <c r="BG264" s="1"/>
      <c r="BH264" s="1"/>
      <c r="BI264" s="1"/>
      <c r="BJ264" s="1"/>
      <c r="BK264" s="1"/>
      <c r="BL264" s="1"/>
      <c r="CI264" s="1"/>
      <c r="CJ264" s="1"/>
      <c r="CK264" s="1"/>
      <c r="CL264" s="1"/>
      <c r="CM264" s="1"/>
      <c r="CN264" s="1"/>
      <c r="CO264" s="1"/>
      <c r="CP264" s="1"/>
    </row>
    <row r="265" spans="1:94">
      <c r="A265" s="94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BE265" s="1"/>
      <c r="BF265" s="1"/>
      <c r="BG265" s="1"/>
      <c r="BH265" s="1"/>
      <c r="BI265" s="1"/>
      <c r="BJ265" s="1"/>
      <c r="BK265" s="1"/>
      <c r="BL265" s="1"/>
      <c r="CI265" s="1"/>
      <c r="CJ265" s="1"/>
      <c r="CK265" s="1"/>
      <c r="CL265" s="1"/>
      <c r="CM265" s="1"/>
      <c r="CN265" s="1"/>
      <c r="CO265" s="1"/>
      <c r="CP265" s="1"/>
    </row>
    <row r="266" spans="1:94">
      <c r="A266" s="94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BE266" s="1"/>
      <c r="BF266" s="1"/>
      <c r="BG266" s="1"/>
      <c r="BH266" s="1"/>
      <c r="BI266" s="1"/>
      <c r="BJ266" s="1"/>
      <c r="BK266" s="1"/>
      <c r="BL266" s="1"/>
      <c r="CI266" s="1"/>
      <c r="CJ266" s="1"/>
      <c r="CK266" s="1"/>
      <c r="CL266" s="1"/>
      <c r="CM266" s="1"/>
      <c r="CN266" s="1"/>
      <c r="CO266" s="1"/>
      <c r="CP266" s="1"/>
    </row>
    <row r="267" spans="1:94">
      <c r="A267" s="94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BE267" s="1"/>
      <c r="BF267" s="1"/>
      <c r="BG267" s="1"/>
      <c r="BH267" s="1"/>
      <c r="BI267" s="1"/>
      <c r="BJ267" s="1"/>
      <c r="BK267" s="1"/>
      <c r="BL267" s="1"/>
      <c r="CI267" s="1"/>
      <c r="CJ267" s="1"/>
      <c r="CK267" s="1"/>
      <c r="CL267" s="1"/>
      <c r="CM267" s="1"/>
      <c r="CN267" s="1"/>
      <c r="CO267" s="1"/>
      <c r="CP267" s="1"/>
    </row>
    <row r="268" spans="1:94">
      <c r="A268" s="104" t="s">
        <v>811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BE268" s="1"/>
      <c r="BF268" s="1"/>
      <c r="BG268" s="1"/>
      <c r="BH268" s="1"/>
      <c r="BI268" s="1"/>
      <c r="BJ268" s="1"/>
      <c r="BK268" s="1"/>
      <c r="BL268" s="1"/>
      <c r="CI268" s="1"/>
      <c r="CJ268" s="1"/>
      <c r="CK268" s="1"/>
      <c r="CL268" s="1"/>
      <c r="CM268" s="1"/>
      <c r="CN268" s="1"/>
      <c r="CO268" s="1"/>
      <c r="CP268" s="1"/>
    </row>
    <row r="269" spans="1:94">
      <c r="A269" s="104" t="s">
        <v>802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BE269" s="1"/>
      <c r="BF269" s="1"/>
      <c r="BG269" s="1"/>
      <c r="BH269" s="1"/>
      <c r="BI269" s="1"/>
      <c r="BJ269" s="1"/>
      <c r="BK269" s="1"/>
      <c r="BL269" s="1"/>
      <c r="CI269" s="1"/>
      <c r="CJ269" s="1"/>
      <c r="CK269" s="1"/>
      <c r="CL269" s="1"/>
      <c r="CM269" s="1"/>
      <c r="CN269" s="1"/>
      <c r="CO269" s="1"/>
      <c r="CP269" s="1"/>
    </row>
    <row r="270" spans="1:94">
      <c r="A270" s="94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BE270" s="1"/>
      <c r="BF270" s="1"/>
      <c r="BG270" s="1"/>
      <c r="BH270" s="1"/>
      <c r="BI270" s="1"/>
      <c r="BJ270" s="1"/>
      <c r="BK270" s="1"/>
      <c r="BL270" s="1"/>
      <c r="CI270" s="1"/>
      <c r="CJ270" s="1"/>
      <c r="CK270" s="1"/>
      <c r="CL270" s="1"/>
      <c r="CM270" s="1"/>
      <c r="CN270" s="1"/>
      <c r="CO270" s="1"/>
      <c r="CP270" s="1"/>
    </row>
    <row r="271" spans="1:94">
      <c r="A271" s="94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BE271" s="1"/>
      <c r="BF271" s="1"/>
      <c r="BG271" s="1"/>
      <c r="BH271" s="1"/>
      <c r="BI271" s="1"/>
      <c r="BJ271" s="1"/>
      <c r="BK271" s="1"/>
      <c r="BL271" s="1"/>
      <c r="CI271" s="1"/>
      <c r="CJ271" s="1"/>
      <c r="CK271" s="1"/>
      <c r="CL271" s="1"/>
      <c r="CM271" s="1"/>
      <c r="CN271" s="1"/>
      <c r="CO271" s="1"/>
      <c r="CP271" s="1"/>
    </row>
    <row r="272" spans="1:94">
      <c r="A272" s="94" t="s">
        <v>803</v>
      </c>
      <c r="B272" s="86"/>
      <c r="C272" s="86"/>
      <c r="D272" s="86"/>
      <c r="E272" s="86"/>
      <c r="F272" s="86"/>
      <c r="G272" s="86" t="s">
        <v>676</v>
      </c>
      <c r="H272" s="86">
        <f ca="1">V141+V130</f>
        <v>69569.162887602724</v>
      </c>
      <c r="I272" s="86"/>
      <c r="J272" s="86" t="s">
        <v>812</v>
      </c>
      <c r="K272" s="8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BE272" s="1"/>
      <c r="BF272" s="1"/>
      <c r="BG272" s="1"/>
      <c r="BH272" s="1"/>
      <c r="BI272" s="1"/>
      <c r="BJ272" s="1"/>
      <c r="BK272" s="1"/>
      <c r="BL272" s="1"/>
      <c r="CI272" s="1"/>
      <c r="CJ272" s="1"/>
      <c r="CK272" s="1"/>
      <c r="CL272" s="1"/>
      <c r="CM272" s="1"/>
      <c r="CN272" s="1"/>
      <c r="CO272" s="1"/>
      <c r="CP272" s="1"/>
    </row>
    <row r="273" spans="1:94">
      <c r="A273" s="94"/>
      <c r="B273" s="86"/>
      <c r="C273" s="86"/>
      <c r="D273" s="86"/>
      <c r="E273" s="86"/>
      <c r="F273" s="86"/>
      <c r="G273" s="86"/>
      <c r="H273" s="86"/>
      <c r="I273" s="86"/>
      <c r="J273" s="160"/>
      <c r="K273" s="8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BE273" s="1"/>
      <c r="BF273" s="1"/>
      <c r="BG273" s="1"/>
      <c r="BH273" s="1"/>
      <c r="BI273" s="1"/>
      <c r="BJ273" s="1"/>
      <c r="BK273" s="1"/>
      <c r="BL273" s="1"/>
      <c r="CI273" s="1"/>
      <c r="CJ273" s="1"/>
      <c r="CK273" s="1"/>
      <c r="CL273" s="1"/>
      <c r="CM273" s="1"/>
      <c r="CN273" s="1"/>
      <c r="CO273" s="1"/>
      <c r="CP273" s="1"/>
    </row>
    <row r="274" spans="1:94">
      <c r="A274" s="94" t="s">
        <v>805</v>
      </c>
      <c r="B274" s="86"/>
      <c r="C274" s="86"/>
      <c r="D274" s="86"/>
      <c r="E274" s="86"/>
      <c r="F274" s="86"/>
      <c r="G274" s="86" t="s">
        <v>676</v>
      </c>
      <c r="H274" s="98">
        <f ca="1">T92</f>
        <v>2366788.0191770494</v>
      </c>
      <c r="I274" s="86"/>
      <c r="J274" s="86" t="s">
        <v>813</v>
      </c>
      <c r="K274" s="8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BE274" s="1"/>
      <c r="BF274" s="1"/>
      <c r="BG274" s="1"/>
      <c r="BH274" s="1"/>
      <c r="BI274" s="1"/>
      <c r="BJ274" s="1"/>
      <c r="BK274" s="1"/>
      <c r="BL274" s="1"/>
      <c r="CI274" s="1"/>
      <c r="CJ274" s="1"/>
      <c r="CK274" s="1"/>
      <c r="CL274" s="1"/>
      <c r="CM274" s="1"/>
      <c r="CN274" s="1"/>
      <c r="CO274" s="1"/>
      <c r="CP274" s="1"/>
    </row>
    <row r="275" spans="1:94">
      <c r="A275" s="94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BE275" s="1"/>
      <c r="BF275" s="1"/>
      <c r="BG275" s="1"/>
      <c r="BH275" s="1"/>
      <c r="BI275" s="1"/>
      <c r="BJ275" s="1"/>
      <c r="BK275" s="1"/>
      <c r="BL275" s="1"/>
      <c r="CI275" s="1"/>
      <c r="CJ275" s="1"/>
      <c r="CK275" s="1"/>
      <c r="CL275" s="1"/>
      <c r="CM275" s="1"/>
      <c r="CN275" s="1"/>
      <c r="CO275" s="1"/>
      <c r="CP275" s="1"/>
    </row>
    <row r="276" spans="1:94">
      <c r="A276" s="94" t="s">
        <v>792</v>
      </c>
      <c r="B276" s="86"/>
      <c r="C276" s="86"/>
      <c r="D276" s="86"/>
      <c r="E276" s="86"/>
      <c r="F276" s="86"/>
      <c r="G276" s="86"/>
      <c r="H276" s="158">
        <f ca="1">(H272/H274)*100</f>
        <v>2.9393913744667537</v>
      </c>
      <c r="I276" s="86" t="s">
        <v>105</v>
      </c>
      <c r="J276" s="86"/>
      <c r="K276" s="8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BE276" s="1"/>
      <c r="BF276" s="1"/>
      <c r="BG276" s="1"/>
      <c r="BH276" s="1"/>
      <c r="BI276" s="1"/>
      <c r="BJ276" s="1"/>
      <c r="BK276" s="1"/>
      <c r="BL276" s="1"/>
      <c r="CI276" s="1"/>
      <c r="CJ276" s="1"/>
      <c r="CK276" s="1"/>
      <c r="CL276" s="1"/>
      <c r="CM276" s="1"/>
      <c r="CN276" s="1"/>
      <c r="CO276" s="1"/>
      <c r="CP276" s="1"/>
    </row>
    <row r="277" spans="1:94">
      <c r="A277" s="94" t="s">
        <v>794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BE277" s="1"/>
      <c r="BF277" s="1"/>
      <c r="BG277" s="1"/>
      <c r="BH277" s="1"/>
      <c r="BI277" s="1"/>
      <c r="BJ277" s="1"/>
      <c r="BK277" s="1"/>
      <c r="BL277" s="1"/>
      <c r="CI277" s="1"/>
      <c r="CJ277" s="1"/>
      <c r="CK277" s="1"/>
      <c r="CL277" s="1"/>
      <c r="CM277" s="1"/>
      <c r="CN277" s="1"/>
      <c r="CO277" s="1"/>
      <c r="CP277" s="1"/>
    </row>
    <row r="278" spans="1:94">
      <c r="A278" s="94" t="s">
        <v>795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BE278" s="1"/>
      <c r="BF278" s="1"/>
      <c r="BG278" s="1"/>
      <c r="BH278" s="1"/>
      <c r="BI278" s="1"/>
      <c r="BJ278" s="1"/>
      <c r="BK278" s="1"/>
      <c r="BL278" s="1"/>
      <c r="CI278" s="1"/>
      <c r="CJ278" s="1"/>
      <c r="CK278" s="1"/>
      <c r="CL278" s="1"/>
      <c r="CM278" s="1"/>
      <c r="CN278" s="1"/>
      <c r="CO278" s="1"/>
      <c r="CP278" s="1"/>
    </row>
    <row r="279" spans="1:94">
      <c r="A279" s="94" t="s">
        <v>782</v>
      </c>
      <c r="B279" s="86"/>
      <c r="C279" s="86"/>
      <c r="D279" s="86"/>
      <c r="E279" s="86"/>
      <c r="F279" s="86"/>
      <c r="G279" s="86"/>
      <c r="H279" s="155">
        <f ca="1">H252</f>
        <v>-1.95</v>
      </c>
      <c r="I279" s="86" t="s">
        <v>105</v>
      </c>
      <c r="J279" s="86"/>
      <c r="K279" s="8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BE279" s="1"/>
      <c r="BF279" s="1"/>
      <c r="BG279" s="1"/>
      <c r="BH279" s="1"/>
      <c r="BI279" s="1"/>
      <c r="BJ279" s="1"/>
      <c r="BK279" s="1"/>
      <c r="BL279" s="1"/>
      <c r="CI279" s="1"/>
      <c r="CJ279" s="1"/>
      <c r="CK279" s="1"/>
      <c r="CL279" s="1"/>
      <c r="CM279" s="1"/>
      <c r="CN279" s="1"/>
      <c r="CO279" s="1"/>
      <c r="CP279" s="1"/>
    </row>
    <row r="280" spans="1:94">
      <c r="A280" s="94" t="s">
        <v>783</v>
      </c>
      <c r="B280" s="86"/>
      <c r="C280" s="86"/>
      <c r="D280" s="86"/>
      <c r="E280" s="86"/>
      <c r="F280" s="86"/>
      <c r="G280" s="86"/>
      <c r="H280" s="155">
        <f ca="1">H253</f>
        <v>-0.2</v>
      </c>
      <c r="I280" s="86" t="s">
        <v>105</v>
      </c>
      <c r="J280" s="86"/>
      <c r="K280" s="8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BE280" s="1"/>
      <c r="BF280" s="1"/>
      <c r="BG280" s="1"/>
      <c r="BH280" s="1"/>
      <c r="BI280" s="1"/>
      <c r="BJ280" s="1"/>
      <c r="BK280" s="1"/>
      <c r="BL280" s="1"/>
      <c r="CI280" s="1"/>
      <c r="CJ280" s="1"/>
      <c r="CK280" s="1"/>
      <c r="CL280" s="1"/>
      <c r="CM280" s="1"/>
      <c r="CN280" s="1"/>
      <c r="CO280" s="1"/>
      <c r="CP280" s="1"/>
    </row>
    <row r="281" spans="1:94">
      <c r="A281" s="94" t="s">
        <v>796</v>
      </c>
      <c r="B281" s="86"/>
      <c r="C281" s="86"/>
      <c r="D281" s="86"/>
      <c r="E281" s="86"/>
      <c r="F281" s="86"/>
      <c r="G281" s="86"/>
      <c r="H281" s="155">
        <f>H254</f>
        <v>0</v>
      </c>
      <c r="I281" s="86" t="s">
        <v>105</v>
      </c>
      <c r="J281" s="86"/>
      <c r="K281" s="8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BE281" s="1"/>
      <c r="BF281" s="1"/>
      <c r="BG281" s="1"/>
      <c r="BH281" s="1"/>
      <c r="BI281" s="1"/>
      <c r="BJ281" s="1"/>
      <c r="BK281" s="1"/>
      <c r="BL281" s="1"/>
      <c r="CI281" s="1"/>
      <c r="CJ281" s="1"/>
      <c r="CK281" s="1"/>
      <c r="CL281" s="1"/>
      <c r="CM281" s="1"/>
      <c r="CN281" s="1"/>
      <c r="CO281" s="1"/>
      <c r="CP281" s="1"/>
    </row>
    <row r="282" spans="1:94">
      <c r="A282" s="94" t="s">
        <v>784</v>
      </c>
      <c r="B282" s="86"/>
      <c r="C282" s="86"/>
      <c r="D282" s="86"/>
      <c r="E282" s="86"/>
      <c r="F282" s="86"/>
      <c r="G282" s="86"/>
      <c r="H282" s="155">
        <f ca="1">H255</f>
        <v>-0.03</v>
      </c>
      <c r="I282" s="86" t="s">
        <v>105</v>
      </c>
      <c r="J282" s="86"/>
      <c r="K282" s="8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BE282" s="1"/>
      <c r="BF282" s="1"/>
      <c r="BG282" s="1"/>
      <c r="BH282" s="1"/>
      <c r="BI282" s="1"/>
      <c r="BJ282" s="1"/>
      <c r="BK282" s="1"/>
      <c r="BL282" s="1"/>
      <c r="CI282" s="1"/>
      <c r="CJ282" s="1"/>
      <c r="CK282" s="1"/>
      <c r="CL282" s="1"/>
      <c r="CM282" s="1"/>
      <c r="CN282" s="1"/>
      <c r="CO282" s="1"/>
      <c r="CP282" s="1"/>
    </row>
    <row r="283" spans="1:94">
      <c r="A283" s="94" t="s">
        <v>797</v>
      </c>
      <c r="B283" s="86"/>
      <c r="C283" s="86"/>
      <c r="D283" s="86"/>
      <c r="E283" s="86"/>
      <c r="F283" s="86"/>
      <c r="G283" s="86"/>
      <c r="H283" s="155">
        <f>H256</f>
        <v>0</v>
      </c>
      <c r="I283" s="86" t="s">
        <v>105</v>
      </c>
      <c r="J283" s="86"/>
      <c r="K283" s="8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BE283" s="1"/>
      <c r="BF283" s="1"/>
      <c r="BG283" s="1"/>
      <c r="BH283" s="1"/>
      <c r="BI283" s="1"/>
      <c r="BJ283" s="1"/>
      <c r="BK283" s="1"/>
      <c r="BL283" s="1"/>
      <c r="CI283" s="1"/>
      <c r="CJ283" s="1"/>
      <c r="CK283" s="1"/>
      <c r="CL283" s="1"/>
      <c r="CM283" s="1"/>
      <c r="CN283" s="1"/>
      <c r="CO283" s="1"/>
      <c r="CP283" s="1"/>
    </row>
    <row r="284" spans="1:94">
      <c r="A284" s="94" t="s">
        <v>798</v>
      </c>
      <c r="B284" s="86"/>
      <c r="C284" s="86"/>
      <c r="D284" s="86"/>
      <c r="E284" s="86"/>
      <c r="F284" s="86"/>
      <c r="G284" s="86"/>
      <c r="H284" s="157">
        <f ca="1">SUM(H279:H283)</f>
        <v>-2.1799999999999997</v>
      </c>
      <c r="I284" s="86" t="s">
        <v>105</v>
      </c>
      <c r="J284" s="86"/>
      <c r="K284" s="8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BE284" s="1"/>
      <c r="BF284" s="1"/>
      <c r="BG284" s="1"/>
      <c r="BH284" s="1"/>
      <c r="BI284" s="1"/>
      <c r="BJ284" s="1"/>
      <c r="BK284" s="1"/>
      <c r="BL284" s="1"/>
      <c r="CI284" s="1"/>
      <c r="CJ284" s="1"/>
      <c r="CK284" s="1"/>
      <c r="CL284" s="1"/>
      <c r="CM284" s="1"/>
      <c r="CN284" s="1"/>
      <c r="CO284" s="1"/>
      <c r="CP284" s="1"/>
    </row>
    <row r="285" spans="1:94">
      <c r="A285" s="94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BE285" s="1"/>
      <c r="BF285" s="1"/>
      <c r="BG285" s="1"/>
      <c r="BH285" s="1"/>
      <c r="BI285" s="1"/>
      <c r="BJ285" s="1"/>
      <c r="BK285" s="1"/>
      <c r="BL285" s="1"/>
      <c r="CI285" s="1"/>
      <c r="CJ285" s="1"/>
      <c r="CK285" s="1"/>
      <c r="CL285" s="1"/>
      <c r="CM285" s="1"/>
      <c r="CN285" s="1"/>
      <c r="CO285" s="1"/>
      <c r="CP285" s="1"/>
    </row>
    <row r="286" spans="1:94">
      <c r="A286" s="94" t="s">
        <v>230</v>
      </c>
      <c r="B286" s="86"/>
      <c r="C286" s="86"/>
      <c r="D286" s="86"/>
      <c r="E286" s="86"/>
      <c r="F286" s="86"/>
      <c r="G286" s="86"/>
      <c r="H286" s="155">
        <f ca="1">H276+H284</f>
        <v>0.75939137446675398</v>
      </c>
      <c r="I286" s="86" t="s">
        <v>105</v>
      </c>
      <c r="J286" s="86"/>
      <c r="K286" s="8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BE286" s="1"/>
      <c r="BF286" s="1"/>
      <c r="BG286" s="1"/>
      <c r="BH286" s="1"/>
      <c r="BI286" s="1"/>
      <c r="BJ286" s="1"/>
      <c r="BK286" s="1"/>
      <c r="BL286" s="1"/>
      <c r="CI286" s="1"/>
      <c r="CJ286" s="1"/>
      <c r="CK286" s="1"/>
      <c r="CL286" s="1"/>
      <c r="CM286" s="1"/>
      <c r="CN286" s="1"/>
      <c r="CO286" s="1"/>
      <c r="CP286" s="1"/>
    </row>
    <row r="287" spans="1:94">
      <c r="A287" s="94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BE287" s="1"/>
      <c r="BF287" s="1"/>
      <c r="BG287" s="1"/>
      <c r="BH287" s="1"/>
      <c r="BI287" s="1"/>
      <c r="BJ287" s="1"/>
      <c r="BK287" s="1"/>
      <c r="BL287" s="1"/>
      <c r="CI287" s="1"/>
      <c r="CJ287" s="1"/>
      <c r="CK287" s="1"/>
      <c r="CL287" s="1"/>
      <c r="CM287" s="1"/>
      <c r="CN287" s="1"/>
      <c r="CO287" s="1"/>
      <c r="CP287" s="1"/>
    </row>
    <row r="288" spans="1:94">
      <c r="A288" s="94" t="s">
        <v>799</v>
      </c>
      <c r="B288" s="86"/>
      <c r="C288" s="86"/>
      <c r="D288" s="86"/>
      <c r="E288" s="86"/>
      <c r="F288" s="86"/>
      <c r="G288" s="86"/>
      <c r="H288" s="158">
        <f ca="1">H261</f>
        <v>47.49</v>
      </c>
      <c r="I288" s="86" t="s">
        <v>105</v>
      </c>
      <c r="J288" s="86"/>
      <c r="K288" s="86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BE288" s="1"/>
      <c r="BF288" s="1"/>
      <c r="BG288" s="1"/>
      <c r="BH288" s="1"/>
      <c r="BI288" s="1"/>
      <c r="BJ288" s="1"/>
      <c r="BK288" s="1"/>
      <c r="BL288" s="1"/>
      <c r="CI288" s="1"/>
      <c r="CJ288" s="1"/>
      <c r="CK288" s="1"/>
      <c r="CL288" s="1"/>
      <c r="CM288" s="1"/>
      <c r="CN288" s="1"/>
      <c r="CO288" s="1"/>
      <c r="CP288" s="1"/>
    </row>
    <row r="289" spans="1:94">
      <c r="A289" s="94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BE289" s="1"/>
      <c r="BF289" s="1"/>
      <c r="BG289" s="1"/>
      <c r="BH289" s="1"/>
      <c r="BI289" s="1"/>
      <c r="BJ289" s="1"/>
      <c r="BK289" s="1"/>
      <c r="BL289" s="1"/>
      <c r="CI289" s="1"/>
      <c r="CJ289" s="1"/>
      <c r="CK289" s="1"/>
      <c r="CL289" s="1"/>
      <c r="CM289" s="1"/>
      <c r="CN289" s="1"/>
      <c r="CO289" s="1"/>
      <c r="CP289" s="1"/>
    </row>
    <row r="290" spans="1:94" ht="13.5" thickBot="1">
      <c r="A290" s="94" t="s">
        <v>800</v>
      </c>
      <c r="B290" s="86"/>
      <c r="C290" s="86"/>
      <c r="D290" s="86"/>
      <c r="E290" s="86"/>
      <c r="F290" s="86"/>
      <c r="G290" s="86"/>
      <c r="H290" s="159">
        <f ca="1">(H286)/(H288/100)</f>
        <v>1.5990553263144955</v>
      </c>
      <c r="I290" s="86" t="s">
        <v>105</v>
      </c>
      <c r="J290" s="86"/>
      <c r="K290" s="86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BE290" s="1"/>
      <c r="BF290" s="1"/>
      <c r="BG290" s="1"/>
      <c r="BH290" s="1"/>
      <c r="BI290" s="1"/>
      <c r="BJ290" s="1"/>
      <c r="BK290" s="1"/>
      <c r="BL290" s="1"/>
      <c r="CI290" s="1"/>
      <c r="CJ290" s="1"/>
      <c r="CK290" s="1"/>
      <c r="CL290" s="1"/>
      <c r="CM290" s="1"/>
      <c r="CN290" s="1"/>
      <c r="CO290" s="1"/>
      <c r="CP290" s="1"/>
    </row>
    <row r="291" spans="1:94" ht="13.5" thickTop="1"/>
    <row r="362" spans="1:80">
      <c r="A362" s="9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AJ362" s="94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N362" s="94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 spans="1:80">
      <c r="A363" s="9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AJ363" s="94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N363" s="94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 spans="1:80">
      <c r="A364" s="9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AJ364" s="94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N364" s="94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 spans="1:80">
      <c r="A365" s="9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AJ365" s="94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BN365" s="94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 spans="1:80">
      <c r="A366" s="9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AJ366" s="94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BN366" s="94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 spans="1:80">
      <c r="A367" s="9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AJ367" s="94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BN367" s="94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 spans="1:80">
      <c r="A368" s="9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AJ368" s="94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BN368" s="94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 spans="1:80">
      <c r="A369" s="9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AJ369" s="94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BN369" s="94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 spans="1:80">
      <c r="A370" s="9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AJ370" s="94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BN370" s="94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</sheetData>
  <phoneticPr fontId="0" type="noConversion"/>
  <printOptions horizontalCentered="1"/>
  <pageMargins left="0.25" right="0.25" top="0.75" bottom="0.75" header="0.3" footer="0.3"/>
  <pageSetup scale="71" orientation="landscape" blackAndWhite="1" r:id="rId1"/>
  <headerFooter alignWithMargins="0"/>
  <customProperties>
    <customPr name="FPMExcelClientCellBasedFunctionStatus" r:id="rId2"/>
  </customProperties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Q213"/>
  <sheetViews>
    <sheetView topLeftCell="A129" workbookViewId="0">
      <selection activeCell="D148" sqref="D148"/>
    </sheetView>
  </sheetViews>
  <sheetFormatPr defaultColWidth="8.42578125" defaultRowHeight="12.75"/>
  <cols>
    <col min="1" max="1" width="36" customWidth="1"/>
    <col min="2" max="2" width="14.7109375" customWidth="1"/>
    <col min="3" max="3" width="13.85546875" customWidth="1"/>
    <col min="4" max="4" width="10.7109375" customWidth="1"/>
    <col min="5" max="5" width="13.42578125" customWidth="1"/>
    <col min="6" max="12" width="10.7109375" customWidth="1"/>
    <col min="14" max="14" width="9.85546875" bestFit="1" customWidth="1"/>
    <col min="15" max="15" width="24.85546875" bestFit="1" customWidth="1"/>
    <col min="20" max="20" width="31.7109375" bestFit="1" customWidth="1"/>
    <col min="22" max="22" width="23.42578125" bestFit="1" customWidth="1"/>
    <col min="25" max="25" width="16.42578125" bestFit="1" customWidth="1"/>
  </cols>
  <sheetData>
    <row r="1" spans="1:14">
      <c r="A1" t="s">
        <v>814</v>
      </c>
    </row>
    <row r="2" spans="1:14">
      <c r="A2" t="s">
        <v>815</v>
      </c>
    </row>
    <row r="3" spans="1:14">
      <c r="A3" s="8" t="s">
        <v>816</v>
      </c>
      <c r="B3" s="38" t="str">
        <f>+Report!A3</f>
        <v>2024 Budget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5" spans="1:14" ht="13.5" thickBot="1"/>
    <row r="6" spans="1:14" ht="16.5" thickBot="1">
      <c r="A6" s="1"/>
      <c r="B6" s="1"/>
      <c r="C6" s="1"/>
      <c r="D6" s="9" t="s">
        <v>671</v>
      </c>
      <c r="E6" s="10"/>
      <c r="F6" s="10"/>
      <c r="G6" s="10"/>
      <c r="H6" s="10"/>
      <c r="I6" s="10"/>
      <c r="J6" s="11"/>
      <c r="K6" s="11"/>
      <c r="L6" s="1"/>
      <c r="M6" s="1"/>
      <c r="N6" s="1"/>
    </row>
    <row r="7" spans="1:14">
      <c r="D7" s="5"/>
      <c r="E7" s="5"/>
      <c r="F7" s="5"/>
      <c r="G7" s="5"/>
      <c r="H7" s="5"/>
      <c r="I7" s="5"/>
      <c r="J7" s="376" t="s">
        <v>817</v>
      </c>
      <c r="K7" s="376" t="s">
        <v>818</v>
      </c>
    </row>
    <row r="8" spans="1:14">
      <c r="A8" s="1"/>
      <c r="B8" s="4" t="s">
        <v>819</v>
      </c>
      <c r="C8" s="1"/>
      <c r="D8" s="4" t="s">
        <v>820</v>
      </c>
      <c r="E8" s="4" t="s">
        <v>821</v>
      </c>
      <c r="F8" s="4" t="s">
        <v>822</v>
      </c>
      <c r="G8" s="4" t="s">
        <v>823</v>
      </c>
      <c r="H8" s="4" t="s">
        <v>824</v>
      </c>
      <c r="I8" s="4" t="s">
        <v>825</v>
      </c>
      <c r="J8" s="4" t="s">
        <v>826</v>
      </c>
      <c r="K8" s="4" t="s">
        <v>826</v>
      </c>
      <c r="L8" s="4" t="s">
        <v>827</v>
      </c>
      <c r="M8" s="1"/>
      <c r="N8" s="1"/>
    </row>
    <row r="9" spans="1:14">
      <c r="A9" s="1"/>
      <c r="B9" s="6"/>
      <c r="C9" s="1"/>
      <c r="D9" s="2"/>
      <c r="E9" s="2"/>
      <c r="F9" s="2"/>
      <c r="G9" s="2"/>
      <c r="H9" s="2"/>
      <c r="I9" s="2"/>
      <c r="J9" s="2"/>
      <c r="K9" s="2"/>
      <c r="L9" s="2"/>
      <c r="M9" s="1"/>
      <c r="N9" s="1"/>
    </row>
    <row r="10" spans="1:14">
      <c r="A10" s="20" t="s">
        <v>828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7">
        <f ca="1">Report!B171</f>
        <v>2509268.1800622349</v>
      </c>
      <c r="M10" s="1"/>
      <c r="N10" s="1"/>
    </row>
    <row r="12" spans="1:14">
      <c r="A12" s="13" t="s">
        <v>829</v>
      </c>
    </row>
    <row r="14" spans="1:14">
      <c r="A14" s="1" t="s">
        <v>830</v>
      </c>
      <c r="B14" s="1"/>
      <c r="C14" s="1"/>
      <c r="D14" s="31">
        <f ca="1">-Reconcil!C68</f>
        <v>0</v>
      </c>
      <c r="E14" s="31"/>
      <c r="F14" s="31"/>
      <c r="G14" s="31"/>
      <c r="H14" s="31"/>
      <c r="I14" s="31"/>
      <c r="J14" s="31"/>
      <c r="K14" s="31"/>
      <c r="L14" s="31">
        <f t="shared" ref="L14:L38" ca="1" si="0">SUM(D14:K14)</f>
        <v>0</v>
      </c>
      <c r="M14" s="31"/>
      <c r="N14" s="31"/>
    </row>
    <row r="15" spans="1:14">
      <c r="A15" s="1" t="s">
        <v>831</v>
      </c>
      <c r="B15" s="1"/>
      <c r="C15" s="1"/>
      <c r="D15" s="31"/>
      <c r="E15" s="31"/>
      <c r="F15" s="31"/>
      <c r="G15" s="31">
        <f ca="1">-Reconcil!C67</f>
        <v>-1248.8846153846155</v>
      </c>
      <c r="H15" s="31"/>
      <c r="I15" s="31"/>
      <c r="J15" s="31"/>
      <c r="K15" s="31"/>
      <c r="L15" s="31">
        <f t="shared" ca="1" si="0"/>
        <v>-1248.8846153846155</v>
      </c>
      <c r="M15" s="31"/>
      <c r="N15" s="31"/>
    </row>
    <row r="16" spans="1:14">
      <c r="A16" s="1" t="s">
        <v>832</v>
      </c>
      <c r="B16" s="1"/>
      <c r="C16" s="1"/>
      <c r="D16" s="31"/>
      <c r="E16" s="31"/>
      <c r="F16" s="31"/>
      <c r="G16" s="31"/>
      <c r="H16" s="31"/>
      <c r="I16" s="31"/>
      <c r="J16" s="31"/>
      <c r="K16" s="31"/>
      <c r="L16" s="31">
        <f t="shared" si="0"/>
        <v>0</v>
      </c>
      <c r="M16" s="31"/>
      <c r="N16" s="31"/>
    </row>
    <row r="17" spans="1:17">
      <c r="A17" s="1" t="s">
        <v>833</v>
      </c>
      <c r="B17" s="1"/>
      <c r="C17" s="1"/>
      <c r="D17" s="31"/>
      <c r="E17" s="31"/>
      <c r="F17" s="31"/>
      <c r="G17" s="31"/>
      <c r="H17" s="31"/>
      <c r="I17" s="31"/>
      <c r="J17" s="31"/>
      <c r="K17" s="31">
        <f ca="1">-Reconcil!$C$76</f>
        <v>-3</v>
      </c>
      <c r="L17" s="31">
        <f t="shared" ca="1" si="0"/>
        <v>-3</v>
      </c>
      <c r="M17" s="31"/>
      <c r="N17" s="31"/>
    </row>
    <row r="18" spans="1:17">
      <c r="A18" s="1" t="s">
        <v>834</v>
      </c>
      <c r="B18" s="1"/>
      <c r="C18" s="1"/>
      <c r="D18" s="31"/>
      <c r="E18" s="31"/>
      <c r="F18" s="31"/>
      <c r="G18" s="31">
        <f ca="1">-Reconcil!C77</f>
        <v>0</v>
      </c>
      <c r="H18" s="31"/>
      <c r="I18" s="31"/>
      <c r="J18" s="31"/>
      <c r="K18" s="31"/>
      <c r="L18" s="31">
        <f t="shared" ca="1" si="0"/>
        <v>0</v>
      </c>
      <c r="M18" s="31"/>
      <c r="N18" s="31"/>
    </row>
    <row r="19" spans="1:17">
      <c r="A19" s="1" t="s">
        <v>835</v>
      </c>
      <c r="B19" s="1"/>
      <c r="C19" s="1"/>
      <c r="D19" s="31"/>
      <c r="E19" s="31"/>
      <c r="F19" s="31"/>
      <c r="G19" s="31"/>
      <c r="H19" s="31"/>
      <c r="I19" s="31"/>
      <c r="J19" s="31"/>
      <c r="K19" s="374">
        <f ca="1">-Reconcil!C79</f>
        <v>-737.36153846153843</v>
      </c>
      <c r="L19" s="31">
        <f t="shared" ca="1" si="0"/>
        <v>-737.36153846153843</v>
      </c>
      <c r="M19" s="31"/>
      <c r="N19" s="31"/>
    </row>
    <row r="20" spans="1:17">
      <c r="A20" s="1" t="s">
        <v>836</v>
      </c>
      <c r="B20" s="1"/>
      <c r="C20" s="1"/>
      <c r="D20" s="31"/>
      <c r="E20" s="31"/>
      <c r="F20" s="31"/>
      <c r="G20" s="31"/>
      <c r="H20" s="31"/>
      <c r="I20" s="31"/>
      <c r="J20" s="31"/>
      <c r="K20" s="31"/>
      <c r="L20" s="31">
        <f t="shared" si="0"/>
        <v>0</v>
      </c>
      <c r="M20" s="31"/>
      <c r="N20" s="31"/>
    </row>
    <row r="21" spans="1:17">
      <c r="A21" s="1" t="s">
        <v>837</v>
      </c>
      <c r="B21" s="1"/>
      <c r="C21" s="1"/>
      <c r="D21" s="31"/>
      <c r="E21" s="31"/>
      <c r="F21" s="31"/>
      <c r="G21" s="31"/>
      <c r="H21" s="31"/>
      <c r="I21" s="31"/>
      <c r="J21" s="31"/>
      <c r="K21" s="31">
        <f ca="1">-Reconcil!C81</f>
        <v>-10135.300000000001</v>
      </c>
      <c r="L21" s="31">
        <f t="shared" ca="1" si="0"/>
        <v>-10135.300000000001</v>
      </c>
      <c r="M21" s="31"/>
      <c r="N21" s="31"/>
    </row>
    <row r="22" spans="1:17">
      <c r="A22" s="1117" t="s">
        <v>1246</v>
      </c>
      <c r="B22" s="1117"/>
      <c r="C22" s="1117"/>
      <c r="D22" s="1118"/>
      <c r="E22" s="1118"/>
      <c r="F22" s="1118"/>
      <c r="G22" s="1118"/>
      <c r="H22" s="1118">
        <v>-2619.279</v>
      </c>
      <c r="I22" s="1118"/>
      <c r="J22" s="1118"/>
      <c r="K22" s="1118">
        <f>-H22</f>
        <v>2619.279</v>
      </c>
      <c r="L22" s="1118">
        <f t="shared" si="0"/>
        <v>0</v>
      </c>
      <c r="M22" s="31"/>
      <c r="N22" s="31"/>
      <c r="O22" s="375" t="s">
        <v>1247</v>
      </c>
    </row>
    <row r="23" spans="1:17">
      <c r="A23" s="1" t="s">
        <v>839</v>
      </c>
      <c r="B23" s="1"/>
      <c r="C23" s="1"/>
      <c r="D23" s="31">
        <f ca="1">-Reconcil!C91</f>
        <v>0</v>
      </c>
      <c r="E23" s="31"/>
      <c r="F23" s="31"/>
      <c r="G23" s="31"/>
      <c r="H23" s="31"/>
      <c r="I23" s="31"/>
      <c r="J23" s="31"/>
      <c r="K23" s="31"/>
      <c r="L23" s="31">
        <f t="shared" ca="1" si="0"/>
        <v>0</v>
      </c>
      <c r="M23" s="31"/>
      <c r="N23" s="31"/>
    </row>
    <row r="24" spans="1:17">
      <c r="A24" s="1" t="s">
        <v>840</v>
      </c>
      <c r="B24" s="1"/>
      <c r="C24" s="1"/>
      <c r="D24" s="31"/>
      <c r="E24" s="31"/>
      <c r="F24" s="31"/>
      <c r="G24" s="31"/>
      <c r="H24" s="398">
        <f ca="1">-Reconcil!C98*'Input Tax Rate'!B36</f>
        <v>-672.60755961538462</v>
      </c>
      <c r="I24" s="31"/>
      <c r="J24" s="31"/>
      <c r="K24" s="401">
        <f ca="1">-Reconcil!C98*'Input Tax Rate'!B37</f>
        <v>-1981.2001326923078</v>
      </c>
      <c r="L24" s="31">
        <f t="shared" ca="1" si="0"/>
        <v>-2653.8076923076924</v>
      </c>
      <c r="M24" s="31"/>
      <c r="N24" s="31"/>
    </row>
    <row r="25" spans="1:17">
      <c r="A25" s="361" t="s">
        <v>841</v>
      </c>
      <c r="B25" s="1"/>
      <c r="C25" s="1"/>
      <c r="D25" s="31"/>
      <c r="E25" s="374">
        <f ca="1">IF(Reconcil!$C$99&gt;0,Reconcil!$C$99*-1,0)</f>
        <v>-0.10769230768626305</v>
      </c>
      <c r="F25" s="31"/>
      <c r="G25" s="31"/>
      <c r="H25" s="31"/>
      <c r="I25" s="31"/>
      <c r="J25" s="31"/>
      <c r="L25" s="31">
        <f ca="1">SUM(D25:J25)</f>
        <v>-0.10769230768626305</v>
      </c>
      <c r="M25" s="31"/>
      <c r="N25" s="31"/>
    </row>
    <row r="26" spans="1:17">
      <c r="A26" s="1" t="s">
        <v>842</v>
      </c>
      <c r="B26" s="1"/>
      <c r="C26" s="1"/>
      <c r="D26" s="31"/>
      <c r="E26" s="31"/>
      <c r="F26" s="31"/>
      <c r="G26" s="31"/>
      <c r="H26" s="398">
        <f ca="1">(-Input!B14/1000)*'Input Tax Rate'!B36</f>
        <v>-863.67961538461543</v>
      </c>
      <c r="I26" s="31"/>
      <c r="J26" s="31"/>
      <c r="K26" s="401">
        <f ca="1">(-Input!B14/1000)*'Input Tax Rate'!B37</f>
        <v>-2544.0126923076923</v>
      </c>
      <c r="L26" s="31">
        <f t="shared" ca="1" si="0"/>
        <v>-3407.6923076923076</v>
      </c>
      <c r="M26" s="31"/>
      <c r="N26" s="31"/>
      <c r="O26" s="33"/>
      <c r="Q26" s="33"/>
    </row>
    <row r="27" spans="1:17">
      <c r="A27" s="1" t="s">
        <v>843</v>
      </c>
      <c r="B27" s="1"/>
      <c r="C27" s="1"/>
      <c r="D27" s="31"/>
      <c r="E27" s="31"/>
      <c r="F27" s="31"/>
      <c r="G27" s="31"/>
      <c r="H27" s="31"/>
      <c r="I27" s="31"/>
      <c r="J27" s="31"/>
      <c r="K27" s="31">
        <f ca="1">Reconcil!C128</f>
        <v>0</v>
      </c>
      <c r="L27" s="31">
        <f t="shared" ca="1" si="0"/>
        <v>0</v>
      </c>
      <c r="M27" s="31"/>
      <c r="N27" s="31"/>
      <c r="O27" s="216"/>
    </row>
    <row r="28" spans="1:17">
      <c r="A28" s="1" t="s">
        <v>844</v>
      </c>
      <c r="B28" s="1"/>
      <c r="C28" s="1"/>
      <c r="D28" s="31"/>
      <c r="E28" s="31"/>
      <c r="F28" s="31"/>
      <c r="G28" s="31">
        <f ca="1">Reconcil!C134</f>
        <v>0</v>
      </c>
      <c r="H28" s="31"/>
      <c r="I28" s="31"/>
      <c r="J28" s="31"/>
      <c r="K28" s="31"/>
      <c r="L28" s="31">
        <f t="shared" ca="1" si="0"/>
        <v>0</v>
      </c>
      <c r="M28" s="31"/>
      <c r="N28" s="31"/>
      <c r="P28" s="1"/>
    </row>
    <row r="29" spans="1:17">
      <c r="A29" s="361" t="s">
        <v>845</v>
      </c>
      <c r="B29" s="1"/>
      <c r="C29" s="1"/>
      <c r="D29" s="31"/>
      <c r="E29" s="374">
        <f ca="1">IF((Reconcil!$C$137-Reconcil!$C$95)&lt;0,(Reconcil!$C$137-Reconcil!$C$95),0)</f>
        <v>-759.95384615384614</v>
      </c>
      <c r="F29" s="31"/>
      <c r="G29" s="31"/>
      <c r="H29" s="31"/>
      <c r="I29" s="31"/>
      <c r="J29" s="31"/>
      <c r="L29" s="31">
        <f ca="1">SUM(D29:J29)</f>
        <v>-759.95384615384614</v>
      </c>
      <c r="M29" s="31"/>
      <c r="N29" s="31"/>
      <c r="P29" s="1"/>
    </row>
    <row r="30" spans="1:17">
      <c r="A30" s="361" t="s">
        <v>846</v>
      </c>
      <c r="B30" s="1"/>
      <c r="C30" s="1"/>
      <c r="D30" s="31"/>
      <c r="E30" s="374">
        <f ca="1">IF((Reconcil!$C$138-Reconcil!$C$96)&lt;0,(Reconcil!$C$138-Reconcil!$C$96),0)</f>
        <v>0</v>
      </c>
      <c r="F30" s="31"/>
      <c r="G30" s="31"/>
      <c r="H30" s="31"/>
      <c r="I30" s="31"/>
      <c r="J30" s="31"/>
      <c r="L30" s="31">
        <f ca="1">SUM(D30:J30)</f>
        <v>0</v>
      </c>
      <c r="M30" s="31"/>
      <c r="N30" s="31"/>
      <c r="P30" s="1"/>
    </row>
    <row r="31" spans="1:17">
      <c r="A31" s="1117" t="s">
        <v>1245</v>
      </c>
      <c r="B31" s="1117"/>
      <c r="C31" s="1117"/>
      <c r="D31" s="1118"/>
      <c r="E31" s="1118"/>
      <c r="F31" s="1118"/>
      <c r="G31" s="1118"/>
      <c r="H31" s="1118">
        <f>(3463*12)/13*0</f>
        <v>0</v>
      </c>
      <c r="I31" s="1118"/>
      <c r="J31" s="1118"/>
      <c r="K31" s="1119">
        <f>-H31</f>
        <v>0</v>
      </c>
      <c r="L31" s="1118">
        <f t="shared" si="0"/>
        <v>0</v>
      </c>
      <c r="M31" s="31"/>
      <c r="N31" s="31"/>
      <c r="P31" s="1"/>
    </row>
    <row r="32" spans="1:17">
      <c r="A32" s="1" t="s">
        <v>848</v>
      </c>
      <c r="B32" s="1"/>
      <c r="C32" s="1"/>
      <c r="D32" s="31"/>
      <c r="E32" s="31"/>
      <c r="F32" s="31"/>
      <c r="G32" s="31"/>
      <c r="H32" s="31"/>
      <c r="I32" s="31"/>
      <c r="J32" s="31"/>
      <c r="K32" s="346">
        <f>-(MSEA!$D$69/1000)*0</f>
        <v>0</v>
      </c>
      <c r="L32" s="31">
        <f t="shared" si="0"/>
        <v>0</v>
      </c>
      <c r="M32" s="31"/>
      <c r="N32" s="31"/>
      <c r="P32" s="1"/>
    </row>
    <row r="33" spans="1:16">
      <c r="A33" s="1" t="s">
        <v>849</v>
      </c>
      <c r="B33" s="1"/>
      <c r="C33" s="1"/>
      <c r="D33" s="31"/>
      <c r="E33" s="31"/>
      <c r="F33" s="31"/>
      <c r="G33" s="31">
        <f ca="1">-Reconcil!C58</f>
        <v>-1939.5999999999997</v>
      </c>
      <c r="H33" s="31"/>
      <c r="I33" s="31"/>
      <c r="J33" s="31"/>
      <c r="K33" s="31"/>
      <c r="L33" s="31">
        <f t="shared" ca="1" si="0"/>
        <v>-1939.5999999999997</v>
      </c>
      <c r="M33" s="31"/>
      <c r="N33" s="31" t="s">
        <v>850</v>
      </c>
      <c r="P33" s="188"/>
    </row>
    <row r="34" spans="1:16">
      <c r="A34" s="1" t="s">
        <v>851</v>
      </c>
      <c r="B34" s="1"/>
      <c r="C34" s="1"/>
      <c r="D34" s="31"/>
      <c r="E34" s="31"/>
      <c r="F34" s="31"/>
      <c r="G34" s="401">
        <f ca="1">Report!J63*'Input Tax Rate'!B37</f>
        <v>-791.46606230243685</v>
      </c>
      <c r="H34" s="398">
        <f ca="1">Report!J63*'Input Tax Rate'!B36</f>
        <v>-268.69877903764331</v>
      </c>
      <c r="I34" s="31"/>
      <c r="J34" s="31"/>
      <c r="K34" s="31"/>
      <c r="L34" s="31">
        <f t="shared" ca="1" si="0"/>
        <v>-1060.1648413400801</v>
      </c>
      <c r="M34" s="31"/>
      <c r="N34" s="31" t="s">
        <v>852</v>
      </c>
      <c r="P34" s="1"/>
    </row>
    <row r="35" spans="1:16" ht="13.5" thickBot="1">
      <c r="A35" s="1" t="s">
        <v>853</v>
      </c>
      <c r="B35" s="1"/>
      <c r="C35" s="1"/>
      <c r="D35" s="31"/>
      <c r="E35" s="31"/>
      <c r="F35" s="31"/>
      <c r="G35" s="31"/>
      <c r="H35" s="31"/>
      <c r="I35" s="31"/>
      <c r="J35" s="31"/>
      <c r="K35" s="31">
        <f>+Report!R71</f>
        <v>0</v>
      </c>
      <c r="L35" s="31">
        <f t="shared" si="0"/>
        <v>0</v>
      </c>
      <c r="M35" s="31"/>
      <c r="N35" s="31" t="s">
        <v>854</v>
      </c>
      <c r="P35" s="1"/>
    </row>
    <row r="36" spans="1:16" ht="13.5" thickBot="1">
      <c r="A36" s="1" t="s">
        <v>855</v>
      </c>
      <c r="B36" s="1"/>
      <c r="C36" s="1"/>
      <c r="D36" s="31"/>
      <c r="E36" s="31"/>
      <c r="F36" s="31"/>
      <c r="G36" s="31"/>
      <c r="H36" s="398">
        <f>Report!J72*'Input Tax Rate'!B36</f>
        <v>0</v>
      </c>
      <c r="I36" s="31"/>
      <c r="J36" s="31"/>
      <c r="K36" s="401">
        <f>Report!J72*'Input Tax Rate'!B37</f>
        <v>0</v>
      </c>
      <c r="L36" s="31">
        <f t="shared" si="0"/>
        <v>0</v>
      </c>
      <c r="M36" s="31"/>
      <c r="N36" s="36">
        <v>0</v>
      </c>
      <c r="P36" s="1"/>
    </row>
    <row r="37" spans="1:16">
      <c r="A37" s="1" t="s">
        <v>856</v>
      </c>
      <c r="B37" s="1"/>
      <c r="C37" s="1"/>
      <c r="D37" s="31"/>
      <c r="E37" s="31"/>
      <c r="F37" s="31"/>
      <c r="G37" s="31">
        <v>0</v>
      </c>
      <c r="H37" s="31"/>
      <c r="I37" s="31">
        <f>-G37</f>
        <v>0</v>
      </c>
      <c r="J37" s="31"/>
      <c r="K37" s="31"/>
      <c r="L37" s="31">
        <f t="shared" si="0"/>
        <v>0</v>
      </c>
      <c r="M37" s="31"/>
      <c r="N37" s="31"/>
    </row>
    <row r="38" spans="1:16">
      <c r="A38" s="1" t="s">
        <v>857</v>
      </c>
      <c r="B38" s="1"/>
      <c r="C38" s="1"/>
      <c r="D38" s="31"/>
      <c r="E38" s="31"/>
      <c r="F38" s="31"/>
      <c r="G38" s="247"/>
      <c r="H38" s="31"/>
      <c r="I38" s="31"/>
      <c r="J38" s="31">
        <f ca="1">+Report!T75</f>
        <v>-110123.60540692307</v>
      </c>
      <c r="K38" s="31"/>
      <c r="L38" s="31">
        <f t="shared" ca="1" si="0"/>
        <v>-110123.60540692307</v>
      </c>
      <c r="M38" s="31"/>
      <c r="N38" s="31"/>
    </row>
    <row r="39" spans="1:16">
      <c r="A39" s="1" t="s">
        <v>858</v>
      </c>
      <c r="B39" s="1"/>
      <c r="C39" s="1"/>
      <c r="D39" s="677"/>
      <c r="E39" s="677"/>
      <c r="F39" s="677"/>
      <c r="G39" s="678"/>
      <c r="H39" s="677"/>
      <c r="I39" s="677"/>
      <c r="J39" s="677"/>
      <c r="K39" s="677"/>
      <c r="L39" s="677">
        <f t="shared" ref="L39" si="1">SUM(D39:K39)</f>
        <v>0</v>
      </c>
      <c r="M39" s="31"/>
      <c r="N39" s="31"/>
    </row>
    <row r="40" spans="1:16">
      <c r="A40" s="1" t="s">
        <v>859</v>
      </c>
      <c r="B40" s="1"/>
      <c r="C40" s="1"/>
      <c r="D40" s="31">
        <f ca="1">(-G40-H40)</f>
        <v>0</v>
      </c>
      <c r="E40" s="31"/>
      <c r="F40" s="31"/>
      <c r="G40" s="420">
        <f ca="1">-Input!B33/1000</f>
        <v>0</v>
      </c>
      <c r="H40" s="420">
        <f ca="1">-Input!B34/1000</f>
        <v>0</v>
      </c>
      <c r="I40" s="31"/>
      <c r="J40" s="31"/>
      <c r="K40" s="31"/>
      <c r="L40" s="31">
        <f ca="1">SUM(D40:K40)</f>
        <v>0</v>
      </c>
      <c r="M40" s="31"/>
      <c r="N40" s="31"/>
    </row>
    <row r="41" spans="1:16">
      <c r="A41" s="188" t="s">
        <v>28</v>
      </c>
      <c r="D41" s="248"/>
      <c r="E41" s="962"/>
      <c r="F41" s="962"/>
      <c r="G41" s="962"/>
      <c r="H41" s="399">
        <f ca="1">Report!T74*'Input Tax Rate'!B36</f>
        <v>-2638.5174061589237</v>
      </c>
      <c r="I41" s="122"/>
      <c r="J41" s="443">
        <f ca="1">Report!T74*'Input Tax Rate'!B37</f>
        <v>-7771.8886153795402</v>
      </c>
      <c r="K41" s="122"/>
      <c r="L41" s="122">
        <f ca="1">SUM(D41:K41)</f>
        <v>-10410.406021538463</v>
      </c>
      <c r="M41" s="33"/>
      <c r="N41" s="33"/>
    </row>
    <row r="42" spans="1:16">
      <c r="A42" s="1"/>
      <c r="B42" s="1"/>
      <c r="C42" s="1"/>
      <c r="D42" s="34"/>
      <c r="E42" s="34"/>
      <c r="F42" s="34"/>
      <c r="G42" s="34"/>
      <c r="H42" s="34"/>
      <c r="I42" s="34"/>
      <c r="J42" s="34"/>
      <c r="K42" s="34"/>
      <c r="L42" s="34"/>
      <c r="M42" s="31"/>
      <c r="N42" s="31"/>
    </row>
    <row r="43" spans="1:16">
      <c r="A43" s="1" t="s">
        <v>860</v>
      </c>
      <c r="B43" s="1"/>
      <c r="C43" s="1"/>
      <c r="D43" s="31">
        <f t="shared" ref="D43:L43" ca="1" si="2">SUM(D14:D41)</f>
        <v>0</v>
      </c>
      <c r="E43" s="31">
        <f t="shared" ca="1" si="2"/>
        <v>-760.06153846153245</v>
      </c>
      <c r="F43" s="31">
        <f t="shared" si="2"/>
        <v>0</v>
      </c>
      <c r="G43" s="31">
        <f t="shared" ca="1" si="2"/>
        <v>-3979.9506776870521</v>
      </c>
      <c r="H43" s="31">
        <f t="shared" ca="1" si="2"/>
        <v>-7062.7823601965665</v>
      </c>
      <c r="I43" s="31">
        <f t="shared" si="2"/>
        <v>0</v>
      </c>
      <c r="J43" s="31">
        <f t="shared" ca="1" si="2"/>
        <v>-117895.49402230262</v>
      </c>
      <c r="K43" s="31">
        <f t="shared" ca="1" si="2"/>
        <v>-12781.59536346154</v>
      </c>
      <c r="L43" s="31">
        <f t="shared" ca="1" si="2"/>
        <v>-142479.88396210931</v>
      </c>
      <c r="M43" s="31"/>
      <c r="N43" s="31"/>
    </row>
    <row r="44" spans="1:16"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6" ht="13.5" thickBot="1">
      <c r="A45" s="1" t="s">
        <v>861</v>
      </c>
      <c r="B45" s="1"/>
      <c r="C45" s="1"/>
      <c r="D45" s="31"/>
      <c r="E45" s="31"/>
      <c r="F45" s="31"/>
      <c r="G45" s="31"/>
      <c r="H45" s="31"/>
      <c r="I45" s="31"/>
      <c r="J45" s="31"/>
      <c r="K45" s="31"/>
      <c r="L45" s="32">
        <f ca="1">SUM(L10:L42)</f>
        <v>2366788.2961001256</v>
      </c>
      <c r="M45" s="31"/>
      <c r="N45" s="31">
        <f ca="1">+Report!T83</f>
        <v>2366788.0191770494</v>
      </c>
      <c r="O45" t="s">
        <v>862</v>
      </c>
    </row>
    <row r="46" spans="1:16" ht="14.25" thickTop="1" thickBot="1">
      <c r="A46" s="1"/>
      <c r="B46" s="1"/>
      <c r="C46" s="1"/>
      <c r="D46" s="31"/>
      <c r="E46" s="31"/>
      <c r="F46" s="31"/>
      <c r="G46" s="31"/>
      <c r="H46" s="31"/>
      <c r="I46" s="31"/>
      <c r="J46" s="31"/>
      <c r="K46" s="31"/>
      <c r="L46" s="34"/>
      <c r="M46" s="31"/>
      <c r="N46" s="40">
        <f ca="1">+L45-N45</f>
        <v>0.27692307624965906</v>
      </c>
      <c r="O46" t="s">
        <v>863</v>
      </c>
    </row>
    <row r="49" spans="1:14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</row>
    <row r="51" spans="1:14">
      <c r="A51" s="1"/>
      <c r="B51" s="165"/>
      <c r="C51" s="166" t="str">
        <f>+Report!$A$3</f>
        <v>2024 Budget</v>
      </c>
    </row>
    <row r="52" spans="1:14">
      <c r="A52" s="1"/>
      <c r="B52" s="264" t="str">
        <f>'Bal Sheet'!CU4</f>
        <v>December 2024</v>
      </c>
      <c r="C52" s="167" t="s">
        <v>463</v>
      </c>
    </row>
    <row r="53" spans="1:14" ht="15">
      <c r="B53" s="265" t="s">
        <v>2</v>
      </c>
      <c r="C53" s="16" t="s">
        <v>222</v>
      </c>
    </row>
    <row r="54" spans="1:14" ht="15.75">
      <c r="A54" s="17"/>
      <c r="B54" s="266"/>
      <c r="C54" s="278">
        <f>+'Bal Sheet'!A1</f>
        <v>12</v>
      </c>
    </row>
    <row r="55" spans="1:14" ht="15">
      <c r="A55" s="13" t="s">
        <v>465</v>
      </c>
      <c r="B55" s="267"/>
      <c r="C55" s="15"/>
      <c r="I55" s="5"/>
      <c r="J55" s="5"/>
      <c r="K55" s="5"/>
    </row>
    <row r="56" spans="1:14" ht="15">
      <c r="A56" t="s">
        <v>466</v>
      </c>
      <c r="B56" s="268"/>
      <c r="C56" s="87"/>
      <c r="I56" s="4"/>
      <c r="J56" s="4"/>
      <c r="K56" s="4"/>
      <c r="L56" s="4"/>
      <c r="M56" s="1"/>
      <c r="N56" s="1"/>
    </row>
    <row r="57" spans="1:14" ht="15">
      <c r="A57" t="s">
        <v>467</v>
      </c>
      <c r="B57" s="269">
        <f>(+'Bal Sheet'!CT10)</f>
        <v>3460267.6</v>
      </c>
      <c r="C57" s="226">
        <f ca="1">(+'Bal Sheet'!B10)</f>
        <v>3319121.5923076924</v>
      </c>
      <c r="I57" s="2"/>
      <c r="J57" s="2"/>
      <c r="K57" s="2"/>
      <c r="L57" s="2"/>
      <c r="M57" s="1"/>
      <c r="N57" s="1"/>
    </row>
    <row r="58" spans="1:14" ht="15">
      <c r="A58" t="s">
        <v>468</v>
      </c>
      <c r="B58" s="269">
        <f>(+'Bal Sheet'!CT11)</f>
        <v>1939.6</v>
      </c>
      <c r="C58" s="226">
        <f ca="1">(+'Bal Sheet'!B11)</f>
        <v>1939.5999999999997</v>
      </c>
      <c r="I58" s="31"/>
      <c r="J58" s="31"/>
      <c r="K58" s="31"/>
      <c r="L58" s="31"/>
      <c r="M58" s="31"/>
      <c r="N58" s="31"/>
    </row>
    <row r="59" spans="1:14" ht="15">
      <c r="A59" t="s">
        <v>190</v>
      </c>
      <c r="B59" s="270">
        <f>(+'Bal Sheet'!CT12)</f>
        <v>164566.70000000001</v>
      </c>
      <c r="C59" s="227">
        <f ca="1">(+'Bal Sheet'!B12)</f>
        <v>135611.36153846153</v>
      </c>
      <c r="I59" s="33"/>
      <c r="J59" s="33"/>
      <c r="K59" s="33"/>
      <c r="L59" s="33"/>
      <c r="M59" s="33"/>
      <c r="N59" s="33"/>
    </row>
    <row r="60" spans="1:14" ht="15">
      <c r="A60" s="15" t="s">
        <v>469</v>
      </c>
      <c r="B60" s="271">
        <f>(+'Bal Sheet'!CT13)</f>
        <v>5031.8999999999996</v>
      </c>
      <c r="C60" s="228">
        <f ca="1">(+'Bal Sheet'!B13)</f>
        <v>5031.9000000000005</v>
      </c>
      <c r="I60" s="33"/>
      <c r="J60" s="33"/>
      <c r="K60" s="33"/>
      <c r="L60" s="33"/>
      <c r="M60" s="33"/>
      <c r="N60" s="33"/>
    </row>
    <row r="61" spans="1:14" ht="15">
      <c r="B61" s="269"/>
      <c r="C61" s="226"/>
      <c r="I61" s="33"/>
      <c r="J61" s="33"/>
      <c r="K61" s="33"/>
      <c r="L61" s="33"/>
      <c r="M61" s="33"/>
      <c r="N61" s="33"/>
    </row>
    <row r="62" spans="1:14" ht="15">
      <c r="A62" t="s">
        <v>470</v>
      </c>
      <c r="B62" s="270">
        <f>SUM(B57:B60)</f>
        <v>3631805.8000000003</v>
      </c>
      <c r="C62" s="227">
        <f ca="1">SUM(C57:C60)</f>
        <v>3461704.4538461538</v>
      </c>
      <c r="I62" s="31"/>
      <c r="J62" s="31"/>
      <c r="K62" s="31"/>
      <c r="L62" s="31"/>
      <c r="M62" s="31"/>
      <c r="N62" s="31"/>
    </row>
    <row r="63" spans="1:14" ht="15">
      <c r="A63" t="s">
        <v>864</v>
      </c>
      <c r="B63" s="271">
        <f>(+'Bal Sheet'!CT15)</f>
        <v>-952753.89999999991</v>
      </c>
      <c r="C63" s="228">
        <f ca="1">(+'Bal Sheet'!B15)</f>
        <v>-923335.28461538453</v>
      </c>
      <c r="I63" s="31"/>
      <c r="J63" s="31"/>
      <c r="K63" s="31"/>
      <c r="L63" s="31"/>
      <c r="M63" s="31"/>
      <c r="N63" s="31"/>
    </row>
    <row r="64" spans="1:14" ht="15">
      <c r="B64" s="269"/>
      <c r="C64" s="226"/>
      <c r="I64" s="31"/>
      <c r="J64" s="31"/>
      <c r="K64" s="31"/>
      <c r="L64" s="31"/>
      <c r="M64" s="31"/>
      <c r="N64" s="31"/>
    </row>
    <row r="65" spans="1:14" ht="15">
      <c r="A65" s="15" t="s">
        <v>472</v>
      </c>
      <c r="B65" s="269">
        <f>+B62+B63</f>
        <v>2679051.9000000004</v>
      </c>
      <c r="C65" s="226">
        <f ca="1">+C62+C63</f>
        <v>2538369.1692307694</v>
      </c>
      <c r="D65" s="1055"/>
      <c r="E65" s="1055"/>
      <c r="I65" s="31"/>
      <c r="J65" s="31"/>
      <c r="K65" s="31"/>
      <c r="L65" s="31"/>
      <c r="M65" s="31"/>
      <c r="N65" s="31"/>
    </row>
    <row r="66" spans="1:14" ht="15">
      <c r="B66" s="269"/>
      <c r="C66" s="226"/>
      <c r="D66" s="1055"/>
      <c r="E66" s="1055"/>
      <c r="I66" s="31"/>
      <c r="J66" s="31"/>
      <c r="K66" s="31"/>
      <c r="L66" s="31"/>
      <c r="M66" s="31"/>
      <c r="N66" s="31"/>
    </row>
    <row r="67" spans="1:14" ht="15">
      <c r="A67" t="s">
        <v>473</v>
      </c>
      <c r="B67" s="269">
        <f>(+'Bal Sheet'!CT18)</f>
        <v>1524.7</v>
      </c>
      <c r="C67" s="226">
        <f ca="1">(+'Bal Sheet'!B18)</f>
        <v>1248.8846153846155</v>
      </c>
      <c r="I67" s="31"/>
      <c r="J67" s="31"/>
      <c r="K67" s="31"/>
      <c r="L67" s="31"/>
      <c r="M67" s="31"/>
      <c r="N67" s="31"/>
    </row>
    <row r="68" spans="1:14" ht="15">
      <c r="A68" t="s">
        <v>474</v>
      </c>
      <c r="B68" s="270">
        <f>(+'Bal Sheet'!CT19)</f>
        <v>0</v>
      </c>
      <c r="C68" s="227">
        <f ca="1">(+'Bal Sheet'!B19)</f>
        <v>0</v>
      </c>
      <c r="I68" s="31"/>
      <c r="J68" s="31"/>
      <c r="K68" s="31"/>
      <c r="L68" s="31"/>
      <c r="M68" s="31"/>
      <c r="N68" s="31"/>
    </row>
    <row r="69" spans="1:14" ht="15">
      <c r="A69" t="s">
        <v>475</v>
      </c>
      <c r="B69" s="271">
        <f>(+'Bal Sheet'!CT20)</f>
        <v>0</v>
      </c>
      <c r="C69" s="228">
        <f ca="1">(+'Bal Sheet'!B20)</f>
        <v>0</v>
      </c>
      <c r="I69" s="31"/>
      <c r="J69" s="31"/>
      <c r="K69" s="31"/>
      <c r="L69" s="31"/>
      <c r="M69" s="31"/>
      <c r="N69" s="31"/>
    </row>
    <row r="70" spans="1:14" ht="15">
      <c r="B70" s="269"/>
      <c r="C70" s="226"/>
      <c r="I70" s="31"/>
      <c r="J70" s="31"/>
      <c r="K70" s="31"/>
      <c r="L70" s="31"/>
      <c r="M70" s="31"/>
      <c r="N70" s="31"/>
    </row>
    <row r="71" spans="1:14" ht="15">
      <c r="A71" s="13" t="s">
        <v>476</v>
      </c>
      <c r="B71" s="269">
        <f>SUM(B67:B69)</f>
        <v>1524.7</v>
      </c>
      <c r="C71" s="226">
        <f ca="1">SUM(C67:C69)</f>
        <v>1248.8846153846155</v>
      </c>
      <c r="I71" s="31"/>
      <c r="J71" s="31"/>
      <c r="K71" s="31"/>
      <c r="L71" s="31"/>
      <c r="M71" s="31"/>
      <c r="N71" s="31"/>
    </row>
    <row r="72" spans="1:14" ht="15">
      <c r="A72" t="s">
        <v>477</v>
      </c>
      <c r="B72" s="269"/>
      <c r="C72" s="226"/>
      <c r="I72" s="31"/>
      <c r="J72" s="31"/>
      <c r="K72" s="31"/>
      <c r="L72" s="31"/>
      <c r="M72" s="31"/>
      <c r="N72" s="31"/>
    </row>
    <row r="73" spans="1:14" ht="15">
      <c r="A73" t="s">
        <v>478</v>
      </c>
      <c r="B73" s="269">
        <f>(+'Bal Sheet'!CT24)</f>
        <v>1000</v>
      </c>
      <c r="C73" s="226">
        <f ca="1">(+'Bal Sheet'!B24)</f>
        <v>1000</v>
      </c>
      <c r="I73" s="31"/>
      <c r="J73" s="31"/>
      <c r="K73" s="31"/>
      <c r="L73" s="31"/>
      <c r="M73" s="31"/>
      <c r="N73" s="31"/>
    </row>
    <row r="74" spans="1:14" ht="15">
      <c r="A74" t="s">
        <v>479</v>
      </c>
      <c r="B74" s="269">
        <f>(+'Bal Sheet'!CT25)</f>
        <v>0</v>
      </c>
      <c r="C74" s="226">
        <f ca="1">(+'Bal Sheet'!B25)</f>
        <v>0</v>
      </c>
      <c r="I74" s="31"/>
      <c r="J74" s="31"/>
      <c r="K74" s="31"/>
      <c r="L74" s="31"/>
      <c r="M74" s="31"/>
      <c r="N74" s="31"/>
    </row>
    <row r="75" spans="1:14" ht="15">
      <c r="A75" t="s">
        <v>480</v>
      </c>
      <c r="B75" s="269">
        <f>(+'Bal Sheet'!CT26)</f>
        <v>25</v>
      </c>
      <c r="C75" s="226">
        <f ca="1">(+'Bal Sheet'!B26)</f>
        <v>25</v>
      </c>
      <c r="I75" s="31"/>
      <c r="J75" s="31"/>
      <c r="K75" s="31"/>
      <c r="L75" s="31"/>
      <c r="M75" s="31"/>
      <c r="N75" s="177"/>
    </row>
    <row r="76" spans="1:14" ht="15">
      <c r="A76" t="s">
        <v>481</v>
      </c>
      <c r="B76" s="269">
        <f>(+'Bal Sheet'!CT27)</f>
        <v>3</v>
      </c>
      <c r="C76" s="226">
        <f ca="1">(+'Bal Sheet'!B27)</f>
        <v>3</v>
      </c>
      <c r="I76" s="31"/>
      <c r="J76" s="31"/>
      <c r="K76" s="31"/>
      <c r="L76" s="31"/>
      <c r="M76" s="31"/>
      <c r="N76" s="31"/>
    </row>
    <row r="77" spans="1:14" ht="15">
      <c r="A77" t="s">
        <v>482</v>
      </c>
      <c r="B77" s="269">
        <f>(+'Bal Sheet'!CT28)</f>
        <v>0</v>
      </c>
      <c r="C77" s="226">
        <f ca="1">(+'Bal Sheet'!B28)</f>
        <v>0</v>
      </c>
      <c r="I77" s="31"/>
      <c r="J77" s="31"/>
      <c r="K77" s="31"/>
      <c r="L77" s="31"/>
      <c r="M77" s="31"/>
      <c r="N77" s="31"/>
    </row>
    <row r="78" spans="1:14" ht="15">
      <c r="A78" t="s">
        <v>483</v>
      </c>
      <c r="B78" s="269">
        <f>(+'Bal Sheet'!CT29)</f>
        <v>38920</v>
      </c>
      <c r="C78" s="226">
        <f ca="1">(+'Bal Sheet'!B29)</f>
        <v>38620</v>
      </c>
      <c r="I78" s="31"/>
      <c r="J78" s="31"/>
      <c r="K78" s="31"/>
      <c r="L78" s="31"/>
      <c r="M78" s="31"/>
      <c r="N78" s="31"/>
    </row>
    <row r="79" spans="1:14" ht="15">
      <c r="A79" t="s">
        <v>484</v>
      </c>
      <c r="B79" s="269">
        <f>(+'Bal Sheet'!CT30)</f>
        <v>582.39999999999964</v>
      </c>
      <c r="C79" s="226">
        <f ca="1">(+'Bal Sheet'!B30)</f>
        <v>737.36153846153843</v>
      </c>
      <c r="I79" s="31"/>
      <c r="J79" s="31"/>
      <c r="K79" s="31"/>
      <c r="L79" s="31"/>
      <c r="M79" s="31"/>
      <c r="N79" s="31"/>
    </row>
    <row r="80" spans="1:14" ht="15">
      <c r="A80" t="s">
        <v>485</v>
      </c>
      <c r="B80" s="269">
        <f>(+'Bal Sheet'!CT31)</f>
        <v>-529.29999999999995</v>
      </c>
      <c r="C80" s="226">
        <f ca="1">(+'Bal Sheet'!B31)</f>
        <v>-560.08461538461552</v>
      </c>
      <c r="I80" s="31"/>
      <c r="J80" s="37"/>
      <c r="K80" s="37"/>
      <c r="L80" s="31"/>
      <c r="M80" s="31"/>
      <c r="N80" s="31"/>
    </row>
    <row r="81" spans="1:15" ht="15">
      <c r="A81" t="s">
        <v>486</v>
      </c>
      <c r="B81" s="269">
        <f>(+'Bal Sheet'!CT32)</f>
        <v>10135.299999999999</v>
      </c>
      <c r="C81" s="226">
        <f ca="1">(+'Bal Sheet'!B32)</f>
        <v>10135.300000000001</v>
      </c>
      <c r="I81" s="31"/>
      <c r="J81" s="31"/>
      <c r="K81" s="31"/>
      <c r="L81" s="31"/>
      <c r="M81" s="31"/>
      <c r="N81" s="31"/>
    </row>
    <row r="82" spans="1:15" ht="15">
      <c r="A82" t="s">
        <v>487</v>
      </c>
      <c r="B82" s="269">
        <f>(+'Bal Sheet'!CT33)</f>
        <v>3816.8999999999996</v>
      </c>
      <c r="C82" s="226">
        <f ca="1">(+'Bal Sheet'!B33)</f>
        <v>3816.900000000001</v>
      </c>
      <c r="I82" s="31"/>
      <c r="J82" s="31"/>
      <c r="K82" s="31"/>
      <c r="L82" s="31"/>
      <c r="M82" s="31"/>
      <c r="N82" s="31"/>
    </row>
    <row r="83" spans="1:15" ht="15">
      <c r="A83" t="s">
        <v>489</v>
      </c>
      <c r="B83" s="269">
        <f>(+'Bal Sheet'!CT34+'Bal Sheet'!CT35)</f>
        <v>4513.7</v>
      </c>
      <c r="C83" s="226">
        <f ca="1">(+'Bal Sheet'!B34+'Bal Sheet'!B35)</f>
        <v>4513.7</v>
      </c>
      <c r="I83" s="31"/>
      <c r="J83" s="31"/>
      <c r="K83" s="31"/>
      <c r="L83" s="31"/>
      <c r="M83" s="31"/>
      <c r="N83" s="31"/>
    </row>
    <row r="84" spans="1:15" ht="15">
      <c r="A84" t="s">
        <v>490</v>
      </c>
      <c r="B84" s="269">
        <f>(+'Bal Sheet'!CT36)</f>
        <v>0</v>
      </c>
      <c r="C84" s="226">
        <f ca="1">(+'Bal Sheet'!B36)</f>
        <v>0</v>
      </c>
      <c r="I84" s="31"/>
      <c r="J84" s="31"/>
      <c r="K84" s="31"/>
      <c r="L84" s="31"/>
      <c r="M84" s="31"/>
      <c r="N84" s="31"/>
    </row>
    <row r="85" spans="1:15" ht="15">
      <c r="A85" t="s">
        <v>865</v>
      </c>
      <c r="B85" s="269">
        <f>(+'Bal Sheet'!CT37)</f>
        <v>4436.1000000000004</v>
      </c>
      <c r="C85" s="226">
        <f ca="1">(+'Bal Sheet'!B37)</f>
        <v>5165.084615384616</v>
      </c>
      <c r="I85" s="31"/>
      <c r="J85" s="31"/>
      <c r="K85" s="31"/>
      <c r="L85" s="31"/>
      <c r="M85" s="31"/>
      <c r="N85" s="31"/>
    </row>
    <row r="86" spans="1:15" ht="15">
      <c r="A86" t="s">
        <v>866</v>
      </c>
      <c r="B86" s="270">
        <f>(+'Bal Sheet'!CT38)</f>
        <v>21250</v>
      </c>
      <c r="C86" s="227">
        <f ca="1">(+'Bal Sheet'!B38)</f>
        <v>19784.615384615383</v>
      </c>
      <c r="I86" s="31"/>
      <c r="J86" s="35"/>
      <c r="K86" s="35"/>
      <c r="L86" s="31"/>
      <c r="M86" s="31"/>
      <c r="N86" s="31"/>
    </row>
    <row r="87" spans="1:15" ht="15">
      <c r="A87" t="s">
        <v>867</v>
      </c>
      <c r="B87" s="271">
        <f>(+'Bal Sheet'!CT39)</f>
        <v>0</v>
      </c>
      <c r="C87" s="228">
        <f ca="1">(+'Bal Sheet'!B39)</f>
        <v>0</v>
      </c>
      <c r="I87" s="33"/>
      <c r="J87" s="33"/>
      <c r="K87" s="33"/>
      <c r="L87" s="33"/>
      <c r="M87" s="33"/>
      <c r="N87" s="33"/>
    </row>
    <row r="88" spans="1:15" ht="15">
      <c r="B88" s="269"/>
      <c r="C88" s="226"/>
      <c r="I88" s="31"/>
      <c r="J88" s="31"/>
      <c r="K88" s="31"/>
      <c r="L88" s="31"/>
      <c r="M88" s="31"/>
      <c r="N88" s="31"/>
      <c r="O88" s="31"/>
    </row>
    <row r="89" spans="1:15" ht="15">
      <c r="A89" s="13" t="s">
        <v>494</v>
      </c>
      <c r="B89" s="269">
        <f>SUM(B73:B87)</f>
        <v>84153.099999999991</v>
      </c>
      <c r="C89" s="226">
        <f ca="1">SUM(C73:C87)</f>
        <v>83240.876923076925</v>
      </c>
      <c r="I89" s="31"/>
      <c r="J89" s="31"/>
      <c r="K89" s="31"/>
      <c r="L89" s="31"/>
      <c r="M89" s="31"/>
      <c r="N89" s="31"/>
      <c r="O89" s="31"/>
    </row>
    <row r="90" spans="1:15" ht="15">
      <c r="A90" t="s">
        <v>495</v>
      </c>
      <c r="B90" s="269"/>
      <c r="C90" s="226"/>
      <c r="I90" s="31"/>
      <c r="J90" s="31"/>
      <c r="K90" s="31"/>
      <c r="L90" s="31"/>
      <c r="M90" s="31"/>
      <c r="N90" s="31"/>
      <c r="O90" s="31"/>
    </row>
    <row r="91" spans="1:15" ht="15">
      <c r="A91" t="s">
        <v>496</v>
      </c>
      <c r="B91" s="269">
        <f>(+'Bal Sheet'!CT43)</f>
        <v>0</v>
      </c>
      <c r="C91" s="226">
        <f ca="1">(+'Bal Sheet'!B43)</f>
        <v>0</v>
      </c>
      <c r="I91" s="31"/>
      <c r="J91" s="31"/>
      <c r="K91" s="31"/>
      <c r="L91" s="31"/>
      <c r="M91" s="31"/>
      <c r="N91" s="31"/>
      <c r="O91" s="31"/>
    </row>
    <row r="92" spans="1:15" ht="15">
      <c r="A92" t="s">
        <v>497</v>
      </c>
      <c r="B92" s="269">
        <f>(+'Bal Sheet'!CT44)</f>
        <v>69734.399999999994</v>
      </c>
      <c r="C92" s="226">
        <f ca="1">(+'Bal Sheet'!B44)</f>
        <v>68514.261538461549</v>
      </c>
      <c r="I92" s="31"/>
      <c r="J92" s="31"/>
      <c r="K92" s="31"/>
      <c r="L92" s="31"/>
      <c r="M92" s="31"/>
      <c r="N92" s="31"/>
      <c r="O92" s="31"/>
    </row>
    <row r="93" spans="1:15" ht="15">
      <c r="A93" t="s">
        <v>498</v>
      </c>
      <c r="B93" s="269">
        <f>(+'Bal Sheet'!CT45)</f>
        <v>0</v>
      </c>
      <c r="C93" s="226">
        <f ca="1">(+'Bal Sheet'!B45)</f>
        <v>0</v>
      </c>
      <c r="I93" s="31"/>
      <c r="J93" s="31"/>
      <c r="K93" s="31"/>
      <c r="L93" s="31"/>
      <c r="M93" s="31"/>
      <c r="N93" s="31"/>
      <c r="O93" s="31"/>
    </row>
    <row r="94" spans="1:15" ht="15">
      <c r="A94" t="s">
        <v>868</v>
      </c>
      <c r="B94" s="269">
        <f>(+'Bal Sheet'!CT46)</f>
        <v>58754.799999999996</v>
      </c>
      <c r="C94" s="226">
        <f ca="1">(+'Bal Sheet'!B46)</f>
        <v>55171.230769230766</v>
      </c>
      <c r="I94" s="31"/>
      <c r="J94" s="31"/>
      <c r="K94" s="31"/>
      <c r="L94" s="31"/>
      <c r="M94" s="31"/>
      <c r="N94" s="31"/>
      <c r="O94" s="31"/>
    </row>
    <row r="95" spans="1:15" ht="15">
      <c r="A95" s="365" t="s">
        <v>500</v>
      </c>
      <c r="B95" s="269">
        <f>(+'Bal Sheet'!CT47)</f>
        <v>1348.8</v>
      </c>
      <c r="C95" s="226">
        <f ca="1">(+'Bal Sheet'!B47)</f>
        <v>799.33076923076919</v>
      </c>
      <c r="I95" s="31"/>
      <c r="J95" s="31"/>
      <c r="K95" s="31"/>
      <c r="L95" s="31"/>
      <c r="M95" s="31"/>
      <c r="N95" s="31"/>
      <c r="O95" s="31"/>
    </row>
    <row r="96" spans="1:15" ht="15">
      <c r="A96" s="365" t="s">
        <v>501</v>
      </c>
      <c r="B96" s="269">
        <f>(+'Bal Sheet'!CT48)</f>
        <v>0</v>
      </c>
      <c r="C96" s="226">
        <f ca="1">(+'Bal Sheet'!B48)</f>
        <v>0</v>
      </c>
      <c r="I96" s="31"/>
      <c r="J96" s="31"/>
      <c r="K96" s="31"/>
      <c r="L96" s="31"/>
      <c r="M96" s="31"/>
      <c r="N96" s="31"/>
      <c r="O96" s="31"/>
    </row>
    <row r="97" spans="1:3" ht="15">
      <c r="A97" t="s">
        <v>502</v>
      </c>
      <c r="B97" s="269">
        <f>(+'Bal Sheet'!CT49)</f>
        <v>0</v>
      </c>
      <c r="C97" s="226">
        <f ca="1">(+'Bal Sheet'!B49)</f>
        <v>0</v>
      </c>
    </row>
    <row r="98" spans="1:3" ht="15">
      <c r="A98" t="s">
        <v>503</v>
      </c>
      <c r="B98" s="269">
        <f>(+'Bal Sheet'!CT50)</f>
        <v>2165.1999999999998</v>
      </c>
      <c r="C98" s="226">
        <f ca="1">(+'Bal Sheet'!B50)</f>
        <v>2653.8076923076924</v>
      </c>
    </row>
    <row r="99" spans="1:3" ht="15">
      <c r="A99" s="366" t="s">
        <v>869</v>
      </c>
      <c r="B99" s="270">
        <f>(+'Bal Sheet'!CT51)</f>
        <v>0</v>
      </c>
      <c r="C99" s="227">
        <f ca="1">(+'Bal Sheet'!B51)</f>
        <v>0.10769230768626305</v>
      </c>
    </row>
    <row r="100" spans="1:3" ht="15">
      <c r="A100" t="s">
        <v>870</v>
      </c>
      <c r="B100" s="271">
        <f>(+'Bal Sheet'!CT52)</f>
        <v>0</v>
      </c>
      <c r="C100" s="228">
        <f ca="1">(+'Bal Sheet'!B52)</f>
        <v>0</v>
      </c>
    </row>
    <row r="101" spans="1:3" ht="15">
      <c r="B101" s="270"/>
      <c r="C101" s="227"/>
    </row>
    <row r="102" spans="1:3" ht="15">
      <c r="A102" s="15" t="s">
        <v>506</v>
      </c>
      <c r="B102" s="271">
        <f>SUM(B91:B100)</f>
        <v>132003.19999999998</v>
      </c>
      <c r="C102" s="228">
        <f ca="1">SUM(C91:C100)</f>
        <v>127138.73846153847</v>
      </c>
    </row>
    <row r="103" spans="1:3" ht="15.75" thickBot="1">
      <c r="B103" s="272"/>
      <c r="C103" s="229"/>
    </row>
    <row r="104" spans="1:3" ht="15.75" thickTop="1">
      <c r="A104" s="15" t="s">
        <v>507</v>
      </c>
      <c r="B104" s="273">
        <f>+B65+B71+B89+B102</f>
        <v>2896732.9000000008</v>
      </c>
      <c r="C104" s="168">
        <f ca="1">+C65+C71+C89+C102</f>
        <v>2749997.6692307694</v>
      </c>
    </row>
    <row r="105" spans="1:3" ht="15">
      <c r="A105" s="15"/>
      <c r="B105" s="274"/>
      <c r="C105" s="18"/>
    </row>
    <row r="106" spans="1:3" ht="15">
      <c r="A106" s="15"/>
      <c r="B106" s="274"/>
      <c r="C106" s="18"/>
    </row>
    <row r="107" spans="1:3" ht="15.75">
      <c r="A107" s="17"/>
      <c r="B107" s="275"/>
      <c r="C107" s="167" t="str">
        <f>+C51</f>
        <v>2024 Budget</v>
      </c>
    </row>
    <row r="108" spans="1:3" ht="15">
      <c r="A108" s="15" t="s">
        <v>508</v>
      </c>
      <c r="B108" s="264" t="str">
        <f>+B52</f>
        <v>December 2024</v>
      </c>
      <c r="C108" s="167" t="str">
        <f>+C52</f>
        <v>13 Month</v>
      </c>
    </row>
    <row r="109" spans="1:3" ht="15">
      <c r="A109" s="13"/>
      <c r="B109" s="276" t="str">
        <f>+B53</f>
        <v>Actual</v>
      </c>
      <c r="C109" s="230" t="str">
        <f>+C53</f>
        <v>Average</v>
      </c>
    </row>
    <row r="110" spans="1:3" ht="15">
      <c r="A110" t="s">
        <v>871</v>
      </c>
      <c r="B110" s="269"/>
      <c r="C110" s="226"/>
    </row>
    <row r="111" spans="1:3" ht="15">
      <c r="A111" t="s">
        <v>509</v>
      </c>
      <c r="B111" s="269">
        <f>(+'Bal Sheet'!CT59)</f>
        <v>0</v>
      </c>
      <c r="C111" s="226">
        <f>(+'Bal Sheet'!B59)</f>
        <v>0</v>
      </c>
    </row>
    <row r="112" spans="1:3" ht="15">
      <c r="A112" t="s">
        <v>510</v>
      </c>
      <c r="B112" s="269">
        <f>(+'Bal Sheet'!CT60)</f>
        <v>1145550.1000000001</v>
      </c>
      <c r="C112" s="226">
        <f ca="1">(+'Bal Sheet'!B60)</f>
        <v>1077857.7923076921</v>
      </c>
    </row>
    <row r="113" spans="1:3" ht="15">
      <c r="A113" t="s">
        <v>511</v>
      </c>
      <c r="B113" s="270">
        <f>(+'Bal Sheet'!CT61)</f>
        <v>110551.47292892703</v>
      </c>
      <c r="C113" s="227">
        <f ca="1">(+'Bal Sheet'!B61)</f>
        <v>113151.34601115368</v>
      </c>
    </row>
    <row r="114" spans="1:3" ht="15">
      <c r="A114" s="15" t="s">
        <v>512</v>
      </c>
      <c r="B114" s="271">
        <f>(+'Bal Sheet'!CT62)</f>
        <v>0</v>
      </c>
      <c r="C114" s="228">
        <f ca="1">(+'Bal Sheet'!B62)</f>
        <v>0</v>
      </c>
    </row>
    <row r="115" spans="1:3" ht="15">
      <c r="A115" t="s">
        <v>650</v>
      </c>
      <c r="B115" s="269"/>
      <c r="C115" s="226"/>
    </row>
    <row r="116" spans="1:3" ht="15">
      <c r="A116" s="15" t="s">
        <v>513</v>
      </c>
      <c r="B116" s="269">
        <f>SUM(B111:B114)</f>
        <v>1256101.5729289271</v>
      </c>
      <c r="C116" s="226">
        <f ca="1">SUM(C111:C114)</f>
        <v>1191009.1383188458</v>
      </c>
    </row>
    <row r="117" spans="1:3" ht="15">
      <c r="A117" t="s">
        <v>872</v>
      </c>
      <c r="B117" s="269"/>
      <c r="C117" s="226"/>
    </row>
    <row r="118" spans="1:3" ht="15">
      <c r="A118" t="s">
        <v>873</v>
      </c>
      <c r="B118" s="269">
        <f>(+'Bal Sheet'!CT66)</f>
        <v>0</v>
      </c>
      <c r="C118" s="226">
        <f ca="1">(+'Bal Sheet'!B66)</f>
        <v>0</v>
      </c>
    </row>
    <row r="119" spans="1:3" ht="15">
      <c r="A119" t="s">
        <v>555</v>
      </c>
      <c r="B119" s="270">
        <f>(+'Bal Sheet'!CT65)</f>
        <v>925000</v>
      </c>
      <c r="C119" s="227">
        <f ca="1">(+'Bal Sheet'!B65)</f>
        <v>878846.15384615387</v>
      </c>
    </row>
    <row r="120" spans="1:3" ht="15">
      <c r="A120" t="s">
        <v>516</v>
      </c>
      <c r="B120" s="271">
        <f>(+'Bal Sheet'!CT67)</f>
        <v>0</v>
      </c>
      <c r="C120" s="228">
        <f ca="1">(+'Bal Sheet'!B67)</f>
        <v>0</v>
      </c>
    </row>
    <row r="121" spans="1:3" ht="15">
      <c r="B121" s="270"/>
      <c r="C121" s="227"/>
    </row>
    <row r="122" spans="1:3" ht="15">
      <c r="A122" s="15" t="s">
        <v>517</v>
      </c>
      <c r="B122" s="271">
        <f>SUM(B118:B120)</f>
        <v>925000</v>
      </c>
      <c r="C122" s="228">
        <f ca="1">SUM(C118:C120)</f>
        <v>878846.15384615387</v>
      </c>
    </row>
    <row r="123" spans="1:3" ht="15">
      <c r="B123" s="269"/>
      <c r="C123" s="226"/>
    </row>
    <row r="124" spans="1:3" ht="15">
      <c r="A124" s="13" t="s">
        <v>518</v>
      </c>
      <c r="B124" s="269">
        <f>+B116+B122</f>
        <v>2181101.5729289269</v>
      </c>
      <c r="C124" s="226">
        <f ca="1">+C116+C122</f>
        <v>2069855.2921649995</v>
      </c>
    </row>
    <row r="125" spans="1:3" ht="15">
      <c r="A125" t="s">
        <v>519</v>
      </c>
      <c r="B125" s="269"/>
      <c r="C125" s="226"/>
    </row>
    <row r="126" spans="1:3" ht="15">
      <c r="A126" t="s">
        <v>520</v>
      </c>
      <c r="B126" s="269">
        <f>(+'Bal Sheet'!CT73)</f>
        <v>133569.82125054006</v>
      </c>
      <c r="C126" s="226">
        <f ca="1">(+'Bal Sheet'!B73)</f>
        <v>106020.08789723561</v>
      </c>
    </row>
    <row r="127" spans="1:3" ht="15">
      <c r="A127" t="s">
        <v>521</v>
      </c>
      <c r="B127" s="269">
        <f>(+'Bal Sheet'!CT74)</f>
        <v>67977.7</v>
      </c>
      <c r="C127" s="226">
        <f ca="1">(+'Bal Sheet'!B74)</f>
        <v>63069.823076923072</v>
      </c>
    </row>
    <row r="128" spans="1:3" ht="15">
      <c r="A128" t="s">
        <v>874</v>
      </c>
      <c r="B128" s="269">
        <f>(+'Bal Sheet'!CT75)</f>
        <v>0</v>
      </c>
      <c r="C128" s="226">
        <f ca="1">(+'Bal Sheet'!B75)</f>
        <v>0</v>
      </c>
    </row>
    <row r="129" spans="1:3" ht="15">
      <c r="A129" t="s">
        <v>875</v>
      </c>
      <c r="B129" s="269">
        <f>(+'Bal Sheet'!CT76)</f>
        <v>18916.099999999999</v>
      </c>
      <c r="C129" s="226">
        <f ca="1">(+'Bal Sheet'!B76)</f>
        <v>17337.430769230767</v>
      </c>
    </row>
    <row r="130" spans="1:3" ht="15">
      <c r="A130" t="s">
        <v>876</v>
      </c>
      <c r="B130" s="269">
        <f>(+'Bal Sheet'!CT77)</f>
        <v>600</v>
      </c>
      <c r="C130" s="226">
        <f ca="1">(+'Bal Sheet'!B77)</f>
        <v>600</v>
      </c>
    </row>
    <row r="131" spans="1:3" ht="15">
      <c r="A131" t="s">
        <v>525</v>
      </c>
      <c r="B131" s="269">
        <f>(+'Bal Sheet'!CT78)</f>
        <v>4769.8</v>
      </c>
      <c r="C131" s="226">
        <f ca="1">(+'Bal Sheet'!B78)</f>
        <v>13130.130769230771</v>
      </c>
    </row>
    <row r="132" spans="1:3" ht="15">
      <c r="A132" t="s">
        <v>526</v>
      </c>
      <c r="B132" s="269">
        <f>(+'Bal Sheet'!CT79)</f>
        <v>0</v>
      </c>
      <c r="C132" s="226">
        <f ca="1">(+'Bal Sheet'!B79)</f>
        <v>-845.94615384615383</v>
      </c>
    </row>
    <row r="133" spans="1:3" ht="15">
      <c r="A133" t="s">
        <v>527</v>
      </c>
      <c r="B133" s="269">
        <f>(+'Bal Sheet'!CT80)</f>
        <v>12423.605820532588</v>
      </c>
      <c r="C133" s="226">
        <f ca="1">(+'Bal Sheet'!B80)</f>
        <v>13347.043014687441</v>
      </c>
    </row>
    <row r="134" spans="1:3" ht="15">
      <c r="A134" t="s">
        <v>528</v>
      </c>
      <c r="B134" s="269">
        <f>(+'Bal Sheet'!CT81)</f>
        <v>0</v>
      </c>
      <c r="C134" s="226">
        <f ca="1">(+'Bal Sheet'!B81)</f>
        <v>0</v>
      </c>
    </row>
    <row r="135" spans="1:3" ht="15">
      <c r="A135" t="s">
        <v>877</v>
      </c>
      <c r="B135" s="269">
        <f>(+'Bal Sheet'!CT82)</f>
        <v>962</v>
      </c>
      <c r="C135" s="226">
        <f ca="1">(+'Bal Sheet'!B82)</f>
        <v>922.33076923076908</v>
      </c>
    </row>
    <row r="136" spans="1:3" ht="15">
      <c r="A136" t="s">
        <v>878</v>
      </c>
      <c r="B136" s="269">
        <f>(+'Bal Sheet'!CT83)</f>
        <v>46.5</v>
      </c>
      <c r="C136" s="226">
        <f ca="1">(+'Bal Sheet'!B83)</f>
        <v>60.407692307692301</v>
      </c>
    </row>
    <row r="137" spans="1:3" ht="15">
      <c r="A137" s="365" t="s">
        <v>531</v>
      </c>
      <c r="B137" s="269">
        <f>(+'Bal Sheet'!CT84)</f>
        <v>0</v>
      </c>
      <c r="C137" s="226">
        <f ca="1">(+'Bal Sheet'!B84)</f>
        <v>39.376923076923077</v>
      </c>
    </row>
    <row r="138" spans="1:3" ht="15">
      <c r="A138" s="365" t="s">
        <v>532</v>
      </c>
      <c r="B138" s="269">
        <f>(+'Bal Sheet'!CT85)</f>
        <v>15.2</v>
      </c>
      <c r="C138" s="226">
        <f ca="1">(+'Bal Sheet'!B85)</f>
        <v>333.6307692307692</v>
      </c>
    </row>
    <row r="139" spans="1:3" ht="15">
      <c r="A139" s="598" t="s">
        <v>533</v>
      </c>
      <c r="B139" s="269">
        <f>(+'Bal Sheet'!CT86)</f>
        <v>0</v>
      </c>
      <c r="C139" s="226">
        <f ca="1">(+'Bal Sheet'!B86)</f>
        <v>0</v>
      </c>
    </row>
    <row r="140" spans="1:3" ht="15">
      <c r="A140" t="s">
        <v>879</v>
      </c>
      <c r="B140" s="270">
        <f>(+'Bal Sheet'!CT87)</f>
        <v>0</v>
      </c>
      <c r="C140" s="227">
        <f ca="1">(+'Bal Sheet'!B87)</f>
        <v>0</v>
      </c>
    </row>
    <row r="141" spans="1:3" ht="15">
      <c r="A141" s="15" t="s">
        <v>535</v>
      </c>
      <c r="B141" s="271">
        <f>(+'Bal Sheet'!CT88)+B164</f>
        <v>2026.0999999999985</v>
      </c>
      <c r="C141" s="228">
        <f ca="1">(+'Bal Sheet'!B88)+C164</f>
        <v>5427.5076923076904</v>
      </c>
    </row>
    <row r="142" spans="1:3" ht="15">
      <c r="B142" s="269"/>
      <c r="C142" s="226"/>
    </row>
    <row r="143" spans="1:3" ht="15">
      <c r="A143" s="13" t="s">
        <v>536</v>
      </c>
      <c r="B143" s="269">
        <f>SUM(B126:B141)</f>
        <v>241306.82707107265</v>
      </c>
      <c r="C143" s="226">
        <f ca="1">SUM(C126:C141)</f>
        <v>219441.82321961533</v>
      </c>
    </row>
    <row r="144" spans="1:3" ht="15">
      <c r="A144" t="s">
        <v>880</v>
      </c>
      <c r="B144" s="269"/>
      <c r="C144" s="226"/>
    </row>
    <row r="145" spans="1:3" ht="15">
      <c r="A145" t="s">
        <v>540</v>
      </c>
      <c r="B145" s="269">
        <f>(+'Bal Sheet'!CT95)</f>
        <v>293793</v>
      </c>
      <c r="C145" s="226">
        <f ca="1">(+'Bal Sheet'!B95)</f>
        <v>280846.16153846151</v>
      </c>
    </row>
    <row r="146" spans="1:3" ht="15">
      <c r="A146" s="382" t="s">
        <v>881</v>
      </c>
      <c r="B146" s="269">
        <f>(+'Bal Sheet'!CT96)</f>
        <v>89145.5</v>
      </c>
      <c r="C146" s="226">
        <f ca="1">(+'Bal Sheet'!B96)</f>
        <v>88855.538461538468</v>
      </c>
    </row>
    <row r="147" spans="1:3" ht="15">
      <c r="A147" s="382" t="s">
        <v>1235</v>
      </c>
      <c r="B147" s="269">
        <f>'Bal Sheet'!CT98</f>
        <v>3313.3</v>
      </c>
      <c r="C147" s="226">
        <f ca="1">'Bal Sheet'!B98</f>
        <v>3313.3000000000006</v>
      </c>
    </row>
    <row r="148" spans="1:3" ht="15">
      <c r="A148" t="s">
        <v>542</v>
      </c>
      <c r="B148" s="269">
        <v>0</v>
      </c>
      <c r="C148" s="226">
        <v>0</v>
      </c>
    </row>
    <row r="149" spans="1:3" ht="15">
      <c r="A149" t="s">
        <v>538</v>
      </c>
      <c r="B149" s="269">
        <f>(+'Bal Sheet'!CT93)</f>
        <v>20000</v>
      </c>
      <c r="C149" s="226">
        <f ca="1">(+'Bal Sheet'!B93)</f>
        <v>20000</v>
      </c>
    </row>
    <row r="150" spans="1:3" ht="15">
      <c r="A150" t="s">
        <v>98</v>
      </c>
      <c r="B150" s="270">
        <f>(+'Bal Sheet'!CT92)</f>
        <v>28351.200000000001</v>
      </c>
      <c r="C150" s="227">
        <f ca="1">(+'Bal Sheet'!B92)</f>
        <v>28231.65384615384</v>
      </c>
    </row>
    <row r="151" spans="1:3" ht="15">
      <c r="A151" s="15" t="s">
        <v>539</v>
      </c>
      <c r="B151" s="271">
        <f>(+'Bal Sheet'!CT94)</f>
        <v>3843.9</v>
      </c>
      <c r="C151" s="228">
        <f ca="1">(+'Bal Sheet'!B94)</f>
        <v>3849.2846153846158</v>
      </c>
    </row>
    <row r="152" spans="1:3" ht="15">
      <c r="B152" s="269"/>
      <c r="C152" s="226"/>
    </row>
    <row r="153" spans="1:3" ht="15">
      <c r="A153" s="13" t="s">
        <v>543</v>
      </c>
      <c r="B153" s="269">
        <f>SUM(B145:B151)</f>
        <v>438446.9</v>
      </c>
      <c r="C153" s="226">
        <f ca="1">SUM(C145:C151)</f>
        <v>425095.93846153835</v>
      </c>
    </row>
    <row r="154" spans="1:3" ht="15">
      <c r="A154" t="s">
        <v>882</v>
      </c>
      <c r="B154" s="269"/>
      <c r="C154" s="226"/>
    </row>
    <row r="155" spans="1:3" ht="15">
      <c r="A155" t="s">
        <v>544</v>
      </c>
      <c r="B155" s="270">
        <f>(+'Bal Sheet'!CT101)</f>
        <v>35877.9</v>
      </c>
      <c r="C155" s="227">
        <f ca="1">(+'Bal Sheet'!B101)</f>
        <v>35604.892307692309</v>
      </c>
    </row>
    <row r="156" spans="1:3" ht="15">
      <c r="A156" t="s">
        <v>545</v>
      </c>
      <c r="B156" s="271">
        <f>(+'Bal Sheet'!CT102)</f>
        <v>0</v>
      </c>
      <c r="C156" s="228">
        <f ca="1">(+'Bal Sheet'!B102)</f>
        <v>0</v>
      </c>
    </row>
    <row r="157" spans="1:3" ht="15">
      <c r="B157" s="270"/>
      <c r="C157" s="227"/>
    </row>
    <row r="158" spans="1:3" ht="15">
      <c r="A158" s="15" t="s">
        <v>546</v>
      </c>
      <c r="B158" s="271">
        <f>+B155+B156</f>
        <v>35877.9</v>
      </c>
      <c r="C158" s="228">
        <f ca="1">+C155+C156</f>
        <v>35604.892307692309</v>
      </c>
    </row>
    <row r="159" spans="1:3" ht="15.75" thickBot="1">
      <c r="B159" s="272"/>
      <c r="C159" s="229"/>
    </row>
    <row r="160" spans="1:3" ht="15.75" thickTop="1">
      <c r="A160" s="87" t="s">
        <v>547</v>
      </c>
      <c r="B160" s="273">
        <f>+B124+B143+B153+B158</f>
        <v>2896733.1999999993</v>
      </c>
      <c r="C160" s="168">
        <f ca="1">+C124+C143+C153+C158</f>
        <v>2749997.9461538456</v>
      </c>
    </row>
    <row r="161" spans="1:14" ht="15">
      <c r="A161" s="24"/>
      <c r="B161" s="277"/>
      <c r="C161" s="153"/>
    </row>
    <row r="162" spans="1:14" ht="15">
      <c r="A162" s="24" t="s">
        <v>199</v>
      </c>
      <c r="B162" s="277">
        <f>+B160-B104</f>
        <v>0.29999999841675162</v>
      </c>
      <c r="C162" s="153">
        <f ca="1">+C160-C104</f>
        <v>0.27692307624965906</v>
      </c>
    </row>
    <row r="163" spans="1:14" ht="15.75">
      <c r="A163" s="24"/>
      <c r="B163" s="249"/>
      <c r="C163" s="249"/>
    </row>
    <row r="164" spans="1:14">
      <c r="A164" s="201" t="s">
        <v>883</v>
      </c>
      <c r="B164" s="250">
        <v>1</v>
      </c>
      <c r="C164" s="250">
        <v>1</v>
      </c>
    </row>
    <row r="169" spans="1:14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</row>
    <row r="172" spans="1:14">
      <c r="A172" s="119" t="s">
        <v>884</v>
      </c>
      <c r="B172" s="3" t="s">
        <v>885</v>
      </c>
      <c r="C172" s="3"/>
      <c r="D172" s="1"/>
      <c r="E172" s="162" t="str">
        <f>+Report!A3</f>
        <v>2024 Budget</v>
      </c>
      <c r="F172" s="1"/>
      <c r="G172" s="1"/>
      <c r="H172" s="1"/>
    </row>
    <row r="173" spans="1:14">
      <c r="A173" s="1"/>
      <c r="B173" s="3"/>
      <c r="C173" s="3"/>
      <c r="D173" s="1"/>
      <c r="E173" s="1"/>
      <c r="F173" s="1"/>
      <c r="G173" s="1"/>
      <c r="H173" s="1"/>
    </row>
    <row r="174" spans="1:14">
      <c r="A174" s="1"/>
      <c r="B174" s="85" t="s">
        <v>247</v>
      </c>
      <c r="C174" s="282" t="s">
        <v>207</v>
      </c>
      <c r="D174" s="1"/>
      <c r="E174" s="1"/>
      <c r="G174" s="2" t="s">
        <v>247</v>
      </c>
      <c r="H174" s="282" t="s">
        <v>207</v>
      </c>
    </row>
    <row r="175" spans="1:14">
      <c r="A175" s="4" t="s">
        <v>819</v>
      </c>
      <c r="B175" s="163" t="s">
        <v>886</v>
      </c>
      <c r="C175" s="283" t="s">
        <v>886</v>
      </c>
      <c r="D175" s="1"/>
      <c r="E175" s="4" t="s">
        <v>819</v>
      </c>
      <c r="G175" s="4" t="s">
        <v>887</v>
      </c>
      <c r="H175" s="283" t="s">
        <v>887</v>
      </c>
    </row>
    <row r="176" spans="1:14">
      <c r="A176" s="1" t="s">
        <v>888</v>
      </c>
      <c r="B176" s="231">
        <f ca="1">C67</f>
        <v>1248.8846153846155</v>
      </c>
      <c r="C176" s="282">
        <f>B67</f>
        <v>1524.7</v>
      </c>
      <c r="D176" s="1"/>
      <c r="E176" s="2"/>
      <c r="G176" s="2"/>
      <c r="H176" s="282"/>
    </row>
    <row r="177" spans="1:8">
      <c r="A177" s="1" t="s">
        <v>889</v>
      </c>
      <c r="B177" s="231">
        <f ca="1">C68</f>
        <v>0</v>
      </c>
      <c r="C177" s="279">
        <f>B68</f>
        <v>0</v>
      </c>
      <c r="D177" s="1"/>
      <c r="E177" s="3" t="s">
        <v>890</v>
      </c>
      <c r="G177" s="231">
        <f ca="1">C127</f>
        <v>63069.823076923072</v>
      </c>
      <c r="H177" s="279">
        <f>B127</f>
        <v>67977.7</v>
      </c>
    </row>
    <row r="178" spans="1:8">
      <c r="A178" s="1" t="s">
        <v>891</v>
      </c>
      <c r="B178" s="231">
        <f ca="1">C69</f>
        <v>0</v>
      </c>
      <c r="C178" s="279">
        <f>B69</f>
        <v>0</v>
      </c>
      <c r="D178" s="1"/>
      <c r="E178" s="3" t="s">
        <v>892</v>
      </c>
      <c r="G178" s="231">
        <f ca="1">C128</f>
        <v>0</v>
      </c>
      <c r="H178" s="279">
        <f>B128</f>
        <v>0</v>
      </c>
    </row>
    <row r="179" spans="1:8">
      <c r="A179" s="1" t="s">
        <v>893</v>
      </c>
      <c r="B179" s="231">
        <f t="shared" ref="B179:B189" ca="1" si="3">C73</f>
        <v>1000</v>
      </c>
      <c r="C179" s="279">
        <f t="shared" ref="C179:C189" si="4">B73</f>
        <v>1000</v>
      </c>
      <c r="D179" s="1"/>
      <c r="E179" s="3" t="s">
        <v>894</v>
      </c>
      <c r="G179" s="231">
        <f ca="1">C129</f>
        <v>17337.430769230767</v>
      </c>
      <c r="H179" s="279">
        <f>B129</f>
        <v>18916.099999999999</v>
      </c>
    </row>
    <row r="180" spans="1:8">
      <c r="A180" s="1" t="s">
        <v>895</v>
      </c>
      <c r="B180" s="231">
        <f t="shared" ca="1" si="3"/>
        <v>0</v>
      </c>
      <c r="C180" s="279">
        <f t="shared" si="4"/>
        <v>0</v>
      </c>
      <c r="D180" s="1"/>
      <c r="E180" s="3" t="s">
        <v>896</v>
      </c>
      <c r="G180" s="231">
        <f ca="1">C131</f>
        <v>13130.130769230771</v>
      </c>
      <c r="H180" s="279">
        <f>B131</f>
        <v>4769.8</v>
      </c>
    </row>
    <row r="181" spans="1:8">
      <c r="A181" s="1" t="s">
        <v>897</v>
      </c>
      <c r="B181" s="231">
        <f t="shared" ca="1" si="3"/>
        <v>25</v>
      </c>
      <c r="C181" s="279">
        <f t="shared" si="4"/>
        <v>25</v>
      </c>
      <c r="D181" s="1"/>
      <c r="E181" s="3" t="s">
        <v>898</v>
      </c>
      <c r="G181" s="231">
        <f ca="1">C132</f>
        <v>-845.94615384615383</v>
      </c>
      <c r="H181" s="279">
        <f>B132</f>
        <v>0</v>
      </c>
    </row>
    <row r="182" spans="1:8">
      <c r="A182" s="1" t="s">
        <v>899</v>
      </c>
      <c r="B182" s="231">
        <f t="shared" ca="1" si="3"/>
        <v>3</v>
      </c>
      <c r="C182" s="279">
        <f t="shared" si="4"/>
        <v>3</v>
      </c>
      <c r="D182" s="1"/>
      <c r="E182" s="3" t="s">
        <v>900</v>
      </c>
      <c r="G182" s="231">
        <f ca="1">C133</f>
        <v>13347.043014687441</v>
      </c>
      <c r="H182" s="279">
        <f>B133</f>
        <v>12423.605820532588</v>
      </c>
    </row>
    <row r="183" spans="1:8">
      <c r="A183" s="1" t="s">
        <v>901</v>
      </c>
      <c r="B183" s="231">
        <f t="shared" ca="1" si="3"/>
        <v>0</v>
      </c>
      <c r="C183" s="279">
        <f t="shared" si="4"/>
        <v>0</v>
      </c>
      <c r="D183" s="1"/>
      <c r="E183" s="3" t="s">
        <v>844</v>
      </c>
      <c r="G183" s="231">
        <f ca="1">C134</f>
        <v>0</v>
      </c>
      <c r="H183" s="279">
        <f>B134</f>
        <v>0</v>
      </c>
    </row>
    <row r="184" spans="1:8">
      <c r="A184" s="1" t="s">
        <v>902</v>
      </c>
      <c r="B184" s="231">
        <f t="shared" ca="1" si="3"/>
        <v>38620</v>
      </c>
      <c r="C184" s="279">
        <f t="shared" si="4"/>
        <v>38920</v>
      </c>
      <c r="D184" s="1"/>
      <c r="E184" s="3" t="s">
        <v>903</v>
      </c>
      <c r="G184" s="231">
        <f ca="1">C135</f>
        <v>922.33076923076908</v>
      </c>
      <c r="H184" s="279">
        <f>B135</f>
        <v>962</v>
      </c>
    </row>
    <row r="185" spans="1:8">
      <c r="A185" s="1" t="s">
        <v>904</v>
      </c>
      <c r="B185" s="231">
        <f t="shared" ca="1" si="3"/>
        <v>737.36153846153843</v>
      </c>
      <c r="C185" s="279">
        <f t="shared" si="4"/>
        <v>582.39999999999964</v>
      </c>
      <c r="D185" s="1"/>
      <c r="E185" s="337" t="s">
        <v>905</v>
      </c>
      <c r="F185" s="207"/>
      <c r="G185" s="367">
        <f ca="1">C137</f>
        <v>39.376923076923077</v>
      </c>
      <c r="H185" s="368">
        <f>B137</f>
        <v>0</v>
      </c>
    </row>
    <row r="186" spans="1:8">
      <c r="A186" s="1" t="s">
        <v>906</v>
      </c>
      <c r="B186" s="231">
        <f t="shared" ca="1" si="3"/>
        <v>-560.08461538461552</v>
      </c>
      <c r="C186" s="279">
        <f t="shared" si="4"/>
        <v>-529.29999999999995</v>
      </c>
      <c r="D186" s="1"/>
      <c r="E186" s="337" t="s">
        <v>907</v>
      </c>
      <c r="F186" s="207"/>
      <c r="G186" s="367">
        <f ca="1">C138</f>
        <v>333.6307692307692</v>
      </c>
      <c r="H186" s="368">
        <f>B138</f>
        <v>15.2</v>
      </c>
    </row>
    <row r="187" spans="1:8">
      <c r="A187" s="1" t="s">
        <v>908</v>
      </c>
      <c r="B187" s="231">
        <f t="shared" ca="1" si="3"/>
        <v>10135.300000000001</v>
      </c>
      <c r="C187" s="279">
        <f t="shared" si="4"/>
        <v>10135.299999999999</v>
      </c>
      <c r="D187" s="1"/>
      <c r="E187" s="1" t="s">
        <v>909</v>
      </c>
      <c r="G187" s="231">
        <f ca="1">C139</f>
        <v>0</v>
      </c>
      <c r="H187" s="279">
        <f>B139</f>
        <v>0</v>
      </c>
    </row>
    <row r="188" spans="1:8">
      <c r="A188" s="1" t="s">
        <v>910</v>
      </c>
      <c r="B188" s="231">
        <f t="shared" ca="1" si="3"/>
        <v>3816.900000000001</v>
      </c>
      <c r="C188" s="279">
        <f t="shared" si="4"/>
        <v>3816.8999999999996</v>
      </c>
      <c r="D188" s="1"/>
      <c r="E188" s="3" t="s">
        <v>911</v>
      </c>
      <c r="G188" s="231">
        <f ca="1">C141</f>
        <v>5427.5076923076904</v>
      </c>
      <c r="H188" s="279">
        <f>B141</f>
        <v>2026.0999999999985</v>
      </c>
    </row>
    <row r="189" spans="1:8">
      <c r="A189" s="1" t="s">
        <v>912</v>
      </c>
      <c r="B189" s="231">
        <f t="shared" ca="1" si="3"/>
        <v>4513.7</v>
      </c>
      <c r="C189" s="279">
        <f t="shared" si="4"/>
        <v>4513.7</v>
      </c>
      <c r="D189" s="1"/>
      <c r="E189" s="3" t="s">
        <v>847</v>
      </c>
      <c r="G189" s="231">
        <f ca="1">C151</f>
        <v>3849.2846153846158</v>
      </c>
      <c r="H189" s="279">
        <f>B151</f>
        <v>3843.9</v>
      </c>
    </row>
    <row r="190" spans="1:8">
      <c r="A190" s="1" t="s">
        <v>913</v>
      </c>
      <c r="B190" s="231">
        <f t="shared" ref="B190:B193" ca="1" si="5">C84</f>
        <v>0</v>
      </c>
      <c r="C190" s="279">
        <f t="shared" ref="C190:C193" si="6">B84</f>
        <v>0</v>
      </c>
      <c r="D190" s="1"/>
      <c r="E190" s="3" t="s">
        <v>914</v>
      </c>
      <c r="G190" s="231">
        <f ca="1">C158</f>
        <v>35604.892307692309</v>
      </c>
      <c r="H190" s="279">
        <f>B158</f>
        <v>35877.9</v>
      </c>
    </row>
    <row r="191" spans="1:8">
      <c r="A191" s="1" t="s">
        <v>915</v>
      </c>
      <c r="B191" s="231">
        <f t="shared" ca="1" si="5"/>
        <v>5165.084615384616</v>
      </c>
      <c r="C191" s="284">
        <f t="shared" si="6"/>
        <v>4436.1000000000004</v>
      </c>
      <c r="D191" s="1"/>
      <c r="E191" s="3" t="s">
        <v>916</v>
      </c>
      <c r="G191" s="231">
        <f ca="1">C140</f>
        <v>0</v>
      </c>
      <c r="H191" s="279">
        <f>B140</f>
        <v>0</v>
      </c>
    </row>
    <row r="192" spans="1:8">
      <c r="A192" s="1" t="s">
        <v>917</v>
      </c>
      <c r="B192" s="231">
        <f t="shared" ca="1" si="5"/>
        <v>19784.615384615383</v>
      </c>
      <c r="C192" s="284">
        <f t="shared" si="6"/>
        <v>21250</v>
      </c>
      <c r="D192" s="1"/>
      <c r="E192" s="3"/>
      <c r="F192" s="231"/>
      <c r="G192" s="231"/>
      <c r="H192" s="284"/>
    </row>
    <row r="193" spans="1:9">
      <c r="A193" s="1" t="s">
        <v>918</v>
      </c>
      <c r="B193" s="231">
        <f t="shared" ca="1" si="5"/>
        <v>0</v>
      </c>
      <c r="C193" s="284">
        <f t="shared" si="6"/>
        <v>0</v>
      </c>
      <c r="D193" s="1"/>
      <c r="E193" s="3"/>
      <c r="F193" s="231"/>
      <c r="G193" s="231"/>
      <c r="H193" s="284"/>
    </row>
    <row r="194" spans="1:9">
      <c r="A194" s="1" t="s">
        <v>919</v>
      </c>
      <c r="B194" s="231">
        <f ca="1">C91</f>
        <v>0</v>
      </c>
      <c r="C194" s="284">
        <f>B91</f>
        <v>0</v>
      </c>
      <c r="D194" s="1"/>
      <c r="E194" s="3"/>
      <c r="F194" s="231"/>
      <c r="G194" s="231"/>
      <c r="H194" s="284"/>
    </row>
    <row r="195" spans="1:9">
      <c r="A195" s="361" t="s">
        <v>920</v>
      </c>
      <c r="B195" s="367">
        <f ca="1">C92*0</f>
        <v>0</v>
      </c>
      <c r="C195" s="284">
        <f>B92*0</f>
        <v>0</v>
      </c>
      <c r="D195" s="1"/>
      <c r="E195" s="3"/>
      <c r="F195" s="231"/>
      <c r="G195" s="231"/>
      <c r="H195" s="284"/>
    </row>
    <row r="196" spans="1:9">
      <c r="A196" s="1" t="s">
        <v>921</v>
      </c>
      <c r="B196" s="231">
        <f t="shared" ref="B196:B203" ca="1" si="7">C93</f>
        <v>0</v>
      </c>
      <c r="C196" s="284">
        <f t="shared" ref="C196:C203" si="8">B93</f>
        <v>0</v>
      </c>
      <c r="D196" s="1"/>
      <c r="E196" s="1"/>
      <c r="F196" s="231"/>
      <c r="G196" s="231"/>
      <c r="H196" s="284"/>
    </row>
    <row r="197" spans="1:9">
      <c r="A197" s="1" t="s">
        <v>922</v>
      </c>
      <c r="B197" s="231">
        <f t="shared" ca="1" si="7"/>
        <v>55171.230769230766</v>
      </c>
      <c r="C197" s="284">
        <f t="shared" si="8"/>
        <v>58754.799999999996</v>
      </c>
      <c r="D197" s="1"/>
      <c r="E197" s="3"/>
      <c r="F197" s="231"/>
      <c r="G197" s="231"/>
      <c r="H197" s="284"/>
    </row>
    <row r="198" spans="1:9">
      <c r="A198" s="337" t="s">
        <v>923</v>
      </c>
      <c r="B198" s="231">
        <f t="shared" ca="1" si="7"/>
        <v>799.33076923076919</v>
      </c>
      <c r="C198" s="284">
        <f t="shared" si="8"/>
        <v>1348.8</v>
      </c>
      <c r="D198" s="1"/>
      <c r="E198" s="3"/>
      <c r="F198" s="231"/>
      <c r="G198" s="231"/>
      <c r="H198" s="284"/>
    </row>
    <row r="199" spans="1:9">
      <c r="A199" s="337" t="s">
        <v>924</v>
      </c>
      <c r="B199" s="231">
        <f t="shared" ca="1" si="7"/>
        <v>0</v>
      </c>
      <c r="C199" s="284">
        <f t="shared" si="8"/>
        <v>0</v>
      </c>
      <c r="D199" s="1"/>
      <c r="E199" s="3"/>
      <c r="F199" s="231"/>
      <c r="G199" s="231"/>
      <c r="H199" s="284"/>
    </row>
    <row r="200" spans="1:9">
      <c r="A200" s="1" t="s">
        <v>925</v>
      </c>
      <c r="B200" s="231">
        <f t="shared" ca="1" si="7"/>
        <v>0</v>
      </c>
      <c r="C200" s="285">
        <f t="shared" si="8"/>
        <v>0</v>
      </c>
      <c r="D200" s="1"/>
      <c r="E200" s="3"/>
      <c r="F200" s="231"/>
      <c r="G200" s="231"/>
      <c r="H200" s="284"/>
    </row>
    <row r="201" spans="1:9">
      <c r="A201" s="1" t="s">
        <v>926</v>
      </c>
      <c r="B201" s="231">
        <f t="shared" ca="1" si="7"/>
        <v>2653.8076923076924</v>
      </c>
      <c r="C201" s="284">
        <f t="shared" si="8"/>
        <v>2165.1999999999998</v>
      </c>
      <c r="D201" s="1"/>
      <c r="F201" s="89"/>
      <c r="G201" s="89"/>
      <c r="H201" s="285"/>
    </row>
    <row r="202" spans="1:9">
      <c r="A202" s="361" t="s">
        <v>927</v>
      </c>
      <c r="B202" s="367">
        <f t="shared" ca="1" si="7"/>
        <v>0.10769230768626305</v>
      </c>
      <c r="C202" s="284">
        <f t="shared" si="8"/>
        <v>0</v>
      </c>
      <c r="D202" s="1"/>
      <c r="E202" s="1"/>
      <c r="F202" s="231"/>
      <c r="G202" s="231"/>
      <c r="H202" s="284"/>
    </row>
    <row r="203" spans="1:9">
      <c r="A203" s="1" t="s">
        <v>928</v>
      </c>
      <c r="B203" s="231">
        <f t="shared" ca="1" si="7"/>
        <v>0</v>
      </c>
      <c r="C203" s="279">
        <f t="shared" si="8"/>
        <v>0</v>
      </c>
      <c r="D203" s="1"/>
      <c r="E203" s="1"/>
      <c r="F203" s="231"/>
      <c r="G203" s="231"/>
      <c r="H203" s="284"/>
    </row>
    <row r="204" spans="1:9">
      <c r="A204" s="1"/>
      <c r="B204" s="231"/>
      <c r="C204" s="279"/>
      <c r="D204" s="1"/>
      <c r="F204" s="3"/>
      <c r="G204" s="231"/>
      <c r="H204" s="279"/>
    </row>
    <row r="205" spans="1:9">
      <c r="A205" s="1"/>
      <c r="B205" s="232"/>
      <c r="C205" s="280"/>
      <c r="D205" s="1"/>
      <c r="F205" s="3"/>
      <c r="G205" s="231"/>
      <c r="H205" s="279"/>
    </row>
    <row r="206" spans="1:9" ht="13.5" thickBot="1">
      <c r="A206" s="2" t="s">
        <v>230</v>
      </c>
      <c r="B206" s="233">
        <f ca="1">SUM(B176:B203)</f>
        <v>143114.23846153842</v>
      </c>
      <c r="C206" s="281">
        <f>SUM(C176:C203)</f>
        <v>147946.59999999998</v>
      </c>
      <c r="D206" s="1"/>
      <c r="F206" s="1"/>
      <c r="G206" s="232"/>
      <c r="H206" s="280"/>
    </row>
    <row r="207" spans="1:9" ht="14.25" thickTop="1" thickBot="1">
      <c r="A207" s="1"/>
      <c r="B207" s="88"/>
      <c r="C207" s="88"/>
      <c r="D207" s="1"/>
      <c r="F207" s="2" t="s">
        <v>230</v>
      </c>
      <c r="G207" s="233">
        <f ca="1">SUM(G177:G204)</f>
        <v>152215.50455314899</v>
      </c>
      <c r="H207" s="281">
        <f>SUM(H177:H204)</f>
        <v>146812.30582053255</v>
      </c>
    </row>
    <row r="208" spans="1:9" ht="13.5" thickTop="1">
      <c r="A208" s="1"/>
      <c r="B208" s="3"/>
      <c r="C208" s="3"/>
      <c r="D208" s="1"/>
      <c r="F208" s="1"/>
      <c r="G208" s="88"/>
      <c r="H208" s="88"/>
      <c r="I208" s="3"/>
    </row>
    <row r="209" spans="1:9">
      <c r="B209" s="3"/>
      <c r="C209" s="3"/>
      <c r="D209" s="1"/>
      <c r="F209" s="3"/>
      <c r="G209" s="3"/>
      <c r="H209" s="3"/>
      <c r="I209" s="3"/>
    </row>
    <row r="210" spans="1:9" ht="13.5" thickBot="1">
      <c r="A210" s="1" t="s">
        <v>929</v>
      </c>
      <c r="B210" s="3"/>
      <c r="C210" s="3"/>
      <c r="D210" s="1"/>
      <c r="F210" s="1"/>
      <c r="G210" s="3"/>
      <c r="H210" s="3"/>
      <c r="I210" s="233">
        <f ca="1">B206-G207</f>
        <v>-9101.2660916105669</v>
      </c>
    </row>
    <row r="211" spans="1:9" ht="13.5" thickTop="1">
      <c r="A211" s="1"/>
      <c r="B211" s="3"/>
      <c r="C211" s="3"/>
      <c r="D211" s="1"/>
      <c r="F211" s="1"/>
      <c r="G211" s="3"/>
      <c r="H211" s="3"/>
      <c r="I211" s="234"/>
    </row>
    <row r="212" spans="1:9" ht="13.5" thickBot="1">
      <c r="A212" s="1" t="s">
        <v>930</v>
      </c>
      <c r="B212" s="3"/>
      <c r="C212" s="3"/>
      <c r="D212" s="1"/>
      <c r="F212" s="1"/>
      <c r="G212" s="3"/>
      <c r="H212" s="3"/>
      <c r="I212" s="281">
        <f>C206-H207</f>
        <v>1134.2941794674261</v>
      </c>
    </row>
    <row r="213" spans="1:9" ht="13.5" thickTop="1">
      <c r="D213" s="1"/>
      <c r="E213" s="1"/>
      <c r="F213" s="1"/>
      <c r="G213" s="1"/>
      <c r="H213" s="88"/>
    </row>
  </sheetData>
  <phoneticPr fontId="0" type="noConversion"/>
  <printOptions horizontalCentered="1"/>
  <pageMargins left="0.75" right="0.75" top="1" bottom="1" header="0.5" footer="0.5"/>
  <pageSetup scale="75" orientation="landscape" r:id="rId1"/>
  <headerFooter alignWithMargins="0">
    <oddFooter>&amp;L&amp;F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AG366"/>
  <sheetViews>
    <sheetView topLeftCell="A148" workbookViewId="0">
      <selection activeCell="H156" sqref="H156"/>
    </sheetView>
  </sheetViews>
  <sheetFormatPr defaultColWidth="13.5703125" defaultRowHeight="12.75"/>
  <cols>
    <col min="1" max="1" width="31.140625" customWidth="1"/>
    <col min="2" max="2" width="14.140625" customWidth="1"/>
    <col min="3" max="3" width="2.28515625" customWidth="1"/>
    <col min="4" max="4" width="9.7109375" customWidth="1"/>
    <col min="5" max="5" width="2.28515625" customWidth="1"/>
    <col min="6" max="6" width="11" bestFit="1" customWidth="1"/>
    <col min="7" max="7" width="2.28515625" customWidth="1"/>
    <col min="8" max="8" width="9.7109375" customWidth="1"/>
    <col min="9" max="9" width="2.28515625" customWidth="1"/>
    <col min="10" max="10" width="11" customWidth="1"/>
    <col min="11" max="11" width="2.28515625" customWidth="1"/>
    <col min="12" max="12" width="10.85546875" customWidth="1"/>
    <col min="13" max="13" width="3" customWidth="1"/>
    <col min="14" max="14" width="12.28515625" customWidth="1"/>
    <col min="15" max="15" width="2.28515625" customWidth="1"/>
    <col min="16" max="16" width="9.7109375" customWidth="1"/>
    <col min="17" max="17" width="2.28515625" customWidth="1"/>
    <col min="18" max="18" width="9.7109375" customWidth="1"/>
    <col min="19" max="19" width="2.28515625" customWidth="1"/>
    <col min="20" max="20" width="9.7109375" customWidth="1"/>
    <col min="21" max="21" width="2.28515625" customWidth="1"/>
    <col min="22" max="22" width="9.7109375" customWidth="1"/>
    <col min="23" max="23" width="13.28515625" bestFit="1" customWidth="1"/>
    <col min="24" max="24" width="14" customWidth="1"/>
    <col min="25" max="26" width="13.5703125" customWidth="1"/>
    <col min="27" max="27" width="2.5703125" customWidth="1"/>
    <col min="28" max="28" width="19.28515625" bestFit="1" customWidth="1"/>
    <col min="29" max="29" width="8.85546875" bestFit="1" customWidth="1"/>
    <col min="32" max="32" width="19.28515625" bestFit="1" customWidth="1"/>
  </cols>
  <sheetData>
    <row r="1" spans="1:29">
      <c r="A1" s="90" t="s">
        <v>659</v>
      </c>
      <c r="B1" s="91"/>
      <c r="C1" s="91"/>
      <c r="D1" s="91"/>
      <c r="E1" s="91"/>
      <c r="F1" s="91"/>
      <c r="G1" s="91"/>
      <c r="H1" s="91"/>
      <c r="I1" s="91"/>
      <c r="J1" s="91"/>
      <c r="K1" s="92"/>
      <c r="L1" s="92"/>
      <c r="M1" s="91"/>
      <c r="N1" s="91" t="s">
        <v>660</v>
      </c>
      <c r="O1" s="9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95" customHeight="1">
      <c r="A2" s="90" t="s">
        <v>661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  <c r="O2" s="92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540" t="str">
        <f>+Report!A3</f>
        <v>2024 Budget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/>
      <c r="O3" s="9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P4" s="39"/>
    </row>
    <row r="5" spans="1:29">
      <c r="A5" s="93"/>
      <c r="P5" s="39"/>
    </row>
    <row r="6" spans="1:29">
      <c r="A6" s="94"/>
      <c r="B6" s="94"/>
      <c r="C6" s="94"/>
      <c r="D6" s="1"/>
      <c r="E6" s="94"/>
      <c r="F6" s="95" t="s">
        <v>663</v>
      </c>
      <c r="G6" s="94"/>
      <c r="H6" s="95" t="s">
        <v>664</v>
      </c>
      <c r="I6" s="94"/>
      <c r="J6" s="95" t="s">
        <v>665</v>
      </c>
      <c r="K6" s="94"/>
      <c r="L6" s="95" t="s">
        <v>666</v>
      </c>
      <c r="M6" s="94"/>
      <c r="N6" s="95" t="s">
        <v>667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94"/>
      <c r="B7" s="94"/>
      <c r="C7" s="94"/>
      <c r="D7" s="1"/>
      <c r="E7" s="94"/>
      <c r="F7" s="95" t="s">
        <v>2</v>
      </c>
      <c r="G7" s="94"/>
      <c r="H7" s="95" t="s">
        <v>668</v>
      </c>
      <c r="I7" s="94"/>
      <c r="J7" s="95" t="s">
        <v>668</v>
      </c>
      <c r="K7" s="94"/>
      <c r="L7" s="95" t="s">
        <v>669</v>
      </c>
      <c r="M7" s="94"/>
      <c r="N7" s="95" t="s">
        <v>669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94"/>
      <c r="B8" s="94"/>
      <c r="C8" s="94"/>
      <c r="D8" s="1"/>
      <c r="E8" s="94"/>
      <c r="F8" s="96" t="s">
        <v>670</v>
      </c>
      <c r="G8" s="94"/>
      <c r="H8" s="96" t="s">
        <v>671</v>
      </c>
      <c r="I8" s="94"/>
      <c r="J8" s="96" t="s">
        <v>672</v>
      </c>
      <c r="K8" s="94"/>
      <c r="L8" s="96" t="s">
        <v>671</v>
      </c>
      <c r="M8" s="94"/>
      <c r="N8" s="96" t="s">
        <v>672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94" t="s">
        <v>673</v>
      </c>
      <c r="B9" s="94"/>
      <c r="C9" s="94"/>
      <c r="D9" s="1"/>
      <c r="E9" s="94"/>
      <c r="F9" s="94"/>
      <c r="G9" s="94"/>
      <c r="H9" s="94"/>
      <c r="I9" s="94"/>
      <c r="J9" s="94"/>
      <c r="K9" s="94"/>
      <c r="L9" s="94"/>
      <c r="M9" s="94"/>
      <c r="N9" s="9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97" t="s">
        <v>674</v>
      </c>
      <c r="B10" s="97"/>
      <c r="C10" s="94"/>
      <c r="D10" s="1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94" t="s">
        <v>675</v>
      </c>
      <c r="B11" s="94"/>
      <c r="C11" s="94"/>
      <c r="D11" s="1"/>
      <c r="E11" s="94" t="s">
        <v>676</v>
      </c>
      <c r="F11" s="98">
        <f ca="1">V103</f>
        <v>70184</v>
      </c>
      <c r="G11" s="86" t="s">
        <v>676</v>
      </c>
      <c r="H11" s="98">
        <f ca="1">V123</f>
        <v>1727.9592857068001</v>
      </c>
      <c r="I11" s="86" t="s">
        <v>676</v>
      </c>
      <c r="J11" s="98">
        <f ca="1">F11+H11</f>
        <v>71911.959285706806</v>
      </c>
      <c r="K11" s="86" t="s">
        <v>676</v>
      </c>
      <c r="L11" s="98">
        <f>V136</f>
        <v>0</v>
      </c>
      <c r="M11" s="86" t="s">
        <v>676</v>
      </c>
      <c r="N11" s="98">
        <f ca="1">J11+L11</f>
        <v>71911.959285706806</v>
      </c>
      <c r="O11" s="1"/>
      <c r="P11" s="3"/>
      <c r="Q11" s="1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>
      <c r="A12" s="94"/>
      <c r="B12" s="94"/>
      <c r="C12" s="94"/>
      <c r="D12" s="1"/>
      <c r="E12" s="94"/>
      <c r="F12" s="86"/>
      <c r="G12" s="86"/>
      <c r="H12" s="86"/>
      <c r="I12" s="86"/>
      <c r="J12" s="86"/>
      <c r="K12" s="86"/>
      <c r="L12" s="86"/>
      <c r="M12" s="86"/>
      <c r="N12" s="8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94" t="s">
        <v>677</v>
      </c>
      <c r="B13" s="94"/>
      <c r="C13" s="94"/>
      <c r="D13" s="1"/>
      <c r="E13" s="94" t="s">
        <v>676</v>
      </c>
      <c r="F13" s="98">
        <f>T53</f>
        <v>2660186.1941794679</v>
      </c>
      <c r="G13" s="86" t="s">
        <v>676</v>
      </c>
      <c r="H13" s="98">
        <f>T75</f>
        <v>-203544.38897999999</v>
      </c>
      <c r="I13" s="86" t="s">
        <v>676</v>
      </c>
      <c r="J13" s="98">
        <f>F13+H13</f>
        <v>2456641.805199468</v>
      </c>
      <c r="K13" s="86" t="s">
        <v>676</v>
      </c>
      <c r="L13" s="98">
        <f>T88</f>
        <v>0</v>
      </c>
      <c r="M13" s="86" t="s">
        <v>676</v>
      </c>
      <c r="N13" s="98">
        <f>J13+L13</f>
        <v>2456641.805199468</v>
      </c>
      <c r="O13" s="1"/>
      <c r="P13" s="3"/>
      <c r="Q13" s="1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94" t="s">
        <v>650</v>
      </c>
      <c r="B14" s="94"/>
      <c r="C14" s="94"/>
      <c r="D14" s="1"/>
      <c r="E14" s="94"/>
      <c r="F14" s="94"/>
      <c r="G14" s="94"/>
      <c r="H14" s="94"/>
      <c r="I14" s="94"/>
      <c r="J14" s="94"/>
      <c r="K14" s="94"/>
      <c r="L14" s="1"/>
      <c r="M14" s="94"/>
      <c r="N14" s="9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94" t="s">
        <v>678</v>
      </c>
      <c r="B15" s="94"/>
      <c r="C15" s="94"/>
      <c r="D15" s="1"/>
      <c r="E15" s="94"/>
      <c r="F15" s="99">
        <f ca="1">ROUND(F11/F13*100,4)</f>
        <v>2.6383000000000001</v>
      </c>
      <c r="G15" s="100" t="s">
        <v>105</v>
      </c>
      <c r="H15" s="100"/>
      <c r="I15" s="100" t="s">
        <v>650</v>
      </c>
      <c r="J15" s="99">
        <f ca="1">ROUND(J11/J13*100,4)</f>
        <v>2.9272</v>
      </c>
      <c r="K15" s="100" t="s">
        <v>105</v>
      </c>
      <c r="L15" s="101"/>
      <c r="M15" s="100"/>
      <c r="N15" s="99">
        <f ca="1">ROUND(N11/N13*100,4)</f>
        <v>2.9272</v>
      </c>
      <c r="O15" s="94" t="s">
        <v>105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94"/>
      <c r="B16" s="94"/>
      <c r="C16" s="94"/>
      <c r="D16" s="1"/>
      <c r="E16" s="94"/>
      <c r="F16" s="94"/>
      <c r="G16" s="94"/>
      <c r="H16" s="94"/>
      <c r="I16" s="94"/>
      <c r="J16" s="94"/>
      <c r="K16" s="94"/>
      <c r="L16" s="94"/>
      <c r="M16" s="94"/>
      <c r="N16" s="1"/>
      <c r="O16" s="9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>
      <c r="A17" s="94"/>
      <c r="B17" s="94"/>
      <c r="C17" s="94"/>
      <c r="D17" s="1"/>
      <c r="E17" s="94"/>
      <c r="F17" s="94"/>
      <c r="G17" s="94"/>
      <c r="H17" s="94"/>
      <c r="I17" s="94"/>
      <c r="J17" s="94"/>
      <c r="K17" s="94"/>
      <c r="L17" s="94"/>
      <c r="M17" s="94"/>
      <c r="N17" s="1"/>
      <c r="O17" s="9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3.5" thickBot="1">
      <c r="A18" s="102"/>
      <c r="B18" s="102"/>
      <c r="C18" s="102"/>
      <c r="D18" s="103"/>
      <c r="E18" s="102"/>
      <c r="F18" s="102"/>
      <c r="G18" s="102"/>
      <c r="H18" s="102"/>
      <c r="I18" s="102"/>
      <c r="J18" s="102"/>
      <c r="K18" s="102"/>
      <c r="L18" s="102"/>
      <c r="M18" s="102"/>
      <c r="N18" s="103"/>
      <c r="O18" s="9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3.5" thickTop="1">
      <c r="A19" s="94"/>
      <c r="B19" s="94"/>
      <c r="C19" s="94"/>
      <c r="D19" s="1"/>
      <c r="E19" s="94"/>
      <c r="F19" s="94"/>
      <c r="G19" s="94"/>
      <c r="H19" s="94"/>
      <c r="I19" s="94"/>
      <c r="J19" s="94"/>
      <c r="K19" s="94"/>
      <c r="L19" s="94"/>
      <c r="M19" s="94"/>
      <c r="N19" s="1"/>
      <c r="O19" s="9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94" t="s">
        <v>679</v>
      </c>
      <c r="B20" s="94"/>
      <c r="C20" s="94"/>
      <c r="D20" s="1"/>
      <c r="E20" s="94"/>
      <c r="F20" s="94"/>
      <c r="G20" s="1"/>
      <c r="H20" s="1"/>
      <c r="I20" s="104" t="s">
        <v>680</v>
      </c>
      <c r="J20" s="1"/>
      <c r="K20" s="94"/>
      <c r="L20" s="94"/>
      <c r="M20" s="9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>
      <c r="A21" s="94" t="s">
        <v>681</v>
      </c>
      <c r="B21" s="94"/>
      <c r="C21" s="94"/>
      <c r="D21" s="1"/>
      <c r="E21" s="94"/>
      <c r="F21" s="94"/>
      <c r="G21" s="1"/>
      <c r="H21" s="1"/>
      <c r="I21" s="1"/>
      <c r="J21" s="1"/>
      <c r="K21" s="1"/>
      <c r="L21" s="1"/>
      <c r="M21" s="9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>
      <c r="A22" s="97" t="s">
        <v>682</v>
      </c>
      <c r="B22" s="97"/>
      <c r="C22" s="94"/>
      <c r="D22" s="1"/>
      <c r="E22" s="94"/>
      <c r="F22" s="94"/>
      <c r="G22" s="1"/>
      <c r="H22" s="1"/>
      <c r="I22" s="1"/>
      <c r="J22" s="1"/>
      <c r="K22" s="1"/>
      <c r="L22" s="95" t="s">
        <v>668</v>
      </c>
      <c r="M22" s="2"/>
      <c r="N22" s="95" t="s">
        <v>683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>
      <c r="A23" s="1"/>
      <c r="B23" s="94" t="s">
        <v>684</v>
      </c>
      <c r="C23" s="94"/>
      <c r="D23" s="99">
        <f>N167</f>
        <v>6.27</v>
      </c>
      <c r="E23" s="94" t="s">
        <v>105</v>
      </c>
      <c r="F23" s="1"/>
      <c r="G23" s="1"/>
      <c r="H23" s="1"/>
      <c r="I23" s="1"/>
      <c r="J23" s="1"/>
      <c r="K23" s="1"/>
      <c r="L23" s="105" t="s">
        <v>622</v>
      </c>
      <c r="M23" s="2"/>
      <c r="N23" s="105" t="s">
        <v>622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>
      <c r="A24" s="1"/>
      <c r="B24" s="94"/>
      <c r="C24" s="94"/>
      <c r="D24" s="100"/>
      <c r="E24" s="94"/>
      <c r="F24" s="1"/>
      <c r="G24" s="94" t="s">
        <v>685</v>
      </c>
      <c r="H24" s="1"/>
      <c r="I24" s="94"/>
      <c r="J24" s="94"/>
      <c r="K24" s="94"/>
      <c r="L24" s="1"/>
      <c r="M24" s="94"/>
      <c r="N24" s="1"/>
      <c r="O24" s="1"/>
      <c r="P24" s="31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>
      <c r="A25" s="1"/>
      <c r="B25" s="94" t="s">
        <v>686</v>
      </c>
      <c r="C25" s="94"/>
      <c r="D25" s="99">
        <f>R167</f>
        <v>6.75</v>
      </c>
      <c r="E25" s="94" t="s">
        <v>105</v>
      </c>
      <c r="F25" s="1"/>
      <c r="G25" s="94" t="s">
        <v>687</v>
      </c>
      <c r="H25" s="1"/>
      <c r="I25" s="94"/>
      <c r="J25" s="94"/>
      <c r="K25" s="94"/>
      <c r="L25" s="99">
        <f ca="1">H198</f>
        <v>1.8829</v>
      </c>
      <c r="M25" s="94" t="s">
        <v>105</v>
      </c>
      <c r="N25" s="182">
        <f ca="1">H259</f>
        <v>1.8829</v>
      </c>
      <c r="O25" s="94" t="s">
        <v>105</v>
      </c>
      <c r="P25" s="1"/>
      <c r="Q25" s="1"/>
      <c r="R25" s="10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>
      <c r="A26" s="1"/>
      <c r="B26" s="94"/>
      <c r="C26" s="94"/>
      <c r="D26" s="100"/>
      <c r="E26" s="94"/>
      <c r="F26" s="1"/>
      <c r="G26" s="1"/>
      <c r="H26" s="1"/>
      <c r="I26" s="1"/>
      <c r="J26" s="1"/>
      <c r="K26" s="1"/>
      <c r="L26" s="1"/>
      <c r="M26" s="94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>
      <c r="A27" s="1"/>
      <c r="B27" s="94" t="s">
        <v>688</v>
      </c>
      <c r="C27" s="94"/>
      <c r="D27" s="99">
        <f>V167</f>
        <v>7.27</v>
      </c>
      <c r="E27" s="94" t="s">
        <v>105</v>
      </c>
      <c r="F27" s="1"/>
      <c r="G27" s="94" t="s">
        <v>689</v>
      </c>
      <c r="H27" s="1"/>
      <c r="I27" s="94"/>
      <c r="J27" s="94"/>
      <c r="K27" s="94"/>
      <c r="L27" s="1"/>
      <c r="M27" s="9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>
      <c r="A28" s="94"/>
      <c r="B28" s="94"/>
      <c r="C28" s="94"/>
      <c r="D28" s="94"/>
      <c r="E28" s="94"/>
      <c r="F28" s="94"/>
      <c r="G28" s="94" t="s">
        <v>687</v>
      </c>
      <c r="H28" s="94"/>
      <c r="I28" s="94"/>
      <c r="J28" s="94"/>
      <c r="K28" s="94"/>
      <c r="L28" s="99">
        <f ca="1">H225</f>
        <v>1.6463992900342304</v>
      </c>
      <c r="M28" s="94" t="s">
        <v>105</v>
      </c>
      <c r="N28" s="99">
        <f ca="1">H286</f>
        <v>1.6463992900342304</v>
      </c>
      <c r="O28" s="94" t="s">
        <v>105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1"/>
      <c r="O29" s="9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>
      <c r="A30" s="94"/>
      <c r="B30" s="94"/>
      <c r="C30" s="94" t="s">
        <v>650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1"/>
      <c r="O30" s="9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>
      <c r="A31" s="106" t="s">
        <v>690</v>
      </c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8"/>
      <c r="M31" s="94"/>
      <c r="N31" s="1"/>
      <c r="O31" s="9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>
      <c r="A32" s="109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110"/>
      <c r="M32" s="94"/>
      <c r="N32" s="1"/>
      <c r="O32" s="9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>
      <c r="A33" s="109"/>
      <c r="B33" s="94" t="s">
        <v>691</v>
      </c>
      <c r="C33" s="94"/>
      <c r="D33" s="94"/>
      <c r="E33" s="94"/>
      <c r="F33" s="94"/>
      <c r="G33" s="94"/>
      <c r="H33" s="94"/>
      <c r="I33" s="94"/>
      <c r="J33" s="94"/>
      <c r="K33" s="94"/>
      <c r="L33" s="110"/>
      <c r="M33" s="94"/>
      <c r="N33" s="1"/>
      <c r="O33" s="9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>
      <c r="A34" s="109"/>
      <c r="B34" s="94" t="s">
        <v>692</v>
      </c>
      <c r="C34" s="94"/>
      <c r="D34" s="94"/>
      <c r="E34" s="94"/>
      <c r="F34" s="94"/>
      <c r="G34" s="94"/>
      <c r="H34" s="94"/>
      <c r="I34" s="94"/>
      <c r="J34" s="94"/>
      <c r="K34" s="94"/>
      <c r="L34" s="110"/>
      <c r="M34" s="94"/>
      <c r="N34" s="1"/>
      <c r="O34" s="9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>
      <c r="A35" s="109"/>
      <c r="B35" s="94" t="s">
        <v>693</v>
      </c>
      <c r="C35" s="94"/>
      <c r="D35" s="94"/>
      <c r="E35" s="94"/>
      <c r="F35" s="94"/>
      <c r="G35" s="94"/>
      <c r="H35" s="94"/>
      <c r="I35" s="94"/>
      <c r="J35" s="94"/>
      <c r="K35" s="94"/>
      <c r="L35" s="110"/>
      <c r="M35" s="94"/>
      <c r="N35" s="1"/>
      <c r="O35" s="9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>
      <c r="A36" s="109"/>
      <c r="B36" s="94" t="s">
        <v>694</v>
      </c>
      <c r="C36" s="94"/>
      <c r="D36" s="94"/>
      <c r="E36" s="94"/>
      <c r="F36" s="94"/>
      <c r="G36" s="94"/>
      <c r="H36" s="94"/>
      <c r="I36" s="94"/>
      <c r="J36" s="94"/>
      <c r="K36" s="94"/>
      <c r="L36" s="110"/>
      <c r="M36" s="94"/>
      <c r="N36" s="1"/>
      <c r="O36" s="9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>
      <c r="A37" s="10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110"/>
      <c r="M37" s="94"/>
      <c r="N37" s="1"/>
      <c r="O37" s="9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>
      <c r="A38" s="109" t="s">
        <v>931</v>
      </c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110"/>
      <c r="M38" s="94"/>
      <c r="N38" s="1"/>
      <c r="O38" s="9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>
      <c r="A39" s="106" t="s">
        <v>696</v>
      </c>
      <c r="B39" s="107"/>
      <c r="C39" s="94"/>
      <c r="D39" s="94"/>
      <c r="E39" s="107" t="s">
        <v>697</v>
      </c>
      <c r="F39" s="107"/>
      <c r="G39" s="107"/>
      <c r="H39" s="107"/>
      <c r="I39" s="111"/>
      <c r="J39" s="1"/>
      <c r="K39" s="111"/>
      <c r="L39" s="112" t="s">
        <v>698</v>
      </c>
      <c r="M39" s="94"/>
      <c r="N39" s="1"/>
      <c r="O39" s="9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>
      <c r="A40" s="113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114"/>
      <c r="M40" s="94"/>
      <c r="N40" s="115" t="s">
        <v>699</v>
      </c>
      <c r="O40" s="9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4" spans="1:29">
      <c r="A44" s="90" t="s">
        <v>232</v>
      </c>
      <c r="B44" s="91"/>
      <c r="C44" s="91"/>
      <c r="D44" s="91"/>
      <c r="E44" s="91"/>
      <c r="F44" s="91"/>
      <c r="G44" s="92"/>
      <c r="H44" s="14"/>
      <c r="I44" s="91"/>
      <c r="J44" s="91"/>
      <c r="K44" s="91"/>
      <c r="L44" s="91"/>
      <c r="M44" s="91"/>
      <c r="N44" s="91"/>
      <c r="O44" s="91"/>
      <c r="P44" s="91"/>
      <c r="Q44" s="92"/>
      <c r="R44" s="92"/>
      <c r="S44" s="1"/>
      <c r="T44" s="91" t="s">
        <v>700</v>
      </c>
      <c r="U44" s="1"/>
      <c r="V44" s="1"/>
      <c r="W44" s="1"/>
      <c r="X44" s="1"/>
      <c r="Y44" s="1"/>
      <c r="Z44" s="1"/>
      <c r="AA44" s="1"/>
      <c r="AB44" s="1"/>
      <c r="AC44" s="1"/>
    </row>
    <row r="45" spans="1:29">
      <c r="A45" s="90" t="s">
        <v>701</v>
      </c>
      <c r="B45" s="91"/>
      <c r="C45" s="91"/>
      <c r="D45" s="91"/>
      <c r="E45" s="91"/>
      <c r="F45" s="91"/>
      <c r="G45" s="91"/>
      <c r="H45" s="14"/>
      <c r="I45" s="91"/>
      <c r="J45" s="91"/>
      <c r="K45" s="91"/>
      <c r="L45" s="91"/>
      <c r="M45" s="91"/>
      <c r="N45" s="91"/>
      <c r="O45" s="91"/>
      <c r="P45" s="92"/>
      <c r="Q45" s="92"/>
      <c r="R45" s="92"/>
      <c r="S45" s="1"/>
      <c r="T45" s="91"/>
      <c r="U45" s="1"/>
      <c r="V45" s="1"/>
      <c r="W45" s="1"/>
      <c r="X45" s="1"/>
      <c r="Y45" s="1"/>
      <c r="Z45" s="1"/>
      <c r="AA45" s="1"/>
      <c r="AB45" s="1"/>
      <c r="AC45" s="1"/>
    </row>
    <row r="46" spans="1:29">
      <c r="A46" s="116" t="str">
        <f>A3</f>
        <v>2024 Budget</v>
      </c>
      <c r="B46" s="91"/>
      <c r="C46" s="91"/>
      <c r="D46" s="91"/>
      <c r="E46" s="91"/>
      <c r="F46" s="91"/>
      <c r="G46" s="91"/>
      <c r="H46" s="90"/>
      <c r="I46" s="92"/>
      <c r="J46" s="91"/>
      <c r="K46" s="91"/>
      <c r="L46" s="91"/>
      <c r="M46" s="91"/>
      <c r="N46" s="91"/>
      <c r="O46" s="91"/>
      <c r="P46" s="91"/>
      <c r="Q46" s="92"/>
      <c r="R46" s="92"/>
      <c r="S46" s="117"/>
      <c r="T46" s="117"/>
      <c r="U46" s="117"/>
      <c r="V46" s="1"/>
      <c r="W46" s="1"/>
      <c r="X46" s="1"/>
      <c r="Y46" s="1"/>
      <c r="Z46" s="1"/>
      <c r="AA46" s="1"/>
      <c r="AB46" s="1"/>
      <c r="AC46" s="1"/>
    </row>
    <row r="47" spans="1:29">
      <c r="A47" s="94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1"/>
      <c r="V47" s="1"/>
      <c r="W47" s="1"/>
      <c r="X47" s="1"/>
      <c r="Y47" s="1"/>
      <c r="Z47" s="1"/>
      <c r="AA47" s="1"/>
      <c r="AB47" s="1"/>
      <c r="AC47" s="1"/>
    </row>
    <row r="48" spans="1:29"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</row>
    <row r="49" spans="1:29">
      <c r="A49" s="1"/>
      <c r="B49" s="2" t="s">
        <v>663</v>
      </c>
      <c r="C49" s="1"/>
      <c r="D49" s="2" t="s">
        <v>664</v>
      </c>
      <c r="E49" s="1"/>
      <c r="F49" s="2" t="s">
        <v>665</v>
      </c>
      <c r="G49" s="1"/>
      <c r="H49" s="2" t="s">
        <v>666</v>
      </c>
      <c r="I49" s="1"/>
      <c r="J49" s="2" t="s">
        <v>667</v>
      </c>
      <c r="K49" s="1"/>
      <c r="L49" s="2" t="s">
        <v>702</v>
      </c>
      <c r="M49" s="1"/>
      <c r="N49" s="2" t="s">
        <v>703</v>
      </c>
      <c r="O49" s="1"/>
      <c r="P49" s="2" t="s">
        <v>704</v>
      </c>
      <c r="Q49" s="1"/>
      <c r="R49" s="2" t="s">
        <v>705</v>
      </c>
      <c r="S49" s="1"/>
      <c r="T49" s="2" t="s">
        <v>706</v>
      </c>
      <c r="U49" s="1"/>
      <c r="V49" s="1"/>
      <c r="W49" s="1"/>
      <c r="X49" s="1"/>
      <c r="Y49" s="1"/>
      <c r="Z49" s="1"/>
      <c r="AA49" s="1"/>
      <c r="AB49" s="1"/>
      <c r="AC49" s="1"/>
    </row>
    <row r="50" spans="1:29">
      <c r="A50" s="1"/>
      <c r="B50" s="1"/>
      <c r="C50" s="1"/>
      <c r="D50" s="2" t="s">
        <v>707</v>
      </c>
      <c r="E50" s="1"/>
      <c r="F50" s="2" t="s">
        <v>708</v>
      </c>
      <c r="G50" s="1"/>
      <c r="H50" s="2" t="s">
        <v>709</v>
      </c>
      <c r="I50" s="1"/>
      <c r="J50" s="2" t="s">
        <v>710</v>
      </c>
      <c r="K50" s="1"/>
      <c r="L50" s="1"/>
      <c r="M50" s="1"/>
      <c r="N50" s="2" t="s">
        <v>711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>
      <c r="A51" s="1"/>
      <c r="B51" s="2" t="s">
        <v>712</v>
      </c>
      <c r="C51" s="1"/>
      <c r="D51" s="2" t="s">
        <v>713</v>
      </c>
      <c r="E51" s="1"/>
      <c r="F51" s="2" t="s">
        <v>714</v>
      </c>
      <c r="G51" s="1"/>
      <c r="H51" s="2" t="s">
        <v>715</v>
      </c>
      <c r="I51" s="1"/>
      <c r="J51" s="2" t="s">
        <v>712</v>
      </c>
      <c r="K51" s="1"/>
      <c r="L51" s="2" t="s">
        <v>716</v>
      </c>
      <c r="M51" s="1"/>
      <c r="N51" s="2" t="s">
        <v>717</v>
      </c>
      <c r="O51" s="1"/>
      <c r="P51" s="2" t="s">
        <v>710</v>
      </c>
      <c r="Q51" s="1"/>
      <c r="R51" s="2" t="s">
        <v>718</v>
      </c>
      <c r="S51" s="1"/>
      <c r="T51" s="2" t="s">
        <v>719</v>
      </c>
      <c r="U51" s="1"/>
      <c r="V51" s="2"/>
      <c r="W51" s="1"/>
      <c r="X51" s="1"/>
      <c r="Y51" s="1"/>
      <c r="Z51" s="1"/>
      <c r="AA51" s="1"/>
      <c r="AB51" s="1"/>
      <c r="AC51" s="1"/>
    </row>
    <row r="52" spans="1:29">
      <c r="A52" s="1"/>
      <c r="B52" s="118" t="s">
        <v>720</v>
      </c>
      <c r="C52" s="1"/>
      <c r="D52" s="118" t="s">
        <v>721</v>
      </c>
      <c r="E52" s="1"/>
      <c r="F52" s="118" t="s">
        <v>722</v>
      </c>
      <c r="G52" s="1"/>
      <c r="H52" s="118" t="s">
        <v>711</v>
      </c>
      <c r="I52" s="1"/>
      <c r="J52" s="118" t="s">
        <v>723</v>
      </c>
      <c r="K52" s="1"/>
      <c r="L52" s="118" t="s">
        <v>724</v>
      </c>
      <c r="M52" s="1"/>
      <c r="N52" s="118" t="s">
        <v>725</v>
      </c>
      <c r="O52" s="1"/>
      <c r="P52" s="118" t="s">
        <v>466</v>
      </c>
      <c r="Q52" s="1"/>
      <c r="R52" s="118" t="s">
        <v>726</v>
      </c>
      <c r="S52" s="1"/>
      <c r="T52" s="118" t="s">
        <v>727</v>
      </c>
      <c r="U52" s="1"/>
      <c r="V52" s="2"/>
      <c r="W52" s="1"/>
      <c r="X52" s="1"/>
      <c r="Y52" s="1"/>
      <c r="Z52" s="1"/>
      <c r="AA52" s="1"/>
      <c r="AB52" s="1"/>
      <c r="AC52" s="1"/>
    </row>
    <row r="53" spans="1:29" ht="13.9" customHeight="1">
      <c r="A53" s="1" t="s">
        <v>728</v>
      </c>
      <c r="B53" s="560">
        <f>Reconcil!B57</f>
        <v>3460267.6</v>
      </c>
      <c r="C53" s="1083"/>
      <c r="D53" s="560">
        <f>Reconcil!B60</f>
        <v>5031.8999999999996</v>
      </c>
      <c r="E53" s="1083"/>
      <c r="F53" s="560">
        <f>-Reconcil!B63</f>
        <v>952753.89999999991</v>
      </c>
      <c r="G53" s="1083"/>
      <c r="H53" s="560">
        <f>Reconcil!B149</f>
        <v>20000</v>
      </c>
      <c r="I53" s="1083"/>
      <c r="J53" s="560">
        <f>B53+D53-F53-H53</f>
        <v>2492545.6</v>
      </c>
      <c r="K53" s="1083"/>
      <c r="L53" s="560">
        <f>Reconcil!B58</f>
        <v>1939.6</v>
      </c>
      <c r="M53" s="1083"/>
      <c r="N53" s="560">
        <f>Reconcil!B59</f>
        <v>164566.70000000001</v>
      </c>
      <c r="O53" s="1083"/>
      <c r="P53" s="560">
        <f>J53+L53+N53</f>
        <v>2659051.9000000004</v>
      </c>
      <c r="Q53" s="1083"/>
      <c r="R53" s="560">
        <f>+Reconcil!I212</f>
        <v>1134.2941794674261</v>
      </c>
      <c r="S53" s="1083"/>
      <c r="T53" s="560">
        <f>P53+R53</f>
        <v>2660186.1941794679</v>
      </c>
      <c r="U53" s="3"/>
      <c r="V53" s="1083"/>
      <c r="W53" s="1"/>
      <c r="X53" s="3"/>
      <c r="Y53" s="3"/>
      <c r="Z53" s="3"/>
      <c r="AA53" s="3"/>
      <c r="AB53" s="3"/>
      <c r="AC53" s="3"/>
    </row>
    <row r="54" spans="1:29">
      <c r="A54" s="1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3"/>
      <c r="V54" s="1083"/>
      <c r="W54" s="1"/>
      <c r="X54" s="3"/>
      <c r="Y54" s="3"/>
      <c r="Z54" s="3"/>
      <c r="AA54" s="3"/>
      <c r="AB54" s="3"/>
      <c r="AC54" s="3"/>
    </row>
    <row r="55" spans="1:29">
      <c r="A55" s="119" t="s">
        <v>729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3"/>
      <c r="V55" s="1083"/>
      <c r="W55" s="1"/>
      <c r="X55" s="3"/>
      <c r="Y55" s="3"/>
      <c r="Z55" s="3"/>
      <c r="AA55" s="3"/>
      <c r="AB55" s="3"/>
      <c r="AC55" s="3"/>
    </row>
    <row r="56" spans="1:29">
      <c r="A56" s="1" t="s">
        <v>38</v>
      </c>
      <c r="B56" s="1083"/>
      <c r="C56" s="1083"/>
      <c r="D56" s="1083"/>
      <c r="E56" s="1083"/>
      <c r="F56" s="1083"/>
      <c r="G56" s="1083"/>
      <c r="H56" s="1083"/>
      <c r="I56" s="1083"/>
      <c r="J56" s="1083"/>
      <c r="K56" s="1083"/>
      <c r="L56" s="1083">
        <f>-L53</f>
        <v>-1939.6</v>
      </c>
      <c r="M56" s="1083"/>
      <c r="N56" s="1083"/>
      <c r="O56" s="1083"/>
      <c r="P56" s="1083">
        <f>J56+L56+N56</f>
        <v>-1939.6</v>
      </c>
      <c r="Q56" s="1083"/>
      <c r="R56" s="1083"/>
      <c r="S56" s="1083"/>
      <c r="T56" s="1083">
        <f t="shared" ref="T56:T73" si="0">P56+R56</f>
        <v>-1939.6</v>
      </c>
      <c r="U56" s="3"/>
      <c r="V56" s="1083"/>
      <c r="W56" s="1"/>
      <c r="X56" s="3"/>
      <c r="Y56" s="3"/>
      <c r="Z56" s="3"/>
      <c r="AA56" s="3"/>
      <c r="AB56" s="3"/>
      <c r="AC56" s="3"/>
    </row>
    <row r="57" spans="1:29">
      <c r="A57" s="1" t="s">
        <v>47</v>
      </c>
      <c r="B57" s="1083"/>
      <c r="C57" s="1083"/>
      <c r="D57" s="1083"/>
      <c r="E57" s="1083"/>
      <c r="F57" s="1083"/>
      <c r="G57" s="1083"/>
      <c r="H57" s="1083"/>
      <c r="I57" s="1083"/>
      <c r="J57" s="1083"/>
      <c r="K57" s="1083"/>
      <c r="L57" s="1083"/>
      <c r="M57" s="1083"/>
      <c r="N57" s="1083"/>
      <c r="O57" s="1083"/>
      <c r="P57" s="1083"/>
      <c r="Q57" s="1083"/>
      <c r="R57" s="1083">
        <f>-Reconcil!B76</f>
        <v>-3</v>
      </c>
      <c r="S57" s="1083"/>
      <c r="T57" s="1083">
        <f t="shared" si="0"/>
        <v>-3</v>
      </c>
      <c r="U57" s="3"/>
      <c r="V57" s="1083"/>
      <c r="W57" s="1083"/>
      <c r="X57" s="3"/>
      <c r="Y57" s="3"/>
      <c r="Z57" s="3"/>
      <c r="AA57" s="3"/>
      <c r="AB57" s="3"/>
      <c r="AC57" s="3"/>
    </row>
    <row r="58" spans="1:29">
      <c r="A58" s="1" t="s">
        <v>730</v>
      </c>
      <c r="B58" s="1083"/>
      <c r="C58" s="1083"/>
      <c r="D58" s="1083"/>
      <c r="E58" s="1083"/>
      <c r="F58" s="1083"/>
      <c r="G58" s="1083"/>
      <c r="H58" s="1083"/>
      <c r="I58" s="1083"/>
      <c r="J58" s="1083"/>
      <c r="K58" s="1083"/>
      <c r="L58" s="1083"/>
      <c r="M58" s="1083"/>
      <c r="N58" s="1083"/>
      <c r="O58" s="1083"/>
      <c r="P58" s="1083"/>
      <c r="Q58" s="1083"/>
      <c r="R58" s="1083">
        <f>-Reconcil!B77</f>
        <v>0</v>
      </c>
      <c r="S58" s="1083"/>
      <c r="T58" s="1083">
        <f t="shared" si="0"/>
        <v>0</v>
      </c>
      <c r="U58" s="3"/>
      <c r="V58" s="1083"/>
      <c r="W58" s="1"/>
      <c r="X58" s="3"/>
      <c r="Y58" s="3"/>
      <c r="Z58" s="3"/>
      <c r="AA58" s="3"/>
      <c r="AB58" s="3"/>
      <c r="AC58" s="3"/>
    </row>
    <row r="59" spans="1:29">
      <c r="A59" s="1" t="s">
        <v>48</v>
      </c>
      <c r="B59" s="1083"/>
      <c r="C59" s="1083"/>
      <c r="D59" s="1083"/>
      <c r="E59" s="1083"/>
      <c r="F59" s="1083"/>
      <c r="G59" s="1083"/>
      <c r="H59" s="1083"/>
      <c r="I59" s="1083"/>
      <c r="J59" s="1083"/>
      <c r="K59" s="1083"/>
      <c r="L59" s="1083"/>
      <c r="M59" s="1083"/>
      <c r="N59" s="1083"/>
      <c r="O59" s="1083"/>
      <c r="P59" s="1083"/>
      <c r="Q59" s="1083"/>
      <c r="R59" s="1083">
        <f>-Reconcil!$B$81+Reconcil!$B$128</f>
        <v>-10135.299999999999</v>
      </c>
      <c r="S59" s="1083"/>
      <c r="T59" s="1083">
        <f t="shared" si="0"/>
        <v>-10135.299999999999</v>
      </c>
      <c r="U59" s="3"/>
      <c r="V59" s="1083"/>
      <c r="W59" s="1"/>
      <c r="X59" s="3"/>
      <c r="Y59" s="3"/>
      <c r="Z59" s="3"/>
      <c r="AA59" s="3"/>
      <c r="AB59" s="3"/>
      <c r="AC59" s="3"/>
    </row>
    <row r="60" spans="1:29">
      <c r="A60" s="1" t="s">
        <v>49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43">
        <f>-Reconcil!$B$79</f>
        <v>-582.39999999999964</v>
      </c>
      <c r="S60" s="1083"/>
      <c r="T60" s="1083">
        <f t="shared" si="0"/>
        <v>-582.39999999999964</v>
      </c>
      <c r="U60" s="3"/>
      <c r="V60" s="1083"/>
      <c r="W60" s="1"/>
      <c r="X60" s="3"/>
      <c r="Y60" s="3"/>
      <c r="Z60" s="3"/>
      <c r="AA60" s="3"/>
      <c r="AB60" s="3"/>
      <c r="AC60" s="3"/>
    </row>
    <row r="61" spans="1:29">
      <c r="A61" s="1" t="s">
        <v>27</v>
      </c>
      <c r="B61" s="1086">
        <f>(-'Input Plant'!CM11/1000)</f>
        <v>0</v>
      </c>
      <c r="C61" s="164"/>
      <c r="D61" s="164"/>
      <c r="E61" s="164"/>
      <c r="F61" s="1086">
        <f>'Input Plant'!CM23/1000</f>
        <v>0</v>
      </c>
      <c r="G61" s="31"/>
      <c r="H61" s="31"/>
      <c r="I61" s="31"/>
      <c r="J61" s="1083">
        <f>B61+D61-F61-H61</f>
        <v>0</v>
      </c>
      <c r="K61" s="1083"/>
      <c r="L61" s="1083"/>
      <c r="M61" s="1083"/>
      <c r="N61" s="1083"/>
      <c r="O61" s="1083"/>
      <c r="P61" s="1083">
        <f>J61+L61+N61</f>
        <v>0</v>
      </c>
      <c r="Q61" s="1083"/>
      <c r="R61" s="1083"/>
      <c r="S61" s="1083"/>
      <c r="T61" s="1083">
        <f t="shared" si="0"/>
        <v>0</v>
      </c>
      <c r="U61" s="3"/>
      <c r="V61" s="1083"/>
      <c r="W61" s="1"/>
      <c r="X61" s="3" t="s">
        <v>1188</v>
      </c>
      <c r="Y61" s="3"/>
      <c r="Z61" s="3"/>
      <c r="AA61" s="3"/>
      <c r="AB61" s="3"/>
      <c r="AC61" s="3"/>
    </row>
    <row r="62" spans="1:29" ht="12" customHeight="1">
      <c r="A62" s="1" t="s">
        <v>50</v>
      </c>
      <c r="B62" s="31"/>
      <c r="C62" s="31"/>
      <c r="D62" s="31"/>
      <c r="E62" s="31"/>
      <c r="F62" s="31"/>
      <c r="G62" s="31"/>
      <c r="H62" s="31"/>
      <c r="I62" s="31"/>
      <c r="J62" s="1083"/>
      <c r="K62" s="1083"/>
      <c r="L62" s="1083"/>
      <c r="M62" s="1083"/>
      <c r="N62" s="1083"/>
      <c r="O62" s="1083"/>
      <c r="P62" s="1083"/>
      <c r="Q62" s="1083"/>
      <c r="R62" s="1083">
        <f>-Reconcil!$B$91</f>
        <v>0</v>
      </c>
      <c r="S62" s="1083"/>
      <c r="T62" s="1083">
        <f t="shared" si="0"/>
        <v>0</v>
      </c>
      <c r="U62" s="3"/>
      <c r="V62" s="1083"/>
      <c r="W62" s="1"/>
      <c r="X62" s="3"/>
      <c r="Y62" s="3"/>
      <c r="Z62" s="3"/>
      <c r="AA62" s="3"/>
      <c r="AB62" s="3"/>
      <c r="AC62" s="3"/>
    </row>
    <row r="63" spans="1:29">
      <c r="A63" s="361" t="s">
        <v>51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429">
        <f>IF(Reconcil!$B$99&gt;0,Reconcil!$B$99*-1,0)</f>
        <v>0</v>
      </c>
      <c r="S63" s="1083"/>
      <c r="T63" s="1083">
        <f t="shared" si="0"/>
        <v>0</v>
      </c>
      <c r="U63" s="3"/>
      <c r="V63" s="1083"/>
      <c r="W63" s="1"/>
      <c r="X63" s="3"/>
      <c r="Y63" s="3"/>
      <c r="Z63" s="3"/>
      <c r="AA63" s="3"/>
      <c r="AB63" s="3"/>
      <c r="AC63" s="3"/>
    </row>
    <row r="64" spans="1:29">
      <c r="A64" s="1" t="s">
        <v>52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>
        <f>Reconcil!$B$134</f>
        <v>0</v>
      </c>
      <c r="S64" s="1083"/>
      <c r="T64" s="1083">
        <f t="shared" si="0"/>
        <v>0</v>
      </c>
      <c r="U64" s="3"/>
      <c r="V64" s="1083"/>
      <c r="W64" s="1"/>
      <c r="X64" s="3"/>
      <c r="Y64" s="3"/>
      <c r="Z64" s="3"/>
      <c r="AA64" s="3"/>
      <c r="AB64" s="3"/>
      <c r="AC64" s="3"/>
    </row>
    <row r="65" spans="1:29">
      <c r="A65" s="361" t="s">
        <v>53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429">
        <f>IF((Reconcil!$B$137-Reconcil!$B$95)&lt;0,(Reconcil!$B$137-Reconcil!$B$95),0)</f>
        <v>-1348.8</v>
      </c>
      <c r="S65" s="1083"/>
      <c r="T65" s="1083">
        <f t="shared" si="0"/>
        <v>-1348.8</v>
      </c>
      <c r="U65" s="3"/>
      <c r="V65" s="1083"/>
      <c r="W65" s="1"/>
      <c r="X65" s="3"/>
      <c r="Y65" s="3"/>
      <c r="Z65" s="3"/>
      <c r="AA65" s="3"/>
      <c r="AB65" s="3"/>
      <c r="AC65" s="3"/>
    </row>
    <row r="66" spans="1:29">
      <c r="A66" s="361" t="s">
        <v>54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43">
        <f>IF((Reconcil!$B$138-Reconcil!$B$96)&lt;0,(Reconcil!$B$138-Reconcil!$B$96),0)</f>
        <v>0</v>
      </c>
      <c r="S66" s="1083"/>
      <c r="T66" s="1083">
        <f>P66+R66</f>
        <v>0</v>
      </c>
      <c r="U66" s="3"/>
      <c r="V66" s="1083"/>
      <c r="W66" s="1"/>
      <c r="X66" s="3"/>
      <c r="Y66" s="3"/>
      <c r="Z66" s="3"/>
      <c r="AA66" s="3"/>
      <c r="AB66" s="3"/>
      <c r="AC66" s="3"/>
    </row>
    <row r="67" spans="1:29">
      <c r="A67" s="1" t="s">
        <v>55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1083">
        <f>-Input!C14/1000</f>
        <v>-3550</v>
      </c>
      <c r="S67" s="1083"/>
      <c r="T67" s="1083">
        <f t="shared" si="0"/>
        <v>-3550</v>
      </c>
      <c r="U67" s="3"/>
      <c r="V67" s="1083"/>
      <c r="W67" s="31"/>
      <c r="X67" s="3"/>
      <c r="Y67" s="3"/>
      <c r="Z67" s="3"/>
      <c r="AA67" s="3"/>
      <c r="AB67" s="3"/>
      <c r="AC67" s="3"/>
    </row>
    <row r="68" spans="1:29">
      <c r="A68" s="1" t="s">
        <v>56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1083">
        <f>-Reconcil!$B$98</f>
        <v>-2165.1999999999998</v>
      </c>
      <c r="S68" s="1083"/>
      <c r="T68" s="1083">
        <f t="shared" si="0"/>
        <v>-2165.1999999999998</v>
      </c>
      <c r="U68" s="3"/>
      <c r="V68" s="1083"/>
      <c r="W68" s="1"/>
      <c r="X68" s="3"/>
      <c r="Y68" s="3"/>
      <c r="Z68" s="3"/>
      <c r="AA68" s="3"/>
      <c r="AB68" s="3"/>
      <c r="AC68" s="3"/>
    </row>
    <row r="69" spans="1:29">
      <c r="A69" s="1" t="s">
        <v>731</v>
      </c>
      <c r="B69" s="31"/>
      <c r="C69" s="31"/>
      <c r="D69" s="37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1085">
        <v>0</v>
      </c>
      <c r="S69" s="1083"/>
      <c r="T69" s="1083">
        <f t="shared" si="0"/>
        <v>0</v>
      </c>
      <c r="U69" s="3"/>
      <c r="V69" s="1083"/>
      <c r="W69" s="1"/>
      <c r="X69" s="3"/>
      <c r="Y69" s="3"/>
      <c r="Z69" s="3"/>
      <c r="AA69" s="3"/>
      <c r="AB69" s="3"/>
      <c r="AC69" s="3"/>
    </row>
    <row r="70" spans="1:29">
      <c r="A70" s="1" t="s">
        <v>31</v>
      </c>
      <c r="B70" s="120"/>
      <c r="C70" s="120"/>
      <c r="D70" s="1087">
        <f>+'Input WFNG'!C290</f>
        <v>2947</v>
      </c>
      <c r="E70" s="121"/>
      <c r="F70" s="1087">
        <f>+'Input WFNG'!E290</f>
        <v>2947</v>
      </c>
      <c r="G70" s="31"/>
      <c r="H70" s="31"/>
      <c r="I70" s="31"/>
      <c r="J70" s="31">
        <f>B70+D70-F70-H70</f>
        <v>0</v>
      </c>
      <c r="K70" s="31"/>
      <c r="L70" s="31"/>
      <c r="M70" s="31"/>
      <c r="N70" s="31"/>
      <c r="O70" s="31"/>
      <c r="P70" s="31">
        <f>J70+L70+N70</f>
        <v>0</v>
      </c>
      <c r="Q70" s="31"/>
      <c r="R70" s="1083"/>
      <c r="S70" s="1083"/>
      <c r="T70" s="1083">
        <f t="shared" si="0"/>
        <v>0</v>
      </c>
      <c r="U70" s="3"/>
      <c r="V70" s="1083"/>
      <c r="W70" s="1" t="s">
        <v>1189</v>
      </c>
      <c r="X70" s="3"/>
      <c r="Y70" s="3"/>
      <c r="Z70" s="3"/>
      <c r="AA70" s="3"/>
      <c r="AB70" s="3"/>
      <c r="AC70" s="3"/>
    </row>
    <row r="71" spans="1:29">
      <c r="A71" s="1" t="s">
        <v>732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1083">
        <f>(-Reconcil!B87+Reconcil!B140)*0</f>
        <v>0</v>
      </c>
      <c r="S71" s="1083"/>
      <c r="T71" s="1083">
        <f t="shared" si="0"/>
        <v>0</v>
      </c>
      <c r="U71" s="3"/>
      <c r="V71" s="1083"/>
      <c r="W71" s="1"/>
      <c r="X71" s="3"/>
      <c r="Y71" s="3"/>
      <c r="Z71" s="3"/>
      <c r="AA71" s="3"/>
      <c r="AB71" s="3"/>
      <c r="AC71" s="3"/>
    </row>
    <row r="72" spans="1:29">
      <c r="A72" s="1" t="s">
        <v>28</v>
      </c>
      <c r="B72" s="374">
        <f>-Input!C60/1000</f>
        <v>-18307.526029999997</v>
      </c>
      <c r="C72" s="31"/>
      <c r="D72" s="31"/>
      <c r="E72" s="31"/>
      <c r="F72" s="374">
        <f>-Input!C61/1000</f>
        <v>-119.43751</v>
      </c>
      <c r="G72" s="31"/>
      <c r="H72" s="31"/>
      <c r="I72" s="31"/>
      <c r="J72" s="31">
        <f>B72+D72-F72-H72</f>
        <v>-18188.088519999998</v>
      </c>
      <c r="K72" s="31"/>
      <c r="L72" s="31"/>
      <c r="M72" s="31"/>
      <c r="N72" s="374">
        <f>-Input!C62/1000</f>
        <v>-1494.7759700000004</v>
      </c>
      <c r="O72" s="31"/>
      <c r="P72" s="31">
        <f>J72+L72+N72</f>
        <v>-19682.864489999996</v>
      </c>
      <c r="Q72" s="31"/>
      <c r="R72" s="202"/>
      <c r="S72" s="1083"/>
      <c r="T72" s="1083">
        <f t="shared" si="0"/>
        <v>-19682.864489999996</v>
      </c>
      <c r="U72" s="3"/>
      <c r="V72" s="1083"/>
      <c r="W72" s="1"/>
      <c r="X72" s="3"/>
      <c r="Y72" s="3"/>
      <c r="Z72" s="3"/>
      <c r="AA72" s="3"/>
      <c r="AB72" s="3"/>
      <c r="AC72" s="3"/>
    </row>
    <row r="73" spans="1:29">
      <c r="A73" s="1" t="s">
        <v>733</v>
      </c>
      <c r="B73" s="37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74">
        <f>+-'Input Plant'!CK40/1000</f>
        <v>-162612.52448999998</v>
      </c>
      <c r="O73" s="31"/>
      <c r="P73" s="31">
        <f>J73+L73+N73</f>
        <v>-162612.52448999998</v>
      </c>
      <c r="Q73" s="31"/>
      <c r="R73" s="37">
        <v>0</v>
      </c>
      <c r="S73" s="1083"/>
      <c r="T73" s="1083">
        <f t="shared" si="0"/>
        <v>-162612.52448999998</v>
      </c>
      <c r="U73" s="3"/>
      <c r="V73" s="1083"/>
      <c r="W73" s="1"/>
      <c r="X73" s="3"/>
      <c r="Y73" s="3"/>
      <c r="Z73" s="3"/>
      <c r="AA73" s="3"/>
      <c r="AB73" s="3"/>
      <c r="AC73" s="3"/>
    </row>
    <row r="74" spans="1:29">
      <c r="A74" s="1" t="s">
        <v>57</v>
      </c>
      <c r="B74" s="84"/>
      <c r="C74" s="31"/>
      <c r="D74" s="84"/>
      <c r="E74" s="31"/>
      <c r="F74" s="84"/>
      <c r="G74" s="31"/>
      <c r="H74" s="84"/>
      <c r="I74" s="31"/>
      <c r="J74" s="84"/>
      <c r="K74" s="31"/>
      <c r="L74" s="84"/>
      <c r="M74" s="31"/>
      <c r="N74" s="84"/>
      <c r="O74" s="31"/>
      <c r="P74" s="84"/>
      <c r="Q74" s="31"/>
      <c r="R74" s="1084">
        <f>-Reconcil!B67</f>
        <v>-1524.7</v>
      </c>
      <c r="S74" s="1083"/>
      <c r="T74" s="1084">
        <f>P74+R74</f>
        <v>-1524.7</v>
      </c>
      <c r="U74" s="3"/>
      <c r="V74" s="1083"/>
      <c r="W74" s="1"/>
      <c r="X74" s="3"/>
      <c r="Y74" s="3"/>
      <c r="Z74" s="3"/>
      <c r="AA74" s="3"/>
      <c r="AB74" s="3"/>
      <c r="AC74" s="3"/>
    </row>
    <row r="75" spans="1:29" ht="12.95" customHeight="1">
      <c r="A75" s="1" t="s">
        <v>734</v>
      </c>
      <c r="B75" s="84">
        <f>SUM(B56:B74)</f>
        <v>-18307.526029999997</v>
      </c>
      <c r="C75" s="31"/>
      <c r="D75" s="84">
        <f>SUM(D56:D74)</f>
        <v>2947</v>
      </c>
      <c r="E75" s="31"/>
      <c r="F75" s="84">
        <f>SUM(F56:F74)</f>
        <v>2827.5624899999998</v>
      </c>
      <c r="G75" s="31"/>
      <c r="H75" s="84">
        <f>SUM(H56:H74)</f>
        <v>0</v>
      </c>
      <c r="I75" s="31"/>
      <c r="J75" s="84">
        <f>SUM(J56:J74)</f>
        <v>-18188.088519999998</v>
      </c>
      <c r="K75" s="31"/>
      <c r="L75" s="84">
        <f>SUM(L56:L74)</f>
        <v>-1939.6</v>
      </c>
      <c r="M75" s="31"/>
      <c r="N75" s="84">
        <f>SUM(N56:N74)</f>
        <v>-164107.30045999997</v>
      </c>
      <c r="O75" s="31"/>
      <c r="P75" s="84">
        <f>SUM(P56:P74)</f>
        <v>-184234.98897999997</v>
      </c>
      <c r="Q75" s="31"/>
      <c r="R75" s="84">
        <f>SUM(R56:R74)</f>
        <v>-19309.399999999998</v>
      </c>
      <c r="S75" s="31"/>
      <c r="T75" s="84">
        <f>SUM(T56:T74)</f>
        <v>-203544.38897999999</v>
      </c>
      <c r="U75" s="3"/>
      <c r="V75" s="1083"/>
      <c r="W75" s="1"/>
      <c r="X75" s="3"/>
      <c r="Y75" s="3"/>
      <c r="Z75" s="3"/>
      <c r="AA75" s="3"/>
      <c r="AB75" s="3"/>
      <c r="AC75" s="3"/>
    </row>
    <row r="76" spans="1:29">
      <c r="A76" s="1"/>
      <c r="B76" s="31" t="s">
        <v>650</v>
      </c>
      <c r="C76" s="31"/>
      <c r="D76" s="31" t="s">
        <v>650</v>
      </c>
      <c r="E76" s="31"/>
      <c r="F76" s="31" t="s">
        <v>650</v>
      </c>
      <c r="G76" s="31"/>
      <c r="H76" s="31" t="s">
        <v>650</v>
      </c>
      <c r="I76" s="31"/>
      <c r="J76" s="31" t="s">
        <v>650</v>
      </c>
      <c r="K76" s="31"/>
      <c r="L76" s="31" t="s">
        <v>650</v>
      </c>
      <c r="M76" s="31"/>
      <c r="N76" s="31" t="s">
        <v>650</v>
      </c>
      <c r="O76" s="31"/>
      <c r="P76" s="31" t="s">
        <v>650</v>
      </c>
      <c r="Q76" s="31"/>
      <c r="R76" s="31" t="s">
        <v>650</v>
      </c>
      <c r="S76" s="31"/>
      <c r="T76" s="31" t="s">
        <v>650</v>
      </c>
      <c r="U76" s="3"/>
      <c r="V76" s="3"/>
      <c r="W76" s="1"/>
      <c r="X76" s="3"/>
      <c r="Y76" s="3"/>
      <c r="Z76" s="3"/>
      <c r="AA76" s="3"/>
      <c r="AB76" s="3"/>
      <c r="AC76" s="3"/>
    </row>
    <row r="77" spans="1:29" ht="13.5" thickBot="1">
      <c r="A77" s="1" t="s">
        <v>735</v>
      </c>
      <c r="B77" s="123">
        <f>B53+B75</f>
        <v>3441960.0739700003</v>
      </c>
      <c r="C77" s="31"/>
      <c r="D77" s="123">
        <f>D53+D75</f>
        <v>7978.9</v>
      </c>
      <c r="E77" s="31"/>
      <c r="F77" s="123">
        <f>F53+F75</f>
        <v>955581.46248999995</v>
      </c>
      <c r="G77" s="31"/>
      <c r="H77" s="123">
        <f>H53+H75</f>
        <v>20000</v>
      </c>
      <c r="I77" s="31"/>
      <c r="J77" s="123">
        <f>J53+J75</f>
        <v>2474357.5114799999</v>
      </c>
      <c r="K77" s="31"/>
      <c r="L77" s="123">
        <f>L53+L75</f>
        <v>0</v>
      </c>
      <c r="M77" s="31"/>
      <c r="N77" s="123">
        <f>N53+N75</f>
        <v>459.39954000004218</v>
      </c>
      <c r="O77" s="31"/>
      <c r="P77" s="123">
        <f>P53+P75</f>
        <v>2474816.9110200005</v>
      </c>
      <c r="Q77" s="31"/>
      <c r="R77" s="123">
        <f>R53+R75</f>
        <v>-18175.105820532572</v>
      </c>
      <c r="S77" s="31"/>
      <c r="T77" s="123">
        <f>T53+T75</f>
        <v>2456641.805199468</v>
      </c>
      <c r="U77" s="31"/>
      <c r="V77" s="31"/>
      <c r="W77" s="1"/>
      <c r="X77" s="3"/>
      <c r="Y77" s="3"/>
      <c r="Z77" s="3"/>
      <c r="AA77" s="3"/>
      <c r="AB77" s="3"/>
      <c r="AC77" s="3"/>
    </row>
    <row r="78" spans="1:29" ht="13.5" thickTop="1">
      <c r="A78" s="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"/>
      <c r="V78" s="3"/>
      <c r="W78" s="1"/>
      <c r="X78" s="3"/>
      <c r="Y78" s="3"/>
      <c r="Z78" s="3"/>
      <c r="AA78" s="3"/>
      <c r="AB78" s="3"/>
      <c r="AC78" s="3"/>
    </row>
    <row r="79" spans="1:29">
      <c r="A79" s="119" t="s">
        <v>736</v>
      </c>
      <c r="B79" s="84"/>
      <c r="C79" s="31"/>
      <c r="D79" s="84"/>
      <c r="E79" s="31"/>
      <c r="F79" s="84"/>
      <c r="G79" s="31"/>
      <c r="H79" s="84"/>
      <c r="I79" s="31"/>
      <c r="J79" s="84"/>
      <c r="K79" s="31"/>
      <c r="L79" s="84"/>
      <c r="M79" s="31"/>
      <c r="N79" s="84"/>
      <c r="O79" s="31"/>
      <c r="P79" s="84"/>
      <c r="Q79" s="31"/>
      <c r="R79" s="84"/>
      <c r="S79" s="31"/>
      <c r="T79" s="84"/>
      <c r="U79" s="3"/>
      <c r="V79" s="3"/>
      <c r="W79" s="1"/>
      <c r="X79" s="3"/>
      <c r="Y79" s="3"/>
      <c r="Z79" s="3"/>
      <c r="AA79" s="3"/>
      <c r="AB79" s="3"/>
      <c r="AC79" s="3"/>
    </row>
    <row r="80" spans="1:29">
      <c r="A80" s="1" t="s">
        <v>737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"/>
      <c r="V80" s="3"/>
      <c r="W80" s="1"/>
      <c r="X80" s="3"/>
      <c r="Y80" s="3"/>
      <c r="Z80" s="3"/>
      <c r="AA80" s="3"/>
      <c r="AB80" s="3"/>
      <c r="AC80" s="3"/>
    </row>
    <row r="81" spans="1:29" ht="13.5" thickBot="1">
      <c r="A81" s="1" t="s">
        <v>736</v>
      </c>
      <c r="B81" s="123">
        <f>B77+B79</f>
        <v>3441960.0739700003</v>
      </c>
      <c r="C81" s="31"/>
      <c r="D81" s="123">
        <f>D77+D79</f>
        <v>7978.9</v>
      </c>
      <c r="E81" s="31"/>
      <c r="F81" s="123">
        <f>F77+F79</f>
        <v>955581.46248999995</v>
      </c>
      <c r="G81" s="31"/>
      <c r="H81" s="123">
        <f>H77+H79</f>
        <v>20000</v>
      </c>
      <c r="I81" s="31"/>
      <c r="J81" s="123">
        <f>J77+J79</f>
        <v>2474357.5114799999</v>
      </c>
      <c r="K81" s="31"/>
      <c r="L81" s="123">
        <f>L77+L79</f>
        <v>0</v>
      </c>
      <c r="M81" s="31"/>
      <c r="N81" s="123">
        <f>N77+N79</f>
        <v>459.39954000004218</v>
      </c>
      <c r="O81" s="31"/>
      <c r="P81" s="123">
        <f>P77+P79</f>
        <v>2474816.9110200005</v>
      </c>
      <c r="Q81" s="31"/>
      <c r="R81" s="123">
        <f>R77+R79</f>
        <v>-18175.105820532572</v>
      </c>
      <c r="S81" s="31"/>
      <c r="T81" s="123">
        <f>T77+T79</f>
        <v>2456641.805199468</v>
      </c>
      <c r="U81" s="3"/>
      <c r="V81" s="31"/>
      <c r="W81" s="1"/>
      <c r="X81" s="3"/>
      <c r="Y81" s="3"/>
      <c r="Z81" s="3"/>
      <c r="AA81" s="3"/>
      <c r="AB81" s="3"/>
      <c r="AC81" s="3"/>
    </row>
    <row r="82" spans="1:29" ht="13.5" thickTop="1">
      <c r="A82" s="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"/>
      <c r="V82" s="3"/>
      <c r="W82" s="1"/>
      <c r="X82" s="3"/>
      <c r="Y82" s="3"/>
      <c r="Z82" s="3"/>
      <c r="AA82" s="3"/>
      <c r="AB82" s="3"/>
      <c r="AC82" s="3"/>
    </row>
    <row r="83" spans="1:29">
      <c r="A83" s="1" t="s">
        <v>738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"/>
      <c r="V83" s="3"/>
      <c r="W83" s="1"/>
      <c r="X83" s="3"/>
      <c r="Y83" s="3"/>
      <c r="Z83" s="3"/>
      <c r="AA83" s="3"/>
      <c r="AB83" s="3"/>
      <c r="AC83" s="3"/>
    </row>
    <row r="84" spans="1:29">
      <c r="A84" s="119" t="s">
        <v>739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"/>
      <c r="V84" s="3"/>
      <c r="W84" s="1"/>
      <c r="X84" s="3"/>
      <c r="Y84" s="3"/>
      <c r="Z84" s="3"/>
      <c r="AA84" s="3"/>
      <c r="AB84" s="3"/>
      <c r="AC84" s="3"/>
    </row>
    <row r="85" spans="1:29">
      <c r="A85" s="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"/>
      <c r="V85" s="3"/>
      <c r="W85" s="1"/>
      <c r="X85" s="3"/>
      <c r="Y85" s="3"/>
      <c r="Z85" s="3"/>
      <c r="AA85" s="3"/>
      <c r="AB85" s="3"/>
      <c r="AC85" s="3"/>
    </row>
    <row r="86" spans="1:29">
      <c r="A86" s="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>
        <f>P86+R86</f>
        <v>0</v>
      </c>
      <c r="U86" s="3"/>
      <c r="V86" s="31"/>
      <c r="W86" s="1"/>
      <c r="X86" s="3"/>
      <c r="Y86" s="3"/>
      <c r="Z86" s="3"/>
      <c r="AA86" s="3"/>
      <c r="AB86" s="3"/>
      <c r="AC86" s="3"/>
    </row>
    <row r="87" spans="1:29">
      <c r="A87" s="1"/>
      <c r="B87" s="84"/>
      <c r="C87" s="31"/>
      <c r="D87" s="84"/>
      <c r="E87" s="31"/>
      <c r="F87" s="84"/>
      <c r="G87" s="31"/>
      <c r="H87" s="84"/>
      <c r="I87" s="31"/>
      <c r="J87" s="84"/>
      <c r="K87" s="31"/>
      <c r="L87" s="84"/>
      <c r="M87" s="31"/>
      <c r="N87" s="84"/>
      <c r="O87" s="31"/>
      <c r="P87" s="84"/>
      <c r="Q87" s="31"/>
      <c r="R87" s="84"/>
      <c r="S87" s="31"/>
      <c r="T87" s="84"/>
      <c r="U87" s="3"/>
      <c r="V87" s="3"/>
      <c r="W87" s="1"/>
      <c r="X87" s="3"/>
      <c r="Y87" s="3"/>
      <c r="Z87" s="3"/>
      <c r="AA87" s="3"/>
      <c r="AB87" s="3"/>
      <c r="AC87" s="3"/>
    </row>
    <row r="88" spans="1:29" ht="12.95" customHeight="1">
      <c r="A88" s="1" t="s">
        <v>740</v>
      </c>
      <c r="B88" s="84">
        <f>SUM(B86:B86)</f>
        <v>0</v>
      </c>
      <c r="C88" s="31"/>
      <c r="D88" s="84">
        <f>SUM(D86:D86)</f>
        <v>0</v>
      </c>
      <c r="E88" s="31"/>
      <c r="F88" s="84">
        <f>SUM(F86:F86)</f>
        <v>0</v>
      </c>
      <c r="G88" s="31"/>
      <c r="H88" s="84">
        <f>SUM(H86:H86)</f>
        <v>0</v>
      </c>
      <c r="I88" s="31"/>
      <c r="J88" s="84">
        <f>SUM(J86:J86)</f>
        <v>0</v>
      </c>
      <c r="K88" s="31"/>
      <c r="L88" s="84">
        <f>SUM(L86:L86)</f>
        <v>0</v>
      </c>
      <c r="M88" s="31"/>
      <c r="N88" s="84">
        <f>SUM(N86:N86)</f>
        <v>0</v>
      </c>
      <c r="O88" s="31"/>
      <c r="P88" s="84">
        <f>SUM(P86:P86)</f>
        <v>0</v>
      </c>
      <c r="Q88" s="31"/>
      <c r="R88" s="84">
        <f>SUM(R86:R86)</f>
        <v>0</v>
      </c>
      <c r="S88" s="31"/>
      <c r="T88" s="84">
        <f>SUM(T86:T86)</f>
        <v>0</v>
      </c>
      <c r="U88" s="3"/>
      <c r="V88" s="31"/>
      <c r="W88" s="1"/>
      <c r="X88" s="3"/>
      <c r="Y88" s="3"/>
      <c r="Z88" s="3"/>
      <c r="AA88" s="3"/>
      <c r="AB88" s="3"/>
      <c r="AC88" s="3"/>
    </row>
    <row r="89" spans="1:29">
      <c r="A89" s="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"/>
      <c r="V89" s="3"/>
      <c r="W89" s="1"/>
      <c r="X89" s="3"/>
      <c r="Y89" s="3"/>
      <c r="Z89" s="3"/>
      <c r="AA89" s="3"/>
      <c r="AB89" s="3"/>
      <c r="AC89" s="3"/>
    </row>
    <row r="90" spans="1:29" ht="13.5" thickBot="1">
      <c r="A90" s="1" t="s">
        <v>741</v>
      </c>
      <c r="B90" s="123">
        <f>B81+B88</f>
        <v>3441960.0739700003</v>
      </c>
      <c r="C90" s="31"/>
      <c r="D90" s="123">
        <f>D81+D88</f>
        <v>7978.9</v>
      </c>
      <c r="E90" s="31"/>
      <c r="F90" s="123">
        <f>F81+F88</f>
        <v>955581.46248999995</v>
      </c>
      <c r="G90" s="31"/>
      <c r="H90" s="123">
        <f>H81+H88</f>
        <v>20000</v>
      </c>
      <c r="I90" s="31"/>
      <c r="J90" s="123">
        <f>J81+J88</f>
        <v>2474357.5114799999</v>
      </c>
      <c r="K90" s="31"/>
      <c r="L90" s="123">
        <f>L81+L88</f>
        <v>0</v>
      </c>
      <c r="M90" s="31"/>
      <c r="N90" s="123">
        <f>N81+N88</f>
        <v>459.39954000004218</v>
      </c>
      <c r="O90" s="31"/>
      <c r="P90" s="123">
        <f>P81+P88</f>
        <v>2474816.9110200005</v>
      </c>
      <c r="Q90" s="31"/>
      <c r="R90" s="123">
        <f>R81+R88</f>
        <v>-18175.105820532572</v>
      </c>
      <c r="S90" s="31"/>
      <c r="T90" s="123">
        <f>T81+T88</f>
        <v>2456641.805199468</v>
      </c>
      <c r="U90" s="3"/>
      <c r="V90" s="31"/>
      <c r="W90" s="1"/>
      <c r="X90" s="3"/>
      <c r="Y90" s="3"/>
      <c r="Z90" s="3"/>
      <c r="AA90" s="3"/>
      <c r="AB90" s="3"/>
      <c r="AC90" s="3"/>
    </row>
    <row r="91" spans="1:29" ht="13.5" thickTop="1">
      <c r="A91" s="1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3"/>
      <c r="V91" s="3"/>
      <c r="W91" s="3"/>
      <c r="X91" s="3"/>
      <c r="Y91" s="3"/>
      <c r="Z91" s="3"/>
      <c r="AA91" s="3"/>
      <c r="AB91" s="3"/>
      <c r="AC91" s="3"/>
    </row>
    <row r="92" spans="1:29">
      <c r="A92" s="1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3"/>
      <c r="V92" s="3"/>
      <c r="W92" s="3"/>
      <c r="X92" s="3"/>
      <c r="Y92" s="3"/>
      <c r="Z92" s="3"/>
      <c r="AA92" s="3"/>
      <c r="AB92" s="3"/>
      <c r="AC92" s="3"/>
    </row>
    <row r="93" spans="1:29" ht="15.75">
      <c r="A93" s="124" t="s">
        <v>232</v>
      </c>
      <c r="B93" s="125"/>
      <c r="C93" s="125"/>
      <c r="D93" s="125"/>
      <c r="E93" s="125"/>
      <c r="F93" s="92"/>
      <c r="G93" s="125"/>
      <c r="H93" s="124"/>
      <c r="I93" s="92"/>
      <c r="J93" s="126"/>
      <c r="K93" s="125"/>
      <c r="L93" s="125"/>
      <c r="M93" s="125"/>
      <c r="N93" s="125"/>
      <c r="O93" s="125"/>
      <c r="P93" s="125"/>
      <c r="Q93" s="125"/>
      <c r="R93" s="125"/>
      <c r="S93" s="125"/>
      <c r="T93" s="125" t="s">
        <v>742</v>
      </c>
      <c r="U93" s="126"/>
      <c r="V93" s="125"/>
      <c r="W93" s="3"/>
      <c r="X93" s="3"/>
      <c r="Y93" s="3"/>
      <c r="Z93" s="3"/>
      <c r="AA93" s="3"/>
      <c r="AB93" s="3"/>
      <c r="AC93" s="3"/>
    </row>
    <row r="94" spans="1:29" ht="15.75">
      <c r="A94" s="127" t="s">
        <v>675</v>
      </c>
      <c r="B94" s="125"/>
      <c r="C94" s="125"/>
      <c r="D94" s="125"/>
      <c r="E94" s="125"/>
      <c r="F94" s="92"/>
      <c r="G94" s="125"/>
      <c r="H94" s="127"/>
      <c r="I94" s="92"/>
      <c r="J94" s="126"/>
      <c r="K94" s="125"/>
      <c r="L94" s="125"/>
      <c r="M94" s="125"/>
      <c r="N94" s="125"/>
      <c r="O94" s="125"/>
      <c r="P94" s="125"/>
      <c r="Q94" s="125"/>
      <c r="R94" s="125"/>
      <c r="S94" s="125"/>
      <c r="T94" s="128"/>
      <c r="U94" s="128"/>
      <c r="V94" s="128"/>
      <c r="W94" s="3"/>
      <c r="X94" s="3"/>
      <c r="Y94" s="3"/>
      <c r="Z94" s="3"/>
      <c r="AA94" s="3"/>
      <c r="AB94" s="3"/>
      <c r="AC94" s="3"/>
    </row>
    <row r="95" spans="1:29" ht="15.75">
      <c r="A95" s="129" t="str">
        <f>A3</f>
        <v>2024 Budget</v>
      </c>
      <c r="B95" s="125"/>
      <c r="C95" s="125"/>
      <c r="D95" s="125"/>
      <c r="E95" s="125"/>
      <c r="F95" s="125"/>
      <c r="G95" s="124"/>
      <c r="H95" s="125"/>
      <c r="I95" s="92"/>
      <c r="J95" s="126"/>
      <c r="K95" s="125"/>
      <c r="L95" s="125"/>
      <c r="M95" s="125"/>
      <c r="N95" s="125"/>
      <c r="O95" s="125"/>
      <c r="P95" s="125"/>
      <c r="Q95" s="125"/>
      <c r="R95" s="125"/>
      <c r="S95" s="125"/>
      <c r="T95" s="128"/>
      <c r="U95" s="128"/>
      <c r="V95" s="128"/>
      <c r="W95" s="3"/>
      <c r="X95" s="3"/>
      <c r="Y95" s="3"/>
      <c r="Z95" s="3"/>
      <c r="AA95" s="3"/>
      <c r="AB95" s="3"/>
      <c r="AC95" s="3"/>
    </row>
    <row r="96" spans="1:29">
      <c r="A96" s="1"/>
      <c r="B96" s="3"/>
      <c r="C96" s="3"/>
      <c r="D96" s="3"/>
      <c r="E96" s="3"/>
      <c r="F96" s="3"/>
      <c r="G96" s="3"/>
      <c r="H96" s="3"/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>
      <c r="A97" s="1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3"/>
      <c r="V97" s="288"/>
      <c r="W97" s="3"/>
      <c r="X97" s="3"/>
      <c r="Y97" s="3"/>
      <c r="Z97" s="3"/>
      <c r="AA97" s="3"/>
      <c r="AB97" s="3"/>
      <c r="AC97" s="3"/>
    </row>
    <row r="98" spans="1:29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>
      <c r="A99" s="1"/>
      <c r="B99" s="85" t="s">
        <v>663</v>
      </c>
      <c r="C99" s="3"/>
      <c r="D99" s="85" t="s">
        <v>664</v>
      </c>
      <c r="E99" s="3"/>
      <c r="F99" s="85" t="s">
        <v>665</v>
      </c>
      <c r="G99" s="3"/>
      <c r="H99" s="85" t="s">
        <v>666</v>
      </c>
      <c r="I99" s="1"/>
      <c r="J99" s="85" t="s">
        <v>667</v>
      </c>
      <c r="K99" s="3"/>
      <c r="L99" s="85" t="s">
        <v>744</v>
      </c>
      <c r="M99" s="3"/>
      <c r="N99" s="85" t="s">
        <v>702</v>
      </c>
      <c r="O99" s="3"/>
      <c r="P99" s="85" t="s">
        <v>703</v>
      </c>
      <c r="Q99" s="3"/>
      <c r="R99" s="85" t="s">
        <v>704</v>
      </c>
      <c r="S99" s="3"/>
      <c r="T99" s="85" t="s">
        <v>705</v>
      </c>
      <c r="U99" s="3"/>
      <c r="V99" s="85" t="s">
        <v>706</v>
      </c>
      <c r="W99" s="3"/>
      <c r="X99" s="3"/>
      <c r="Y99" s="3"/>
      <c r="Z99" s="3"/>
      <c r="AA99" s="3"/>
      <c r="AB99" s="3"/>
      <c r="AC99" s="3"/>
    </row>
    <row r="100" spans="1:29">
      <c r="A100" s="1"/>
      <c r="B100" s="3"/>
      <c r="C100" s="3"/>
      <c r="D100" s="3"/>
      <c r="E100" s="3"/>
      <c r="F100" s="3"/>
      <c r="G100" s="3"/>
      <c r="H100" s="85" t="s">
        <v>745</v>
      </c>
      <c r="I100" s="1"/>
      <c r="J100" s="3"/>
      <c r="K100" s="3"/>
      <c r="L100" s="3"/>
      <c r="M100" s="3"/>
      <c r="N100" s="85" t="s">
        <v>746</v>
      </c>
      <c r="O100" s="3"/>
      <c r="P100" s="85" t="s">
        <v>747</v>
      </c>
      <c r="Q100" s="3"/>
      <c r="R100" s="3"/>
      <c r="S100" s="3"/>
      <c r="T100" s="85" t="s">
        <v>719</v>
      </c>
      <c r="U100" s="3"/>
      <c r="V100" s="85" t="s">
        <v>710</v>
      </c>
      <c r="W100" s="3"/>
      <c r="X100" s="3"/>
      <c r="Y100" s="3"/>
      <c r="Z100" s="3"/>
      <c r="AA100" s="3"/>
      <c r="AB100" s="3"/>
      <c r="AC100" s="3"/>
    </row>
    <row r="101" spans="1:29">
      <c r="A101" s="1"/>
      <c r="B101" s="85" t="s">
        <v>748</v>
      </c>
      <c r="C101" s="3"/>
      <c r="D101" s="85" t="s">
        <v>749</v>
      </c>
      <c r="E101" s="3"/>
      <c r="F101" s="85" t="s">
        <v>749</v>
      </c>
      <c r="G101" s="3"/>
      <c r="H101" s="85" t="s">
        <v>714</v>
      </c>
      <c r="I101" s="1"/>
      <c r="J101" s="85" t="s">
        <v>750</v>
      </c>
      <c r="K101" s="3"/>
      <c r="L101" s="85" t="s">
        <v>751</v>
      </c>
      <c r="M101" s="3"/>
      <c r="N101" s="85" t="s">
        <v>751</v>
      </c>
      <c r="O101" s="3"/>
      <c r="P101" s="85" t="s">
        <v>752</v>
      </c>
      <c r="Q101" s="3"/>
      <c r="R101" s="85" t="s">
        <v>753</v>
      </c>
      <c r="S101" s="3"/>
      <c r="T101" s="85" t="s">
        <v>748</v>
      </c>
      <c r="U101" s="3"/>
      <c r="V101" s="85" t="s">
        <v>748</v>
      </c>
      <c r="W101" s="85"/>
      <c r="X101" s="3"/>
      <c r="Y101" s="3"/>
      <c r="Z101" s="3"/>
      <c r="AA101" s="3"/>
      <c r="AB101" s="3"/>
      <c r="AC101" s="3"/>
    </row>
    <row r="102" spans="1:29">
      <c r="A102" s="1"/>
      <c r="B102" s="130" t="s">
        <v>61</v>
      </c>
      <c r="C102" s="3"/>
      <c r="D102" s="130" t="s">
        <v>754</v>
      </c>
      <c r="E102" s="3"/>
      <c r="F102" s="130" t="s">
        <v>512</v>
      </c>
      <c r="G102" s="3"/>
      <c r="H102" s="130" t="s">
        <v>722</v>
      </c>
      <c r="I102" s="1"/>
      <c r="J102" s="130" t="s">
        <v>755</v>
      </c>
      <c r="K102" s="3"/>
      <c r="L102" s="130" t="s">
        <v>404</v>
      </c>
      <c r="M102" s="3"/>
      <c r="N102" s="130" t="s">
        <v>756</v>
      </c>
      <c r="O102" s="3"/>
      <c r="P102" s="130" t="s">
        <v>756</v>
      </c>
      <c r="Q102" s="3"/>
      <c r="R102" s="130" t="s">
        <v>757</v>
      </c>
      <c r="S102" s="3"/>
      <c r="T102" s="130" t="s">
        <v>758</v>
      </c>
      <c r="U102" s="3"/>
      <c r="V102" s="130" t="s">
        <v>759</v>
      </c>
      <c r="W102" s="2"/>
      <c r="X102" s="85"/>
      <c r="Y102" s="3"/>
      <c r="Z102" s="3"/>
      <c r="AA102" s="3"/>
      <c r="AB102" s="3"/>
      <c r="AC102" s="3"/>
    </row>
    <row r="103" spans="1:29" ht="13.9" customHeight="1">
      <c r="A103" s="1" t="s">
        <v>728</v>
      </c>
      <c r="B103" s="84">
        <f ca="1">+IncomeStmt!$F$7</f>
        <v>635196.80000000005</v>
      </c>
      <c r="C103" s="31"/>
      <c r="D103" s="204">
        <f ca="1">+IncomeStmt!$F$8</f>
        <v>228428.9</v>
      </c>
      <c r="E103" s="31"/>
      <c r="F103" s="204">
        <f ca="1">+IncomeStmt!$F$11</f>
        <v>176207.9</v>
      </c>
      <c r="G103" s="31"/>
      <c r="H103" s="84">
        <f ca="1">SUM(IncomeStmt!$F$12:$F$15)</f>
        <v>88775.700000000012</v>
      </c>
      <c r="I103" s="31"/>
      <c r="J103" s="84">
        <f ca="1">+IncomeStmt!$F$16</f>
        <v>66038.8</v>
      </c>
      <c r="K103" s="31"/>
      <c r="L103" s="84">
        <f ca="1">SUM(IncomeStmt!$F$17:$F$17)</f>
        <v>-16433</v>
      </c>
      <c r="M103" s="31"/>
      <c r="N103" s="84">
        <f ca="1">SUM(IncomeStmt!$F$18:$F$18)</f>
        <v>22490.1</v>
      </c>
      <c r="O103" s="31"/>
      <c r="P103" s="84">
        <f ca="1">+IncomeStmt!$F$19</f>
        <v>0</v>
      </c>
      <c r="Q103" s="31"/>
      <c r="R103" s="563">
        <f>+Report!R106</f>
        <v>-495.59999999999997</v>
      </c>
      <c r="S103" s="31"/>
      <c r="T103" s="84">
        <f ca="1">SUM(D103:R103)</f>
        <v>565012.80000000005</v>
      </c>
      <c r="U103" s="31"/>
      <c r="V103" s="560">
        <f ca="1">B103-T103</f>
        <v>70184</v>
      </c>
      <c r="W103" s="1083"/>
      <c r="X103" s="31"/>
      <c r="Y103" s="3"/>
      <c r="Z103" s="3"/>
      <c r="AA103" s="3"/>
      <c r="AB103" s="3"/>
      <c r="AC103" s="3"/>
    </row>
    <row r="104" spans="1:29">
      <c r="A104" s="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"/>
      <c r="Y104" s="3"/>
      <c r="Z104" s="3"/>
      <c r="AA104" s="3"/>
      <c r="AB104" s="3"/>
      <c r="AC104" s="3"/>
    </row>
    <row r="105" spans="1:29">
      <c r="A105" s="119" t="s">
        <v>729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"/>
      <c r="Y105" s="3"/>
      <c r="Z105" s="3"/>
      <c r="AA105" s="3"/>
      <c r="AB105" s="3"/>
      <c r="AC105" s="3"/>
    </row>
    <row r="106" spans="1:29">
      <c r="A106" s="197" t="s">
        <v>62</v>
      </c>
      <c r="B106" s="562">
        <f ca="1">+Report!B109</f>
        <v>-24949.7</v>
      </c>
      <c r="C106" s="31"/>
      <c r="D106" s="31"/>
      <c r="E106" s="31"/>
      <c r="F106" s="562">
        <f ca="1">+Report!F109</f>
        <v>-24949.7</v>
      </c>
      <c r="G106" s="31"/>
      <c r="H106" s="31"/>
      <c r="I106" s="31"/>
      <c r="J106" s="31"/>
      <c r="K106" s="31"/>
      <c r="L106" s="398">
        <f ca="1">+Report!L109</f>
        <v>0</v>
      </c>
      <c r="M106" s="31"/>
      <c r="N106" s="31"/>
      <c r="O106" s="31"/>
      <c r="P106" s="31"/>
      <c r="Q106" s="31"/>
      <c r="R106" s="31"/>
      <c r="S106" s="31"/>
      <c r="T106" s="31">
        <f t="shared" ref="T106:T122" ca="1" si="1">SUM(D106:R106)</f>
        <v>-24949.7</v>
      </c>
      <c r="U106" s="31"/>
      <c r="V106" s="31">
        <f t="shared" ref="V106:V122" ca="1" si="2">B106-T106</f>
        <v>0</v>
      </c>
      <c r="W106" s="31">
        <f ca="1">+V106-Report!V109</f>
        <v>0</v>
      </c>
      <c r="X106" s="31"/>
      <c r="Y106" s="3"/>
      <c r="Z106" s="3"/>
      <c r="AA106" s="3"/>
      <c r="AB106" s="3"/>
      <c r="AC106" s="3"/>
    </row>
    <row r="107" spans="1:29">
      <c r="A107" s="197" t="s">
        <v>80</v>
      </c>
      <c r="B107" s="31"/>
      <c r="C107" s="31"/>
      <c r="D107" s="31"/>
      <c r="E107" s="31"/>
      <c r="F107" s="31"/>
      <c r="G107" s="31"/>
      <c r="H107" s="561">
        <f ca="1">+Report!H110</f>
        <v>-43.270178208362147</v>
      </c>
      <c r="I107" s="31"/>
      <c r="J107" s="362">
        <f>+Report!J110</f>
        <v>0</v>
      </c>
      <c r="K107" s="31"/>
      <c r="L107" s="398">
        <f ca="1">+Report!L110</f>
        <v>10.966826666909386</v>
      </c>
      <c r="M107" s="31"/>
      <c r="N107" s="31"/>
      <c r="O107" s="31"/>
      <c r="P107" s="31"/>
      <c r="Q107" s="31"/>
      <c r="R107" s="31"/>
      <c r="S107" s="31"/>
      <c r="T107" s="31">
        <f t="shared" ca="1" si="1"/>
        <v>-32.303351541452763</v>
      </c>
      <c r="U107" s="31"/>
      <c r="V107" s="31">
        <f t="shared" ca="1" si="2"/>
        <v>32.303351541452763</v>
      </c>
      <c r="W107" s="31"/>
      <c r="X107" s="31"/>
      <c r="Y107" s="3"/>
      <c r="Z107" s="3"/>
      <c r="AA107" s="3"/>
      <c r="AB107" s="3"/>
      <c r="AC107" s="3"/>
    </row>
    <row r="108" spans="1:29">
      <c r="A108" s="197" t="s">
        <v>86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74">
        <f ca="1">-'Int Synch'!E62</f>
        <v>752.08963851466399</v>
      </c>
      <c r="M108" s="31"/>
      <c r="N108" s="31"/>
      <c r="O108" s="31"/>
      <c r="P108" s="31"/>
      <c r="Q108" s="31"/>
      <c r="R108" s="31"/>
      <c r="S108" s="31"/>
      <c r="T108" s="31">
        <f t="shared" ca="1" si="1"/>
        <v>752.08963851466399</v>
      </c>
      <c r="U108" s="31"/>
      <c r="V108" s="31">
        <f t="shared" ca="1" si="2"/>
        <v>-752.08963851466399</v>
      </c>
      <c r="W108" s="31"/>
      <c r="X108" s="31"/>
      <c r="Y108" s="3"/>
      <c r="Z108" s="3"/>
      <c r="AA108" s="3"/>
      <c r="AB108" s="3"/>
      <c r="AC108" s="3"/>
    </row>
    <row r="109" spans="1:29">
      <c r="A109" s="197" t="s">
        <v>87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62">
        <f>+Report!L112</f>
        <v>-3084</v>
      </c>
      <c r="M109" s="31"/>
      <c r="N109" s="31"/>
      <c r="O109" s="31"/>
      <c r="P109" s="31"/>
      <c r="Q109" s="31"/>
      <c r="R109" s="31"/>
      <c r="S109" s="31"/>
      <c r="T109" s="31">
        <f t="shared" si="1"/>
        <v>-3084</v>
      </c>
      <c r="U109" s="31"/>
      <c r="V109" s="31">
        <f t="shared" si="2"/>
        <v>3084</v>
      </c>
      <c r="W109" s="31"/>
      <c r="X109" s="31"/>
      <c r="Y109" s="3"/>
      <c r="Z109" s="3"/>
      <c r="AA109" s="3"/>
      <c r="AB109" s="3"/>
      <c r="AC109" s="3"/>
    </row>
    <row r="110" spans="1:29">
      <c r="A110" s="197" t="s">
        <v>63</v>
      </c>
      <c r="B110" s="562">
        <f ca="1">+Report!B113</f>
        <v>-229472.69999999998</v>
      </c>
      <c r="C110" s="31"/>
      <c r="D110" s="562">
        <f ca="1">+Report!D113</f>
        <v>-228428.9</v>
      </c>
      <c r="E110" s="31"/>
      <c r="F110" s="31"/>
      <c r="G110" s="31"/>
      <c r="H110" s="31"/>
      <c r="I110" s="31"/>
      <c r="J110" s="562">
        <f ca="1">+Report!J113</f>
        <v>-1043.8</v>
      </c>
      <c r="K110" s="31"/>
      <c r="L110" s="398">
        <f ca="1">+Report!L113</f>
        <v>2.9390207600954455E-12</v>
      </c>
      <c r="M110" s="31"/>
      <c r="N110" s="31"/>
      <c r="O110" s="31"/>
      <c r="P110" s="31"/>
      <c r="Q110" s="31"/>
      <c r="R110" s="31"/>
      <c r="S110" s="31"/>
      <c r="T110" s="31">
        <f t="shared" ca="1" si="1"/>
        <v>-229472.69999999998</v>
      </c>
      <c r="U110" s="31"/>
      <c r="V110" s="31">
        <f t="shared" ca="1" si="2"/>
        <v>0</v>
      </c>
      <c r="W110" s="31"/>
      <c r="X110" s="31"/>
      <c r="Y110" s="3"/>
      <c r="Z110" s="3"/>
      <c r="AA110" s="3"/>
      <c r="AB110" s="3"/>
      <c r="AC110" s="3"/>
    </row>
    <row r="111" spans="1:29">
      <c r="A111" s="197" t="s">
        <v>72</v>
      </c>
      <c r="B111" s="31"/>
      <c r="C111" s="31"/>
      <c r="D111" s="31"/>
      <c r="E111" s="31"/>
      <c r="F111" s="564">
        <f ca="1">+Report!F114</f>
        <v>-18.420000000000002</v>
      </c>
      <c r="G111" s="31"/>
      <c r="H111" s="31"/>
      <c r="I111" s="31"/>
      <c r="J111" s="31"/>
      <c r="K111" s="31"/>
      <c r="L111" s="398">
        <f ca="1">+Report!L114</f>
        <v>4.6685490000000005</v>
      </c>
      <c r="M111" s="31"/>
      <c r="N111" s="31"/>
      <c r="O111" s="31"/>
      <c r="P111" s="31"/>
      <c r="Q111" s="31"/>
      <c r="R111" s="31"/>
      <c r="S111" s="31"/>
      <c r="T111" s="31">
        <f t="shared" ca="1" si="1"/>
        <v>-13.751451000000001</v>
      </c>
      <c r="U111" s="31"/>
      <c r="V111" s="31">
        <f t="shared" ca="1" si="2"/>
        <v>13.751451000000001</v>
      </c>
      <c r="W111" s="31"/>
      <c r="X111" s="31"/>
      <c r="Y111" s="3"/>
      <c r="Z111" s="3"/>
      <c r="AA111" s="3"/>
      <c r="AB111" s="3"/>
      <c r="AC111" s="3"/>
    </row>
    <row r="112" spans="1:29">
      <c r="A112" s="197" t="s">
        <v>73</v>
      </c>
      <c r="B112" s="31"/>
      <c r="C112" s="31"/>
      <c r="D112" s="31"/>
      <c r="E112" s="31"/>
      <c r="F112" s="561">
        <f ca="1">+Report!F115</f>
        <v>-79.175510000000003</v>
      </c>
      <c r="G112" s="31"/>
      <c r="H112" s="31"/>
      <c r="I112" s="31"/>
      <c r="J112" s="31"/>
      <c r="K112" s="31"/>
      <c r="L112" s="398">
        <f ca="1">+Report!L115</f>
        <v>20.067033009500001</v>
      </c>
      <c r="M112" s="31"/>
      <c r="N112" s="31"/>
      <c r="O112" s="31"/>
      <c r="P112" s="31"/>
      <c r="Q112" s="31"/>
      <c r="R112" s="31"/>
      <c r="S112" s="31"/>
      <c r="T112" s="31">
        <f t="shared" ca="1" si="1"/>
        <v>-59.108476990500002</v>
      </c>
      <c r="U112" s="31"/>
      <c r="V112" s="31">
        <f t="shared" ca="1" si="2"/>
        <v>59.108476990500002</v>
      </c>
      <c r="X112" s="31"/>
      <c r="Y112" s="31"/>
      <c r="Z112" s="3"/>
      <c r="AA112" s="3"/>
      <c r="AB112" s="3"/>
      <c r="AC112" s="3"/>
    </row>
    <row r="113" spans="1:33">
      <c r="A113" s="197" t="s">
        <v>64</v>
      </c>
      <c r="B113" s="564">
        <f ca="1">+Report!B116</f>
        <v>-33289.800000000003</v>
      </c>
      <c r="C113" s="31"/>
      <c r="D113" s="31"/>
      <c r="E113" s="31"/>
      <c r="F113" s="31"/>
      <c r="G113" s="31"/>
      <c r="H113" s="31"/>
      <c r="I113" s="31"/>
      <c r="J113" s="564">
        <f ca="1">+Report!J116</f>
        <v>-33289.800000000003</v>
      </c>
      <c r="K113" s="31"/>
      <c r="L113" s="398">
        <f ca="1">+Report!L116</f>
        <v>0</v>
      </c>
      <c r="M113" s="31"/>
      <c r="N113" s="31"/>
      <c r="O113" s="31"/>
      <c r="P113" s="31"/>
      <c r="Q113" s="31"/>
      <c r="R113" s="31"/>
      <c r="S113" s="31"/>
      <c r="T113" s="31">
        <f t="shared" ca="1" si="1"/>
        <v>-33289.800000000003</v>
      </c>
      <c r="U113" s="31"/>
      <c r="V113" s="31">
        <f t="shared" ca="1" si="2"/>
        <v>0</v>
      </c>
      <c r="W113" s="31"/>
      <c r="X113" s="31"/>
      <c r="Y113" s="3"/>
      <c r="Z113" s="3"/>
      <c r="AA113" s="3"/>
      <c r="AB113" s="31"/>
      <c r="AC113" s="3"/>
      <c r="AD113" s="3"/>
      <c r="AE113" s="3"/>
      <c r="AF113" s="3"/>
      <c r="AG113" s="3"/>
    </row>
    <row r="114" spans="1:33">
      <c r="A114" s="197" t="s">
        <v>75</v>
      </c>
      <c r="B114" s="31"/>
      <c r="C114" s="31"/>
      <c r="D114" s="31"/>
      <c r="E114" s="31"/>
      <c r="F114" s="561">
        <f ca="1">+Report!F117</f>
        <v>-38.448500351999989</v>
      </c>
      <c r="G114" s="31"/>
      <c r="H114" s="31"/>
      <c r="I114" s="31"/>
      <c r="J114" s="31"/>
      <c r="K114" s="31"/>
      <c r="L114" s="398">
        <f ca="1">+Report!L117</f>
        <v>9.7447724142143972</v>
      </c>
      <c r="M114" s="31"/>
      <c r="N114" s="31"/>
      <c r="O114" s="31"/>
      <c r="P114" s="31"/>
      <c r="Q114" s="31"/>
      <c r="R114" s="31"/>
      <c r="S114" s="31"/>
      <c r="T114" s="31">
        <f t="shared" ca="1" si="1"/>
        <v>-28.703727937785594</v>
      </c>
      <c r="U114" s="31"/>
      <c r="V114" s="31">
        <f t="shared" ca="1" si="2"/>
        <v>28.703727937785594</v>
      </c>
      <c r="W114" s="31"/>
      <c r="X114" s="31"/>
      <c r="Y114" s="3"/>
      <c r="Z114" s="3"/>
      <c r="AA114" s="3"/>
      <c r="AB114" s="3"/>
      <c r="AC114" s="3"/>
    </row>
    <row r="115" spans="1:33">
      <c r="A115" s="197" t="s">
        <v>76</v>
      </c>
      <c r="B115" s="31"/>
      <c r="C115" s="31"/>
      <c r="D115" s="31"/>
      <c r="E115" s="31"/>
      <c r="F115" s="561">
        <f ca="1">+Report!F118</f>
        <v>-5.9299689200000003</v>
      </c>
      <c r="G115" s="31"/>
      <c r="H115" s="31"/>
      <c r="I115" s="31"/>
      <c r="J115" s="31"/>
      <c r="K115" s="31"/>
      <c r="L115" s="398">
        <f ca="1">+Report!L118</f>
        <v>1.5029506227740002</v>
      </c>
      <c r="M115" s="31"/>
      <c r="N115" s="31"/>
      <c r="O115" s="31"/>
      <c r="P115" s="31"/>
      <c r="Q115" s="31"/>
      <c r="R115" s="31"/>
      <c r="S115" s="31"/>
      <c r="T115" s="31">
        <f t="shared" ca="1" si="1"/>
        <v>-4.4270182972260006</v>
      </c>
      <c r="U115" s="31"/>
      <c r="V115" s="31">
        <f t="shared" ca="1" si="2"/>
        <v>4.4270182972260006</v>
      </c>
      <c r="W115" s="31"/>
      <c r="X115" s="31"/>
      <c r="Y115" s="3"/>
      <c r="Z115" s="3"/>
      <c r="AA115" s="3"/>
      <c r="AB115" s="3"/>
      <c r="AC115" s="3"/>
    </row>
    <row r="116" spans="1:33">
      <c r="A116" s="197" t="s">
        <v>81</v>
      </c>
      <c r="B116" s="37"/>
      <c r="C116" s="31"/>
      <c r="D116" s="31"/>
      <c r="E116" s="31"/>
      <c r="F116" s="37"/>
      <c r="G116" s="31"/>
      <c r="H116" s="561">
        <f>+Report!H119</f>
        <v>0</v>
      </c>
      <c r="I116" s="31"/>
      <c r="J116" s="31"/>
      <c r="K116" s="31"/>
      <c r="L116" s="398">
        <f>+Report!L119</f>
        <v>0</v>
      </c>
      <c r="M116" s="31"/>
      <c r="N116" s="31"/>
      <c r="O116" s="31"/>
      <c r="P116" s="31"/>
      <c r="Q116" s="31"/>
      <c r="R116" s="31"/>
      <c r="S116" s="31"/>
      <c r="T116" s="31">
        <f t="shared" si="1"/>
        <v>0</v>
      </c>
      <c r="U116" s="31"/>
      <c r="V116" s="31">
        <f t="shared" si="2"/>
        <v>0</v>
      </c>
      <c r="W116" s="31"/>
      <c r="X116" s="31"/>
      <c r="Y116" s="3"/>
      <c r="Z116" s="3"/>
      <c r="AA116" s="3"/>
      <c r="AB116" s="3"/>
      <c r="AC116" s="3"/>
    </row>
    <row r="117" spans="1:33">
      <c r="A117" s="197" t="s">
        <v>88</v>
      </c>
      <c r="B117" s="199"/>
      <c r="C117" s="31"/>
      <c r="D117" s="31"/>
      <c r="E117" s="31"/>
      <c r="F117" s="35"/>
      <c r="G117" s="31"/>
      <c r="H117" s="31"/>
      <c r="I117" s="31"/>
      <c r="J117" s="31"/>
      <c r="K117" s="31"/>
      <c r="L117" s="398">
        <f>+Report!L120</f>
        <v>0</v>
      </c>
      <c r="M117" s="31"/>
      <c r="N117" s="31"/>
      <c r="O117" s="31"/>
      <c r="P117" s="31"/>
      <c r="Q117" s="31"/>
      <c r="R117" s="362">
        <v>0</v>
      </c>
      <c r="S117" s="31"/>
      <c r="T117" s="31">
        <f t="shared" si="1"/>
        <v>0</v>
      </c>
      <c r="U117" s="31"/>
      <c r="V117" s="31">
        <f>B117-T117</f>
        <v>0</v>
      </c>
      <c r="W117" s="31"/>
      <c r="X117" s="31"/>
      <c r="Y117" s="3"/>
      <c r="Z117" s="3"/>
      <c r="AA117" s="3"/>
      <c r="AB117" s="3"/>
      <c r="AC117" s="3"/>
    </row>
    <row r="118" spans="1:33">
      <c r="A118" s="197" t="s">
        <v>65</v>
      </c>
      <c r="B118" s="565">
        <f ca="1">+Report!B121</f>
        <v>-117.79600000000001</v>
      </c>
      <c r="C118" s="31"/>
      <c r="D118" s="31"/>
      <c r="E118" s="31"/>
      <c r="F118" s="35"/>
      <c r="G118" s="31"/>
      <c r="H118" s="31"/>
      <c r="I118" s="31"/>
      <c r="J118" s="31"/>
      <c r="K118" s="31"/>
      <c r="L118" s="398">
        <f ca="1">+Report!L121</f>
        <v>-29.855396200000001</v>
      </c>
      <c r="M118" s="31"/>
      <c r="N118" s="31"/>
      <c r="O118" s="31"/>
      <c r="P118" s="31"/>
      <c r="Q118" s="31"/>
      <c r="R118" s="31"/>
      <c r="S118" s="31"/>
      <c r="T118" s="31">
        <f t="shared" ca="1" si="1"/>
        <v>-29.855396200000001</v>
      </c>
      <c r="U118" s="31"/>
      <c r="V118" s="31">
        <f ca="1">B118-T118</f>
        <v>-87.940603800000005</v>
      </c>
      <c r="W118" s="31"/>
      <c r="X118" s="31"/>
      <c r="Y118" s="3"/>
      <c r="Z118" s="3"/>
      <c r="AA118" s="3"/>
      <c r="AB118" s="3"/>
      <c r="AC118" s="3"/>
    </row>
    <row r="119" spans="1:33">
      <c r="A119" s="197" t="s">
        <v>89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98">
        <f>+Report!L122</f>
        <v>0</v>
      </c>
      <c r="M119" s="31"/>
      <c r="N119" s="31"/>
      <c r="O119" s="31"/>
      <c r="P119" s="31">
        <f ca="1">-P103</f>
        <v>0</v>
      </c>
      <c r="Q119" s="31"/>
      <c r="R119" s="31"/>
      <c r="S119" s="31"/>
      <c r="T119" s="31">
        <f t="shared" ca="1" si="1"/>
        <v>0</v>
      </c>
      <c r="U119" s="31"/>
      <c r="V119" s="31">
        <f t="shared" ca="1" si="2"/>
        <v>0</v>
      </c>
      <c r="W119" s="31"/>
      <c r="X119" s="31"/>
      <c r="Y119" s="3"/>
      <c r="Z119" s="3"/>
      <c r="AA119" s="3"/>
      <c r="AB119" s="3"/>
      <c r="AC119" s="3"/>
    </row>
    <row r="120" spans="1:33">
      <c r="A120" s="197" t="s">
        <v>66</v>
      </c>
      <c r="B120" s="562">
        <f ca="1">+Report!B123</f>
        <v>-421.95497000000012</v>
      </c>
      <c r="C120" s="31"/>
      <c r="D120" s="31"/>
      <c r="E120" s="31"/>
      <c r="F120" s="562">
        <f ca="1">+Report!F123</f>
        <v>-299.01400000000001</v>
      </c>
      <c r="G120" s="31"/>
      <c r="H120" s="562">
        <f ca="1">+Report!H123</f>
        <v>-119.43751</v>
      </c>
      <c r="I120" s="31"/>
      <c r="J120" s="562">
        <f ca="1">+Report!J123</f>
        <v>-3.5038499999999999</v>
      </c>
      <c r="K120" s="31"/>
      <c r="L120" s="398">
        <f ca="1">+Report!L123</f>
        <v>9.8845499973747062E-5</v>
      </c>
      <c r="M120" s="31"/>
      <c r="N120" s="31"/>
      <c r="O120" s="31"/>
      <c r="P120" s="31"/>
      <c r="Q120" s="31"/>
      <c r="R120" s="31"/>
      <c r="S120" s="31"/>
      <c r="T120" s="31">
        <f t="shared" ca="1" si="1"/>
        <v>-421.95526115450002</v>
      </c>
      <c r="U120" s="31"/>
      <c r="V120" s="203">
        <f ca="1">B120-T120</f>
        <v>2.9115449990513298E-4</v>
      </c>
      <c r="W120" s="203" t="s">
        <v>764</v>
      </c>
      <c r="X120" s="31"/>
      <c r="Y120" s="3"/>
      <c r="Z120" s="3"/>
      <c r="AA120" s="3"/>
      <c r="AB120" s="3"/>
      <c r="AC120" s="3"/>
    </row>
    <row r="121" spans="1:33">
      <c r="A121" s="197" t="s">
        <v>67</v>
      </c>
      <c r="B121" s="562">
        <f ca="1">+Report!B124</f>
        <v>-876.43799999999999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98">
        <f ca="1">+Report!L124</f>
        <v>-222.13321110000001</v>
      </c>
      <c r="M121" s="31"/>
      <c r="N121" s="31"/>
      <c r="O121" s="31"/>
      <c r="P121" s="31"/>
      <c r="Q121" s="31"/>
      <c r="R121" s="31"/>
      <c r="S121" s="31"/>
      <c r="T121" s="31">
        <f t="shared" ca="1" si="1"/>
        <v>-222.13321110000001</v>
      </c>
      <c r="U121" s="31"/>
      <c r="V121" s="31">
        <f t="shared" ca="1" si="2"/>
        <v>-654.30478889999995</v>
      </c>
      <c r="W121" s="31"/>
      <c r="X121" s="31"/>
      <c r="Y121" s="3"/>
      <c r="Z121" s="3"/>
      <c r="AA121" s="3"/>
      <c r="AB121" s="3"/>
      <c r="AC121" s="3"/>
    </row>
    <row r="122" spans="1:33">
      <c r="A122" s="198" t="s">
        <v>765</v>
      </c>
      <c r="B122" s="560">
        <v>0</v>
      </c>
      <c r="C122" s="31"/>
      <c r="D122" s="84"/>
      <c r="E122" s="31"/>
      <c r="F122" s="84"/>
      <c r="G122" s="31"/>
      <c r="H122" s="84"/>
      <c r="I122" s="31"/>
      <c r="J122" s="84"/>
      <c r="K122" s="31"/>
      <c r="L122" s="399">
        <f>+Report!L125</f>
        <v>0</v>
      </c>
      <c r="M122" s="31"/>
      <c r="N122" s="84"/>
      <c r="O122" s="31"/>
      <c r="P122" s="84"/>
      <c r="Q122" s="31"/>
      <c r="R122" s="84"/>
      <c r="S122" s="31"/>
      <c r="T122" s="122">
        <f t="shared" si="1"/>
        <v>0</v>
      </c>
      <c r="U122" s="31"/>
      <c r="V122" s="122">
        <f t="shared" si="2"/>
        <v>0</v>
      </c>
      <c r="W122" s="31"/>
      <c r="X122" s="31"/>
      <c r="Y122" s="3"/>
      <c r="Z122" s="3"/>
      <c r="AA122" s="3"/>
      <c r="AB122" s="3"/>
      <c r="AC122" s="3"/>
    </row>
    <row r="123" spans="1:33" ht="12.95" customHeight="1">
      <c r="A123" s="1" t="s">
        <v>734</v>
      </c>
      <c r="B123" s="84">
        <f ca="1">SUM(B106:B122)</f>
        <v>-289128.38897000003</v>
      </c>
      <c r="C123" s="31"/>
      <c r="D123" s="84">
        <f ca="1">SUM(D106:D122)</f>
        <v>-228428.9</v>
      </c>
      <c r="E123" s="31"/>
      <c r="F123" s="84">
        <f ca="1">SUM(F106:F122)</f>
        <v>-25390.687979271999</v>
      </c>
      <c r="G123" s="31"/>
      <c r="H123" s="84">
        <f ca="1">SUM(H106:H122)</f>
        <v>-162.70768820836216</v>
      </c>
      <c r="I123" s="31"/>
      <c r="J123" s="84">
        <f ca="1">SUM(J106:J122)</f>
        <v>-34337.103850000007</v>
      </c>
      <c r="K123" s="31"/>
      <c r="L123" s="84">
        <f ca="1">SUM(L106:L122)</f>
        <v>-2536.948738226436</v>
      </c>
      <c r="M123" s="31"/>
      <c r="N123" s="84">
        <f>SUM(N106:N122)</f>
        <v>0</v>
      </c>
      <c r="O123" s="31"/>
      <c r="P123" s="84">
        <f ca="1">SUM(P106:P122)</f>
        <v>0</v>
      </c>
      <c r="Q123" s="31"/>
      <c r="R123" s="84">
        <f>SUM(R106:R122)</f>
        <v>0</v>
      </c>
      <c r="S123" s="31"/>
      <c r="T123" s="84">
        <f ca="1">SUM(T106:T122)</f>
        <v>-290856.34825570678</v>
      </c>
      <c r="U123" s="31"/>
      <c r="V123" s="84">
        <f ca="1">SUM(V106:V122)</f>
        <v>1727.9592857068001</v>
      </c>
      <c r="W123" s="31"/>
      <c r="X123" s="31"/>
      <c r="Y123" s="3"/>
      <c r="Z123" s="3"/>
      <c r="AA123" s="3"/>
      <c r="AB123" s="3"/>
      <c r="AC123" s="3"/>
    </row>
    <row r="124" spans="1:33">
      <c r="A124" s="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"/>
      <c r="Z124" s="3"/>
      <c r="AA124" s="3"/>
      <c r="AB124" s="3"/>
      <c r="AC124" s="3"/>
    </row>
    <row r="125" spans="1:33" ht="13.5" thickBot="1">
      <c r="A125" s="1" t="s">
        <v>735</v>
      </c>
      <c r="B125" s="123">
        <f ca="1">B103+B123</f>
        <v>346068.41103000002</v>
      </c>
      <c r="C125" s="31"/>
      <c r="D125" s="123">
        <f ca="1">D103+D123</f>
        <v>0</v>
      </c>
      <c r="E125" s="31"/>
      <c r="F125" s="123">
        <f ca="1">F103+F123</f>
        <v>150817.21202072798</v>
      </c>
      <c r="G125" s="31"/>
      <c r="H125" s="123">
        <f ca="1">H103+H123</f>
        <v>88612.992311791648</v>
      </c>
      <c r="I125" s="31"/>
      <c r="J125" s="123">
        <f ca="1">J103+J123</f>
        <v>31701.696149999996</v>
      </c>
      <c r="K125" s="31"/>
      <c r="L125" s="123">
        <f ca="1">L103+L123</f>
        <v>-18969.948738226434</v>
      </c>
      <c r="M125" s="31"/>
      <c r="N125" s="123">
        <f ca="1">N103+N123</f>
        <v>22490.1</v>
      </c>
      <c r="O125" s="31"/>
      <c r="P125" s="123">
        <f ca="1">P103+P123</f>
        <v>0</v>
      </c>
      <c r="Q125" s="31"/>
      <c r="R125" s="123">
        <f>R103+R123</f>
        <v>-495.59999999999997</v>
      </c>
      <c r="S125" s="31"/>
      <c r="T125" s="123">
        <f ca="1">T103+T123</f>
        <v>274156.45174429327</v>
      </c>
      <c r="U125" s="31"/>
      <c r="V125" s="123">
        <f ca="1">V103+V123</f>
        <v>71911.959285706806</v>
      </c>
      <c r="W125" s="31"/>
      <c r="X125" s="31"/>
      <c r="Y125" s="3"/>
      <c r="Z125" s="3"/>
      <c r="AA125" s="3"/>
      <c r="AB125" s="3"/>
      <c r="AC125" s="3"/>
    </row>
    <row r="126" spans="1:33" ht="13.5" thickTop="1">
      <c r="A126" s="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169"/>
      <c r="Z126" s="3"/>
      <c r="AA126" s="3"/>
      <c r="AB126" s="3"/>
      <c r="AC126" s="3"/>
    </row>
    <row r="127" spans="1:33">
      <c r="A127" s="119" t="s">
        <v>736</v>
      </c>
      <c r="B127" s="566">
        <f ca="1">+Report!B130</f>
        <v>-3709.7959300000002</v>
      </c>
      <c r="C127" s="31"/>
      <c r="D127" s="84"/>
      <c r="E127" s="31"/>
      <c r="F127" s="84"/>
      <c r="G127" s="31"/>
      <c r="H127" s="84"/>
      <c r="I127" s="31"/>
      <c r="J127" s="84"/>
      <c r="K127" s="31"/>
      <c r="L127" s="398">
        <f ca="1">((+B127-D127-F127-H127-J127)*'Input Tax Rate'!$B$36)</f>
        <v>-940.24777845850008</v>
      </c>
      <c r="M127" s="31"/>
      <c r="N127" s="84"/>
      <c r="O127" s="31"/>
      <c r="P127" s="84"/>
      <c r="Q127" s="31"/>
      <c r="R127" s="84"/>
      <c r="S127" s="31"/>
      <c r="T127" s="84">
        <f ca="1">SUM(D127:R127)</f>
        <v>-940.24777845850008</v>
      </c>
      <c r="U127" s="31"/>
      <c r="V127" s="84">
        <f ca="1">B127-T127</f>
        <v>-2769.5481515415004</v>
      </c>
      <c r="W127" s="31"/>
      <c r="X127" s="31"/>
      <c r="Y127" s="3"/>
      <c r="Z127" s="3"/>
      <c r="AA127" s="3"/>
      <c r="AB127" s="3"/>
      <c r="AC127" s="3"/>
    </row>
    <row r="128" spans="1:33">
      <c r="A128" s="1" t="s">
        <v>737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"/>
      <c r="Z128" s="3"/>
      <c r="AA128" s="3"/>
      <c r="AB128" s="3"/>
      <c r="AC128" s="3"/>
    </row>
    <row r="129" spans="1:29" ht="13.5" thickBot="1">
      <c r="A129" s="1" t="s">
        <v>736</v>
      </c>
      <c r="B129" s="123">
        <f ca="1">B125+B127</f>
        <v>342358.6151</v>
      </c>
      <c r="C129" s="31"/>
      <c r="D129" s="123">
        <f ca="1">D125+D127</f>
        <v>0</v>
      </c>
      <c r="E129" s="31"/>
      <c r="F129" s="123">
        <f ca="1">F125+F127</f>
        <v>150817.21202072798</v>
      </c>
      <c r="G129" s="31"/>
      <c r="H129" s="123">
        <f ca="1">H125+H127</f>
        <v>88612.992311791648</v>
      </c>
      <c r="I129" s="31"/>
      <c r="J129" s="123">
        <f ca="1">J125+J127</f>
        <v>31701.696149999996</v>
      </c>
      <c r="K129" s="31"/>
      <c r="L129" s="123">
        <f ca="1">L125+L127</f>
        <v>-19910.196516684933</v>
      </c>
      <c r="M129" s="31"/>
      <c r="N129" s="123">
        <f ca="1">N125+N127</f>
        <v>22490.1</v>
      </c>
      <c r="O129" s="31"/>
      <c r="P129" s="123">
        <f ca="1">P125+P127</f>
        <v>0</v>
      </c>
      <c r="Q129" s="31"/>
      <c r="R129" s="123">
        <f>R125+R127</f>
        <v>-495.59999999999997</v>
      </c>
      <c r="S129" s="31"/>
      <c r="T129" s="123">
        <f ca="1">T125+T127</f>
        <v>273216.20396583475</v>
      </c>
      <c r="U129" s="31"/>
      <c r="V129" s="123">
        <f ca="1">V125+V127</f>
        <v>69142.411134165304</v>
      </c>
      <c r="W129" s="31"/>
      <c r="X129" s="31"/>
      <c r="Y129" s="3"/>
      <c r="Z129" s="3"/>
      <c r="AA129" s="3"/>
      <c r="AB129" s="3"/>
      <c r="AC129" s="3"/>
    </row>
    <row r="130" spans="1:29" ht="13.5" thickTop="1">
      <c r="A130" s="1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31"/>
      <c r="X130" s="3"/>
      <c r="Y130" s="3"/>
      <c r="Z130" s="3"/>
      <c r="AA130" s="3"/>
      <c r="AB130" s="3"/>
      <c r="AC130" s="3"/>
    </row>
    <row r="131" spans="1:29">
      <c r="A131" s="1" t="s">
        <v>738</v>
      </c>
      <c r="B131" s="31"/>
      <c r="C131" s="164"/>
      <c r="D131" s="164"/>
      <c r="E131" s="164"/>
      <c r="F131" s="164"/>
      <c r="G131" s="164"/>
      <c r="H131" s="164"/>
      <c r="I131" s="363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31"/>
      <c r="X131" s="3"/>
      <c r="Y131" s="3"/>
      <c r="Z131" s="3"/>
      <c r="AA131" s="3"/>
      <c r="AB131" s="3"/>
      <c r="AC131" s="3"/>
    </row>
    <row r="132" spans="1:29">
      <c r="A132" s="119" t="s">
        <v>739</v>
      </c>
      <c r="B132" s="164"/>
      <c r="C132" s="164"/>
      <c r="D132" s="164"/>
      <c r="E132" s="164"/>
      <c r="F132" s="164"/>
      <c r="G132" s="164"/>
      <c r="H132" s="164"/>
      <c r="I132" s="3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31"/>
      <c r="X132" s="3"/>
      <c r="Y132" s="3"/>
      <c r="Z132" s="3"/>
      <c r="AA132" s="3"/>
      <c r="AB132" s="3"/>
      <c r="AC132" s="3"/>
    </row>
    <row r="133" spans="1:29">
      <c r="A133" s="1"/>
      <c r="B133" s="164"/>
      <c r="C133" s="164"/>
      <c r="D133" s="164"/>
      <c r="E133" s="164"/>
      <c r="F133" s="164"/>
      <c r="G133" s="164"/>
      <c r="H133" s="164"/>
      <c r="I133" s="3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31"/>
      <c r="U133" s="31"/>
      <c r="V133" s="31"/>
      <c r="W133" s="31"/>
      <c r="X133" s="31"/>
      <c r="Y133" s="3"/>
      <c r="Z133" s="3"/>
      <c r="AA133" s="3"/>
      <c r="AB133" s="3"/>
      <c r="AC133" s="3"/>
    </row>
    <row r="134" spans="1:29">
      <c r="A134" s="131" t="s">
        <v>766</v>
      </c>
      <c r="B134" s="164"/>
      <c r="C134" s="164"/>
      <c r="D134" s="164"/>
      <c r="E134" s="164"/>
      <c r="F134" s="164"/>
      <c r="G134" s="164"/>
      <c r="H134" s="164"/>
      <c r="I134" s="370"/>
      <c r="J134" s="164"/>
      <c r="K134" s="164"/>
      <c r="L134" s="37">
        <v>0</v>
      </c>
      <c r="M134" s="164"/>
      <c r="N134" s="164"/>
      <c r="O134" s="164"/>
      <c r="P134" s="164"/>
      <c r="Q134" s="164"/>
      <c r="R134" s="133"/>
      <c r="S134" s="164"/>
      <c r="T134" s="31">
        <f>SUM(D134:R134)</f>
        <v>0</v>
      </c>
      <c r="U134" s="31"/>
      <c r="V134" s="31">
        <f>B134-T134</f>
        <v>0</v>
      </c>
      <c r="W134" s="31"/>
      <c r="X134" s="31"/>
      <c r="Y134" s="3"/>
      <c r="Z134" s="3"/>
      <c r="AA134" s="3"/>
      <c r="AB134" s="3"/>
      <c r="AC134" s="3"/>
    </row>
    <row r="135" spans="1:29">
      <c r="A135" s="131"/>
      <c r="B135" s="371"/>
      <c r="C135" s="164"/>
      <c r="D135" s="371"/>
      <c r="E135" s="164"/>
      <c r="F135" s="372"/>
      <c r="G135" s="164"/>
      <c r="H135" s="371"/>
      <c r="I135" s="164"/>
      <c r="J135" s="371"/>
      <c r="K135" s="164"/>
      <c r="L135" s="122"/>
      <c r="M135" s="164"/>
      <c r="N135" s="371"/>
      <c r="O135" s="164"/>
      <c r="P135" s="371"/>
      <c r="Q135" s="164"/>
      <c r="R135" s="134"/>
      <c r="S135" s="164"/>
      <c r="T135" s="122"/>
      <c r="U135" s="31"/>
      <c r="V135" s="122"/>
      <c r="W135" s="31"/>
      <c r="X135" s="3"/>
      <c r="Y135" s="3"/>
      <c r="Z135" s="3"/>
      <c r="AA135" s="3"/>
      <c r="AB135" s="3"/>
      <c r="AC135" s="3"/>
    </row>
    <row r="136" spans="1:29" ht="12.95" customHeight="1">
      <c r="A136" s="1" t="s">
        <v>740</v>
      </c>
      <c r="B136" s="84">
        <f>SUM(B134:B135)</f>
        <v>0</v>
      </c>
      <c r="C136" s="31"/>
      <c r="D136" s="84"/>
      <c r="E136" s="31"/>
      <c r="F136" s="84">
        <f>SUM(F134:F135)</f>
        <v>0</v>
      </c>
      <c r="G136" s="31"/>
      <c r="H136" s="84"/>
      <c r="I136" s="31"/>
      <c r="J136" s="84"/>
      <c r="K136" s="31"/>
      <c r="L136" s="84">
        <f>SUM(L134:L135)</f>
        <v>0</v>
      </c>
      <c r="M136" s="31"/>
      <c r="N136" s="84"/>
      <c r="O136" s="31"/>
      <c r="P136" s="84"/>
      <c r="Q136" s="31"/>
      <c r="R136" s="84">
        <f>SUM(R134:R135)</f>
        <v>0</v>
      </c>
      <c r="S136" s="31"/>
      <c r="T136" s="84">
        <f>SUM(T134:T135)</f>
        <v>0</v>
      </c>
      <c r="U136" s="31"/>
      <c r="V136" s="84">
        <f>SUM(V134:V135)</f>
        <v>0</v>
      </c>
      <c r="W136" s="31"/>
      <c r="X136" s="31"/>
      <c r="Y136" s="3"/>
      <c r="Z136" s="3"/>
      <c r="AA136" s="3"/>
      <c r="AB136" s="3"/>
      <c r="AC136" s="3"/>
    </row>
    <row r="137" spans="1:29">
      <c r="A137" s="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"/>
      <c r="Y137" s="3"/>
      <c r="Z137" s="3"/>
      <c r="AA137" s="3"/>
      <c r="AB137" s="3"/>
      <c r="AC137" s="3"/>
    </row>
    <row r="138" spans="1:29" ht="13.5" thickBot="1">
      <c r="A138" s="1" t="s">
        <v>741</v>
      </c>
      <c r="B138" s="123">
        <f ca="1">B125+B136</f>
        <v>346068.41103000002</v>
      </c>
      <c r="C138" s="31"/>
      <c r="D138" s="123">
        <f ca="1">D125+D136</f>
        <v>0</v>
      </c>
      <c r="E138" s="31"/>
      <c r="F138" s="123">
        <f ca="1">F125+F136</f>
        <v>150817.21202072798</v>
      </c>
      <c r="G138" s="31"/>
      <c r="H138" s="123">
        <f ca="1">H125+H136</f>
        <v>88612.992311791648</v>
      </c>
      <c r="I138" s="31"/>
      <c r="J138" s="123">
        <f ca="1">J125+J136</f>
        <v>31701.696149999996</v>
      </c>
      <c r="K138" s="31"/>
      <c r="L138" s="123">
        <f ca="1">L125+L136</f>
        <v>-18969.948738226434</v>
      </c>
      <c r="M138" s="31"/>
      <c r="N138" s="123">
        <f ca="1">N125+N136</f>
        <v>22490.1</v>
      </c>
      <c r="O138" s="31"/>
      <c r="P138" s="123">
        <f ca="1">P125+P136</f>
        <v>0</v>
      </c>
      <c r="Q138" s="31"/>
      <c r="R138" s="123">
        <f>R125+R136</f>
        <v>-495.59999999999997</v>
      </c>
      <c r="S138" s="31"/>
      <c r="T138" s="123">
        <f ca="1">T125+T136</f>
        <v>274156.45174429327</v>
      </c>
      <c r="U138" s="31"/>
      <c r="V138" s="123">
        <f ca="1">V125+V136</f>
        <v>71911.959285706806</v>
      </c>
      <c r="W138" s="31"/>
      <c r="X138" s="31"/>
      <c r="Y138" s="3"/>
      <c r="Z138" s="3"/>
      <c r="AA138" s="3"/>
      <c r="AB138" s="3"/>
      <c r="AC138" s="3"/>
    </row>
    <row r="139" spans="1:29" ht="13.5" thickTop="1">
      <c r="A139" s="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"/>
      <c r="Y139" s="3"/>
      <c r="Z139" s="3"/>
      <c r="AA139" s="3"/>
      <c r="AB139" s="3"/>
      <c r="AC139" s="3"/>
    </row>
    <row r="140" spans="1:29">
      <c r="A140" s="1" t="s">
        <v>728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"/>
      <c r="Y140" s="3"/>
      <c r="Z140" s="3"/>
      <c r="AA140" s="3"/>
      <c r="AB140" s="3"/>
      <c r="AC140" s="3"/>
    </row>
    <row r="141" spans="1:29" ht="13.5" thickBot="1">
      <c r="A141" s="1" t="s">
        <v>767</v>
      </c>
      <c r="B141" s="32">
        <f>+IncomeStmt!$D$7</f>
        <v>635196.80000000005</v>
      </c>
      <c r="C141" s="31"/>
      <c r="D141" s="32">
        <f>+IncomeStmt!$D$8</f>
        <v>228428.9</v>
      </c>
      <c r="E141" s="31"/>
      <c r="F141" s="32">
        <f>+IncomeStmt!$D$11</f>
        <v>176207.9</v>
      </c>
      <c r="G141" s="31"/>
      <c r="H141" s="32">
        <f>SUM(IncomeStmt!$D$12:$D$15)</f>
        <v>88775.700000000012</v>
      </c>
      <c r="I141" s="31"/>
      <c r="J141" s="32">
        <f>+IncomeStmt!$D$16</f>
        <v>66038.8</v>
      </c>
      <c r="K141" s="31"/>
      <c r="L141" s="32">
        <f>SUM(IncomeStmt!$D$17:$D$17)</f>
        <v>-16433</v>
      </c>
      <c r="M141" s="31"/>
      <c r="N141" s="32">
        <f>SUM(IncomeStmt!$D$18:$D$18)</f>
        <v>22490.1</v>
      </c>
      <c r="O141" s="31"/>
      <c r="P141" s="32">
        <f>+IncomeStmt!$D$19</f>
        <v>0</v>
      </c>
      <c r="Q141" s="31"/>
      <c r="R141" s="135">
        <v>0</v>
      </c>
      <c r="S141" s="31"/>
      <c r="T141" s="123">
        <f>SUM(D141:R141)</f>
        <v>565508.4</v>
      </c>
      <c r="U141" s="31"/>
      <c r="V141" s="123">
        <f>B141-T141</f>
        <v>69688.400000000023</v>
      </c>
      <c r="W141" s="31"/>
      <c r="X141" s="31"/>
      <c r="Y141" s="3"/>
      <c r="Z141" s="3"/>
      <c r="AA141" s="3"/>
      <c r="AB141" s="3"/>
      <c r="AC141" s="3"/>
    </row>
    <row r="142" spans="1:29" ht="13.5" thickTop="1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3"/>
      <c r="X142" s="3"/>
      <c r="Y142" s="3"/>
      <c r="Z142" s="3"/>
      <c r="AA142" s="3"/>
      <c r="AB142" s="3"/>
      <c r="AC142" s="3"/>
    </row>
    <row r="143" spans="1:29">
      <c r="A143" s="1"/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3"/>
      <c r="X143" s="3"/>
      <c r="Y143" s="3"/>
      <c r="Z143" s="3"/>
      <c r="AA143" s="3"/>
      <c r="AB143" s="3"/>
      <c r="AC143" s="3"/>
    </row>
    <row r="144" spans="1:29">
      <c r="A144" s="1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33" ht="15.75">
      <c r="A145" s="127" t="s">
        <v>232</v>
      </c>
      <c r="B145" s="125"/>
      <c r="C145" s="125"/>
      <c r="D145" s="125"/>
      <c r="E145" s="125"/>
      <c r="F145" s="124"/>
      <c r="G145" s="124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8" t="s">
        <v>768</v>
      </c>
      <c r="U145" s="136"/>
      <c r="V145" s="136"/>
      <c r="W145" s="86"/>
      <c r="X145" s="3"/>
      <c r="Y145" s="3"/>
      <c r="Z145" s="3"/>
      <c r="AA145" s="3"/>
      <c r="AB145" s="3"/>
      <c r="AC145" s="3"/>
    </row>
    <row r="146" spans="1:33" ht="15.75">
      <c r="A146" s="127" t="s">
        <v>769</v>
      </c>
      <c r="B146" s="125"/>
      <c r="C146" s="125"/>
      <c r="D146" s="125"/>
      <c r="E146" s="125"/>
      <c r="F146" s="124"/>
      <c r="G146" s="124"/>
      <c r="H146" s="125"/>
      <c r="I146" s="124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8"/>
      <c r="U146" s="128"/>
      <c r="V146" s="128"/>
      <c r="W146" s="86"/>
      <c r="X146" s="3"/>
      <c r="Y146" s="3"/>
      <c r="Z146" s="3"/>
      <c r="AA146" s="3"/>
      <c r="AB146" s="3"/>
      <c r="AC146" s="3"/>
    </row>
    <row r="147" spans="1:33" ht="15.75">
      <c r="A147" s="127" t="s">
        <v>770</v>
      </c>
      <c r="B147" s="125"/>
      <c r="C147" s="125"/>
      <c r="D147" s="125"/>
      <c r="E147" s="125"/>
      <c r="F147" s="125"/>
      <c r="G147" s="124"/>
      <c r="H147" s="124"/>
      <c r="I147" s="124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8"/>
      <c r="U147" s="128"/>
      <c r="V147" s="128"/>
      <c r="W147" s="86"/>
      <c r="X147" s="3"/>
      <c r="Y147" s="3"/>
      <c r="Z147" s="3"/>
      <c r="AA147" s="3"/>
      <c r="AB147" s="3"/>
      <c r="AC147" s="3"/>
    </row>
    <row r="148" spans="1:33" ht="15.75">
      <c r="A148" s="129" t="str">
        <f>A3</f>
        <v>2024 Budget</v>
      </c>
      <c r="B148" s="125"/>
      <c r="C148" s="125"/>
      <c r="D148" s="125"/>
      <c r="E148" s="125"/>
      <c r="F148" s="124"/>
      <c r="G148" s="124"/>
      <c r="H148" s="125"/>
      <c r="I148" s="124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8"/>
      <c r="U148" s="128"/>
      <c r="V148" s="128"/>
      <c r="W148" s="86"/>
      <c r="X148" s="3"/>
      <c r="Y148" s="3"/>
      <c r="Z148" s="3"/>
      <c r="AA148" s="3"/>
      <c r="AB148" s="3"/>
      <c r="AC148" s="3"/>
    </row>
    <row r="149" spans="1:33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86"/>
      <c r="X149" s="3"/>
      <c r="Y149" s="3"/>
      <c r="Z149" s="3"/>
      <c r="AA149" s="3"/>
      <c r="AB149" s="3"/>
      <c r="AC149" s="3"/>
    </row>
    <row r="150" spans="1:33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86"/>
      <c r="X150" s="3"/>
      <c r="Y150" s="3"/>
      <c r="Z150" s="3"/>
      <c r="AA150" s="3"/>
      <c r="AB150" s="3"/>
      <c r="AC150" s="3"/>
    </row>
    <row r="151" spans="1:33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86"/>
      <c r="X151" s="3"/>
      <c r="Y151" s="3"/>
      <c r="Z151" s="3"/>
      <c r="AA151" s="3"/>
      <c r="AB151" s="3"/>
      <c r="AC151" s="3"/>
    </row>
    <row r="152" spans="1:33">
      <c r="A152" s="137"/>
      <c r="B152" s="143"/>
      <c r="C152" s="138"/>
      <c r="D152" s="143"/>
      <c r="E152" s="138"/>
      <c r="F152" s="143"/>
      <c r="G152" s="138"/>
      <c r="H152" s="143"/>
      <c r="I152" s="138"/>
      <c r="J152" s="138"/>
      <c r="K152" s="138"/>
      <c r="L152" s="139" t="s">
        <v>771</v>
      </c>
      <c r="M152" s="139"/>
      <c r="N152" s="139"/>
      <c r="O152" s="138"/>
      <c r="P152" s="139" t="s">
        <v>772</v>
      </c>
      <c r="Q152" s="139"/>
      <c r="R152" s="139"/>
      <c r="S152" s="138"/>
      <c r="T152" s="139" t="s">
        <v>773</v>
      </c>
      <c r="U152" s="139"/>
      <c r="V152" s="139"/>
      <c r="W152" s="86"/>
      <c r="X152" s="3"/>
      <c r="Y152" s="3"/>
      <c r="Z152" s="3"/>
      <c r="AA152" s="3"/>
      <c r="AB152" s="3"/>
      <c r="AC152" s="3"/>
    </row>
    <row r="153" spans="1:33" ht="13.9" customHeight="1" thickBot="1">
      <c r="A153" s="137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40" t="s">
        <v>774</v>
      </c>
      <c r="M153" s="138"/>
      <c r="N153" s="140" t="s">
        <v>775</v>
      </c>
      <c r="O153" s="138"/>
      <c r="P153" s="140" t="s">
        <v>774</v>
      </c>
      <c r="Q153" s="138"/>
      <c r="R153" s="140" t="s">
        <v>775</v>
      </c>
      <c r="S153" s="138"/>
      <c r="T153" s="140" t="s">
        <v>774</v>
      </c>
      <c r="U153" s="138"/>
      <c r="V153" s="140" t="s">
        <v>775</v>
      </c>
      <c r="W153" s="86"/>
      <c r="X153" s="3"/>
      <c r="Y153" s="3"/>
      <c r="Z153" s="3"/>
      <c r="AA153" s="3"/>
      <c r="AB153" s="3"/>
      <c r="AC153" s="3"/>
    </row>
    <row r="154" spans="1:33" ht="13.9" customHeight="1">
      <c r="A154" s="137"/>
      <c r="B154" s="138"/>
      <c r="C154" s="138"/>
      <c r="D154" s="139" t="s">
        <v>776</v>
      </c>
      <c r="E154" s="139"/>
      <c r="F154" s="139"/>
      <c r="G154" s="138"/>
      <c r="H154" s="138"/>
      <c r="I154" s="138"/>
      <c r="J154" s="140" t="s">
        <v>777</v>
      </c>
      <c r="K154" s="138"/>
      <c r="L154" s="140" t="s">
        <v>323</v>
      </c>
      <c r="M154" s="138"/>
      <c r="N154" s="140" t="s">
        <v>774</v>
      </c>
      <c r="O154" s="138"/>
      <c r="P154" s="140" t="s">
        <v>323</v>
      </c>
      <c r="Q154" s="138"/>
      <c r="R154" s="140" t="s">
        <v>774</v>
      </c>
      <c r="S154" s="138"/>
      <c r="T154" s="140" t="s">
        <v>323</v>
      </c>
      <c r="U154" s="138"/>
      <c r="V154" s="140" t="s">
        <v>774</v>
      </c>
      <c r="W154" s="86"/>
      <c r="X154" s="241" t="s">
        <v>932</v>
      </c>
      <c r="Y154" s="242"/>
      <c r="Z154" s="243"/>
      <c r="AA154" s="337"/>
      <c r="AB154" s="241"/>
      <c r="AC154" s="242"/>
      <c r="AD154" s="243"/>
      <c r="AE154" s="337"/>
      <c r="AF154" s="331" t="s">
        <v>933</v>
      </c>
      <c r="AG154" s="332"/>
    </row>
    <row r="155" spans="1:33" ht="13.9" customHeight="1" thickBot="1">
      <c r="A155" s="141" t="s">
        <v>247</v>
      </c>
      <c r="B155" s="142" t="s">
        <v>728</v>
      </c>
      <c r="C155" s="138"/>
      <c r="D155" s="142" t="s">
        <v>778</v>
      </c>
      <c r="E155" s="138"/>
      <c r="F155" s="142" t="s">
        <v>779</v>
      </c>
      <c r="G155" s="138"/>
      <c r="H155" s="142" t="s">
        <v>780</v>
      </c>
      <c r="I155" s="138"/>
      <c r="J155" s="142" t="s">
        <v>781</v>
      </c>
      <c r="K155" s="138"/>
      <c r="L155" s="142" t="s">
        <v>781</v>
      </c>
      <c r="M155" s="138"/>
      <c r="N155" s="142" t="s">
        <v>781</v>
      </c>
      <c r="O155" s="138"/>
      <c r="P155" s="142" t="s">
        <v>781</v>
      </c>
      <c r="Q155" s="138"/>
      <c r="R155" s="142" t="s">
        <v>781</v>
      </c>
      <c r="S155" s="138"/>
      <c r="T155" s="142" t="s">
        <v>781</v>
      </c>
      <c r="U155" s="138"/>
      <c r="V155" s="142" t="s">
        <v>781</v>
      </c>
      <c r="W155" s="86"/>
      <c r="X155" s="244" t="s">
        <v>934</v>
      </c>
      <c r="Y155" s="245"/>
      <c r="Z155" s="246"/>
      <c r="AA155" s="207"/>
      <c r="AB155" s="244" t="s">
        <v>935</v>
      </c>
      <c r="AC155" s="245"/>
      <c r="AD155" s="246"/>
      <c r="AE155" s="207"/>
      <c r="AF155" s="333" t="s">
        <v>936</v>
      </c>
      <c r="AG155" s="333" t="s">
        <v>937</v>
      </c>
    </row>
    <row r="156" spans="1:33" ht="13.9" customHeight="1">
      <c r="A156" s="137" t="s">
        <v>782</v>
      </c>
      <c r="B156" s="143">
        <f>Reconcil!B119+Reconcil!B120</f>
        <v>925000</v>
      </c>
      <c r="C156" s="143"/>
      <c r="D156" s="1038">
        <f>+'Reconcil YE'!D42</f>
        <v>0</v>
      </c>
      <c r="E156" s="143"/>
      <c r="F156" s="143">
        <f>ROUND('Reconcil YE'!$K$42*'Report YE'!Y156,9)+ROUND('Reconcil YE'!$J$42*'Report YE'!AC156,9)</f>
        <v>-68499.031195538002</v>
      </c>
      <c r="G156" s="143"/>
      <c r="H156" s="533">
        <f>B156+D156+F156+('Cap Str 54.7%'!C17*'Cap Str 54.7%'!C8)</f>
        <v>847120.93356210203</v>
      </c>
      <c r="I156" s="138"/>
      <c r="J156" s="193">
        <f>ROUND(H156/$H$167,4)</f>
        <v>0.3448</v>
      </c>
      <c r="K156" s="138"/>
      <c r="L156" s="1088">
        <f>+'Int Synch'!D48*100</f>
        <v>5.26</v>
      </c>
      <c r="M156" s="289"/>
      <c r="N156" s="144">
        <f>ROUND(L156*J156,2)</f>
        <v>1.81</v>
      </c>
      <c r="O156" s="138"/>
      <c r="P156" s="144">
        <f>L156</f>
        <v>5.26</v>
      </c>
      <c r="Q156" s="138"/>
      <c r="R156" s="144">
        <f>ROUND(P156*J156,2)</f>
        <v>1.81</v>
      </c>
      <c r="S156" s="138"/>
      <c r="T156" s="144">
        <f>L156</f>
        <v>5.26</v>
      </c>
      <c r="U156" s="138"/>
      <c r="V156" s="144">
        <f>ROUND(T156*J156,2)</f>
        <v>1.81</v>
      </c>
      <c r="W156" s="86"/>
      <c r="X156" s="235">
        <f>B156+D156</f>
        <v>925000</v>
      </c>
      <c r="Y156" s="177">
        <f>X156/$X$167</f>
        <v>0.40022376286812006</v>
      </c>
      <c r="Z156" s="236"/>
      <c r="AA156" s="3"/>
      <c r="AB156" s="235">
        <f>B156+D156</f>
        <v>925000</v>
      </c>
      <c r="AC156" s="177">
        <f>AB156/$AB$167</f>
        <v>0.34945593897838506</v>
      </c>
      <c r="AD156" s="236"/>
      <c r="AE156" s="3"/>
      <c r="AF156" s="334">
        <f>+H156</f>
        <v>847120.93356210203</v>
      </c>
      <c r="AG156" s="335">
        <f>AF156/AF167</f>
        <v>0.3958406820109282</v>
      </c>
    </row>
    <row r="157" spans="1:33" ht="6" customHeight="1">
      <c r="A157" s="137"/>
      <c r="B157" s="143"/>
      <c r="C157" s="143"/>
      <c r="D157" s="1038"/>
      <c r="E157" s="143"/>
      <c r="F157" s="143"/>
      <c r="G157" s="143"/>
      <c r="H157" s="143"/>
      <c r="I157" s="138"/>
      <c r="J157" s="194"/>
      <c r="K157" s="138"/>
      <c r="L157" s="138"/>
      <c r="M157" s="138"/>
      <c r="N157" s="138"/>
      <c r="O157" s="138"/>
      <c r="P157" s="144"/>
      <c r="Q157" s="138"/>
      <c r="R157" s="144"/>
      <c r="S157" s="138"/>
      <c r="T157" s="144"/>
      <c r="U157" s="138"/>
      <c r="V157" s="144"/>
      <c r="W157" s="86"/>
      <c r="X157" s="235"/>
      <c r="Y157" s="177"/>
      <c r="Z157" s="236"/>
      <c r="AA157" s="3"/>
      <c r="AB157" s="235"/>
      <c r="AC157" s="177"/>
      <c r="AD157" s="236"/>
      <c r="AE157" s="3"/>
      <c r="AF157" s="334"/>
      <c r="AG157" s="335"/>
    </row>
    <row r="158" spans="1:33" ht="13.9" customHeight="1">
      <c r="A158" s="137" t="s">
        <v>783</v>
      </c>
      <c r="B158" s="143">
        <f>Reconcil!B126</f>
        <v>133569.82125054006</v>
      </c>
      <c r="C158" s="143"/>
      <c r="D158" s="1038"/>
      <c r="E158" s="143"/>
      <c r="F158" s="143">
        <f>ROUND('Reconcil YE'!$K$42*'Report YE'!Y158,9)+ROUND('Reconcil YE'!$J$42*'Report YE'!AC158,9)</f>
        <v>-9891.2468677010002</v>
      </c>
      <c r="G158" s="143"/>
      <c r="H158" s="533">
        <f>B158+D158+F158+('Cap Str 54.7%'!C17*'Cap Str 54.7%'!C9)</f>
        <v>122324.09910646523</v>
      </c>
      <c r="I158" s="138"/>
      <c r="J158" s="193">
        <f>ROUND(H158/$H$167,4)</f>
        <v>4.9799999999999997E-2</v>
      </c>
      <c r="K158" s="138"/>
      <c r="L158" s="1088">
        <f>+'Int Synch'!D50*100</f>
        <v>3.85</v>
      </c>
      <c r="M158" s="289"/>
      <c r="N158" s="144">
        <f>ROUND(L158*J158,2)</f>
        <v>0.19</v>
      </c>
      <c r="O158" s="138"/>
      <c r="P158" s="144">
        <f>L158</f>
        <v>3.85</v>
      </c>
      <c r="Q158" s="138"/>
      <c r="R158" s="144">
        <f>ROUND(P158*J158,2)</f>
        <v>0.19</v>
      </c>
      <c r="S158" s="138"/>
      <c r="T158" s="144">
        <f>L158</f>
        <v>3.85</v>
      </c>
      <c r="U158" s="138"/>
      <c r="V158" s="144">
        <f>ROUND(T158*J158,2)</f>
        <v>0.19</v>
      </c>
      <c r="W158" s="86"/>
      <c r="X158" s="235">
        <f>B158+D158</f>
        <v>133569.82125054006</v>
      </c>
      <c r="Y158" s="177">
        <f>X158/$X$167</f>
        <v>5.7792234017852252E-2</v>
      </c>
      <c r="Z158" s="236"/>
      <c r="AA158" s="3"/>
      <c r="AB158" s="235">
        <f>B158+D158</f>
        <v>133569.82125054006</v>
      </c>
      <c r="AC158" s="177">
        <f>AB158/$AB$167</f>
        <v>5.0461370058683806E-2</v>
      </c>
      <c r="AD158" s="236"/>
      <c r="AE158" s="3"/>
      <c r="AF158" s="334">
        <f>+H158</f>
        <v>122324.09910646523</v>
      </c>
      <c r="AG158" s="335">
        <f>AF158/$AF$167</f>
        <v>5.7159317989071819E-2</v>
      </c>
    </row>
    <row r="159" spans="1:33" ht="6" customHeight="1">
      <c r="A159" s="137"/>
      <c r="B159" s="143"/>
      <c r="C159" s="143"/>
      <c r="D159" s="1038"/>
      <c r="E159" s="143"/>
      <c r="F159" s="143"/>
      <c r="G159" s="143"/>
      <c r="H159" s="143"/>
      <c r="I159" s="138"/>
      <c r="J159" s="194"/>
      <c r="K159" s="138"/>
      <c r="L159" s="144"/>
      <c r="M159" s="138"/>
      <c r="N159" s="144"/>
      <c r="O159" s="138"/>
      <c r="P159" s="144"/>
      <c r="Q159" s="138"/>
      <c r="R159" s="144"/>
      <c r="S159" s="138"/>
      <c r="T159" s="144"/>
      <c r="U159" s="138"/>
      <c r="V159" s="144"/>
      <c r="W159" s="86"/>
      <c r="X159" s="235"/>
      <c r="Y159" s="177"/>
      <c r="Z159" s="236"/>
      <c r="AA159" s="3"/>
      <c r="AB159" s="235"/>
      <c r="AC159" s="177"/>
      <c r="AD159" s="236"/>
      <c r="AE159" s="3"/>
      <c r="AF159" s="334"/>
      <c r="AG159" s="335"/>
    </row>
    <row r="160" spans="1:33" ht="13.9" customHeight="1">
      <c r="A160" s="137" t="s">
        <v>784</v>
      </c>
      <c r="B160" s="143">
        <f>Reconcil!B130+Reconcil!B150+Reconcil!B136</f>
        <v>28997.7</v>
      </c>
      <c r="C160" s="143"/>
      <c r="D160" s="1038"/>
      <c r="E160" s="143"/>
      <c r="F160" s="143">
        <f>ROUND('Reconcil YE'!$K$42*'Report YE'!Y160,9)+ROUND('Reconcil YE'!$J$42*'Report YE'!AC160,9)</f>
        <v>-1942.4039669159999</v>
      </c>
      <c r="G160" s="143"/>
      <c r="H160" s="143">
        <f>B160+D160+F160</f>
        <v>27055.296033084</v>
      </c>
      <c r="I160" s="138"/>
      <c r="J160" s="193">
        <f>ROUND(H160/$H$167,4)</f>
        <v>1.0999999999999999E-2</v>
      </c>
      <c r="K160" s="138"/>
      <c r="L160" s="1088">
        <f>+'Int Synch'!D52*100</f>
        <v>2.52</v>
      </c>
      <c r="M160" s="289"/>
      <c r="N160" s="144">
        <f>ROUND(L160*J160,2)</f>
        <v>0.03</v>
      </c>
      <c r="O160" s="138"/>
      <c r="P160" s="144">
        <f>L160</f>
        <v>2.52</v>
      </c>
      <c r="Q160" s="138"/>
      <c r="R160" s="144">
        <f>ROUND(P160*J160,2)</f>
        <v>0.03</v>
      </c>
      <c r="S160" s="138"/>
      <c r="T160" s="144">
        <f>L160</f>
        <v>2.52</v>
      </c>
      <c r="U160" s="138"/>
      <c r="V160" s="144">
        <f>ROUND(T160*J160,2)</f>
        <v>0.03</v>
      </c>
      <c r="W160" s="86"/>
      <c r="X160" s="237">
        <v>0</v>
      </c>
      <c r="Y160" s="177">
        <f>X160/$X$167</f>
        <v>0</v>
      </c>
      <c r="Z160" s="236"/>
      <c r="AA160" s="3"/>
      <c r="AB160" s="235">
        <f>B160+D160</f>
        <v>28997.7</v>
      </c>
      <c r="AC160" s="177">
        <f>AB160/$AB$167</f>
        <v>1.0955047007257855E-2</v>
      </c>
      <c r="AD160" s="236"/>
      <c r="AE160" s="3"/>
      <c r="AF160" s="334"/>
      <c r="AG160" s="335"/>
    </row>
    <row r="161" spans="1:33" ht="6" customHeight="1">
      <c r="A161" s="137"/>
      <c r="B161" s="143"/>
      <c r="C161" s="143"/>
      <c r="D161" s="1038"/>
      <c r="E161" s="143"/>
      <c r="F161" s="143"/>
      <c r="G161" s="143"/>
      <c r="H161" s="143"/>
      <c r="I161" s="138"/>
      <c r="J161" s="194"/>
      <c r="K161" s="138"/>
      <c r="L161" s="144"/>
      <c r="M161" s="138"/>
      <c r="N161" s="144"/>
      <c r="O161" s="138"/>
      <c r="P161" s="144"/>
      <c r="Q161" s="138"/>
      <c r="R161" s="144"/>
      <c r="S161" s="138"/>
      <c r="T161" s="144"/>
      <c r="U161" s="138"/>
      <c r="V161" s="144"/>
      <c r="W161" s="86"/>
      <c r="X161" s="235"/>
      <c r="Y161" s="177"/>
      <c r="Z161" s="236"/>
      <c r="AA161" s="3"/>
      <c r="AB161" s="235"/>
      <c r="AC161" s="177"/>
      <c r="AD161" s="236"/>
      <c r="AE161" s="3"/>
      <c r="AF161" s="334"/>
      <c r="AG161" s="335"/>
    </row>
    <row r="162" spans="1:33" ht="13.9" customHeight="1">
      <c r="A162" s="137" t="s">
        <v>785</v>
      </c>
      <c r="B162" s="143">
        <f>Reconcil!B116</f>
        <v>1256101.5729289271</v>
      </c>
      <c r="C162" s="143"/>
      <c r="D162" s="1038">
        <f>+'Reconcil YE'!G42</f>
        <v>-3464.3</v>
      </c>
      <c r="E162" s="143"/>
      <c r="F162" s="143">
        <f>ROUND('Reconcil YE'!$K$42*'Report YE'!Y162,9)+ROUND('Reconcil YE'!$J$42*'Report YE'!AC162,9)</f>
        <v>-92761.556362217001</v>
      </c>
      <c r="G162" s="143"/>
      <c r="H162" s="533">
        <f>B162+D162+F162-'Cap Str 54.7%'!C17</f>
        <v>1170610.2270854439</v>
      </c>
      <c r="I162" s="138"/>
      <c r="J162" s="193">
        <f>ROUND(H162/$H$167,4)</f>
        <v>0.47649999999999998</v>
      </c>
      <c r="K162" s="138"/>
      <c r="L162" s="373">
        <f>+P162-1</f>
        <v>8.9</v>
      </c>
      <c r="M162" s="289"/>
      <c r="N162" s="144">
        <f>ROUND(L162*J162,2)</f>
        <v>4.24</v>
      </c>
      <c r="O162" s="138"/>
      <c r="P162" s="171">
        <v>9.9</v>
      </c>
      <c r="Q162" s="138"/>
      <c r="R162" s="144">
        <f>ROUND(P162*J162,2)</f>
        <v>4.72</v>
      </c>
      <c r="S162" s="138"/>
      <c r="T162" s="145">
        <f>+P162+1.1</f>
        <v>11</v>
      </c>
      <c r="U162" s="138"/>
      <c r="V162" s="144">
        <f>ROUND(T162*J162,2)</f>
        <v>5.24</v>
      </c>
      <c r="W162" s="86"/>
      <c r="X162" s="235">
        <f>B162+D162</f>
        <v>1252637.2729289271</v>
      </c>
      <c r="Y162" s="177">
        <f>X162/$X$167</f>
        <v>0.54198400311402761</v>
      </c>
      <c r="Z162" s="236"/>
      <c r="AA162" s="3"/>
      <c r="AB162" s="235">
        <f>B162+D162</f>
        <v>1252637.2729289271</v>
      </c>
      <c r="AC162" s="177">
        <f>AB162/$AB$167</f>
        <v>0.47323409125481275</v>
      </c>
      <c r="AD162" s="236"/>
      <c r="AE162" s="3"/>
      <c r="AF162" s="334">
        <f>+H162</f>
        <v>1170610.2270854439</v>
      </c>
      <c r="AG162" s="335">
        <f>AF162/$AF$167</f>
        <v>0.54699999999999982</v>
      </c>
    </row>
    <row r="163" spans="1:33" ht="6" customHeight="1">
      <c r="A163" s="137"/>
      <c r="B163" s="143"/>
      <c r="C163" s="143"/>
      <c r="D163" s="1038"/>
      <c r="E163" s="143"/>
      <c r="F163" s="143"/>
      <c r="G163" s="143"/>
      <c r="H163" s="143"/>
      <c r="I163" s="138"/>
      <c r="J163" s="194"/>
      <c r="K163" s="138"/>
      <c r="L163" s="144"/>
      <c r="M163" s="138"/>
      <c r="N163" s="144"/>
      <c r="O163" s="138"/>
      <c r="P163" s="144"/>
      <c r="Q163" s="138"/>
      <c r="R163" s="144"/>
      <c r="S163" s="138"/>
      <c r="T163" s="144"/>
      <c r="U163" s="138"/>
      <c r="V163" s="144"/>
      <c r="W163" s="86"/>
      <c r="X163" s="235"/>
      <c r="Y163" s="177"/>
      <c r="Z163" s="236"/>
      <c r="AA163" s="3"/>
      <c r="AB163" s="235"/>
      <c r="AC163" s="177"/>
      <c r="AD163" s="236"/>
      <c r="AE163" s="3"/>
      <c r="AF163" s="334"/>
      <c r="AG163" s="335"/>
    </row>
    <row r="164" spans="1:33" ht="13.9" customHeight="1">
      <c r="A164" s="137" t="s">
        <v>786</v>
      </c>
      <c r="B164" s="143">
        <f>Reconcil!B145+Reconcil!B146+Reconcil!B148-Reconcil!B92</f>
        <v>313204.09999999998</v>
      </c>
      <c r="C164" s="143"/>
      <c r="D164" s="1038">
        <f>+'Reconcil YE'!H42</f>
        <v>-6437.1394449905001</v>
      </c>
      <c r="E164" s="143"/>
      <c r="F164" s="143">
        <f>ROUND('Reconcil YE'!$K$42*'Report YE'!Y164,9)+ROUND('Reconcil YE'!$J$42*'Report YE'!AC164,9)</f>
        <v>-20548.711142638</v>
      </c>
      <c r="G164" s="143"/>
      <c r="H164" s="143">
        <f>B164+D164+F164</f>
        <v>286218.24941237149</v>
      </c>
      <c r="I164" s="138"/>
      <c r="J164" s="193">
        <f>ROUND(H164/$H$167,4)</f>
        <v>0.11650000000000001</v>
      </c>
      <c r="K164" s="138"/>
      <c r="L164" s="144"/>
      <c r="M164" s="138"/>
      <c r="N164" s="144"/>
      <c r="O164" s="138"/>
      <c r="P164" s="144"/>
      <c r="Q164" s="138"/>
      <c r="R164" s="144"/>
      <c r="S164" s="138"/>
      <c r="T164" s="144"/>
      <c r="U164" s="138"/>
      <c r="V164" s="144"/>
      <c r="W164" s="86"/>
      <c r="X164" s="237">
        <v>0</v>
      </c>
      <c r="Y164" s="177">
        <f>X164/$X$167</f>
        <v>0</v>
      </c>
      <c r="Z164" s="236"/>
      <c r="AA164" s="3"/>
      <c r="AB164" s="235">
        <f>B164+D164</f>
        <v>306766.96055500949</v>
      </c>
      <c r="AC164" s="177">
        <f>AB164/$AB$167</f>
        <v>0.11589355270086059</v>
      </c>
      <c r="AD164" s="236"/>
      <c r="AE164" s="3"/>
      <c r="AF164" s="334"/>
      <c r="AG164" s="335"/>
    </row>
    <row r="165" spans="1:33" ht="6" customHeight="1">
      <c r="A165" s="137"/>
      <c r="B165" s="143"/>
      <c r="C165" s="143"/>
      <c r="D165" s="1038"/>
      <c r="E165" s="143"/>
      <c r="F165" s="143"/>
      <c r="G165" s="143"/>
      <c r="H165" s="143"/>
      <c r="I165" s="138"/>
      <c r="J165" s="194"/>
      <c r="K165" s="138"/>
      <c r="L165" s="144"/>
      <c r="M165" s="138"/>
      <c r="N165" s="144"/>
      <c r="O165" s="138"/>
      <c r="P165" s="144"/>
      <c r="Q165" s="138"/>
      <c r="R165" s="144"/>
      <c r="S165" s="138"/>
      <c r="T165" s="144"/>
      <c r="U165" s="138"/>
      <c r="V165" s="144"/>
      <c r="W165" s="86"/>
      <c r="X165" s="235"/>
      <c r="Y165" s="177"/>
      <c r="Z165" s="236"/>
      <c r="AA165" s="3"/>
      <c r="AB165" s="235"/>
      <c r="AC165" s="177"/>
      <c r="AD165" s="236"/>
      <c r="AE165" s="3"/>
      <c r="AF165" s="334"/>
      <c r="AG165" s="335"/>
    </row>
    <row r="166" spans="1:33" ht="13.9" customHeight="1">
      <c r="A166" s="137" t="s">
        <v>787</v>
      </c>
      <c r="B166" s="146"/>
      <c r="C166" s="143"/>
      <c r="D166" s="1039">
        <v>0</v>
      </c>
      <c r="E166" s="143"/>
      <c r="F166" s="146">
        <f>ROUND('Reconcil YE'!$K$42*'Report YE'!Y166,9)+ROUND('Reconcil YE'!$J$42*'Report YE'!AC166,9)</f>
        <v>0</v>
      </c>
      <c r="G166" s="143"/>
      <c r="H166" s="146">
        <f>B166+D166+F166</f>
        <v>0</v>
      </c>
      <c r="I166" s="138"/>
      <c r="J166" s="195">
        <f>ROUND(H166/$H$167,4)</f>
        <v>0</v>
      </c>
      <c r="K166" s="138"/>
      <c r="L166" s="144"/>
      <c r="M166" s="138"/>
      <c r="N166" s="147"/>
      <c r="O166" s="138"/>
      <c r="P166" s="144"/>
      <c r="Q166" s="138"/>
      <c r="R166" s="147"/>
      <c r="S166" s="138"/>
      <c r="T166" s="144"/>
      <c r="U166" s="138"/>
      <c r="V166" s="147"/>
      <c r="W166" s="86"/>
      <c r="X166" s="237">
        <v>0</v>
      </c>
      <c r="Y166" s="177">
        <f>X166/$X$167</f>
        <v>0</v>
      </c>
      <c r="Z166" s="236"/>
      <c r="AA166" s="3"/>
      <c r="AB166" s="235">
        <f>B166+D166</f>
        <v>0</v>
      </c>
      <c r="AC166" s="177">
        <f>AB166/$AB$167</f>
        <v>0</v>
      </c>
      <c r="AD166" s="236"/>
      <c r="AE166" s="3"/>
      <c r="AF166" s="334"/>
      <c r="AG166" s="335"/>
    </row>
    <row r="167" spans="1:33" ht="15.95" customHeight="1" thickBot="1">
      <c r="A167" s="137" t="s">
        <v>230</v>
      </c>
      <c r="B167" s="148">
        <f>SUM(B156:B166)</f>
        <v>2656873.1941794674</v>
      </c>
      <c r="C167" s="138"/>
      <c r="D167" s="148">
        <f>SUM(D156:D166)</f>
        <v>-9901.4394449905012</v>
      </c>
      <c r="E167" s="138"/>
      <c r="F167" s="148">
        <f>H167-D167-B167</f>
        <v>-190329.94953500899</v>
      </c>
      <c r="G167" s="138"/>
      <c r="H167" s="148">
        <f>T90</f>
        <v>2456641.805199468</v>
      </c>
      <c r="I167" s="138"/>
      <c r="J167" s="196">
        <f>Y167</f>
        <v>1</v>
      </c>
      <c r="K167" s="138"/>
      <c r="L167" s="144"/>
      <c r="M167" s="144"/>
      <c r="N167" s="149">
        <f>SUM(N156:N162)</f>
        <v>6.27</v>
      </c>
      <c r="O167" s="144"/>
      <c r="P167" s="144"/>
      <c r="Q167" s="144"/>
      <c r="R167" s="149">
        <f>SUM(R156:R162)</f>
        <v>6.75</v>
      </c>
      <c r="S167" s="144"/>
      <c r="T167" s="144"/>
      <c r="U167" s="144"/>
      <c r="V167" s="149">
        <f>SUM(V156:V162)</f>
        <v>7.27</v>
      </c>
      <c r="W167" s="86"/>
      <c r="X167" s="235">
        <f>SUM(X156:X166)</f>
        <v>2311207.0941794673</v>
      </c>
      <c r="Y167" s="177">
        <f>SUM(Y156:Y166)</f>
        <v>1</v>
      </c>
      <c r="Z167" s="236"/>
      <c r="AA167" s="3"/>
      <c r="AB167" s="235">
        <f>SUM(AB156:AB166)</f>
        <v>2646971.7547344766</v>
      </c>
      <c r="AC167" s="177">
        <f>SUM(AC156:AC166)</f>
        <v>1</v>
      </c>
      <c r="AD167" s="236"/>
      <c r="AE167" s="3"/>
      <c r="AF167" s="334">
        <f>SUM(AF156:AF166)</f>
        <v>2140055.2597540114</v>
      </c>
      <c r="AG167" s="335">
        <f>SUM(AG156:AG166)</f>
        <v>0.99999999999999978</v>
      </c>
    </row>
    <row r="168" spans="1:33" ht="9" customHeight="1" thickTop="1" thickBot="1">
      <c r="A168" s="137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86"/>
      <c r="X168" s="238"/>
      <c r="Y168" s="239"/>
      <c r="Z168" s="240"/>
      <c r="AA168" s="3"/>
      <c r="AB168" s="238"/>
      <c r="AC168" s="239"/>
      <c r="AD168" s="240"/>
      <c r="AE168" s="3"/>
      <c r="AF168" s="336"/>
      <c r="AG168" s="336"/>
    </row>
    <row r="169" spans="1:33">
      <c r="A169" s="137"/>
      <c r="B169" s="143">
        <f>+B167-T53</f>
        <v>-3313.0000000004657</v>
      </c>
      <c r="C169" s="138"/>
      <c r="D169" s="1038">
        <f>+D167-SUM('Reconcil YE'!D42:I42)</f>
        <v>0</v>
      </c>
      <c r="E169" s="138"/>
      <c r="F169" s="143">
        <f>+F167-'Reconcil YE'!J42-'Reconcil YE'!K42</f>
        <v>3313.0000000004784</v>
      </c>
      <c r="G169" s="138"/>
      <c r="H169" s="143">
        <f>H167-T90</f>
        <v>0</v>
      </c>
      <c r="I169" s="138"/>
      <c r="J169" s="457">
        <f>1-J167</f>
        <v>0</v>
      </c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3"/>
      <c r="X169" s="143">
        <f>+B156+B158+B162+D156+D162-X167</f>
        <v>0</v>
      </c>
      <c r="Y169" s="3"/>
      <c r="Z169" s="3"/>
      <c r="AA169" s="3"/>
      <c r="AB169" s="143">
        <f>+AB167-B167-D167</f>
        <v>-3.2741809263825417E-10</v>
      </c>
      <c r="AC169" s="3"/>
      <c r="AD169" s="3"/>
      <c r="AE169" s="3"/>
      <c r="AF169" s="3"/>
      <c r="AG169" s="3"/>
    </row>
    <row r="170" spans="1:33">
      <c r="A170" s="137"/>
      <c r="B170" s="138"/>
      <c r="C170" s="138"/>
      <c r="D170" s="138"/>
      <c r="E170" s="138"/>
      <c r="F170" s="143">
        <f>SUM(F156:F166)-F167</f>
        <v>-3313.0000000010186</v>
      </c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3"/>
      <c r="X170" s="3"/>
      <c r="Y170" s="3"/>
      <c r="Z170" s="3"/>
      <c r="AA170" s="3"/>
      <c r="AB170" s="3"/>
      <c r="AC170" s="3"/>
    </row>
    <row r="171" spans="1:33">
      <c r="A171" s="137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3"/>
      <c r="X171" s="3"/>
      <c r="Y171" s="3"/>
      <c r="Z171" s="3"/>
      <c r="AA171" s="3"/>
      <c r="AB171" s="3"/>
      <c r="AC171" s="3"/>
    </row>
    <row r="172" spans="1:33" ht="15">
      <c r="A172" s="150" t="s">
        <v>232</v>
      </c>
      <c r="B172" s="151"/>
      <c r="C172" s="92"/>
      <c r="D172" s="14"/>
      <c r="E172" s="151"/>
      <c r="F172" s="151"/>
      <c r="G172" s="151"/>
      <c r="H172" s="151"/>
      <c r="I172" s="126"/>
      <c r="J172" s="14"/>
      <c r="K172" s="151"/>
      <c r="L172" s="86" t="s">
        <v>788</v>
      </c>
      <c r="M172" s="136"/>
      <c r="N172" s="153"/>
      <c r="O172" s="153"/>
      <c r="P172" s="132"/>
      <c r="Q172" s="3"/>
      <c r="R172" s="132"/>
      <c r="S172" s="3"/>
      <c r="T172" s="259"/>
      <c r="U172" s="3"/>
      <c r="V172" s="259"/>
      <c r="W172" s="3"/>
      <c r="X172" s="3"/>
      <c r="Y172" s="3"/>
      <c r="Z172" s="3"/>
      <c r="AA172" s="3"/>
      <c r="AB172" s="3"/>
      <c r="AC172" s="3"/>
    </row>
    <row r="173" spans="1:33" ht="15">
      <c r="A173" s="90" t="s">
        <v>789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2"/>
      <c r="M173" s="128"/>
      <c r="N173" s="153"/>
      <c r="O173" s="153"/>
      <c r="P173" s="132"/>
      <c r="Q173" s="3"/>
      <c r="R173" s="132"/>
      <c r="S173" s="3"/>
      <c r="T173" s="259"/>
      <c r="U173" s="3"/>
      <c r="V173" s="259"/>
      <c r="W173" s="3"/>
      <c r="X173" s="3"/>
      <c r="Y173" s="3"/>
      <c r="Z173" s="3"/>
      <c r="AA173" s="3"/>
      <c r="AB173" s="3"/>
      <c r="AC173" s="3"/>
    </row>
    <row r="174" spans="1:33" ht="15">
      <c r="A174" s="90" t="s">
        <v>770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2"/>
      <c r="M174" s="128"/>
      <c r="N174" s="153"/>
      <c r="O174" s="153"/>
      <c r="P174" s="132"/>
      <c r="Q174" s="3"/>
      <c r="R174" s="132"/>
      <c r="S174" s="3"/>
      <c r="T174" s="259"/>
      <c r="U174" s="3"/>
      <c r="V174" s="259"/>
      <c r="W174" s="3"/>
      <c r="X174" s="3"/>
      <c r="Y174" s="3"/>
      <c r="Z174" s="3"/>
      <c r="AA174" s="3"/>
      <c r="AB174" s="3"/>
      <c r="AC174" s="3"/>
    </row>
    <row r="175" spans="1:33" ht="15">
      <c r="A175" s="116" t="str">
        <f>A3</f>
        <v>2024 Budget</v>
      </c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2"/>
      <c r="M175" s="128"/>
      <c r="N175" s="3"/>
      <c r="O175" s="3"/>
      <c r="P175" s="132"/>
      <c r="Q175" s="3"/>
      <c r="R175" s="132"/>
      <c r="S175" s="3"/>
      <c r="T175" s="259"/>
      <c r="U175" s="3"/>
      <c r="V175" s="259"/>
      <c r="W175" s="3"/>
      <c r="X175" s="3"/>
      <c r="Y175" s="3"/>
      <c r="Z175" s="3"/>
      <c r="AA175" s="3"/>
      <c r="AB175" s="3"/>
      <c r="AC175" s="3"/>
    </row>
    <row r="176" spans="1:33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154"/>
      <c r="O176" s="3"/>
      <c r="P176" s="169"/>
      <c r="Q176" s="3"/>
      <c r="R176" s="13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>
      <c r="A177" s="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69"/>
      <c r="Q178" s="3"/>
      <c r="R178" s="3"/>
      <c r="S178" s="3"/>
      <c r="T178" s="258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2.95" customHeight="1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86"/>
      <c r="O179" s="86"/>
      <c r="P179" s="3"/>
      <c r="Q179" s="3"/>
      <c r="R179" s="258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2.95" customHeight="1">
      <c r="A180" s="104" t="s">
        <v>790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169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2.95" customHeight="1">
      <c r="A181" s="104" t="s">
        <v>791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2.95" customHeight="1">
      <c r="A182" s="94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2.95" customHeight="1">
      <c r="A183" s="94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2.95" customHeight="1">
      <c r="A184" s="94" t="s">
        <v>792</v>
      </c>
      <c r="B184" s="86"/>
      <c r="C184" s="86"/>
      <c r="D184" s="86"/>
      <c r="E184" s="86"/>
      <c r="F184" s="86"/>
      <c r="G184" s="86"/>
      <c r="H184" s="99">
        <f ca="1">J15</f>
        <v>2.9272</v>
      </c>
      <c r="I184" s="86" t="s">
        <v>105</v>
      </c>
      <c r="J184" s="86" t="s">
        <v>793</v>
      </c>
      <c r="K184" s="86"/>
      <c r="L184" s="86"/>
      <c r="M184" s="86"/>
      <c r="N184" s="86"/>
      <c r="O184" s="86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2.95" customHeight="1">
      <c r="A185" s="94" t="s">
        <v>794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2.95" customHeight="1">
      <c r="A186" s="94" t="s">
        <v>795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2.95" customHeight="1">
      <c r="A187" s="94" t="s">
        <v>782</v>
      </c>
      <c r="B187" s="86"/>
      <c r="C187" s="86"/>
      <c r="D187" s="86"/>
      <c r="E187" s="86"/>
      <c r="F187" s="86"/>
      <c r="G187" s="86"/>
      <c r="H187" s="155">
        <f>-R156</f>
        <v>-1.81</v>
      </c>
      <c r="I187" s="86" t="s">
        <v>105</v>
      </c>
      <c r="J187" s="86"/>
      <c r="K187" s="86"/>
      <c r="L187" s="86"/>
      <c r="M187" s="86"/>
      <c r="N187" s="86"/>
      <c r="O187" s="86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2.95" customHeight="1">
      <c r="A188" s="94" t="s">
        <v>783</v>
      </c>
      <c r="B188" s="86"/>
      <c r="C188" s="86"/>
      <c r="D188" s="86"/>
      <c r="E188" s="86"/>
      <c r="F188" s="86"/>
      <c r="G188" s="86"/>
      <c r="H188" s="155">
        <f>-R158</f>
        <v>-0.19</v>
      </c>
      <c r="I188" s="86" t="s">
        <v>105</v>
      </c>
      <c r="J188" s="86"/>
      <c r="K188" s="86"/>
      <c r="L188" s="86"/>
      <c r="M188" s="86"/>
      <c r="N188" s="86"/>
      <c r="O188" s="86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2.95" customHeight="1">
      <c r="A189" s="94" t="s">
        <v>796</v>
      </c>
      <c r="B189" s="86"/>
      <c r="C189" s="86"/>
      <c r="D189" s="86"/>
      <c r="E189" s="86"/>
      <c r="F189" s="86"/>
      <c r="G189" s="86"/>
      <c r="H189" s="156">
        <v>0</v>
      </c>
      <c r="I189" s="86" t="s">
        <v>105</v>
      </c>
      <c r="J189" s="86"/>
      <c r="K189" s="86"/>
      <c r="L189" s="86"/>
      <c r="M189" s="86"/>
      <c r="N189" s="86"/>
      <c r="O189" s="86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2.95" customHeight="1">
      <c r="A190" s="94" t="s">
        <v>784</v>
      </c>
      <c r="B190" s="86"/>
      <c r="C190" s="86"/>
      <c r="D190" s="86"/>
      <c r="E190" s="86"/>
      <c r="F190" s="86"/>
      <c r="G190" s="86"/>
      <c r="H190" s="155">
        <f>-R160</f>
        <v>-0.03</v>
      </c>
      <c r="I190" s="86" t="s">
        <v>105</v>
      </c>
      <c r="J190" s="86"/>
      <c r="K190" s="86"/>
      <c r="L190" s="86"/>
      <c r="M190" s="86"/>
      <c r="N190" s="86"/>
      <c r="O190" s="86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2.95" customHeight="1">
      <c r="A191" s="94" t="s">
        <v>797</v>
      </c>
      <c r="B191" s="86"/>
      <c r="C191" s="86"/>
      <c r="D191" s="86"/>
      <c r="E191" s="86"/>
      <c r="F191" s="86"/>
      <c r="G191" s="86"/>
      <c r="H191" s="156">
        <v>0</v>
      </c>
      <c r="I191" s="86" t="s">
        <v>105</v>
      </c>
      <c r="J191" s="86"/>
      <c r="K191" s="86"/>
      <c r="L191" s="86"/>
      <c r="M191" s="86"/>
      <c r="N191" s="86"/>
      <c r="O191" s="86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2.95" customHeight="1">
      <c r="A192" s="94" t="s">
        <v>798</v>
      </c>
      <c r="B192" s="86"/>
      <c r="C192" s="86"/>
      <c r="D192" s="86"/>
      <c r="E192" s="86"/>
      <c r="F192" s="86"/>
      <c r="G192" s="86"/>
      <c r="H192" s="157">
        <f>SUM(H187:H191)</f>
        <v>-2.0299999999999998</v>
      </c>
      <c r="I192" s="86" t="s">
        <v>105</v>
      </c>
      <c r="J192" s="86"/>
      <c r="K192" s="86"/>
      <c r="L192" s="86"/>
      <c r="M192" s="86"/>
      <c r="N192" s="86"/>
      <c r="O192" s="86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2.95" customHeight="1">
      <c r="A193" s="94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2.95" customHeight="1">
      <c r="A194" s="94" t="s">
        <v>230</v>
      </c>
      <c r="B194" s="86"/>
      <c r="C194" s="86"/>
      <c r="D194" s="86"/>
      <c r="E194" s="86"/>
      <c r="F194" s="86"/>
      <c r="G194" s="86"/>
      <c r="H194" s="155">
        <f ca="1">ROUND(H184+H192,4)</f>
        <v>0.8972</v>
      </c>
      <c r="I194" s="86" t="s">
        <v>105</v>
      </c>
      <c r="J194" s="86"/>
      <c r="K194" s="86"/>
      <c r="L194" s="86"/>
      <c r="M194" s="86"/>
      <c r="N194" s="86"/>
      <c r="O194" s="86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2.95" customHeight="1">
      <c r="A195" s="94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2.95" customHeight="1">
      <c r="A196" s="94" t="s">
        <v>799</v>
      </c>
      <c r="B196" s="86"/>
      <c r="C196" s="86"/>
      <c r="D196" s="86"/>
      <c r="E196" s="86"/>
      <c r="F196" s="86"/>
      <c r="G196" s="86"/>
      <c r="H196" s="158">
        <f>ROUND(J162*100,4)</f>
        <v>47.65</v>
      </c>
      <c r="I196" s="86" t="s">
        <v>105</v>
      </c>
      <c r="J196" s="86"/>
      <c r="K196" s="86"/>
      <c r="L196" s="86"/>
      <c r="M196" s="86"/>
      <c r="N196" s="86"/>
      <c r="O196" s="86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2.95" customHeight="1">
      <c r="A197" s="94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2.95" customHeight="1" thickBot="1">
      <c r="A198" s="94" t="s">
        <v>800</v>
      </c>
      <c r="B198" s="86"/>
      <c r="C198" s="86"/>
      <c r="D198" s="86"/>
      <c r="E198" s="86"/>
      <c r="F198" s="86"/>
      <c r="G198" s="86"/>
      <c r="H198" s="159">
        <f ca="1">ROUND((H194)/(H196/100),4)</f>
        <v>1.8829</v>
      </c>
      <c r="I198" s="86" t="s">
        <v>105</v>
      </c>
      <c r="J198" s="86"/>
      <c r="K198" s="86"/>
      <c r="L198" s="86"/>
      <c r="M198" s="86"/>
      <c r="N198" s="86"/>
      <c r="O198" s="86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2.95" customHeight="1" thickTop="1">
      <c r="A199" s="94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>
      <c r="A200" s="94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2.95" customHeight="1">
      <c r="A201" s="94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2.95" customHeight="1">
      <c r="A202" s="94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2.95" customHeight="1">
      <c r="A203" s="104" t="s">
        <v>801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2.95" customHeight="1">
      <c r="A204" s="104" t="s">
        <v>802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2.95" customHeight="1">
      <c r="A205" s="94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2.95" customHeight="1">
      <c r="A206" s="94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2.95" customHeight="1">
      <c r="A207" s="94" t="s">
        <v>803</v>
      </c>
      <c r="B207" s="86"/>
      <c r="C207" s="86"/>
      <c r="D207" s="86"/>
      <c r="E207" s="86"/>
      <c r="F207" s="86"/>
      <c r="G207" s="86" t="s">
        <v>676</v>
      </c>
      <c r="H207" s="86">
        <f ca="1">V129</f>
        <v>69142.411134165304</v>
      </c>
      <c r="I207" s="86"/>
      <c r="J207" s="86" t="s">
        <v>804</v>
      </c>
      <c r="K207" s="86"/>
      <c r="L207" s="86"/>
      <c r="M207" s="86"/>
      <c r="N207" s="86"/>
      <c r="O207" s="86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2.95" customHeight="1">
      <c r="A208" s="94"/>
      <c r="B208" s="86"/>
      <c r="C208" s="86"/>
      <c r="D208" s="86"/>
      <c r="E208" s="86"/>
      <c r="F208" s="86"/>
      <c r="G208" s="86"/>
      <c r="H208" s="86"/>
      <c r="I208" s="86"/>
      <c r="J208" s="160"/>
      <c r="K208" s="86"/>
      <c r="L208" s="86"/>
      <c r="M208" s="86"/>
      <c r="N208" s="86"/>
      <c r="O208" s="8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2.95" customHeight="1">
      <c r="A209" s="94" t="s">
        <v>805</v>
      </c>
      <c r="B209" s="86"/>
      <c r="C209" s="86"/>
      <c r="D209" s="86"/>
      <c r="E209" s="86"/>
      <c r="F209" s="86"/>
      <c r="G209" s="86" t="s">
        <v>676</v>
      </c>
      <c r="H209" s="98">
        <f>T81</f>
        <v>2456641.805199468</v>
      </c>
      <c r="I209" s="86"/>
      <c r="J209" s="86" t="s">
        <v>806</v>
      </c>
      <c r="K209" s="86"/>
      <c r="L209" s="86"/>
      <c r="M209" s="86"/>
      <c r="N209" s="86"/>
      <c r="O209" s="86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2.95" customHeight="1">
      <c r="A210" s="94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2.95" customHeight="1">
      <c r="A211" s="94" t="s">
        <v>792</v>
      </c>
      <c r="B211" s="86"/>
      <c r="C211" s="86"/>
      <c r="D211" s="86"/>
      <c r="E211" s="86"/>
      <c r="F211" s="86"/>
      <c r="G211" s="86"/>
      <c r="H211" s="158">
        <f ca="1">(H207/H209)*100</f>
        <v>2.8145092617013105</v>
      </c>
      <c r="I211" s="86" t="s">
        <v>105</v>
      </c>
      <c r="J211" s="86"/>
      <c r="K211" s="86"/>
      <c r="L211" s="86"/>
      <c r="M211" s="86"/>
      <c r="N211" s="86"/>
      <c r="O211" s="86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2.95" customHeight="1">
      <c r="A212" s="94" t="s">
        <v>794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2.95" customHeight="1">
      <c r="A213" s="94" t="s">
        <v>795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2.95" customHeight="1">
      <c r="A214" s="94" t="s">
        <v>782</v>
      </c>
      <c r="B214" s="86"/>
      <c r="C214" s="86"/>
      <c r="D214" s="86"/>
      <c r="E214" s="86"/>
      <c r="F214" s="86"/>
      <c r="G214" s="86"/>
      <c r="H214" s="155">
        <f>H187</f>
        <v>-1.81</v>
      </c>
      <c r="I214" s="86" t="s">
        <v>105</v>
      </c>
      <c r="J214" s="86"/>
      <c r="K214" s="86"/>
      <c r="L214" s="86"/>
      <c r="M214" s="86"/>
      <c r="N214" s="86"/>
      <c r="O214" s="86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2.95" customHeight="1">
      <c r="A215" s="94" t="s">
        <v>783</v>
      </c>
      <c r="B215" s="86"/>
      <c r="C215" s="86"/>
      <c r="D215" s="86"/>
      <c r="E215" s="86"/>
      <c r="F215" s="86"/>
      <c r="G215" s="86"/>
      <c r="H215" s="155">
        <f>H188</f>
        <v>-0.19</v>
      </c>
      <c r="I215" s="86" t="s">
        <v>105</v>
      </c>
      <c r="J215" s="86"/>
      <c r="K215" s="86"/>
      <c r="L215" s="86"/>
      <c r="M215" s="86"/>
      <c r="N215" s="86"/>
      <c r="O215" s="86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2.95" customHeight="1">
      <c r="A216" s="94" t="s">
        <v>796</v>
      </c>
      <c r="B216" s="86"/>
      <c r="C216" s="86"/>
      <c r="D216" s="86"/>
      <c r="E216" s="86"/>
      <c r="F216" s="86"/>
      <c r="G216" s="86"/>
      <c r="H216" s="155">
        <f>H189</f>
        <v>0</v>
      </c>
      <c r="I216" s="86" t="s">
        <v>105</v>
      </c>
      <c r="J216" s="86"/>
      <c r="K216" s="86"/>
      <c r="L216" s="86"/>
      <c r="M216" s="86"/>
      <c r="N216" s="86"/>
      <c r="O216" s="86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2.95" customHeight="1">
      <c r="A217" s="94" t="s">
        <v>784</v>
      </c>
      <c r="B217" s="86"/>
      <c r="C217" s="86"/>
      <c r="D217" s="86"/>
      <c r="E217" s="86"/>
      <c r="F217" s="86"/>
      <c r="G217" s="86"/>
      <c r="H217" s="155">
        <f>H190</f>
        <v>-0.03</v>
      </c>
      <c r="I217" s="86" t="s">
        <v>105</v>
      </c>
      <c r="J217" s="86"/>
      <c r="K217" s="86"/>
      <c r="L217" s="86"/>
      <c r="M217" s="86"/>
      <c r="N217" s="86"/>
      <c r="O217" s="86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2.95" customHeight="1">
      <c r="A218" s="94" t="s">
        <v>797</v>
      </c>
      <c r="B218" s="86"/>
      <c r="C218" s="86"/>
      <c r="D218" s="86"/>
      <c r="E218" s="86"/>
      <c r="F218" s="86"/>
      <c r="G218" s="86"/>
      <c r="H218" s="155">
        <f>H191</f>
        <v>0</v>
      </c>
      <c r="I218" s="86" t="s">
        <v>105</v>
      </c>
      <c r="J218" s="86"/>
      <c r="K218" s="86"/>
      <c r="L218" s="86"/>
      <c r="M218" s="86"/>
      <c r="N218" s="86"/>
      <c r="O218" s="86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2.95" customHeight="1">
      <c r="A219" s="94" t="s">
        <v>798</v>
      </c>
      <c r="B219" s="86"/>
      <c r="C219" s="86"/>
      <c r="D219" s="86"/>
      <c r="E219" s="86"/>
      <c r="F219" s="86"/>
      <c r="G219" s="86"/>
      <c r="H219" s="157">
        <f>SUM(H214:H218)</f>
        <v>-2.0299999999999998</v>
      </c>
      <c r="I219" s="86" t="s">
        <v>105</v>
      </c>
      <c r="J219" s="86"/>
      <c r="K219" s="86"/>
      <c r="L219" s="86"/>
      <c r="M219" s="86"/>
      <c r="N219" s="86"/>
      <c r="O219" s="8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2.95" customHeight="1">
      <c r="A220" s="94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2.95" customHeight="1">
      <c r="A221" s="94" t="s">
        <v>230</v>
      </c>
      <c r="B221" s="86"/>
      <c r="C221" s="86"/>
      <c r="D221" s="86"/>
      <c r="E221" s="86"/>
      <c r="F221" s="86"/>
      <c r="G221" s="86"/>
      <c r="H221" s="155">
        <f ca="1">H211+H219</f>
        <v>0.78450926170131074</v>
      </c>
      <c r="I221" s="86" t="s">
        <v>105</v>
      </c>
      <c r="J221" s="86"/>
      <c r="K221" s="86"/>
      <c r="L221" s="86"/>
      <c r="M221" s="86"/>
      <c r="N221" s="86"/>
      <c r="O221" s="8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2.95" customHeight="1">
      <c r="A222" s="94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2.95" customHeight="1">
      <c r="A223" s="94" t="s">
        <v>799</v>
      </c>
      <c r="B223" s="86"/>
      <c r="C223" s="86"/>
      <c r="D223" s="86"/>
      <c r="E223" s="86"/>
      <c r="F223" s="86"/>
      <c r="G223" s="86"/>
      <c r="H223" s="158">
        <f>H196</f>
        <v>47.65</v>
      </c>
      <c r="I223" s="86" t="s">
        <v>105</v>
      </c>
      <c r="J223" s="86"/>
      <c r="K223" s="86"/>
      <c r="L223" s="86"/>
      <c r="M223" s="86"/>
      <c r="N223" s="86"/>
      <c r="O223" s="8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2.95" customHeight="1">
      <c r="A224" s="94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2.95" customHeight="1" thickBot="1">
      <c r="A225" s="94" t="s">
        <v>800</v>
      </c>
      <c r="B225" s="86"/>
      <c r="C225" s="86"/>
      <c r="D225" s="86"/>
      <c r="E225" s="86"/>
      <c r="F225" s="86"/>
      <c r="G225" s="86"/>
      <c r="H225" s="159">
        <f ca="1">(H221)/(H223/100)</f>
        <v>1.6463992900342304</v>
      </c>
      <c r="I225" s="86" t="s">
        <v>105</v>
      </c>
      <c r="J225" s="86"/>
      <c r="K225" s="86"/>
      <c r="L225" s="86"/>
      <c r="M225" s="86"/>
      <c r="N225" s="86"/>
      <c r="O225" s="8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3.5" thickTop="1">
      <c r="A226" s="94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>
      <c r="A227" s="119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>
      <c r="A228" s="119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>
      <c r="A229" s="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3" spans="1:29">
      <c r="A233" s="90" t="s">
        <v>232</v>
      </c>
      <c r="B233" s="151"/>
      <c r="C233" s="151"/>
      <c r="D233" s="151"/>
      <c r="E233" s="151"/>
      <c r="F233" s="151"/>
      <c r="G233" s="151"/>
      <c r="H233" s="151"/>
      <c r="I233" s="14"/>
      <c r="J233" s="92"/>
      <c r="K233" s="151"/>
      <c r="L233" s="152" t="s">
        <v>807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>
      <c r="A234" s="90" t="s">
        <v>789</v>
      </c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17"/>
      <c r="M234" s="11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>
      <c r="A235" s="90" t="s">
        <v>808</v>
      </c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17"/>
      <c r="M235" s="11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>
      <c r="A236" s="116" t="str">
        <f>A3</f>
        <v>2024 Budget</v>
      </c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17"/>
      <c r="M236" s="11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>
      <c r="A237" s="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>
      <c r="A238" s="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>
      <c r="A239" s="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>
      <c r="A240" s="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>
      <c r="A241" s="104" t="s">
        <v>809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>
      <c r="A242" s="104" t="s">
        <v>791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>
      <c r="A243" s="94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>
      <c r="A244" s="94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>
      <c r="A245" s="94" t="s">
        <v>810</v>
      </c>
      <c r="B245" s="86"/>
      <c r="C245" s="86"/>
      <c r="D245" s="86"/>
      <c r="E245" s="86"/>
      <c r="F245" s="86"/>
      <c r="G245" s="86"/>
      <c r="H245" s="99">
        <f ca="1">ROUND(N15,4)</f>
        <v>2.9272</v>
      </c>
      <c r="I245" s="86" t="s">
        <v>105</v>
      </c>
      <c r="J245" s="86" t="s">
        <v>793</v>
      </c>
      <c r="K245" s="8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>
      <c r="A246" s="94" t="s">
        <v>794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>
      <c r="A247" s="94" t="s">
        <v>795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>
      <c r="A248" s="94" t="s">
        <v>782</v>
      </c>
      <c r="B248" s="86"/>
      <c r="C248" s="86"/>
      <c r="D248" s="86"/>
      <c r="E248" s="86"/>
      <c r="F248" s="86"/>
      <c r="G248" s="86"/>
      <c r="H248" s="155">
        <f>-R156</f>
        <v>-1.81</v>
      </c>
      <c r="I248" s="86" t="s">
        <v>105</v>
      </c>
      <c r="J248" s="86"/>
      <c r="K248" s="8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>
      <c r="A249" s="94" t="s">
        <v>783</v>
      </c>
      <c r="B249" s="86"/>
      <c r="C249" s="86"/>
      <c r="D249" s="86"/>
      <c r="E249" s="86"/>
      <c r="F249" s="86"/>
      <c r="G249" s="86"/>
      <c r="H249" s="155">
        <f>-R158</f>
        <v>-0.19</v>
      </c>
      <c r="I249" s="86" t="s">
        <v>105</v>
      </c>
      <c r="J249" s="86"/>
      <c r="K249" s="8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>
      <c r="A250" s="94" t="s">
        <v>796</v>
      </c>
      <c r="B250" s="86"/>
      <c r="C250" s="86"/>
      <c r="D250" s="86"/>
      <c r="E250" s="86"/>
      <c r="F250" s="86"/>
      <c r="G250" s="86"/>
      <c r="H250" s="156">
        <v>0</v>
      </c>
      <c r="I250" s="86" t="s">
        <v>105</v>
      </c>
      <c r="J250" s="86"/>
      <c r="K250" s="8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>
      <c r="A251" s="94" t="s">
        <v>784</v>
      </c>
      <c r="B251" s="86"/>
      <c r="C251" s="86"/>
      <c r="D251" s="86"/>
      <c r="E251" s="86"/>
      <c r="F251" s="86"/>
      <c r="G251" s="86"/>
      <c r="H251" s="155">
        <f>ROUND(-R160,4)</f>
        <v>-0.03</v>
      </c>
      <c r="I251" s="86" t="s">
        <v>105</v>
      </c>
      <c r="J251" s="86"/>
      <c r="K251" s="8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>
      <c r="A252" s="94" t="s">
        <v>797</v>
      </c>
      <c r="B252" s="86"/>
      <c r="C252" s="86"/>
      <c r="D252" s="86"/>
      <c r="E252" s="86"/>
      <c r="F252" s="86"/>
      <c r="G252" s="86"/>
      <c r="H252" s="156">
        <v>0</v>
      </c>
      <c r="I252" s="86" t="s">
        <v>105</v>
      </c>
      <c r="J252" s="86"/>
      <c r="K252" s="8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>
      <c r="A253" s="94" t="s">
        <v>798</v>
      </c>
      <c r="B253" s="86"/>
      <c r="C253" s="86"/>
      <c r="D253" s="86"/>
      <c r="E253" s="86"/>
      <c r="F253" s="86"/>
      <c r="G253" s="86"/>
      <c r="H253" s="157">
        <f>ROUND(SUM(H248:H252),4)</f>
        <v>-2.0299999999999998</v>
      </c>
      <c r="I253" s="86" t="s">
        <v>105</v>
      </c>
      <c r="J253" s="86"/>
      <c r="K253" s="8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>
      <c r="A254" s="94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>
      <c r="A255" s="94" t="s">
        <v>230</v>
      </c>
      <c r="B255" s="86"/>
      <c r="C255" s="86"/>
      <c r="D255" s="86"/>
      <c r="E255" s="86"/>
      <c r="F255" s="86"/>
      <c r="G255" s="86"/>
      <c r="H255" s="155">
        <f ca="1">ROUND(H245+H253,4)</f>
        <v>0.8972</v>
      </c>
      <c r="I255" s="86" t="s">
        <v>105</v>
      </c>
      <c r="J255" s="86"/>
      <c r="K255" s="8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>
      <c r="A256" s="94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>
      <c r="A257" s="94" t="s">
        <v>799</v>
      </c>
      <c r="B257" s="86"/>
      <c r="C257" s="86"/>
      <c r="D257" s="86"/>
      <c r="E257" s="86"/>
      <c r="F257" s="86"/>
      <c r="G257" s="86"/>
      <c r="H257" s="158">
        <f>ROUND(J162*100,4)</f>
        <v>47.65</v>
      </c>
      <c r="I257" s="86" t="s">
        <v>105</v>
      </c>
      <c r="J257" s="86"/>
      <c r="K257" s="8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>
      <c r="A258" s="94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3.5" thickBot="1">
      <c r="A259" s="94" t="s">
        <v>800</v>
      </c>
      <c r="B259" s="86"/>
      <c r="C259" s="86"/>
      <c r="D259" s="86"/>
      <c r="E259" s="86"/>
      <c r="F259" s="86"/>
      <c r="G259" s="86"/>
      <c r="H259" s="159">
        <f ca="1">ROUND((H255)/(H257/100),4)</f>
        <v>1.8829</v>
      </c>
      <c r="I259" s="86" t="s">
        <v>105</v>
      </c>
      <c r="J259" s="86"/>
      <c r="K259" s="8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3.5" thickTop="1">
      <c r="A260" s="94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>
      <c r="A261" s="94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>
      <c r="A262" s="94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>
      <c r="A263" s="94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>
      <c r="A264" s="104" t="s">
        <v>811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>
      <c r="A265" s="104" t="s">
        <v>802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>
      <c r="A266" s="94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>
      <c r="A267" s="94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>
      <c r="A268" s="94" t="s">
        <v>803</v>
      </c>
      <c r="B268" s="86"/>
      <c r="C268" s="86"/>
      <c r="D268" s="86"/>
      <c r="E268" s="86"/>
      <c r="F268" s="86"/>
      <c r="G268" s="86" t="s">
        <v>676</v>
      </c>
      <c r="H268" s="86">
        <f ca="1">V138+V127</f>
        <v>69142.411134165304</v>
      </c>
      <c r="I268" s="86"/>
      <c r="J268" s="86" t="s">
        <v>812</v>
      </c>
      <c r="K268" s="8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>
      <c r="A269" s="94"/>
      <c r="B269" s="86"/>
      <c r="C269" s="86"/>
      <c r="D269" s="86"/>
      <c r="E269" s="86"/>
      <c r="F269" s="86"/>
      <c r="G269" s="86"/>
      <c r="H269" s="86"/>
      <c r="I269" s="86"/>
      <c r="J269" s="160"/>
      <c r="K269" s="8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>
      <c r="A270" s="94" t="s">
        <v>805</v>
      </c>
      <c r="B270" s="86"/>
      <c r="C270" s="86"/>
      <c r="D270" s="86"/>
      <c r="E270" s="86"/>
      <c r="F270" s="86"/>
      <c r="G270" s="86" t="s">
        <v>676</v>
      </c>
      <c r="H270" s="98">
        <f>T90</f>
        <v>2456641.805199468</v>
      </c>
      <c r="I270" s="86"/>
      <c r="J270" s="86" t="s">
        <v>813</v>
      </c>
      <c r="K270" s="8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>
      <c r="A271" s="94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>
      <c r="A272" s="94" t="s">
        <v>792</v>
      </c>
      <c r="B272" s="86"/>
      <c r="C272" s="86"/>
      <c r="D272" s="86"/>
      <c r="E272" s="86"/>
      <c r="F272" s="86"/>
      <c r="G272" s="86"/>
      <c r="H272" s="158">
        <f ca="1">(H268/H270)*100</f>
        <v>2.8145092617013105</v>
      </c>
      <c r="I272" s="86" t="s">
        <v>105</v>
      </c>
      <c r="J272" s="86"/>
      <c r="K272" s="8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>
      <c r="A273" s="94" t="s">
        <v>794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>
      <c r="A274" s="94" t="s">
        <v>795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>
      <c r="A275" s="94" t="s">
        <v>782</v>
      </c>
      <c r="B275" s="86"/>
      <c r="C275" s="86"/>
      <c r="D275" s="86"/>
      <c r="E275" s="86"/>
      <c r="F275" s="86"/>
      <c r="G275" s="86"/>
      <c r="H275" s="155">
        <f>H248</f>
        <v>-1.81</v>
      </c>
      <c r="I275" s="86" t="s">
        <v>105</v>
      </c>
      <c r="J275" s="86"/>
      <c r="K275" s="8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>
      <c r="A276" s="94" t="s">
        <v>783</v>
      </c>
      <c r="B276" s="86"/>
      <c r="C276" s="86"/>
      <c r="D276" s="86"/>
      <c r="E276" s="86"/>
      <c r="F276" s="86"/>
      <c r="G276" s="86"/>
      <c r="H276" s="155">
        <f>H249</f>
        <v>-0.19</v>
      </c>
      <c r="I276" s="86" t="s">
        <v>105</v>
      </c>
      <c r="J276" s="86"/>
      <c r="K276" s="8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>
      <c r="A277" s="94" t="s">
        <v>796</v>
      </c>
      <c r="B277" s="86"/>
      <c r="C277" s="86"/>
      <c r="D277" s="86"/>
      <c r="E277" s="86"/>
      <c r="F277" s="86"/>
      <c r="G277" s="86"/>
      <c r="H277" s="155">
        <f>H250</f>
        <v>0</v>
      </c>
      <c r="I277" s="86" t="s">
        <v>105</v>
      </c>
      <c r="J277" s="86"/>
      <c r="K277" s="8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>
      <c r="A278" s="94" t="s">
        <v>784</v>
      </c>
      <c r="B278" s="86"/>
      <c r="C278" s="86"/>
      <c r="D278" s="86"/>
      <c r="E278" s="86"/>
      <c r="F278" s="86"/>
      <c r="G278" s="86"/>
      <c r="H278" s="155">
        <f>H251</f>
        <v>-0.03</v>
      </c>
      <c r="I278" s="86" t="s">
        <v>105</v>
      </c>
      <c r="J278" s="86"/>
      <c r="K278" s="8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>
      <c r="A279" s="94" t="s">
        <v>797</v>
      </c>
      <c r="B279" s="86"/>
      <c r="C279" s="86"/>
      <c r="D279" s="86"/>
      <c r="E279" s="86"/>
      <c r="F279" s="86"/>
      <c r="G279" s="86"/>
      <c r="H279" s="155">
        <f>H252</f>
        <v>0</v>
      </c>
      <c r="I279" s="86" t="s">
        <v>105</v>
      </c>
      <c r="J279" s="86"/>
      <c r="K279" s="8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>
      <c r="A280" s="94" t="s">
        <v>798</v>
      </c>
      <c r="B280" s="86"/>
      <c r="C280" s="86"/>
      <c r="D280" s="86"/>
      <c r="E280" s="86"/>
      <c r="F280" s="86"/>
      <c r="G280" s="86"/>
      <c r="H280" s="157">
        <f>SUM(H275:H279)</f>
        <v>-2.0299999999999998</v>
      </c>
      <c r="I280" s="86" t="s">
        <v>105</v>
      </c>
      <c r="J280" s="86"/>
      <c r="K280" s="8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>
      <c r="A281" s="94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>
      <c r="A282" s="94" t="s">
        <v>230</v>
      </c>
      <c r="B282" s="86"/>
      <c r="C282" s="86"/>
      <c r="D282" s="86"/>
      <c r="E282" s="86"/>
      <c r="F282" s="86"/>
      <c r="G282" s="86"/>
      <c r="H282" s="155">
        <f ca="1">H272+H280</f>
        <v>0.78450926170131074</v>
      </c>
      <c r="I282" s="86" t="s">
        <v>105</v>
      </c>
      <c r="J282" s="86"/>
      <c r="K282" s="8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>
      <c r="A283" s="94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>
      <c r="A284" s="94" t="s">
        <v>799</v>
      </c>
      <c r="B284" s="86"/>
      <c r="C284" s="86"/>
      <c r="D284" s="86"/>
      <c r="E284" s="86"/>
      <c r="F284" s="86"/>
      <c r="G284" s="86"/>
      <c r="H284" s="158">
        <f>H257</f>
        <v>47.65</v>
      </c>
      <c r="I284" s="86" t="s">
        <v>105</v>
      </c>
      <c r="J284" s="86"/>
      <c r="K284" s="8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>
      <c r="A285" s="94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3.5" thickBot="1">
      <c r="A286" s="94" t="s">
        <v>800</v>
      </c>
      <c r="B286" s="86"/>
      <c r="C286" s="86"/>
      <c r="D286" s="86"/>
      <c r="E286" s="86"/>
      <c r="F286" s="86"/>
      <c r="G286" s="86"/>
      <c r="H286" s="159">
        <f ca="1">(H282)/(H284/100)</f>
        <v>1.6463992900342304</v>
      </c>
      <c r="I286" s="86" t="s">
        <v>105</v>
      </c>
      <c r="J286" s="86"/>
      <c r="K286" s="8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3.5" thickTop="1"/>
    <row r="358" spans="1:15">
      <c r="A358" s="9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9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9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9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9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9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9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9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9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</sheetData>
  <printOptions horizontalCentered="1"/>
  <pageMargins left="0.25" right="0.25" top="0.75" bottom="0.75" header="0.3" footer="0.3"/>
  <pageSetup scale="71" orientation="landscape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Q212"/>
  <sheetViews>
    <sheetView workbookViewId="0">
      <selection activeCell="P25" sqref="P25"/>
    </sheetView>
  </sheetViews>
  <sheetFormatPr defaultColWidth="8.42578125" defaultRowHeight="12.75"/>
  <cols>
    <col min="1" max="1" width="36" customWidth="1"/>
    <col min="2" max="2" width="14.7109375" customWidth="1"/>
    <col min="3" max="3" width="13.85546875" customWidth="1"/>
    <col min="4" max="4" width="10.7109375" customWidth="1"/>
    <col min="5" max="5" width="12.5703125" customWidth="1"/>
    <col min="6" max="12" width="10.7109375" customWidth="1"/>
    <col min="14" max="14" width="9.85546875" bestFit="1" customWidth="1"/>
    <col min="15" max="15" width="24.85546875" bestFit="1" customWidth="1"/>
    <col min="20" max="20" width="31.7109375" bestFit="1" customWidth="1"/>
    <col min="22" max="22" width="23.42578125" bestFit="1" customWidth="1"/>
    <col min="25" max="25" width="16.42578125" bestFit="1" customWidth="1"/>
  </cols>
  <sheetData>
    <row r="1" spans="1:14">
      <c r="A1" t="s">
        <v>814</v>
      </c>
    </row>
    <row r="2" spans="1:14">
      <c r="A2" t="s">
        <v>815</v>
      </c>
    </row>
    <row r="3" spans="1:14">
      <c r="A3" s="8" t="s">
        <v>816</v>
      </c>
      <c r="B3" s="38" t="str">
        <f>+Report!A3</f>
        <v>2024 Budget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5" spans="1:14" ht="13.5" thickBot="1"/>
    <row r="6" spans="1:14" ht="16.5" thickBot="1">
      <c r="A6" s="1"/>
      <c r="B6" s="1"/>
      <c r="C6" s="1"/>
      <c r="D6" s="9" t="s">
        <v>671</v>
      </c>
      <c r="E6" s="10"/>
      <c r="F6" s="10"/>
      <c r="G6" s="10"/>
      <c r="H6" s="10"/>
      <c r="I6" s="10"/>
      <c r="J6" s="11"/>
      <c r="K6" s="11"/>
      <c r="L6" s="1"/>
      <c r="M6" s="1"/>
      <c r="N6" s="1"/>
    </row>
    <row r="7" spans="1:14">
      <c r="D7" s="5"/>
      <c r="E7" s="5"/>
      <c r="F7" s="5"/>
      <c r="G7" s="5"/>
      <c r="H7" s="5"/>
      <c r="I7" s="5"/>
      <c r="J7" s="376" t="s">
        <v>817</v>
      </c>
      <c r="K7" s="376" t="s">
        <v>818</v>
      </c>
    </row>
    <row r="8" spans="1:14">
      <c r="A8" s="1"/>
      <c r="B8" s="4" t="s">
        <v>819</v>
      </c>
      <c r="C8" s="1"/>
      <c r="D8" s="4" t="s">
        <v>820</v>
      </c>
      <c r="E8" s="4" t="s">
        <v>821</v>
      </c>
      <c r="F8" s="4" t="s">
        <v>822</v>
      </c>
      <c r="G8" s="4" t="s">
        <v>823</v>
      </c>
      <c r="H8" s="4" t="s">
        <v>824</v>
      </c>
      <c r="I8" s="4" t="s">
        <v>825</v>
      </c>
      <c r="J8" s="4" t="s">
        <v>826</v>
      </c>
      <c r="K8" s="4" t="s">
        <v>826</v>
      </c>
      <c r="L8" s="4" t="s">
        <v>827</v>
      </c>
      <c r="M8" s="1"/>
      <c r="N8" s="1"/>
    </row>
    <row r="9" spans="1:14">
      <c r="A9" s="1"/>
      <c r="B9" s="6"/>
      <c r="C9" s="1"/>
      <c r="D9" s="2"/>
      <c r="E9" s="2"/>
      <c r="F9" s="2"/>
      <c r="G9" s="2"/>
      <c r="H9" s="2"/>
      <c r="I9" s="2"/>
      <c r="J9" s="2"/>
      <c r="K9" s="2"/>
      <c r="L9" s="2"/>
      <c r="M9" s="1"/>
      <c r="N9" s="1"/>
    </row>
    <row r="10" spans="1:14">
      <c r="A10" s="20" t="s">
        <v>938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7">
        <f>+'Report YE'!B167</f>
        <v>2656873.1941794674</v>
      </c>
      <c r="M10" s="1"/>
      <c r="N10" s="1"/>
    </row>
    <row r="12" spans="1:14">
      <c r="A12" s="13" t="s">
        <v>829</v>
      </c>
    </row>
    <row r="13" spans="1:14">
      <c r="L13" s="375"/>
    </row>
    <row r="14" spans="1:14">
      <c r="A14" s="1" t="s">
        <v>830</v>
      </c>
      <c r="B14" s="1"/>
      <c r="C14" s="1"/>
      <c r="D14" s="31">
        <f>-Reconcil!B68</f>
        <v>0</v>
      </c>
      <c r="E14" s="31"/>
      <c r="F14" s="31"/>
      <c r="G14" s="31"/>
      <c r="H14" s="31"/>
      <c r="I14" s="31"/>
      <c r="J14" s="31"/>
      <c r="K14" s="31"/>
      <c r="L14" s="31">
        <f t="shared" ref="L14:L39" si="0">SUM(D14:K14)</f>
        <v>0</v>
      </c>
      <c r="M14" s="31"/>
      <c r="N14" s="31"/>
    </row>
    <row r="15" spans="1:14">
      <c r="A15" s="1" t="s">
        <v>831</v>
      </c>
      <c r="B15" s="1"/>
      <c r="C15" s="1"/>
      <c r="D15" s="31"/>
      <c r="E15" s="31"/>
      <c r="F15" s="31"/>
      <c r="G15" s="31">
        <f>-Reconcil!B67</f>
        <v>-1524.7</v>
      </c>
      <c r="H15" s="31"/>
      <c r="I15" s="31"/>
      <c r="J15" s="31"/>
      <c r="K15" s="31"/>
      <c r="L15" s="31">
        <f t="shared" si="0"/>
        <v>-1524.7</v>
      </c>
      <c r="M15" s="31"/>
      <c r="N15" s="31"/>
    </row>
    <row r="16" spans="1:14">
      <c r="A16" s="1" t="s">
        <v>832</v>
      </c>
      <c r="B16" s="1"/>
      <c r="C16" s="1"/>
      <c r="D16" s="31"/>
      <c r="E16" s="31"/>
      <c r="F16" s="31"/>
      <c r="G16" s="31"/>
      <c r="H16" s="31"/>
      <c r="I16" s="31"/>
      <c r="J16" s="31"/>
      <c r="K16" s="31"/>
      <c r="L16" s="31">
        <f t="shared" si="0"/>
        <v>0</v>
      </c>
      <c r="M16" s="31"/>
      <c r="N16" s="31"/>
    </row>
    <row r="17" spans="1:17">
      <c r="A17" s="1" t="s">
        <v>833</v>
      </c>
      <c r="B17" s="1"/>
      <c r="C17" s="1"/>
      <c r="D17" s="31"/>
      <c r="E17" s="31"/>
      <c r="F17" s="31"/>
      <c r="G17" s="31"/>
      <c r="H17" s="31"/>
      <c r="I17" s="31"/>
      <c r="J17" s="31"/>
      <c r="K17" s="31">
        <f>-Reconcil!$B$76</f>
        <v>-3</v>
      </c>
      <c r="L17" s="31">
        <f t="shared" si="0"/>
        <v>-3</v>
      </c>
      <c r="M17" s="31"/>
      <c r="N17" s="31"/>
    </row>
    <row r="18" spans="1:17">
      <c r="A18" s="1" t="s">
        <v>834</v>
      </c>
      <c r="B18" s="1"/>
      <c r="C18" s="1"/>
      <c r="D18" s="31"/>
      <c r="E18" s="31"/>
      <c r="F18" s="31"/>
      <c r="G18" s="31">
        <f>-Reconcil!B77</f>
        <v>0</v>
      </c>
      <c r="H18" s="31"/>
      <c r="I18" s="31"/>
      <c r="J18" s="31"/>
      <c r="K18" s="31"/>
      <c r="L18" s="31">
        <f t="shared" si="0"/>
        <v>0</v>
      </c>
      <c r="M18" s="31"/>
      <c r="N18" s="31"/>
    </row>
    <row r="19" spans="1:17">
      <c r="A19" s="1" t="s">
        <v>835</v>
      </c>
      <c r="B19" s="1"/>
      <c r="C19" s="1"/>
      <c r="D19" s="31"/>
      <c r="E19" s="31"/>
      <c r="F19" s="31"/>
      <c r="G19" s="31"/>
      <c r="H19" s="31"/>
      <c r="I19" s="31"/>
      <c r="J19" s="31"/>
      <c r="K19" s="374">
        <f>-Reconcil!B79</f>
        <v>-582.39999999999964</v>
      </c>
      <c r="L19" s="31">
        <f t="shared" si="0"/>
        <v>-582.39999999999964</v>
      </c>
      <c r="M19" s="31"/>
      <c r="N19" s="31"/>
    </row>
    <row r="20" spans="1:17">
      <c r="A20" s="1" t="s">
        <v>836</v>
      </c>
      <c r="B20" s="1"/>
      <c r="C20" s="1"/>
      <c r="D20" s="31"/>
      <c r="E20" s="31"/>
      <c r="F20" s="31"/>
      <c r="G20" s="31"/>
      <c r="H20" s="31"/>
      <c r="I20" s="31"/>
      <c r="J20" s="31"/>
      <c r="K20" s="31"/>
      <c r="L20" s="31">
        <f t="shared" si="0"/>
        <v>0</v>
      </c>
      <c r="M20" s="31"/>
      <c r="N20" s="31"/>
    </row>
    <row r="21" spans="1:17">
      <c r="A21" s="1" t="s">
        <v>837</v>
      </c>
      <c r="B21" s="1"/>
      <c r="C21" s="1"/>
      <c r="D21" s="31"/>
      <c r="E21" s="31"/>
      <c r="F21" s="31"/>
      <c r="G21" s="31"/>
      <c r="H21" s="31"/>
      <c r="I21" s="31"/>
      <c r="J21" s="31"/>
      <c r="K21" s="31">
        <f>-Reconcil!B81</f>
        <v>-10135.299999999999</v>
      </c>
      <c r="L21" s="31">
        <f t="shared" si="0"/>
        <v>-10135.299999999999</v>
      </c>
      <c r="M21" s="31"/>
      <c r="N21" s="31"/>
    </row>
    <row r="22" spans="1:17">
      <c r="A22" s="1" t="s">
        <v>838</v>
      </c>
      <c r="B22" s="1"/>
      <c r="C22" s="1"/>
      <c r="D22" s="31"/>
      <c r="E22" s="31"/>
      <c r="F22" s="31"/>
      <c r="G22" s="31"/>
      <c r="H22" s="31"/>
      <c r="I22" s="31"/>
      <c r="J22" s="31"/>
      <c r="K22" s="31"/>
      <c r="L22" s="31">
        <f t="shared" si="0"/>
        <v>0</v>
      </c>
      <c r="M22" s="31"/>
      <c r="N22" s="31"/>
    </row>
    <row r="23" spans="1:17">
      <c r="A23" s="1" t="s">
        <v>839</v>
      </c>
      <c r="B23" s="1"/>
      <c r="C23" s="1"/>
      <c r="D23" s="31">
        <f>-Reconcil!B91</f>
        <v>0</v>
      </c>
      <c r="E23" s="31"/>
      <c r="F23" s="31"/>
      <c r="G23" s="31"/>
      <c r="H23" s="31"/>
      <c r="I23" s="31"/>
      <c r="J23" s="31"/>
      <c r="K23" s="31"/>
      <c r="L23" s="31">
        <f t="shared" si="0"/>
        <v>0</v>
      </c>
      <c r="M23" s="31"/>
      <c r="N23" s="31"/>
    </row>
    <row r="24" spans="1:17">
      <c r="A24" s="1" t="s">
        <v>840</v>
      </c>
      <c r="B24" s="1"/>
      <c r="C24" s="1"/>
      <c r="D24" s="31"/>
      <c r="E24" s="31"/>
      <c r="F24" s="31"/>
      <c r="G24" s="31"/>
      <c r="H24" s="398">
        <f>-Reconcil!B98*'Input Tax Rate'!B36</f>
        <v>-548.76994000000002</v>
      </c>
      <c r="I24" s="31"/>
      <c r="J24" s="31"/>
      <c r="K24" s="401">
        <f>-Reconcil!B98*'Input Tax Rate'!B37</f>
        <v>-1616.4300599999999</v>
      </c>
      <c r="L24" s="31">
        <f t="shared" si="0"/>
        <v>-2165.1999999999998</v>
      </c>
      <c r="M24" s="31"/>
      <c r="N24" s="31"/>
    </row>
    <row r="25" spans="1:17">
      <c r="A25" s="361" t="s">
        <v>841</v>
      </c>
      <c r="B25" s="1"/>
      <c r="C25" s="1"/>
      <c r="D25" s="31"/>
      <c r="E25" s="31"/>
      <c r="F25" s="31"/>
      <c r="G25" s="31"/>
      <c r="H25" s="31"/>
      <c r="I25" s="31"/>
      <c r="J25" s="31"/>
      <c r="K25" s="374">
        <f>IF(Reconcil!$B$99&gt;0,Reconcil!$B$99*-1,0)</f>
        <v>0</v>
      </c>
      <c r="L25" s="31">
        <f t="shared" si="0"/>
        <v>0</v>
      </c>
      <c r="M25" s="31"/>
      <c r="N25" s="31"/>
    </row>
    <row r="26" spans="1:17">
      <c r="A26" s="1" t="s">
        <v>842</v>
      </c>
      <c r="B26" s="1"/>
      <c r="C26" s="1"/>
      <c r="D26" s="31"/>
      <c r="E26" s="31"/>
      <c r="F26" s="31"/>
      <c r="G26" s="31"/>
      <c r="H26" s="398">
        <f>(-Input!C14/1000)*'Input Tax Rate'!B36</f>
        <v>-899.74750000000006</v>
      </c>
      <c r="I26" s="31"/>
      <c r="J26" s="31"/>
      <c r="K26" s="401">
        <f>(-Input!C14/1000)*'Input Tax Rate'!B37</f>
        <v>-2650.2525000000001</v>
      </c>
      <c r="L26" s="31">
        <f t="shared" si="0"/>
        <v>-3550</v>
      </c>
      <c r="M26" s="31"/>
      <c r="N26" s="31"/>
      <c r="O26" s="33"/>
      <c r="Q26" s="33"/>
    </row>
    <row r="27" spans="1:17">
      <c r="A27" s="1" t="s">
        <v>843</v>
      </c>
      <c r="B27" s="1"/>
      <c r="C27" s="1"/>
      <c r="D27" s="31"/>
      <c r="E27" s="31"/>
      <c r="F27" s="31"/>
      <c r="G27" s="31"/>
      <c r="H27" s="31"/>
      <c r="I27" s="31"/>
      <c r="J27" s="31"/>
      <c r="K27" s="31">
        <f>Reconcil!B128</f>
        <v>0</v>
      </c>
      <c r="L27" s="31">
        <f t="shared" si="0"/>
        <v>0</v>
      </c>
      <c r="M27" s="31"/>
      <c r="N27" s="31"/>
      <c r="O27" s="216"/>
    </row>
    <row r="28" spans="1:17">
      <c r="A28" s="1" t="s">
        <v>844</v>
      </c>
      <c r="B28" s="1"/>
      <c r="C28" s="1"/>
      <c r="D28" s="31"/>
      <c r="E28" s="31"/>
      <c r="F28" s="31"/>
      <c r="G28" s="31">
        <f>Reconcil!B134</f>
        <v>0</v>
      </c>
      <c r="H28" s="31"/>
      <c r="I28" s="31"/>
      <c r="J28" s="31"/>
      <c r="K28" s="31"/>
      <c r="L28" s="31">
        <f t="shared" si="0"/>
        <v>0</v>
      </c>
      <c r="M28" s="31"/>
      <c r="N28" s="31"/>
      <c r="P28" s="1"/>
    </row>
    <row r="29" spans="1:17">
      <c r="A29" s="361" t="s">
        <v>845</v>
      </c>
      <c r="B29" s="1"/>
      <c r="C29" s="1"/>
      <c r="D29" s="31"/>
      <c r="E29" s="31"/>
      <c r="F29" s="31"/>
      <c r="G29" s="31"/>
      <c r="H29" s="31"/>
      <c r="I29" s="31"/>
      <c r="J29" s="31"/>
      <c r="K29" s="374">
        <f>IF((Reconcil!$B$137-Reconcil!$B$95)&lt;0,(Reconcil!$B$137-Reconcil!$B$95),0)</f>
        <v>-1348.8</v>
      </c>
      <c r="L29" s="31">
        <f t="shared" si="0"/>
        <v>-1348.8</v>
      </c>
      <c r="M29" s="31"/>
      <c r="N29" s="31"/>
      <c r="P29" s="1"/>
    </row>
    <row r="30" spans="1:17">
      <c r="A30" s="361" t="s">
        <v>846</v>
      </c>
      <c r="B30" s="1"/>
      <c r="C30" s="1"/>
      <c r="D30" s="31"/>
      <c r="E30" s="31"/>
      <c r="F30" s="31"/>
      <c r="G30" s="31"/>
      <c r="H30" s="31"/>
      <c r="I30" s="31"/>
      <c r="J30" s="31"/>
      <c r="K30" s="374">
        <f>IF((Reconcil!$B$138-Reconcil!$B$96)&lt;0,(Reconcil!$B$138-Reconcil!$B$96),0)</f>
        <v>0</v>
      </c>
      <c r="L30" s="31">
        <f>SUM(D30:K30)</f>
        <v>0</v>
      </c>
      <c r="M30" s="31"/>
      <c r="N30" s="31"/>
      <c r="P30" s="1"/>
    </row>
    <row r="31" spans="1:17">
      <c r="A31" s="1" t="s">
        <v>847</v>
      </c>
      <c r="B31" s="1"/>
      <c r="C31" s="1"/>
      <c r="D31" s="31"/>
      <c r="E31" s="31"/>
      <c r="F31" s="31"/>
      <c r="G31" s="31"/>
      <c r="H31" s="31"/>
      <c r="I31" s="31"/>
      <c r="J31" s="31"/>
      <c r="K31" s="35">
        <f>+N36</f>
        <v>0</v>
      </c>
      <c r="L31" s="31">
        <f t="shared" si="0"/>
        <v>0</v>
      </c>
      <c r="M31" s="31"/>
      <c r="N31" s="31"/>
      <c r="P31" s="1"/>
    </row>
    <row r="32" spans="1:17">
      <c r="A32" s="1" t="s">
        <v>848</v>
      </c>
      <c r="B32" s="1"/>
      <c r="C32" s="1"/>
      <c r="D32" s="31"/>
      <c r="E32" s="31"/>
      <c r="F32" s="31"/>
      <c r="G32" s="31"/>
      <c r="H32" s="31"/>
      <c r="I32" s="31"/>
      <c r="J32" s="31"/>
      <c r="K32" s="346">
        <f>-(MSEA!$D$69/1000)*0</f>
        <v>0</v>
      </c>
      <c r="L32" s="31">
        <f t="shared" si="0"/>
        <v>0</v>
      </c>
      <c r="M32" s="31"/>
      <c r="N32" s="31"/>
      <c r="P32" s="1"/>
    </row>
    <row r="33" spans="1:16">
      <c r="A33" s="1" t="s">
        <v>849</v>
      </c>
      <c r="B33" s="1"/>
      <c r="C33" s="1"/>
      <c r="D33" s="31"/>
      <c r="E33" s="31"/>
      <c r="F33" s="31"/>
      <c r="G33" s="31">
        <f>-Reconcil!B58</f>
        <v>-1939.6</v>
      </c>
      <c r="H33" s="31"/>
      <c r="I33" s="31"/>
      <c r="J33" s="31"/>
      <c r="K33" s="31"/>
      <c r="L33" s="31">
        <f t="shared" si="0"/>
        <v>-1939.6</v>
      </c>
      <c r="M33" s="31"/>
      <c r="N33" s="31" t="s">
        <v>850</v>
      </c>
      <c r="P33" s="188"/>
    </row>
    <row r="34" spans="1:16">
      <c r="A34" s="1" t="s">
        <v>851</v>
      </c>
      <c r="B34" s="1"/>
      <c r="C34" s="1"/>
      <c r="D34" s="31"/>
      <c r="E34" s="31"/>
      <c r="F34" s="31"/>
      <c r="G34" s="401">
        <f>+'Report YE'!J61*'Input Tax Rate'!B37</f>
        <v>0</v>
      </c>
      <c r="H34" s="398">
        <f>+'Report YE'!J61*'Input Tax Rate'!B36</f>
        <v>0</v>
      </c>
      <c r="I34" s="31"/>
      <c r="J34" s="31"/>
      <c r="K34" s="31"/>
      <c r="L34" s="31">
        <f t="shared" si="0"/>
        <v>0</v>
      </c>
      <c r="M34" s="31"/>
      <c r="N34" s="31" t="s">
        <v>852</v>
      </c>
      <c r="P34" s="1"/>
    </row>
    <row r="35" spans="1:16" ht="13.5" thickBot="1">
      <c r="A35" s="1" t="s">
        <v>853</v>
      </c>
      <c r="B35" s="1"/>
      <c r="C35" s="1"/>
      <c r="D35" s="31"/>
      <c r="E35" s="31"/>
      <c r="F35" s="31"/>
      <c r="G35" s="31"/>
      <c r="H35" s="31"/>
      <c r="I35" s="31"/>
      <c r="J35" s="31"/>
      <c r="K35" s="31">
        <f>+'Report YE'!R69</f>
        <v>0</v>
      </c>
      <c r="L35" s="31">
        <f t="shared" si="0"/>
        <v>0</v>
      </c>
      <c r="M35" s="31"/>
      <c r="N35" s="31" t="s">
        <v>854</v>
      </c>
      <c r="P35" s="1"/>
    </row>
    <row r="36" spans="1:16" ht="13.5" thickBot="1">
      <c r="A36" s="1" t="s">
        <v>855</v>
      </c>
      <c r="B36" s="1"/>
      <c r="C36" s="1"/>
      <c r="D36" s="31"/>
      <c r="E36" s="31"/>
      <c r="F36" s="31"/>
      <c r="G36" s="31"/>
      <c r="H36" s="398">
        <f>+'Report YE'!J70*'Input Tax Rate'!B36</f>
        <v>0</v>
      </c>
      <c r="I36" s="31"/>
      <c r="J36" s="31"/>
      <c r="K36" s="401">
        <f>+'Report YE'!J70*'Input Tax Rate'!B37</f>
        <v>0</v>
      </c>
      <c r="L36" s="31">
        <f t="shared" si="0"/>
        <v>0</v>
      </c>
      <c r="M36" s="31"/>
      <c r="N36" s="36">
        <v>0</v>
      </c>
      <c r="P36" s="1"/>
    </row>
    <row r="37" spans="1:16">
      <c r="A37" s="1" t="s">
        <v>856</v>
      </c>
      <c r="B37" s="1"/>
      <c r="C37" s="1"/>
      <c r="D37" s="31"/>
      <c r="E37" s="31"/>
      <c r="F37" s="31"/>
      <c r="G37" s="31">
        <v>0</v>
      </c>
      <c r="H37" s="31"/>
      <c r="I37" s="31">
        <f>-G37</f>
        <v>0</v>
      </c>
      <c r="J37" s="31"/>
      <c r="K37" s="31"/>
      <c r="L37" s="31">
        <f t="shared" si="0"/>
        <v>0</v>
      </c>
      <c r="M37" s="31"/>
      <c r="N37" s="31"/>
    </row>
    <row r="38" spans="1:16">
      <c r="A38" s="1" t="s">
        <v>857</v>
      </c>
      <c r="B38" s="1"/>
      <c r="C38" s="1"/>
      <c r="D38" s="31"/>
      <c r="E38" s="31"/>
      <c r="F38" s="31"/>
      <c r="G38" s="247"/>
      <c r="H38" s="31"/>
      <c r="I38" s="31"/>
      <c r="J38" s="31">
        <f>+'Report YE'!T73</f>
        <v>-162612.52448999998</v>
      </c>
      <c r="K38" s="31"/>
      <c r="L38" s="31">
        <f t="shared" si="0"/>
        <v>-162612.52448999998</v>
      </c>
      <c r="M38" s="31"/>
      <c r="N38" s="31"/>
    </row>
    <row r="39" spans="1:16">
      <c r="A39" s="1" t="s">
        <v>859</v>
      </c>
      <c r="B39" s="1"/>
      <c r="C39" s="1"/>
      <c r="D39" s="31">
        <f>(-G39-H39)</f>
        <v>0</v>
      </c>
      <c r="E39" s="31"/>
      <c r="F39" s="31"/>
      <c r="G39" s="420">
        <f>-Input!C33/1000</f>
        <v>0</v>
      </c>
      <c r="H39" s="420">
        <f>-Input!C34/1000</f>
        <v>0</v>
      </c>
      <c r="I39" s="31"/>
      <c r="J39" s="31"/>
      <c r="K39" s="31"/>
      <c r="L39" s="31">
        <f t="shared" si="0"/>
        <v>0</v>
      </c>
      <c r="M39" s="31"/>
      <c r="N39" s="31"/>
    </row>
    <row r="40" spans="1:16">
      <c r="A40" s="188" t="s">
        <v>28</v>
      </c>
      <c r="D40" s="248"/>
      <c r="E40" s="962"/>
      <c r="F40" s="962"/>
      <c r="G40" s="962"/>
      <c r="H40" s="399">
        <f>+'Report YE'!T72*'Input Tax Rate'!B36</f>
        <v>-4988.6220049904996</v>
      </c>
      <c r="I40" s="122"/>
      <c r="J40" s="443">
        <f>+'Report YE'!T72*'Input Tax Rate'!B37</f>
        <v>-14694.242485009498</v>
      </c>
      <c r="K40" s="122"/>
      <c r="L40" s="122">
        <f>SUM(D40:K40)</f>
        <v>-19682.864489999996</v>
      </c>
      <c r="M40" s="33"/>
      <c r="N40" s="33"/>
    </row>
    <row r="41" spans="1:16">
      <c r="A41" s="1"/>
      <c r="B41" s="1"/>
      <c r="C41" s="1"/>
      <c r="D41" s="34"/>
      <c r="E41" s="34"/>
      <c r="F41" s="34"/>
      <c r="G41" s="34"/>
      <c r="H41" s="34"/>
      <c r="I41" s="34"/>
      <c r="J41" s="34"/>
      <c r="K41" s="34"/>
      <c r="L41" s="34"/>
      <c r="M41" s="31"/>
      <c r="N41" s="31"/>
    </row>
    <row r="42" spans="1:16">
      <c r="A42" s="1" t="s">
        <v>860</v>
      </c>
      <c r="B42" s="1"/>
      <c r="C42" s="1"/>
      <c r="D42" s="31">
        <f t="shared" ref="D42:I42" si="1">SUM(D14:D40)</f>
        <v>0</v>
      </c>
      <c r="E42" s="31">
        <f t="shared" si="1"/>
        <v>0</v>
      </c>
      <c r="F42" s="31">
        <f t="shared" si="1"/>
        <v>0</v>
      </c>
      <c r="G42" s="31">
        <f t="shared" si="1"/>
        <v>-3464.3</v>
      </c>
      <c r="H42" s="31">
        <f t="shared" si="1"/>
        <v>-6437.1394449905001</v>
      </c>
      <c r="I42" s="31">
        <f t="shared" si="1"/>
        <v>0</v>
      </c>
      <c r="J42" s="31">
        <f>SUM(J14:J40)</f>
        <v>-177306.76697500946</v>
      </c>
      <c r="K42" s="31">
        <f>SUM(K14:K40)</f>
        <v>-16336.182559999999</v>
      </c>
      <c r="L42" s="31">
        <f>SUM(L14:L40)</f>
        <v>-203544.38897999999</v>
      </c>
      <c r="M42" s="31"/>
      <c r="N42" s="31"/>
    </row>
    <row r="43" spans="1:16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6" ht="13.5" thickBot="1">
      <c r="A44" s="1" t="s">
        <v>861</v>
      </c>
      <c r="B44" s="1"/>
      <c r="C44" s="1"/>
      <c r="D44" s="31"/>
      <c r="E44" s="31"/>
      <c r="F44" s="31"/>
      <c r="G44" s="31"/>
      <c r="H44" s="31"/>
      <c r="I44" s="31"/>
      <c r="J44" s="31"/>
      <c r="K44" s="31"/>
      <c r="L44" s="32">
        <f>SUM(L10:L41)</f>
        <v>2453328.8051994671</v>
      </c>
      <c r="M44" s="31"/>
      <c r="N44" s="31">
        <f>+'Report YE'!T81</f>
        <v>2456641.805199468</v>
      </c>
      <c r="O44" t="s">
        <v>862</v>
      </c>
    </row>
    <row r="45" spans="1:16" ht="14.25" thickTop="1" thickBot="1">
      <c r="A45" s="1"/>
      <c r="B45" s="1"/>
      <c r="C45" s="1"/>
      <c r="D45" s="31"/>
      <c r="E45" s="31"/>
      <c r="F45" s="31"/>
      <c r="G45" s="31"/>
      <c r="H45" s="31"/>
      <c r="I45" s="31"/>
      <c r="J45" s="31"/>
      <c r="K45" s="31"/>
      <c r="L45" s="34"/>
      <c r="M45" s="31"/>
      <c r="N45" s="40">
        <f>+L44-N44</f>
        <v>-3313.0000000009313</v>
      </c>
      <c r="O45" t="s">
        <v>863</v>
      </c>
    </row>
    <row r="48" spans="1:16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</row>
    <row r="88" spans="15:15">
      <c r="O88" s="31"/>
    </row>
    <row r="89" spans="15:15">
      <c r="O89" s="31"/>
    </row>
    <row r="90" spans="15:15">
      <c r="O90" s="31"/>
    </row>
    <row r="91" spans="15:15">
      <c r="O91" s="31"/>
    </row>
    <row r="92" spans="15:15">
      <c r="O92" s="31"/>
    </row>
    <row r="93" spans="15:15">
      <c r="O93" s="31"/>
    </row>
    <row r="94" spans="15:15">
      <c r="O94" s="31"/>
    </row>
    <row r="95" spans="15:15">
      <c r="O95" s="31"/>
    </row>
    <row r="96" spans="15:15">
      <c r="O96" s="31"/>
    </row>
    <row r="212" spans="1:8">
      <c r="A212" s="1"/>
      <c r="B212" s="3"/>
      <c r="C212" s="3"/>
      <c r="D212" s="1"/>
      <c r="E212" s="1"/>
      <c r="F212" s="1"/>
      <c r="G212" s="1"/>
      <c r="H212" s="88"/>
    </row>
  </sheetData>
  <printOptions horizontalCentered="1"/>
  <pageMargins left="0.75" right="0.75" top="1" bottom="1" header="0.5" footer="0.5"/>
  <pageSetup scale="75" orientation="landscape" r:id="rId1"/>
  <headerFooter alignWithMargins="0">
    <oddFooter>&amp;L&amp;F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L15"/>
  <sheetViews>
    <sheetView workbookViewId="0"/>
  </sheetViews>
  <sheetFormatPr defaultRowHeight="12.75"/>
  <cols>
    <col min="1" max="1" width="2.5703125" customWidth="1"/>
    <col min="2" max="2" width="33.42578125" customWidth="1"/>
    <col min="3" max="3" width="12.85546875" bestFit="1" customWidth="1"/>
    <col min="12" max="12" width="14.28515625" customWidth="1"/>
  </cols>
  <sheetData>
    <row r="2" spans="2:12">
      <c r="B2" s="651" t="s">
        <v>121</v>
      </c>
      <c r="C2" s="638" t="s">
        <v>122</v>
      </c>
      <c r="D2" s="639"/>
      <c r="E2" s="639"/>
      <c r="F2" s="639"/>
      <c r="G2" s="639"/>
      <c r="H2" s="639"/>
      <c r="I2" s="639"/>
      <c r="J2" s="639"/>
      <c r="K2" s="639"/>
      <c r="L2" s="640"/>
    </row>
    <row r="3" spans="2:12">
      <c r="B3" s="652" t="s">
        <v>123</v>
      </c>
      <c r="C3" s="644" t="s">
        <v>124</v>
      </c>
      <c r="D3" s="641"/>
      <c r="E3" s="641"/>
      <c r="F3" s="641"/>
      <c r="G3" s="641"/>
      <c r="H3" s="641"/>
      <c r="I3" s="641"/>
      <c r="J3" s="641"/>
      <c r="K3" s="641"/>
      <c r="L3" s="642"/>
    </row>
    <row r="4" spans="2:12">
      <c r="B4" s="652" t="s">
        <v>125</v>
      </c>
      <c r="C4" s="641"/>
      <c r="D4" s="641"/>
      <c r="E4" s="641"/>
      <c r="F4" s="641"/>
      <c r="G4" s="641"/>
      <c r="H4" s="641"/>
      <c r="I4" s="641"/>
      <c r="J4" s="641"/>
      <c r="K4" s="641"/>
      <c r="L4" s="642"/>
    </row>
    <row r="5" spans="2:12">
      <c r="B5" s="643" t="s">
        <v>126</v>
      </c>
      <c r="C5" s="644" t="s">
        <v>127</v>
      </c>
      <c r="D5" s="641"/>
      <c r="E5" s="641"/>
      <c r="F5" s="641"/>
      <c r="G5" s="641"/>
      <c r="H5" s="641"/>
      <c r="I5" s="641"/>
      <c r="J5" s="641"/>
      <c r="K5" s="641"/>
      <c r="L5" s="642"/>
    </row>
    <row r="6" spans="2:12">
      <c r="B6" s="643" t="s">
        <v>128</v>
      </c>
      <c r="C6" s="644" t="s">
        <v>129</v>
      </c>
      <c r="D6" s="641"/>
      <c r="E6" s="641"/>
      <c r="F6" s="641"/>
      <c r="G6" s="641"/>
      <c r="H6" s="641"/>
      <c r="I6" s="641"/>
      <c r="J6" s="641"/>
      <c r="K6" s="641"/>
      <c r="L6" s="642"/>
    </row>
    <row r="7" spans="2:12">
      <c r="B7" s="643" t="s">
        <v>130</v>
      </c>
      <c r="C7" s="644" t="s">
        <v>131</v>
      </c>
      <c r="D7" s="641"/>
      <c r="E7" s="641"/>
      <c r="F7" s="641"/>
      <c r="G7" s="641"/>
      <c r="H7" s="641"/>
      <c r="I7" s="641"/>
      <c r="J7" s="641"/>
      <c r="K7" s="641"/>
      <c r="L7" s="642"/>
    </row>
    <row r="8" spans="2:12">
      <c r="B8" s="643" t="s">
        <v>132</v>
      </c>
      <c r="C8" s="644" t="s">
        <v>133</v>
      </c>
      <c r="D8" s="641"/>
      <c r="E8" s="641"/>
      <c r="F8" s="641"/>
      <c r="G8" s="641"/>
      <c r="H8" s="641"/>
      <c r="I8" s="641"/>
      <c r="J8" s="641"/>
      <c r="K8" s="641"/>
      <c r="L8" s="642"/>
    </row>
    <row r="9" spans="2:12">
      <c r="B9" s="653"/>
      <c r="C9" s="641"/>
      <c r="D9" s="641"/>
      <c r="E9" s="641"/>
      <c r="F9" s="641"/>
      <c r="G9" s="641"/>
      <c r="H9" s="641"/>
      <c r="I9" s="641"/>
      <c r="J9" s="641"/>
      <c r="K9" s="641"/>
      <c r="L9" s="642"/>
    </row>
    <row r="10" spans="2:12">
      <c r="B10" s="652" t="s">
        <v>134</v>
      </c>
      <c r="C10" s="641"/>
      <c r="D10" s="641"/>
      <c r="E10" s="641"/>
      <c r="F10" s="641"/>
      <c r="G10" s="641"/>
      <c r="H10" s="641"/>
      <c r="I10" s="641"/>
      <c r="J10" s="641"/>
      <c r="K10" s="641"/>
      <c r="L10" s="642"/>
    </row>
    <row r="11" spans="2:12">
      <c r="B11" s="645" t="s">
        <v>135</v>
      </c>
      <c r="C11" s="644" t="s">
        <v>136</v>
      </c>
      <c r="D11" s="641"/>
      <c r="E11" s="641"/>
      <c r="F11" s="641"/>
      <c r="G11" s="641"/>
      <c r="H11" s="641"/>
      <c r="I11" s="641"/>
      <c r="J11" s="641"/>
      <c r="K11" s="641"/>
      <c r="L11" s="642"/>
    </row>
    <row r="12" spans="2:12">
      <c r="B12" s="646" t="s">
        <v>137</v>
      </c>
      <c r="C12" s="644" t="s">
        <v>138</v>
      </c>
      <c r="D12" s="641"/>
      <c r="E12" s="641"/>
      <c r="F12" s="641"/>
      <c r="G12" s="641"/>
      <c r="H12" s="641"/>
      <c r="I12" s="641"/>
      <c r="J12" s="641"/>
      <c r="K12" s="641"/>
      <c r="L12" s="642"/>
    </row>
    <row r="13" spans="2:12">
      <c r="B13" s="647" t="s">
        <v>139</v>
      </c>
      <c r="C13" s="644" t="s">
        <v>140</v>
      </c>
      <c r="D13" s="641"/>
      <c r="E13" s="641"/>
      <c r="F13" s="641"/>
      <c r="G13" s="641"/>
      <c r="H13" s="641"/>
      <c r="I13" s="641"/>
      <c r="J13" s="641"/>
      <c r="K13" s="641"/>
      <c r="L13" s="642"/>
    </row>
    <row r="14" spans="2:12">
      <c r="B14" s="761" t="s">
        <v>141</v>
      </c>
      <c r="C14" s="644" t="s">
        <v>142</v>
      </c>
      <c r="D14" s="641"/>
      <c r="E14" s="641"/>
      <c r="F14" s="641"/>
      <c r="G14" s="641"/>
      <c r="H14" s="641"/>
      <c r="I14" s="641"/>
      <c r="J14" s="641"/>
      <c r="K14" s="641"/>
      <c r="L14" s="642"/>
    </row>
    <row r="15" spans="2:12">
      <c r="B15" s="762"/>
      <c r="C15" s="648" t="s">
        <v>143</v>
      </c>
      <c r="D15" s="649"/>
      <c r="E15" s="649"/>
      <c r="F15" s="649"/>
      <c r="G15" s="649"/>
      <c r="H15" s="649"/>
      <c r="I15" s="649"/>
      <c r="J15" s="649"/>
      <c r="K15" s="649"/>
      <c r="L15" s="650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0" tint="-0.249977111117893"/>
  </sheetPr>
  <dimension ref="A1:H70"/>
  <sheetViews>
    <sheetView workbookViewId="0"/>
  </sheetViews>
  <sheetFormatPr defaultColWidth="9.140625" defaultRowHeight="12.75"/>
  <cols>
    <col min="1" max="1" width="41.140625" style="305" bestFit="1" customWidth="1"/>
    <col min="2" max="2" width="9.85546875" style="305" customWidth="1"/>
    <col min="3" max="3" width="9.140625" style="305"/>
    <col min="4" max="4" width="12.85546875" style="306" bestFit="1" customWidth="1"/>
    <col min="5" max="16384" width="9.140625" style="305"/>
  </cols>
  <sheetData>
    <row r="1" spans="1:8">
      <c r="A1" s="304" t="s">
        <v>939</v>
      </c>
      <c r="D1" s="963"/>
      <c r="F1" s="307"/>
    </row>
    <row r="2" spans="1:8">
      <c r="D2" s="963"/>
      <c r="H2" s="964"/>
    </row>
    <row r="3" spans="1:8">
      <c r="A3" s="305" t="s">
        <v>940</v>
      </c>
      <c r="B3" s="308" t="str">
        <f>Report!A3</f>
        <v>2024 Budget</v>
      </c>
      <c r="D3" s="963"/>
    </row>
    <row r="4" spans="1:8">
      <c r="D4" s="309" t="s">
        <v>941</v>
      </c>
    </row>
    <row r="5" spans="1:8">
      <c r="A5" s="310" t="s">
        <v>942</v>
      </c>
      <c r="D5" s="311">
        <v>0</v>
      </c>
    </row>
    <row r="6" spans="1:8">
      <c r="A6" s="310" t="s">
        <v>943</v>
      </c>
      <c r="D6" s="311">
        <v>0</v>
      </c>
    </row>
    <row r="7" spans="1:8">
      <c r="A7" s="310" t="s">
        <v>944</v>
      </c>
      <c r="D7" s="311">
        <v>6557.97</v>
      </c>
      <c r="E7" s="963"/>
    </row>
    <row r="8" spans="1:8">
      <c r="A8" s="310" t="s">
        <v>945</v>
      </c>
      <c r="D8" s="311">
        <v>0</v>
      </c>
      <c r="E8" s="963"/>
    </row>
    <row r="9" spans="1:8">
      <c r="A9" s="310" t="s">
        <v>946</v>
      </c>
      <c r="D9" s="311">
        <v>0</v>
      </c>
      <c r="E9" s="963"/>
    </row>
    <row r="10" spans="1:8">
      <c r="A10" s="310" t="s">
        <v>947</v>
      </c>
      <c r="D10" s="311">
        <v>0</v>
      </c>
      <c r="E10" s="963"/>
    </row>
    <row r="11" spans="1:8">
      <c r="A11" s="310" t="s">
        <v>948</v>
      </c>
      <c r="D11" s="311">
        <v>0</v>
      </c>
      <c r="E11" s="963"/>
    </row>
    <row r="12" spans="1:8">
      <c r="A12" s="310" t="s">
        <v>949</v>
      </c>
      <c r="D12" s="311">
        <v>0</v>
      </c>
      <c r="E12" s="963"/>
    </row>
    <row r="13" spans="1:8">
      <c r="A13" s="310" t="s">
        <v>950</v>
      </c>
      <c r="D13" s="311">
        <v>0</v>
      </c>
      <c r="E13" s="963"/>
    </row>
    <row r="14" spans="1:8">
      <c r="A14" s="310" t="s">
        <v>951</v>
      </c>
      <c r="D14" s="311">
        <v>0</v>
      </c>
      <c r="E14" s="963"/>
    </row>
    <row r="15" spans="1:8">
      <c r="A15" s="310" t="s">
        <v>952</v>
      </c>
      <c r="D15" s="311">
        <v>24470.25</v>
      </c>
      <c r="E15" s="963"/>
    </row>
    <row r="16" spans="1:8">
      <c r="A16" s="310" t="s">
        <v>953</v>
      </c>
      <c r="D16" s="311">
        <v>15389.66</v>
      </c>
      <c r="E16" s="963"/>
    </row>
    <row r="17" spans="1:5">
      <c r="A17" s="310" t="s">
        <v>954</v>
      </c>
      <c r="D17" s="311">
        <v>0</v>
      </c>
      <c r="E17" s="963"/>
    </row>
    <row r="18" spans="1:5">
      <c r="A18" s="310" t="s">
        <v>955</v>
      </c>
      <c r="D18" s="311">
        <v>0</v>
      </c>
      <c r="E18" s="963"/>
    </row>
    <row r="19" spans="1:5">
      <c r="A19" s="310" t="s">
        <v>956</v>
      </c>
      <c r="D19" s="311">
        <v>0</v>
      </c>
      <c r="E19" s="963"/>
    </row>
    <row r="20" spans="1:5">
      <c r="A20" s="310" t="s">
        <v>957</v>
      </c>
      <c r="D20" s="311">
        <v>5777.14</v>
      </c>
      <c r="E20" s="963"/>
    </row>
    <row r="21" spans="1:5">
      <c r="A21" s="310" t="s">
        <v>958</v>
      </c>
      <c r="D21" s="311">
        <v>0</v>
      </c>
      <c r="E21" s="963"/>
    </row>
    <row r="22" spans="1:5">
      <c r="A22" s="310" t="s">
        <v>959</v>
      </c>
      <c r="D22" s="311">
        <v>5107.68</v>
      </c>
      <c r="E22" s="963"/>
    </row>
    <row r="23" spans="1:5">
      <c r="A23" s="310" t="s">
        <v>960</v>
      </c>
      <c r="D23" s="311">
        <v>0</v>
      </c>
      <c r="E23" s="963"/>
    </row>
    <row r="24" spans="1:5">
      <c r="A24" s="310" t="s">
        <v>961</v>
      </c>
      <c r="D24" s="311">
        <v>0</v>
      </c>
      <c r="E24" s="963"/>
    </row>
    <row r="25" spans="1:5">
      <c r="A25" s="310" t="s">
        <v>962</v>
      </c>
      <c r="D25" s="311">
        <v>8745.2800000000007</v>
      </c>
      <c r="E25" s="963"/>
    </row>
    <row r="26" spans="1:5">
      <c r="A26" s="310" t="s">
        <v>963</v>
      </c>
      <c r="D26" s="311">
        <v>0</v>
      </c>
      <c r="E26" s="963"/>
    </row>
    <row r="27" spans="1:5">
      <c r="A27" s="310" t="s">
        <v>964</v>
      </c>
      <c r="D27" s="311">
        <v>457350.03</v>
      </c>
      <c r="E27" s="963"/>
    </row>
    <row r="28" spans="1:5">
      <c r="A28" s="310" t="s">
        <v>965</v>
      </c>
      <c r="D28" s="311">
        <v>59173.51</v>
      </c>
      <c r="E28" s="963"/>
    </row>
    <row r="29" spans="1:5">
      <c r="A29" s="310" t="s">
        <v>966</v>
      </c>
      <c r="D29" s="311">
        <v>145007.78</v>
      </c>
      <c r="E29" s="963"/>
    </row>
    <row r="30" spans="1:5">
      <c r="A30" s="310" t="s">
        <v>967</v>
      </c>
      <c r="D30" s="311">
        <v>70376.039999999994</v>
      </c>
      <c r="E30" s="963"/>
    </row>
    <row r="31" spans="1:5">
      <c r="A31" s="310" t="s">
        <v>968</v>
      </c>
      <c r="D31" s="311">
        <v>99750.3</v>
      </c>
      <c r="E31" s="963"/>
    </row>
    <row r="32" spans="1:5">
      <c r="A32" s="310" t="s">
        <v>969</v>
      </c>
      <c r="D32" s="311">
        <v>0</v>
      </c>
      <c r="E32" s="963"/>
    </row>
    <row r="33" spans="1:5">
      <c r="A33" s="310" t="s">
        <v>970</v>
      </c>
      <c r="D33" s="311">
        <v>3718.2</v>
      </c>
      <c r="E33" s="963"/>
    </row>
    <row r="34" spans="1:5">
      <c r="A34" s="310" t="s">
        <v>971</v>
      </c>
      <c r="D34" s="311">
        <v>3907.41</v>
      </c>
      <c r="E34" s="963"/>
    </row>
    <row r="35" spans="1:5">
      <c r="A35" s="310" t="s">
        <v>972</v>
      </c>
      <c r="D35" s="311">
        <v>0</v>
      </c>
      <c r="E35" s="963"/>
    </row>
    <row r="36" spans="1:5">
      <c r="A36" s="310" t="s">
        <v>973</v>
      </c>
      <c r="D36" s="311">
        <v>0</v>
      </c>
      <c r="E36" s="963"/>
    </row>
    <row r="37" spans="1:5">
      <c r="A37" s="310" t="s">
        <v>974</v>
      </c>
      <c r="D37" s="311">
        <v>70793.33</v>
      </c>
      <c r="E37" s="963"/>
    </row>
    <row r="38" spans="1:5">
      <c r="A38" s="310" t="s">
        <v>975</v>
      </c>
      <c r="D38" s="311">
        <v>0</v>
      </c>
      <c r="E38" s="963"/>
    </row>
    <row r="39" spans="1:5">
      <c r="A39" s="310" t="s">
        <v>976</v>
      </c>
      <c r="D39" s="311">
        <v>0</v>
      </c>
      <c r="E39" s="963"/>
    </row>
    <row r="40" spans="1:5">
      <c r="A40" s="310" t="s">
        <v>977</v>
      </c>
      <c r="D40" s="311">
        <v>0</v>
      </c>
      <c r="E40" s="963"/>
    </row>
    <row r="41" spans="1:5">
      <c r="A41" s="310" t="s">
        <v>978</v>
      </c>
      <c r="D41" s="311">
        <v>53187.53</v>
      </c>
      <c r="E41" s="963"/>
    </row>
    <row r="42" spans="1:5">
      <c r="A42" s="310" t="s">
        <v>979</v>
      </c>
      <c r="D42" s="311">
        <v>0</v>
      </c>
      <c r="E42" s="963"/>
    </row>
    <row r="43" spans="1:5">
      <c r="A43" s="310" t="s">
        <v>980</v>
      </c>
      <c r="D43" s="311">
        <v>0</v>
      </c>
      <c r="E43" s="963"/>
    </row>
    <row r="44" spans="1:5">
      <c r="A44" s="310" t="s">
        <v>981</v>
      </c>
      <c r="D44" s="311">
        <v>0</v>
      </c>
      <c r="E44" s="963"/>
    </row>
    <row r="45" spans="1:5">
      <c r="A45" s="310" t="s">
        <v>982</v>
      </c>
      <c r="D45" s="311">
        <v>0</v>
      </c>
      <c r="E45" s="963"/>
    </row>
    <row r="46" spans="1:5">
      <c r="A46" s="310" t="s">
        <v>983</v>
      </c>
      <c r="D46" s="311">
        <v>0</v>
      </c>
      <c r="E46" s="963"/>
    </row>
    <row r="47" spans="1:5">
      <c r="A47" s="310" t="s">
        <v>984</v>
      </c>
      <c r="D47" s="311">
        <v>102110.13</v>
      </c>
      <c r="E47" s="963"/>
    </row>
    <row r="48" spans="1:5">
      <c r="A48" s="310" t="s">
        <v>985</v>
      </c>
      <c r="D48" s="311">
        <v>0</v>
      </c>
      <c r="E48" s="963"/>
    </row>
    <row r="49" spans="1:8">
      <c r="A49" s="310" t="s">
        <v>986</v>
      </c>
      <c r="D49" s="311">
        <v>53060.43</v>
      </c>
      <c r="E49" s="963"/>
    </row>
    <row r="50" spans="1:8">
      <c r="A50" s="310" t="s">
        <v>987</v>
      </c>
      <c r="D50" s="311">
        <v>0</v>
      </c>
      <c r="E50" s="307"/>
    </row>
    <row r="51" spans="1:8">
      <c r="A51" s="310" t="s">
        <v>988</v>
      </c>
      <c r="D51" s="311">
        <v>32686.47</v>
      </c>
      <c r="E51" s="307"/>
    </row>
    <row r="52" spans="1:8">
      <c r="A52" s="310" t="s">
        <v>989</v>
      </c>
      <c r="D52" s="311">
        <v>0</v>
      </c>
      <c r="E52" s="307"/>
    </row>
    <row r="53" spans="1:8">
      <c r="A53" s="310" t="s">
        <v>990</v>
      </c>
      <c r="D53" s="311">
        <v>3535.38</v>
      </c>
      <c r="E53" s="307"/>
    </row>
    <row r="54" spans="1:8">
      <c r="A54" s="310" t="s">
        <v>991</v>
      </c>
      <c r="D54" s="311">
        <v>0</v>
      </c>
      <c r="E54" s="307"/>
    </row>
    <row r="55" spans="1:8">
      <c r="A55" s="310" t="s">
        <v>992</v>
      </c>
      <c r="D55" s="311">
        <v>0</v>
      </c>
      <c r="E55" s="307"/>
    </row>
    <row r="56" spans="1:8">
      <c r="A56" s="310" t="s">
        <v>993</v>
      </c>
      <c r="D56" s="311">
        <v>0</v>
      </c>
    </row>
    <row r="57" spans="1:8">
      <c r="A57" s="310" t="s">
        <v>994</v>
      </c>
      <c r="D57" s="311">
        <v>0</v>
      </c>
    </row>
    <row r="58" spans="1:8">
      <c r="A58" s="310" t="s">
        <v>995</v>
      </c>
      <c r="D58" s="311">
        <v>0</v>
      </c>
    </row>
    <row r="59" spans="1:8">
      <c r="A59" s="310" t="s">
        <v>996</v>
      </c>
      <c r="D59" s="311">
        <v>0</v>
      </c>
    </row>
    <row r="60" spans="1:8">
      <c r="A60" s="310" t="s">
        <v>997</v>
      </c>
      <c r="D60" s="311">
        <v>0</v>
      </c>
    </row>
    <row r="61" spans="1:8">
      <c r="A61" s="310" t="s">
        <v>998</v>
      </c>
      <c r="D61" s="311">
        <v>0</v>
      </c>
    </row>
    <row r="62" spans="1:8">
      <c r="A62" s="310" t="s">
        <v>999</v>
      </c>
      <c r="D62" s="311">
        <v>0</v>
      </c>
    </row>
    <row r="63" spans="1:8">
      <c r="A63" s="310" t="s">
        <v>1000</v>
      </c>
      <c r="D63" s="311">
        <v>0</v>
      </c>
      <c r="E63" s="965"/>
      <c r="F63" s="965"/>
      <c r="G63" s="965"/>
      <c r="H63" s="966"/>
    </row>
    <row r="64" spans="1:8">
      <c r="A64" s="310" t="s">
        <v>1001</v>
      </c>
      <c r="D64" s="311">
        <v>0</v>
      </c>
      <c r="H64" s="967"/>
    </row>
    <row r="65" spans="1:8">
      <c r="A65" s="310" t="s">
        <v>1002</v>
      </c>
      <c r="D65" s="311">
        <v>0</v>
      </c>
      <c r="E65" s="968"/>
      <c r="F65" s="968"/>
      <c r="G65" s="968"/>
    </row>
    <row r="66" spans="1:8">
      <c r="A66" s="310" t="s">
        <v>1003</v>
      </c>
      <c r="D66" s="311">
        <v>4015.95</v>
      </c>
      <c r="H66" s="964"/>
    </row>
    <row r="67" spans="1:8">
      <c r="A67" s="310" t="s">
        <v>1004</v>
      </c>
      <c r="D67" s="311">
        <v>0</v>
      </c>
      <c r="H67" s="964"/>
    </row>
    <row r="68" spans="1:8">
      <c r="A68" s="310" t="s">
        <v>1005</v>
      </c>
      <c r="D68" s="311">
        <v>0</v>
      </c>
    </row>
    <row r="69" spans="1:8" ht="13.5" thickBot="1">
      <c r="A69" s="969" t="s">
        <v>1006</v>
      </c>
      <c r="D69" s="970">
        <v>1224720.47</v>
      </c>
      <c r="E69" s="312" t="s">
        <v>1007</v>
      </c>
    </row>
    <row r="70" spans="1:8" ht="13.5" thickTop="1">
      <c r="A70" s="969"/>
      <c r="B70" s="313"/>
      <c r="C70" s="313"/>
      <c r="D70" s="971"/>
      <c r="E70" s="313" t="s">
        <v>1008</v>
      </c>
      <c r="F70" s="313"/>
      <c r="G70" s="313"/>
      <c r="H70" s="313"/>
    </row>
  </sheetData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59999389629810485"/>
    <pageSetUpPr fitToPage="1"/>
  </sheetPr>
  <dimension ref="A1:I74"/>
  <sheetViews>
    <sheetView workbookViewId="0">
      <selection activeCell="C12" sqref="C12"/>
    </sheetView>
  </sheetViews>
  <sheetFormatPr defaultColWidth="27.85546875" defaultRowHeight="15"/>
  <cols>
    <col min="1" max="1" width="31.7109375" style="488" customWidth="1"/>
    <col min="2" max="2" width="1.85546875" style="488" customWidth="1"/>
    <col min="3" max="3" width="17.42578125" style="488" bestFit="1" customWidth="1"/>
    <col min="4" max="4" width="1.85546875" style="488" customWidth="1"/>
    <col min="5" max="5" width="15.5703125" style="488" bestFit="1" customWidth="1"/>
    <col min="6" max="6" width="1.85546875" style="488" customWidth="1"/>
    <col min="7" max="7" width="17.42578125" style="488" bestFit="1" customWidth="1"/>
    <col min="8" max="8" width="1.85546875" style="488" customWidth="1"/>
    <col min="9" max="9" width="19.42578125" style="488" customWidth="1"/>
    <col min="10" max="256" width="27.85546875" style="488"/>
    <col min="257" max="257" width="31.7109375" style="488" customWidth="1"/>
    <col min="258" max="258" width="1.85546875" style="488" customWidth="1"/>
    <col min="259" max="259" width="17.42578125" style="488" bestFit="1" customWidth="1"/>
    <col min="260" max="260" width="1.85546875" style="488" customWidth="1"/>
    <col min="261" max="261" width="15.5703125" style="488" bestFit="1" customWidth="1"/>
    <col min="262" max="262" width="1.85546875" style="488" customWidth="1"/>
    <col min="263" max="263" width="17.42578125" style="488" bestFit="1" customWidth="1"/>
    <col min="264" max="264" width="1.85546875" style="488" customWidth="1"/>
    <col min="265" max="265" width="19.42578125" style="488" customWidth="1"/>
    <col min="266" max="512" width="27.85546875" style="488"/>
    <col min="513" max="513" width="31.7109375" style="488" customWidth="1"/>
    <col min="514" max="514" width="1.85546875" style="488" customWidth="1"/>
    <col min="515" max="515" width="17.42578125" style="488" bestFit="1" customWidth="1"/>
    <col min="516" max="516" width="1.85546875" style="488" customWidth="1"/>
    <col min="517" max="517" width="15.5703125" style="488" bestFit="1" customWidth="1"/>
    <col min="518" max="518" width="1.85546875" style="488" customWidth="1"/>
    <col min="519" max="519" width="17.42578125" style="488" bestFit="1" customWidth="1"/>
    <col min="520" max="520" width="1.85546875" style="488" customWidth="1"/>
    <col min="521" max="521" width="19.42578125" style="488" customWidth="1"/>
    <col min="522" max="768" width="27.85546875" style="488"/>
    <col min="769" max="769" width="31.7109375" style="488" customWidth="1"/>
    <col min="770" max="770" width="1.85546875" style="488" customWidth="1"/>
    <col min="771" max="771" width="17.42578125" style="488" bestFit="1" customWidth="1"/>
    <col min="772" max="772" width="1.85546875" style="488" customWidth="1"/>
    <col min="773" max="773" width="15.5703125" style="488" bestFit="1" customWidth="1"/>
    <col min="774" max="774" width="1.85546875" style="488" customWidth="1"/>
    <col min="775" max="775" width="17.42578125" style="488" bestFit="1" customWidth="1"/>
    <col min="776" max="776" width="1.85546875" style="488" customWidth="1"/>
    <col min="777" max="777" width="19.42578125" style="488" customWidth="1"/>
    <col min="778" max="1024" width="27.85546875" style="488"/>
    <col min="1025" max="1025" width="31.7109375" style="488" customWidth="1"/>
    <col min="1026" max="1026" width="1.85546875" style="488" customWidth="1"/>
    <col min="1027" max="1027" width="17.42578125" style="488" bestFit="1" customWidth="1"/>
    <col min="1028" max="1028" width="1.85546875" style="488" customWidth="1"/>
    <col min="1029" max="1029" width="15.5703125" style="488" bestFit="1" customWidth="1"/>
    <col min="1030" max="1030" width="1.85546875" style="488" customWidth="1"/>
    <col min="1031" max="1031" width="17.42578125" style="488" bestFit="1" customWidth="1"/>
    <col min="1032" max="1032" width="1.85546875" style="488" customWidth="1"/>
    <col min="1033" max="1033" width="19.42578125" style="488" customWidth="1"/>
    <col min="1034" max="1280" width="27.85546875" style="488"/>
    <col min="1281" max="1281" width="31.7109375" style="488" customWidth="1"/>
    <col min="1282" max="1282" width="1.85546875" style="488" customWidth="1"/>
    <col min="1283" max="1283" width="17.42578125" style="488" bestFit="1" customWidth="1"/>
    <col min="1284" max="1284" width="1.85546875" style="488" customWidth="1"/>
    <col min="1285" max="1285" width="15.5703125" style="488" bestFit="1" customWidth="1"/>
    <col min="1286" max="1286" width="1.85546875" style="488" customWidth="1"/>
    <col min="1287" max="1287" width="17.42578125" style="488" bestFit="1" customWidth="1"/>
    <col min="1288" max="1288" width="1.85546875" style="488" customWidth="1"/>
    <col min="1289" max="1289" width="19.42578125" style="488" customWidth="1"/>
    <col min="1290" max="1536" width="27.85546875" style="488"/>
    <col min="1537" max="1537" width="31.7109375" style="488" customWidth="1"/>
    <col min="1538" max="1538" width="1.85546875" style="488" customWidth="1"/>
    <col min="1539" max="1539" width="17.42578125" style="488" bestFit="1" customWidth="1"/>
    <col min="1540" max="1540" width="1.85546875" style="488" customWidth="1"/>
    <col min="1541" max="1541" width="15.5703125" style="488" bestFit="1" customWidth="1"/>
    <col min="1542" max="1542" width="1.85546875" style="488" customWidth="1"/>
    <col min="1543" max="1543" width="17.42578125" style="488" bestFit="1" customWidth="1"/>
    <col min="1544" max="1544" width="1.85546875" style="488" customWidth="1"/>
    <col min="1545" max="1545" width="19.42578125" style="488" customWidth="1"/>
    <col min="1546" max="1792" width="27.85546875" style="488"/>
    <col min="1793" max="1793" width="31.7109375" style="488" customWidth="1"/>
    <col min="1794" max="1794" width="1.85546875" style="488" customWidth="1"/>
    <col min="1795" max="1795" width="17.42578125" style="488" bestFit="1" customWidth="1"/>
    <col min="1796" max="1796" width="1.85546875" style="488" customWidth="1"/>
    <col min="1797" max="1797" width="15.5703125" style="488" bestFit="1" customWidth="1"/>
    <col min="1798" max="1798" width="1.85546875" style="488" customWidth="1"/>
    <col min="1799" max="1799" width="17.42578125" style="488" bestFit="1" customWidth="1"/>
    <col min="1800" max="1800" width="1.85546875" style="488" customWidth="1"/>
    <col min="1801" max="1801" width="19.42578125" style="488" customWidth="1"/>
    <col min="1802" max="2048" width="27.85546875" style="488"/>
    <col min="2049" max="2049" width="31.7109375" style="488" customWidth="1"/>
    <col min="2050" max="2050" width="1.85546875" style="488" customWidth="1"/>
    <col min="2051" max="2051" width="17.42578125" style="488" bestFit="1" customWidth="1"/>
    <col min="2052" max="2052" width="1.85546875" style="488" customWidth="1"/>
    <col min="2053" max="2053" width="15.5703125" style="488" bestFit="1" customWidth="1"/>
    <col min="2054" max="2054" width="1.85546875" style="488" customWidth="1"/>
    <col min="2055" max="2055" width="17.42578125" style="488" bestFit="1" customWidth="1"/>
    <col min="2056" max="2056" width="1.85546875" style="488" customWidth="1"/>
    <col min="2057" max="2057" width="19.42578125" style="488" customWidth="1"/>
    <col min="2058" max="2304" width="27.85546875" style="488"/>
    <col min="2305" max="2305" width="31.7109375" style="488" customWidth="1"/>
    <col min="2306" max="2306" width="1.85546875" style="488" customWidth="1"/>
    <col min="2307" max="2307" width="17.42578125" style="488" bestFit="1" customWidth="1"/>
    <col min="2308" max="2308" width="1.85546875" style="488" customWidth="1"/>
    <col min="2309" max="2309" width="15.5703125" style="488" bestFit="1" customWidth="1"/>
    <col min="2310" max="2310" width="1.85546875" style="488" customWidth="1"/>
    <col min="2311" max="2311" width="17.42578125" style="488" bestFit="1" customWidth="1"/>
    <col min="2312" max="2312" width="1.85546875" style="488" customWidth="1"/>
    <col min="2313" max="2313" width="19.42578125" style="488" customWidth="1"/>
    <col min="2314" max="2560" width="27.85546875" style="488"/>
    <col min="2561" max="2561" width="31.7109375" style="488" customWidth="1"/>
    <col min="2562" max="2562" width="1.85546875" style="488" customWidth="1"/>
    <col min="2563" max="2563" width="17.42578125" style="488" bestFit="1" customWidth="1"/>
    <col min="2564" max="2564" width="1.85546875" style="488" customWidth="1"/>
    <col min="2565" max="2565" width="15.5703125" style="488" bestFit="1" customWidth="1"/>
    <col min="2566" max="2566" width="1.85546875" style="488" customWidth="1"/>
    <col min="2567" max="2567" width="17.42578125" style="488" bestFit="1" customWidth="1"/>
    <col min="2568" max="2568" width="1.85546875" style="488" customWidth="1"/>
    <col min="2569" max="2569" width="19.42578125" style="488" customWidth="1"/>
    <col min="2570" max="2816" width="27.85546875" style="488"/>
    <col min="2817" max="2817" width="31.7109375" style="488" customWidth="1"/>
    <col min="2818" max="2818" width="1.85546875" style="488" customWidth="1"/>
    <col min="2819" max="2819" width="17.42578125" style="488" bestFit="1" customWidth="1"/>
    <col min="2820" max="2820" width="1.85546875" style="488" customWidth="1"/>
    <col min="2821" max="2821" width="15.5703125" style="488" bestFit="1" customWidth="1"/>
    <col min="2822" max="2822" width="1.85546875" style="488" customWidth="1"/>
    <col min="2823" max="2823" width="17.42578125" style="488" bestFit="1" customWidth="1"/>
    <col min="2824" max="2824" width="1.85546875" style="488" customWidth="1"/>
    <col min="2825" max="2825" width="19.42578125" style="488" customWidth="1"/>
    <col min="2826" max="3072" width="27.85546875" style="488"/>
    <col min="3073" max="3073" width="31.7109375" style="488" customWidth="1"/>
    <col min="3074" max="3074" width="1.85546875" style="488" customWidth="1"/>
    <col min="3075" max="3075" width="17.42578125" style="488" bestFit="1" customWidth="1"/>
    <col min="3076" max="3076" width="1.85546875" style="488" customWidth="1"/>
    <col min="3077" max="3077" width="15.5703125" style="488" bestFit="1" customWidth="1"/>
    <col min="3078" max="3078" width="1.85546875" style="488" customWidth="1"/>
    <col min="3079" max="3079" width="17.42578125" style="488" bestFit="1" customWidth="1"/>
    <col min="3080" max="3080" width="1.85546875" style="488" customWidth="1"/>
    <col min="3081" max="3081" width="19.42578125" style="488" customWidth="1"/>
    <col min="3082" max="3328" width="27.85546875" style="488"/>
    <col min="3329" max="3329" width="31.7109375" style="488" customWidth="1"/>
    <col min="3330" max="3330" width="1.85546875" style="488" customWidth="1"/>
    <col min="3331" max="3331" width="17.42578125" style="488" bestFit="1" customWidth="1"/>
    <col min="3332" max="3332" width="1.85546875" style="488" customWidth="1"/>
    <col min="3333" max="3333" width="15.5703125" style="488" bestFit="1" customWidth="1"/>
    <col min="3334" max="3334" width="1.85546875" style="488" customWidth="1"/>
    <col min="3335" max="3335" width="17.42578125" style="488" bestFit="1" customWidth="1"/>
    <col min="3336" max="3336" width="1.85546875" style="488" customWidth="1"/>
    <col min="3337" max="3337" width="19.42578125" style="488" customWidth="1"/>
    <col min="3338" max="3584" width="27.85546875" style="488"/>
    <col min="3585" max="3585" width="31.7109375" style="488" customWidth="1"/>
    <col min="3586" max="3586" width="1.85546875" style="488" customWidth="1"/>
    <col min="3587" max="3587" width="17.42578125" style="488" bestFit="1" customWidth="1"/>
    <col min="3588" max="3588" width="1.85546875" style="488" customWidth="1"/>
    <col min="3589" max="3589" width="15.5703125" style="488" bestFit="1" customWidth="1"/>
    <col min="3590" max="3590" width="1.85546875" style="488" customWidth="1"/>
    <col min="3591" max="3591" width="17.42578125" style="488" bestFit="1" customWidth="1"/>
    <col min="3592" max="3592" width="1.85546875" style="488" customWidth="1"/>
    <col min="3593" max="3593" width="19.42578125" style="488" customWidth="1"/>
    <col min="3594" max="3840" width="27.85546875" style="488"/>
    <col min="3841" max="3841" width="31.7109375" style="488" customWidth="1"/>
    <col min="3842" max="3842" width="1.85546875" style="488" customWidth="1"/>
    <col min="3843" max="3843" width="17.42578125" style="488" bestFit="1" customWidth="1"/>
    <col min="3844" max="3844" width="1.85546875" style="488" customWidth="1"/>
    <col min="3845" max="3845" width="15.5703125" style="488" bestFit="1" customWidth="1"/>
    <col min="3846" max="3846" width="1.85546875" style="488" customWidth="1"/>
    <col min="3847" max="3847" width="17.42578125" style="488" bestFit="1" customWidth="1"/>
    <col min="3848" max="3848" width="1.85546875" style="488" customWidth="1"/>
    <col min="3849" max="3849" width="19.42578125" style="488" customWidth="1"/>
    <col min="3850" max="4096" width="27.85546875" style="488"/>
    <col min="4097" max="4097" width="31.7109375" style="488" customWidth="1"/>
    <col min="4098" max="4098" width="1.85546875" style="488" customWidth="1"/>
    <col min="4099" max="4099" width="17.42578125" style="488" bestFit="1" customWidth="1"/>
    <col min="4100" max="4100" width="1.85546875" style="488" customWidth="1"/>
    <col min="4101" max="4101" width="15.5703125" style="488" bestFit="1" customWidth="1"/>
    <col min="4102" max="4102" width="1.85546875" style="488" customWidth="1"/>
    <col min="4103" max="4103" width="17.42578125" style="488" bestFit="1" customWidth="1"/>
    <col min="4104" max="4104" width="1.85546875" style="488" customWidth="1"/>
    <col min="4105" max="4105" width="19.42578125" style="488" customWidth="1"/>
    <col min="4106" max="4352" width="27.85546875" style="488"/>
    <col min="4353" max="4353" width="31.7109375" style="488" customWidth="1"/>
    <col min="4354" max="4354" width="1.85546875" style="488" customWidth="1"/>
    <col min="4355" max="4355" width="17.42578125" style="488" bestFit="1" customWidth="1"/>
    <col min="4356" max="4356" width="1.85546875" style="488" customWidth="1"/>
    <col min="4357" max="4357" width="15.5703125" style="488" bestFit="1" customWidth="1"/>
    <col min="4358" max="4358" width="1.85546875" style="488" customWidth="1"/>
    <col min="4359" max="4359" width="17.42578125" style="488" bestFit="1" customWidth="1"/>
    <col min="4360" max="4360" width="1.85546875" style="488" customWidth="1"/>
    <col min="4361" max="4361" width="19.42578125" style="488" customWidth="1"/>
    <col min="4362" max="4608" width="27.85546875" style="488"/>
    <col min="4609" max="4609" width="31.7109375" style="488" customWidth="1"/>
    <col min="4610" max="4610" width="1.85546875" style="488" customWidth="1"/>
    <col min="4611" max="4611" width="17.42578125" style="488" bestFit="1" customWidth="1"/>
    <col min="4612" max="4612" width="1.85546875" style="488" customWidth="1"/>
    <col min="4613" max="4613" width="15.5703125" style="488" bestFit="1" customWidth="1"/>
    <col min="4614" max="4614" width="1.85546875" style="488" customWidth="1"/>
    <col min="4615" max="4615" width="17.42578125" style="488" bestFit="1" customWidth="1"/>
    <col min="4616" max="4616" width="1.85546875" style="488" customWidth="1"/>
    <col min="4617" max="4617" width="19.42578125" style="488" customWidth="1"/>
    <col min="4618" max="4864" width="27.85546875" style="488"/>
    <col min="4865" max="4865" width="31.7109375" style="488" customWidth="1"/>
    <col min="4866" max="4866" width="1.85546875" style="488" customWidth="1"/>
    <col min="4867" max="4867" width="17.42578125" style="488" bestFit="1" customWidth="1"/>
    <col min="4868" max="4868" width="1.85546875" style="488" customWidth="1"/>
    <col min="4869" max="4869" width="15.5703125" style="488" bestFit="1" customWidth="1"/>
    <col min="4870" max="4870" width="1.85546875" style="488" customWidth="1"/>
    <col min="4871" max="4871" width="17.42578125" style="488" bestFit="1" customWidth="1"/>
    <col min="4872" max="4872" width="1.85546875" style="488" customWidth="1"/>
    <col min="4873" max="4873" width="19.42578125" style="488" customWidth="1"/>
    <col min="4874" max="5120" width="27.85546875" style="488"/>
    <col min="5121" max="5121" width="31.7109375" style="488" customWidth="1"/>
    <col min="5122" max="5122" width="1.85546875" style="488" customWidth="1"/>
    <col min="5123" max="5123" width="17.42578125" style="488" bestFit="1" customWidth="1"/>
    <col min="5124" max="5124" width="1.85546875" style="488" customWidth="1"/>
    <col min="5125" max="5125" width="15.5703125" style="488" bestFit="1" customWidth="1"/>
    <col min="5126" max="5126" width="1.85546875" style="488" customWidth="1"/>
    <col min="5127" max="5127" width="17.42578125" style="488" bestFit="1" customWidth="1"/>
    <col min="5128" max="5128" width="1.85546875" style="488" customWidth="1"/>
    <col min="5129" max="5129" width="19.42578125" style="488" customWidth="1"/>
    <col min="5130" max="5376" width="27.85546875" style="488"/>
    <col min="5377" max="5377" width="31.7109375" style="488" customWidth="1"/>
    <col min="5378" max="5378" width="1.85546875" style="488" customWidth="1"/>
    <col min="5379" max="5379" width="17.42578125" style="488" bestFit="1" customWidth="1"/>
    <col min="5380" max="5380" width="1.85546875" style="488" customWidth="1"/>
    <col min="5381" max="5381" width="15.5703125" style="488" bestFit="1" customWidth="1"/>
    <col min="5382" max="5382" width="1.85546875" style="488" customWidth="1"/>
    <col min="5383" max="5383" width="17.42578125" style="488" bestFit="1" customWidth="1"/>
    <col min="5384" max="5384" width="1.85546875" style="488" customWidth="1"/>
    <col min="5385" max="5385" width="19.42578125" style="488" customWidth="1"/>
    <col min="5386" max="5632" width="27.85546875" style="488"/>
    <col min="5633" max="5633" width="31.7109375" style="488" customWidth="1"/>
    <col min="5634" max="5634" width="1.85546875" style="488" customWidth="1"/>
    <col min="5635" max="5635" width="17.42578125" style="488" bestFit="1" customWidth="1"/>
    <col min="5636" max="5636" width="1.85546875" style="488" customWidth="1"/>
    <col min="5637" max="5637" width="15.5703125" style="488" bestFit="1" customWidth="1"/>
    <col min="5638" max="5638" width="1.85546875" style="488" customWidth="1"/>
    <col min="5639" max="5639" width="17.42578125" style="488" bestFit="1" customWidth="1"/>
    <col min="5640" max="5640" width="1.85546875" style="488" customWidth="1"/>
    <col min="5641" max="5641" width="19.42578125" style="488" customWidth="1"/>
    <col min="5642" max="5888" width="27.85546875" style="488"/>
    <col min="5889" max="5889" width="31.7109375" style="488" customWidth="1"/>
    <col min="5890" max="5890" width="1.85546875" style="488" customWidth="1"/>
    <col min="5891" max="5891" width="17.42578125" style="488" bestFit="1" customWidth="1"/>
    <col min="5892" max="5892" width="1.85546875" style="488" customWidth="1"/>
    <col min="5893" max="5893" width="15.5703125" style="488" bestFit="1" customWidth="1"/>
    <col min="5894" max="5894" width="1.85546875" style="488" customWidth="1"/>
    <col min="5895" max="5895" width="17.42578125" style="488" bestFit="1" customWidth="1"/>
    <col min="5896" max="5896" width="1.85546875" style="488" customWidth="1"/>
    <col min="5897" max="5897" width="19.42578125" style="488" customWidth="1"/>
    <col min="5898" max="6144" width="27.85546875" style="488"/>
    <col min="6145" max="6145" width="31.7109375" style="488" customWidth="1"/>
    <col min="6146" max="6146" width="1.85546875" style="488" customWidth="1"/>
    <col min="6147" max="6147" width="17.42578125" style="488" bestFit="1" customWidth="1"/>
    <col min="6148" max="6148" width="1.85546875" style="488" customWidth="1"/>
    <col min="6149" max="6149" width="15.5703125" style="488" bestFit="1" customWidth="1"/>
    <col min="6150" max="6150" width="1.85546875" style="488" customWidth="1"/>
    <col min="6151" max="6151" width="17.42578125" style="488" bestFit="1" customWidth="1"/>
    <col min="6152" max="6152" width="1.85546875" style="488" customWidth="1"/>
    <col min="6153" max="6153" width="19.42578125" style="488" customWidth="1"/>
    <col min="6154" max="6400" width="27.85546875" style="488"/>
    <col min="6401" max="6401" width="31.7109375" style="488" customWidth="1"/>
    <col min="6402" max="6402" width="1.85546875" style="488" customWidth="1"/>
    <col min="6403" max="6403" width="17.42578125" style="488" bestFit="1" customWidth="1"/>
    <col min="6404" max="6404" width="1.85546875" style="488" customWidth="1"/>
    <col min="6405" max="6405" width="15.5703125" style="488" bestFit="1" customWidth="1"/>
    <col min="6406" max="6406" width="1.85546875" style="488" customWidth="1"/>
    <col min="6407" max="6407" width="17.42578125" style="488" bestFit="1" customWidth="1"/>
    <col min="6408" max="6408" width="1.85546875" style="488" customWidth="1"/>
    <col min="6409" max="6409" width="19.42578125" style="488" customWidth="1"/>
    <col min="6410" max="6656" width="27.85546875" style="488"/>
    <col min="6657" max="6657" width="31.7109375" style="488" customWidth="1"/>
    <col min="6658" max="6658" width="1.85546875" style="488" customWidth="1"/>
    <col min="6659" max="6659" width="17.42578125" style="488" bestFit="1" customWidth="1"/>
    <col min="6660" max="6660" width="1.85546875" style="488" customWidth="1"/>
    <col min="6661" max="6661" width="15.5703125" style="488" bestFit="1" customWidth="1"/>
    <col min="6662" max="6662" width="1.85546875" style="488" customWidth="1"/>
    <col min="6663" max="6663" width="17.42578125" style="488" bestFit="1" customWidth="1"/>
    <col min="6664" max="6664" width="1.85546875" style="488" customWidth="1"/>
    <col min="6665" max="6665" width="19.42578125" style="488" customWidth="1"/>
    <col min="6666" max="6912" width="27.85546875" style="488"/>
    <col min="6913" max="6913" width="31.7109375" style="488" customWidth="1"/>
    <col min="6914" max="6914" width="1.85546875" style="488" customWidth="1"/>
    <col min="6915" max="6915" width="17.42578125" style="488" bestFit="1" customWidth="1"/>
    <col min="6916" max="6916" width="1.85546875" style="488" customWidth="1"/>
    <col min="6917" max="6917" width="15.5703125" style="488" bestFit="1" customWidth="1"/>
    <col min="6918" max="6918" width="1.85546875" style="488" customWidth="1"/>
    <col min="6919" max="6919" width="17.42578125" style="488" bestFit="1" customWidth="1"/>
    <col min="6920" max="6920" width="1.85546875" style="488" customWidth="1"/>
    <col min="6921" max="6921" width="19.42578125" style="488" customWidth="1"/>
    <col min="6922" max="7168" width="27.85546875" style="488"/>
    <col min="7169" max="7169" width="31.7109375" style="488" customWidth="1"/>
    <col min="7170" max="7170" width="1.85546875" style="488" customWidth="1"/>
    <col min="7171" max="7171" width="17.42578125" style="488" bestFit="1" customWidth="1"/>
    <col min="7172" max="7172" width="1.85546875" style="488" customWidth="1"/>
    <col min="7173" max="7173" width="15.5703125" style="488" bestFit="1" customWidth="1"/>
    <col min="7174" max="7174" width="1.85546875" style="488" customWidth="1"/>
    <col min="7175" max="7175" width="17.42578125" style="488" bestFit="1" customWidth="1"/>
    <col min="7176" max="7176" width="1.85546875" style="488" customWidth="1"/>
    <col min="7177" max="7177" width="19.42578125" style="488" customWidth="1"/>
    <col min="7178" max="7424" width="27.85546875" style="488"/>
    <col min="7425" max="7425" width="31.7109375" style="488" customWidth="1"/>
    <col min="7426" max="7426" width="1.85546875" style="488" customWidth="1"/>
    <col min="7427" max="7427" width="17.42578125" style="488" bestFit="1" customWidth="1"/>
    <col min="7428" max="7428" width="1.85546875" style="488" customWidth="1"/>
    <col min="7429" max="7429" width="15.5703125" style="488" bestFit="1" customWidth="1"/>
    <col min="7430" max="7430" width="1.85546875" style="488" customWidth="1"/>
    <col min="7431" max="7431" width="17.42578125" style="488" bestFit="1" customWidth="1"/>
    <col min="7432" max="7432" width="1.85546875" style="488" customWidth="1"/>
    <col min="7433" max="7433" width="19.42578125" style="488" customWidth="1"/>
    <col min="7434" max="7680" width="27.85546875" style="488"/>
    <col min="7681" max="7681" width="31.7109375" style="488" customWidth="1"/>
    <col min="7682" max="7682" width="1.85546875" style="488" customWidth="1"/>
    <col min="7683" max="7683" width="17.42578125" style="488" bestFit="1" customWidth="1"/>
    <col min="7684" max="7684" width="1.85546875" style="488" customWidth="1"/>
    <col min="7685" max="7685" width="15.5703125" style="488" bestFit="1" customWidth="1"/>
    <col min="7686" max="7686" width="1.85546875" style="488" customWidth="1"/>
    <col min="7687" max="7687" width="17.42578125" style="488" bestFit="1" customWidth="1"/>
    <col min="7688" max="7688" width="1.85546875" style="488" customWidth="1"/>
    <col min="7689" max="7689" width="19.42578125" style="488" customWidth="1"/>
    <col min="7690" max="7936" width="27.85546875" style="488"/>
    <col min="7937" max="7937" width="31.7109375" style="488" customWidth="1"/>
    <col min="7938" max="7938" width="1.85546875" style="488" customWidth="1"/>
    <col min="7939" max="7939" width="17.42578125" style="488" bestFit="1" customWidth="1"/>
    <col min="7940" max="7940" width="1.85546875" style="488" customWidth="1"/>
    <col min="7941" max="7941" width="15.5703125" style="488" bestFit="1" customWidth="1"/>
    <col min="7942" max="7942" width="1.85546875" style="488" customWidth="1"/>
    <col min="7943" max="7943" width="17.42578125" style="488" bestFit="1" customWidth="1"/>
    <col min="7944" max="7944" width="1.85546875" style="488" customWidth="1"/>
    <col min="7945" max="7945" width="19.42578125" style="488" customWidth="1"/>
    <col min="7946" max="8192" width="27.85546875" style="488"/>
    <col min="8193" max="8193" width="31.7109375" style="488" customWidth="1"/>
    <col min="8194" max="8194" width="1.85546875" style="488" customWidth="1"/>
    <col min="8195" max="8195" width="17.42578125" style="488" bestFit="1" customWidth="1"/>
    <col min="8196" max="8196" width="1.85546875" style="488" customWidth="1"/>
    <col min="8197" max="8197" width="15.5703125" style="488" bestFit="1" customWidth="1"/>
    <col min="8198" max="8198" width="1.85546875" style="488" customWidth="1"/>
    <col min="8199" max="8199" width="17.42578125" style="488" bestFit="1" customWidth="1"/>
    <col min="8200" max="8200" width="1.85546875" style="488" customWidth="1"/>
    <col min="8201" max="8201" width="19.42578125" style="488" customWidth="1"/>
    <col min="8202" max="8448" width="27.85546875" style="488"/>
    <col min="8449" max="8449" width="31.7109375" style="488" customWidth="1"/>
    <col min="8450" max="8450" width="1.85546875" style="488" customWidth="1"/>
    <col min="8451" max="8451" width="17.42578125" style="488" bestFit="1" customWidth="1"/>
    <col min="8452" max="8452" width="1.85546875" style="488" customWidth="1"/>
    <col min="8453" max="8453" width="15.5703125" style="488" bestFit="1" customWidth="1"/>
    <col min="8454" max="8454" width="1.85546875" style="488" customWidth="1"/>
    <col min="8455" max="8455" width="17.42578125" style="488" bestFit="1" customWidth="1"/>
    <col min="8456" max="8456" width="1.85546875" style="488" customWidth="1"/>
    <col min="8457" max="8457" width="19.42578125" style="488" customWidth="1"/>
    <col min="8458" max="8704" width="27.85546875" style="488"/>
    <col min="8705" max="8705" width="31.7109375" style="488" customWidth="1"/>
    <col min="8706" max="8706" width="1.85546875" style="488" customWidth="1"/>
    <col min="8707" max="8707" width="17.42578125" style="488" bestFit="1" customWidth="1"/>
    <col min="8708" max="8708" width="1.85546875" style="488" customWidth="1"/>
    <col min="8709" max="8709" width="15.5703125" style="488" bestFit="1" customWidth="1"/>
    <col min="8710" max="8710" width="1.85546875" style="488" customWidth="1"/>
    <col min="8711" max="8711" width="17.42578125" style="488" bestFit="1" customWidth="1"/>
    <col min="8712" max="8712" width="1.85546875" style="488" customWidth="1"/>
    <col min="8713" max="8713" width="19.42578125" style="488" customWidth="1"/>
    <col min="8714" max="8960" width="27.85546875" style="488"/>
    <col min="8961" max="8961" width="31.7109375" style="488" customWidth="1"/>
    <col min="8962" max="8962" width="1.85546875" style="488" customWidth="1"/>
    <col min="8963" max="8963" width="17.42578125" style="488" bestFit="1" customWidth="1"/>
    <col min="8964" max="8964" width="1.85546875" style="488" customWidth="1"/>
    <col min="8965" max="8965" width="15.5703125" style="488" bestFit="1" customWidth="1"/>
    <col min="8966" max="8966" width="1.85546875" style="488" customWidth="1"/>
    <col min="8967" max="8967" width="17.42578125" style="488" bestFit="1" customWidth="1"/>
    <col min="8968" max="8968" width="1.85546875" style="488" customWidth="1"/>
    <col min="8969" max="8969" width="19.42578125" style="488" customWidth="1"/>
    <col min="8970" max="9216" width="27.85546875" style="488"/>
    <col min="9217" max="9217" width="31.7109375" style="488" customWidth="1"/>
    <col min="9218" max="9218" width="1.85546875" style="488" customWidth="1"/>
    <col min="9219" max="9219" width="17.42578125" style="488" bestFit="1" customWidth="1"/>
    <col min="9220" max="9220" width="1.85546875" style="488" customWidth="1"/>
    <col min="9221" max="9221" width="15.5703125" style="488" bestFit="1" customWidth="1"/>
    <col min="9222" max="9222" width="1.85546875" style="488" customWidth="1"/>
    <col min="9223" max="9223" width="17.42578125" style="488" bestFit="1" customWidth="1"/>
    <col min="9224" max="9224" width="1.85546875" style="488" customWidth="1"/>
    <col min="9225" max="9225" width="19.42578125" style="488" customWidth="1"/>
    <col min="9226" max="9472" width="27.85546875" style="488"/>
    <col min="9473" max="9473" width="31.7109375" style="488" customWidth="1"/>
    <col min="9474" max="9474" width="1.85546875" style="488" customWidth="1"/>
    <col min="9475" max="9475" width="17.42578125" style="488" bestFit="1" customWidth="1"/>
    <col min="9476" max="9476" width="1.85546875" style="488" customWidth="1"/>
    <col min="9477" max="9477" width="15.5703125" style="488" bestFit="1" customWidth="1"/>
    <col min="9478" max="9478" width="1.85546875" style="488" customWidth="1"/>
    <col min="9479" max="9479" width="17.42578125" style="488" bestFit="1" customWidth="1"/>
    <col min="9480" max="9480" width="1.85546875" style="488" customWidth="1"/>
    <col min="9481" max="9481" width="19.42578125" style="488" customWidth="1"/>
    <col min="9482" max="9728" width="27.85546875" style="488"/>
    <col min="9729" max="9729" width="31.7109375" style="488" customWidth="1"/>
    <col min="9730" max="9730" width="1.85546875" style="488" customWidth="1"/>
    <col min="9731" max="9731" width="17.42578125" style="488" bestFit="1" customWidth="1"/>
    <col min="9732" max="9732" width="1.85546875" style="488" customWidth="1"/>
    <col min="9733" max="9733" width="15.5703125" style="488" bestFit="1" customWidth="1"/>
    <col min="9734" max="9734" width="1.85546875" style="488" customWidth="1"/>
    <col min="9735" max="9735" width="17.42578125" style="488" bestFit="1" customWidth="1"/>
    <col min="9736" max="9736" width="1.85546875" style="488" customWidth="1"/>
    <col min="9737" max="9737" width="19.42578125" style="488" customWidth="1"/>
    <col min="9738" max="9984" width="27.85546875" style="488"/>
    <col min="9985" max="9985" width="31.7109375" style="488" customWidth="1"/>
    <col min="9986" max="9986" width="1.85546875" style="488" customWidth="1"/>
    <col min="9987" max="9987" width="17.42578125" style="488" bestFit="1" customWidth="1"/>
    <col min="9988" max="9988" width="1.85546875" style="488" customWidth="1"/>
    <col min="9989" max="9989" width="15.5703125" style="488" bestFit="1" customWidth="1"/>
    <col min="9990" max="9990" width="1.85546875" style="488" customWidth="1"/>
    <col min="9991" max="9991" width="17.42578125" style="488" bestFit="1" customWidth="1"/>
    <col min="9992" max="9992" width="1.85546875" style="488" customWidth="1"/>
    <col min="9993" max="9993" width="19.42578125" style="488" customWidth="1"/>
    <col min="9994" max="10240" width="27.85546875" style="488"/>
    <col min="10241" max="10241" width="31.7109375" style="488" customWidth="1"/>
    <col min="10242" max="10242" width="1.85546875" style="488" customWidth="1"/>
    <col min="10243" max="10243" width="17.42578125" style="488" bestFit="1" customWidth="1"/>
    <col min="10244" max="10244" width="1.85546875" style="488" customWidth="1"/>
    <col min="10245" max="10245" width="15.5703125" style="488" bestFit="1" customWidth="1"/>
    <col min="10246" max="10246" width="1.85546875" style="488" customWidth="1"/>
    <col min="10247" max="10247" width="17.42578125" style="488" bestFit="1" customWidth="1"/>
    <col min="10248" max="10248" width="1.85546875" style="488" customWidth="1"/>
    <col min="10249" max="10249" width="19.42578125" style="488" customWidth="1"/>
    <col min="10250" max="10496" width="27.85546875" style="488"/>
    <col min="10497" max="10497" width="31.7109375" style="488" customWidth="1"/>
    <col min="10498" max="10498" width="1.85546875" style="488" customWidth="1"/>
    <col min="10499" max="10499" width="17.42578125" style="488" bestFit="1" customWidth="1"/>
    <col min="10500" max="10500" width="1.85546875" style="488" customWidth="1"/>
    <col min="10501" max="10501" width="15.5703125" style="488" bestFit="1" customWidth="1"/>
    <col min="10502" max="10502" width="1.85546875" style="488" customWidth="1"/>
    <col min="10503" max="10503" width="17.42578125" style="488" bestFit="1" customWidth="1"/>
    <col min="10504" max="10504" width="1.85546875" style="488" customWidth="1"/>
    <col min="10505" max="10505" width="19.42578125" style="488" customWidth="1"/>
    <col min="10506" max="10752" width="27.85546875" style="488"/>
    <col min="10753" max="10753" width="31.7109375" style="488" customWidth="1"/>
    <col min="10754" max="10754" width="1.85546875" style="488" customWidth="1"/>
    <col min="10755" max="10755" width="17.42578125" style="488" bestFit="1" customWidth="1"/>
    <col min="10756" max="10756" width="1.85546875" style="488" customWidth="1"/>
    <col min="10757" max="10757" width="15.5703125" style="488" bestFit="1" customWidth="1"/>
    <col min="10758" max="10758" width="1.85546875" style="488" customWidth="1"/>
    <col min="10759" max="10759" width="17.42578125" style="488" bestFit="1" customWidth="1"/>
    <col min="10760" max="10760" width="1.85546875" style="488" customWidth="1"/>
    <col min="10761" max="10761" width="19.42578125" style="488" customWidth="1"/>
    <col min="10762" max="11008" width="27.85546875" style="488"/>
    <col min="11009" max="11009" width="31.7109375" style="488" customWidth="1"/>
    <col min="11010" max="11010" width="1.85546875" style="488" customWidth="1"/>
    <col min="11011" max="11011" width="17.42578125" style="488" bestFit="1" customWidth="1"/>
    <col min="11012" max="11012" width="1.85546875" style="488" customWidth="1"/>
    <col min="11013" max="11013" width="15.5703125" style="488" bestFit="1" customWidth="1"/>
    <col min="11014" max="11014" width="1.85546875" style="488" customWidth="1"/>
    <col min="11015" max="11015" width="17.42578125" style="488" bestFit="1" customWidth="1"/>
    <col min="11016" max="11016" width="1.85546875" style="488" customWidth="1"/>
    <col min="11017" max="11017" width="19.42578125" style="488" customWidth="1"/>
    <col min="11018" max="11264" width="27.85546875" style="488"/>
    <col min="11265" max="11265" width="31.7109375" style="488" customWidth="1"/>
    <col min="11266" max="11266" width="1.85546875" style="488" customWidth="1"/>
    <col min="11267" max="11267" width="17.42578125" style="488" bestFit="1" customWidth="1"/>
    <col min="11268" max="11268" width="1.85546875" style="488" customWidth="1"/>
    <col min="11269" max="11269" width="15.5703125" style="488" bestFit="1" customWidth="1"/>
    <col min="11270" max="11270" width="1.85546875" style="488" customWidth="1"/>
    <col min="11271" max="11271" width="17.42578125" style="488" bestFit="1" customWidth="1"/>
    <col min="11272" max="11272" width="1.85546875" style="488" customWidth="1"/>
    <col min="11273" max="11273" width="19.42578125" style="488" customWidth="1"/>
    <col min="11274" max="11520" width="27.85546875" style="488"/>
    <col min="11521" max="11521" width="31.7109375" style="488" customWidth="1"/>
    <col min="11522" max="11522" width="1.85546875" style="488" customWidth="1"/>
    <col min="11523" max="11523" width="17.42578125" style="488" bestFit="1" customWidth="1"/>
    <col min="11524" max="11524" width="1.85546875" style="488" customWidth="1"/>
    <col min="11525" max="11525" width="15.5703125" style="488" bestFit="1" customWidth="1"/>
    <col min="11526" max="11526" width="1.85546875" style="488" customWidth="1"/>
    <col min="11527" max="11527" width="17.42578125" style="488" bestFit="1" customWidth="1"/>
    <col min="11528" max="11528" width="1.85546875" style="488" customWidth="1"/>
    <col min="11529" max="11529" width="19.42578125" style="488" customWidth="1"/>
    <col min="11530" max="11776" width="27.85546875" style="488"/>
    <col min="11777" max="11777" width="31.7109375" style="488" customWidth="1"/>
    <col min="11778" max="11778" width="1.85546875" style="488" customWidth="1"/>
    <col min="11779" max="11779" width="17.42578125" style="488" bestFit="1" customWidth="1"/>
    <col min="11780" max="11780" width="1.85546875" style="488" customWidth="1"/>
    <col min="11781" max="11781" width="15.5703125" style="488" bestFit="1" customWidth="1"/>
    <col min="11782" max="11782" width="1.85546875" style="488" customWidth="1"/>
    <col min="11783" max="11783" width="17.42578125" style="488" bestFit="1" customWidth="1"/>
    <col min="11784" max="11784" width="1.85546875" style="488" customWidth="1"/>
    <col min="11785" max="11785" width="19.42578125" style="488" customWidth="1"/>
    <col min="11786" max="12032" width="27.85546875" style="488"/>
    <col min="12033" max="12033" width="31.7109375" style="488" customWidth="1"/>
    <col min="12034" max="12034" width="1.85546875" style="488" customWidth="1"/>
    <col min="12035" max="12035" width="17.42578125" style="488" bestFit="1" customWidth="1"/>
    <col min="12036" max="12036" width="1.85546875" style="488" customWidth="1"/>
    <col min="12037" max="12037" width="15.5703125" style="488" bestFit="1" customWidth="1"/>
    <col min="12038" max="12038" width="1.85546875" style="488" customWidth="1"/>
    <col min="12039" max="12039" width="17.42578125" style="488" bestFit="1" customWidth="1"/>
    <col min="12040" max="12040" width="1.85546875" style="488" customWidth="1"/>
    <col min="12041" max="12041" width="19.42578125" style="488" customWidth="1"/>
    <col min="12042" max="12288" width="27.85546875" style="488"/>
    <col min="12289" max="12289" width="31.7109375" style="488" customWidth="1"/>
    <col min="12290" max="12290" width="1.85546875" style="488" customWidth="1"/>
    <col min="12291" max="12291" width="17.42578125" style="488" bestFit="1" customWidth="1"/>
    <col min="12292" max="12292" width="1.85546875" style="488" customWidth="1"/>
    <col min="12293" max="12293" width="15.5703125" style="488" bestFit="1" customWidth="1"/>
    <col min="12294" max="12294" width="1.85546875" style="488" customWidth="1"/>
    <col min="12295" max="12295" width="17.42578125" style="488" bestFit="1" customWidth="1"/>
    <col min="12296" max="12296" width="1.85546875" style="488" customWidth="1"/>
    <col min="12297" max="12297" width="19.42578125" style="488" customWidth="1"/>
    <col min="12298" max="12544" width="27.85546875" style="488"/>
    <col min="12545" max="12545" width="31.7109375" style="488" customWidth="1"/>
    <col min="12546" max="12546" width="1.85546875" style="488" customWidth="1"/>
    <col min="12547" max="12547" width="17.42578125" style="488" bestFit="1" customWidth="1"/>
    <col min="12548" max="12548" width="1.85546875" style="488" customWidth="1"/>
    <col min="12549" max="12549" width="15.5703125" style="488" bestFit="1" customWidth="1"/>
    <col min="12550" max="12550" width="1.85546875" style="488" customWidth="1"/>
    <col min="12551" max="12551" width="17.42578125" style="488" bestFit="1" customWidth="1"/>
    <col min="12552" max="12552" width="1.85546875" style="488" customWidth="1"/>
    <col min="12553" max="12553" width="19.42578125" style="488" customWidth="1"/>
    <col min="12554" max="12800" width="27.85546875" style="488"/>
    <col min="12801" max="12801" width="31.7109375" style="488" customWidth="1"/>
    <col min="12802" max="12802" width="1.85546875" style="488" customWidth="1"/>
    <col min="12803" max="12803" width="17.42578125" style="488" bestFit="1" customWidth="1"/>
    <col min="12804" max="12804" width="1.85546875" style="488" customWidth="1"/>
    <col min="12805" max="12805" width="15.5703125" style="488" bestFit="1" customWidth="1"/>
    <col min="12806" max="12806" width="1.85546875" style="488" customWidth="1"/>
    <col min="12807" max="12807" width="17.42578125" style="488" bestFit="1" customWidth="1"/>
    <col min="12808" max="12808" width="1.85546875" style="488" customWidth="1"/>
    <col min="12809" max="12809" width="19.42578125" style="488" customWidth="1"/>
    <col min="12810" max="13056" width="27.85546875" style="488"/>
    <col min="13057" max="13057" width="31.7109375" style="488" customWidth="1"/>
    <col min="13058" max="13058" width="1.85546875" style="488" customWidth="1"/>
    <col min="13059" max="13059" width="17.42578125" style="488" bestFit="1" customWidth="1"/>
    <col min="13060" max="13060" width="1.85546875" style="488" customWidth="1"/>
    <col min="13061" max="13061" width="15.5703125" style="488" bestFit="1" customWidth="1"/>
    <col min="13062" max="13062" width="1.85546875" style="488" customWidth="1"/>
    <col min="13063" max="13063" width="17.42578125" style="488" bestFit="1" customWidth="1"/>
    <col min="13064" max="13064" width="1.85546875" style="488" customWidth="1"/>
    <col min="13065" max="13065" width="19.42578125" style="488" customWidth="1"/>
    <col min="13066" max="13312" width="27.85546875" style="488"/>
    <col min="13313" max="13313" width="31.7109375" style="488" customWidth="1"/>
    <col min="13314" max="13314" width="1.85546875" style="488" customWidth="1"/>
    <col min="13315" max="13315" width="17.42578125" style="488" bestFit="1" customWidth="1"/>
    <col min="13316" max="13316" width="1.85546875" style="488" customWidth="1"/>
    <col min="13317" max="13317" width="15.5703125" style="488" bestFit="1" customWidth="1"/>
    <col min="13318" max="13318" width="1.85546875" style="488" customWidth="1"/>
    <col min="13319" max="13319" width="17.42578125" style="488" bestFit="1" customWidth="1"/>
    <col min="13320" max="13320" width="1.85546875" style="488" customWidth="1"/>
    <col min="13321" max="13321" width="19.42578125" style="488" customWidth="1"/>
    <col min="13322" max="13568" width="27.85546875" style="488"/>
    <col min="13569" max="13569" width="31.7109375" style="488" customWidth="1"/>
    <col min="13570" max="13570" width="1.85546875" style="488" customWidth="1"/>
    <col min="13571" max="13571" width="17.42578125" style="488" bestFit="1" customWidth="1"/>
    <col min="13572" max="13572" width="1.85546875" style="488" customWidth="1"/>
    <col min="13573" max="13573" width="15.5703125" style="488" bestFit="1" customWidth="1"/>
    <col min="13574" max="13574" width="1.85546875" style="488" customWidth="1"/>
    <col min="13575" max="13575" width="17.42578125" style="488" bestFit="1" customWidth="1"/>
    <col min="13576" max="13576" width="1.85546875" style="488" customWidth="1"/>
    <col min="13577" max="13577" width="19.42578125" style="488" customWidth="1"/>
    <col min="13578" max="13824" width="27.85546875" style="488"/>
    <col min="13825" max="13825" width="31.7109375" style="488" customWidth="1"/>
    <col min="13826" max="13826" width="1.85546875" style="488" customWidth="1"/>
    <col min="13827" max="13827" width="17.42578125" style="488" bestFit="1" customWidth="1"/>
    <col min="13828" max="13828" width="1.85546875" style="488" customWidth="1"/>
    <col min="13829" max="13829" width="15.5703125" style="488" bestFit="1" customWidth="1"/>
    <col min="13830" max="13830" width="1.85546875" style="488" customWidth="1"/>
    <col min="13831" max="13831" width="17.42578125" style="488" bestFit="1" customWidth="1"/>
    <col min="13832" max="13832" width="1.85546875" style="488" customWidth="1"/>
    <col min="13833" max="13833" width="19.42578125" style="488" customWidth="1"/>
    <col min="13834" max="14080" width="27.85546875" style="488"/>
    <col min="14081" max="14081" width="31.7109375" style="488" customWidth="1"/>
    <col min="14082" max="14082" width="1.85546875" style="488" customWidth="1"/>
    <col min="14083" max="14083" width="17.42578125" style="488" bestFit="1" customWidth="1"/>
    <col min="14084" max="14084" width="1.85546875" style="488" customWidth="1"/>
    <col min="14085" max="14085" width="15.5703125" style="488" bestFit="1" customWidth="1"/>
    <col min="14086" max="14086" width="1.85546875" style="488" customWidth="1"/>
    <col min="14087" max="14087" width="17.42578125" style="488" bestFit="1" customWidth="1"/>
    <col min="14088" max="14088" width="1.85546875" style="488" customWidth="1"/>
    <col min="14089" max="14089" width="19.42578125" style="488" customWidth="1"/>
    <col min="14090" max="14336" width="27.85546875" style="488"/>
    <col min="14337" max="14337" width="31.7109375" style="488" customWidth="1"/>
    <col min="14338" max="14338" width="1.85546875" style="488" customWidth="1"/>
    <col min="14339" max="14339" width="17.42578125" style="488" bestFit="1" customWidth="1"/>
    <col min="14340" max="14340" width="1.85546875" style="488" customWidth="1"/>
    <col min="14341" max="14341" width="15.5703125" style="488" bestFit="1" customWidth="1"/>
    <col min="14342" max="14342" width="1.85546875" style="488" customWidth="1"/>
    <col min="14343" max="14343" width="17.42578125" style="488" bestFit="1" customWidth="1"/>
    <col min="14344" max="14344" width="1.85546875" style="488" customWidth="1"/>
    <col min="14345" max="14345" width="19.42578125" style="488" customWidth="1"/>
    <col min="14346" max="14592" width="27.85546875" style="488"/>
    <col min="14593" max="14593" width="31.7109375" style="488" customWidth="1"/>
    <col min="14594" max="14594" width="1.85546875" style="488" customWidth="1"/>
    <col min="14595" max="14595" width="17.42578125" style="488" bestFit="1" customWidth="1"/>
    <col min="14596" max="14596" width="1.85546875" style="488" customWidth="1"/>
    <col min="14597" max="14597" width="15.5703125" style="488" bestFit="1" customWidth="1"/>
    <col min="14598" max="14598" width="1.85546875" style="488" customWidth="1"/>
    <col min="14599" max="14599" width="17.42578125" style="488" bestFit="1" customWidth="1"/>
    <col min="14600" max="14600" width="1.85546875" style="488" customWidth="1"/>
    <col min="14601" max="14601" width="19.42578125" style="488" customWidth="1"/>
    <col min="14602" max="14848" width="27.85546875" style="488"/>
    <col min="14849" max="14849" width="31.7109375" style="488" customWidth="1"/>
    <col min="14850" max="14850" width="1.85546875" style="488" customWidth="1"/>
    <col min="14851" max="14851" width="17.42578125" style="488" bestFit="1" customWidth="1"/>
    <col min="14852" max="14852" width="1.85546875" style="488" customWidth="1"/>
    <col min="14853" max="14853" width="15.5703125" style="488" bestFit="1" customWidth="1"/>
    <col min="14854" max="14854" width="1.85546875" style="488" customWidth="1"/>
    <col min="14855" max="14855" width="17.42578125" style="488" bestFit="1" customWidth="1"/>
    <col min="14856" max="14856" width="1.85546875" style="488" customWidth="1"/>
    <col min="14857" max="14857" width="19.42578125" style="488" customWidth="1"/>
    <col min="14858" max="15104" width="27.85546875" style="488"/>
    <col min="15105" max="15105" width="31.7109375" style="488" customWidth="1"/>
    <col min="15106" max="15106" width="1.85546875" style="488" customWidth="1"/>
    <col min="15107" max="15107" width="17.42578125" style="488" bestFit="1" customWidth="1"/>
    <col min="15108" max="15108" width="1.85546875" style="488" customWidth="1"/>
    <col min="15109" max="15109" width="15.5703125" style="488" bestFit="1" customWidth="1"/>
    <col min="15110" max="15110" width="1.85546875" style="488" customWidth="1"/>
    <col min="15111" max="15111" width="17.42578125" style="488" bestFit="1" customWidth="1"/>
    <col min="15112" max="15112" width="1.85546875" style="488" customWidth="1"/>
    <col min="15113" max="15113" width="19.42578125" style="488" customWidth="1"/>
    <col min="15114" max="15360" width="27.85546875" style="488"/>
    <col min="15361" max="15361" width="31.7109375" style="488" customWidth="1"/>
    <col min="15362" max="15362" width="1.85546875" style="488" customWidth="1"/>
    <col min="15363" max="15363" width="17.42578125" style="488" bestFit="1" customWidth="1"/>
    <col min="15364" max="15364" width="1.85546875" style="488" customWidth="1"/>
    <col min="15365" max="15365" width="15.5703125" style="488" bestFit="1" customWidth="1"/>
    <col min="15366" max="15366" width="1.85546875" style="488" customWidth="1"/>
    <col min="15367" max="15367" width="17.42578125" style="488" bestFit="1" customWidth="1"/>
    <col min="15368" max="15368" width="1.85546875" style="488" customWidth="1"/>
    <col min="15369" max="15369" width="19.42578125" style="488" customWidth="1"/>
    <col min="15370" max="15616" width="27.85546875" style="488"/>
    <col min="15617" max="15617" width="31.7109375" style="488" customWidth="1"/>
    <col min="15618" max="15618" width="1.85546875" style="488" customWidth="1"/>
    <col min="15619" max="15619" width="17.42578125" style="488" bestFit="1" customWidth="1"/>
    <col min="15620" max="15620" width="1.85546875" style="488" customWidth="1"/>
    <col min="15621" max="15621" width="15.5703125" style="488" bestFit="1" customWidth="1"/>
    <col min="15622" max="15622" width="1.85546875" style="488" customWidth="1"/>
    <col min="15623" max="15623" width="17.42578125" style="488" bestFit="1" customWidth="1"/>
    <col min="15624" max="15624" width="1.85546875" style="488" customWidth="1"/>
    <col min="15625" max="15625" width="19.42578125" style="488" customWidth="1"/>
    <col min="15626" max="15872" width="27.85546875" style="488"/>
    <col min="15873" max="15873" width="31.7109375" style="488" customWidth="1"/>
    <col min="15874" max="15874" width="1.85546875" style="488" customWidth="1"/>
    <col min="15875" max="15875" width="17.42578125" style="488" bestFit="1" customWidth="1"/>
    <col min="15876" max="15876" width="1.85546875" style="488" customWidth="1"/>
    <col min="15877" max="15877" width="15.5703125" style="488" bestFit="1" customWidth="1"/>
    <col min="15878" max="15878" width="1.85546875" style="488" customWidth="1"/>
    <col min="15879" max="15879" width="17.42578125" style="488" bestFit="1" customWidth="1"/>
    <col min="15880" max="15880" width="1.85546875" style="488" customWidth="1"/>
    <col min="15881" max="15881" width="19.42578125" style="488" customWidth="1"/>
    <col min="15882" max="16128" width="27.85546875" style="488"/>
    <col min="16129" max="16129" width="31.7109375" style="488" customWidth="1"/>
    <col min="16130" max="16130" width="1.85546875" style="488" customWidth="1"/>
    <col min="16131" max="16131" width="17.42578125" style="488" bestFit="1" customWidth="1"/>
    <col min="16132" max="16132" width="1.85546875" style="488" customWidth="1"/>
    <col min="16133" max="16133" width="15.5703125" style="488" bestFit="1" customWidth="1"/>
    <col min="16134" max="16134" width="1.85546875" style="488" customWidth="1"/>
    <col min="16135" max="16135" width="17.42578125" style="488" bestFit="1" customWidth="1"/>
    <col min="16136" max="16136" width="1.85546875" style="488" customWidth="1"/>
    <col min="16137" max="16137" width="19.42578125" style="488" customWidth="1"/>
    <col min="16138" max="16384" width="27.85546875" style="488"/>
  </cols>
  <sheetData>
    <row r="1" spans="1:9" ht="18" customHeight="1">
      <c r="A1" s="1130" t="s">
        <v>1009</v>
      </c>
      <c r="B1" s="1130"/>
      <c r="C1" s="1130"/>
      <c r="D1" s="1130"/>
      <c r="E1" s="1130"/>
      <c r="F1" s="1130"/>
      <c r="G1" s="1130"/>
      <c r="H1" s="1130"/>
      <c r="I1" s="1130"/>
    </row>
    <row r="2" spans="1:9" s="489" customFormat="1" ht="18" customHeight="1">
      <c r="A2" s="1130" t="s">
        <v>1010</v>
      </c>
      <c r="B2" s="1130"/>
      <c r="C2" s="1130"/>
      <c r="D2" s="1130"/>
      <c r="E2" s="1130"/>
      <c r="F2" s="1130"/>
      <c r="G2" s="1130"/>
      <c r="H2" s="1130"/>
      <c r="I2" s="1130"/>
    </row>
    <row r="3" spans="1:9" ht="18" customHeight="1">
      <c r="A3" s="1131" t="str">
        <f>+Input!A4</f>
        <v>December 2024</v>
      </c>
      <c r="B3" s="1130"/>
      <c r="C3" s="1130"/>
      <c r="D3" s="1130"/>
      <c r="E3" s="1130"/>
      <c r="F3" s="1130"/>
      <c r="G3" s="1130"/>
      <c r="H3" s="1130"/>
      <c r="I3" s="1130"/>
    </row>
    <row r="4" spans="1:9" ht="18" customHeight="1">
      <c r="A4" s="1132" t="s">
        <v>662</v>
      </c>
      <c r="B4" s="1132"/>
      <c r="C4" s="1132"/>
      <c r="D4" s="1132"/>
      <c r="E4" s="1132"/>
      <c r="F4" s="1132"/>
      <c r="G4" s="1132"/>
      <c r="H4" s="1132"/>
      <c r="I4" s="1132"/>
    </row>
    <row r="5" spans="1:9" ht="18" customHeight="1">
      <c r="A5" s="490"/>
      <c r="B5" s="491"/>
      <c r="C5" s="491"/>
      <c r="D5" s="491"/>
      <c r="E5" s="491"/>
      <c r="F5" s="491"/>
      <c r="G5" s="1133" t="s">
        <v>1011</v>
      </c>
      <c r="H5" s="1133"/>
      <c r="I5" s="1133"/>
    </row>
    <row r="6" spans="1:9" ht="18" customHeight="1">
      <c r="A6" s="490"/>
      <c r="B6" s="491"/>
      <c r="C6" s="491"/>
      <c r="D6" s="491"/>
      <c r="E6" s="491"/>
      <c r="F6" s="491"/>
      <c r="G6" s="491"/>
      <c r="H6" s="491"/>
      <c r="I6" s="491"/>
    </row>
    <row r="7" spans="1:9" ht="18" customHeight="1">
      <c r="E7" s="492"/>
      <c r="G7" s="492"/>
      <c r="I7" s="493"/>
    </row>
    <row r="8" spans="1:9" ht="18" customHeight="1">
      <c r="C8" s="494" t="s">
        <v>780</v>
      </c>
      <c r="G8" s="494"/>
      <c r="I8" s="493" t="s">
        <v>775</v>
      </c>
    </row>
    <row r="9" spans="1:9" ht="18" customHeight="1">
      <c r="A9" s="495"/>
      <c r="C9" s="494" t="s">
        <v>1012</v>
      </c>
      <c r="D9" s="494"/>
      <c r="E9" s="494" t="s">
        <v>1013</v>
      </c>
      <c r="F9" s="494"/>
      <c r="G9" s="494" t="s">
        <v>1014</v>
      </c>
      <c r="H9" s="494"/>
      <c r="I9" s="493" t="s">
        <v>1014</v>
      </c>
    </row>
    <row r="10" spans="1:9" ht="18" customHeight="1">
      <c r="A10" s="496" t="s">
        <v>1015</v>
      </c>
      <c r="C10" s="497" t="s">
        <v>1016</v>
      </c>
      <c r="D10" s="494"/>
      <c r="E10" s="496" t="s">
        <v>777</v>
      </c>
      <c r="F10" s="494"/>
      <c r="G10" s="496" t="s">
        <v>1013</v>
      </c>
      <c r="H10" s="494"/>
      <c r="I10" s="496" t="s">
        <v>1013</v>
      </c>
    </row>
    <row r="11" spans="1:9" ht="18" customHeight="1"/>
    <row r="12" spans="1:9" ht="18" customHeight="1">
      <c r="A12" s="488" t="s">
        <v>782</v>
      </c>
      <c r="B12" s="498"/>
      <c r="C12" s="499">
        <f ca="1">+'AFUDC Sch B'!G12</f>
        <v>832185.47550413886</v>
      </c>
      <c r="E12" s="500">
        <f ca="1">ROUND(C12/$C$24*100,2)/100</f>
        <v>0.35159999999999997</v>
      </c>
      <c r="F12" s="492"/>
      <c r="G12" s="500">
        <f>+'Debt &amp; Cust Dep'!BW36</f>
        <v>3.7999999999999999E-2</v>
      </c>
      <c r="I12" s="500">
        <f ca="1">ROUND(E12*G12,4)</f>
        <v>1.34E-2</v>
      </c>
    </row>
    <row r="13" spans="1:9" ht="18" customHeight="1">
      <c r="B13" s="498"/>
      <c r="E13" s="500"/>
      <c r="F13" s="492"/>
      <c r="G13" s="500"/>
      <c r="H13" s="492"/>
      <c r="I13" s="500"/>
    </row>
    <row r="14" spans="1:9" ht="18" customHeight="1">
      <c r="A14" s="488" t="s">
        <v>783</v>
      </c>
      <c r="B14" s="501"/>
      <c r="C14" s="488">
        <f ca="1">+'AFUDC Sch B'!G14</f>
        <v>99671.443862618078</v>
      </c>
      <c r="E14" s="500">
        <f ca="1">ROUND(C14/$C$24*100,2)/100</f>
        <v>4.2099999999999999E-2</v>
      </c>
      <c r="F14" s="492"/>
      <c r="G14" s="500">
        <f ca="1">+Report!P162/100</f>
        <v>4.8500000000000008E-2</v>
      </c>
      <c r="H14" s="492" t="s">
        <v>1017</v>
      </c>
      <c r="I14" s="500">
        <f ca="1">ROUND(E14*G14,4)</f>
        <v>2E-3</v>
      </c>
    </row>
    <row r="15" spans="1:9" ht="18" customHeight="1">
      <c r="B15" s="501"/>
      <c r="E15" s="500"/>
      <c r="F15" s="492"/>
      <c r="G15" s="500"/>
      <c r="H15" s="492"/>
      <c r="I15" s="500"/>
    </row>
    <row r="16" spans="1:9" ht="18" customHeight="1">
      <c r="A16" s="488" t="s">
        <v>784</v>
      </c>
      <c r="B16" s="501"/>
      <c r="C16" s="488">
        <f ca="1">+'AFUDC Sch B'!G16</f>
        <v>27528.181226768535</v>
      </c>
      <c r="E16" s="500">
        <f ca="1">ROUND(C16/$C$24*100,2)/100</f>
        <v>1.1599999999999999E-2</v>
      </c>
      <c r="F16" s="492"/>
      <c r="G16" s="500">
        <f ca="1">+Report!P164/100</f>
        <v>2.53E-2</v>
      </c>
      <c r="H16" s="492" t="s">
        <v>1017</v>
      </c>
      <c r="I16" s="500">
        <f ca="1">ROUND(E16*G16,4)</f>
        <v>2.9999999999999997E-4</v>
      </c>
    </row>
    <row r="17" spans="1:9" ht="18" customHeight="1">
      <c r="B17" s="501"/>
      <c r="E17" s="500"/>
      <c r="F17" s="492"/>
      <c r="G17" s="500"/>
      <c r="H17" s="492"/>
      <c r="I17" s="500"/>
    </row>
    <row r="18" spans="1:9" ht="18" customHeight="1">
      <c r="A18" s="488" t="s">
        <v>785</v>
      </c>
      <c r="B18" s="501"/>
      <c r="C18" s="488">
        <f ca="1">+'AFUDC Sch B'!G18</f>
        <v>1124006.1125958718</v>
      </c>
      <c r="E18" s="500">
        <f ca="1">ROUND(C18/$C$24*100,2)/100</f>
        <v>0.47490000000000004</v>
      </c>
      <c r="F18" s="492"/>
      <c r="G18" s="500">
        <f>+Report!P166/100</f>
        <v>0.11</v>
      </c>
      <c r="H18" s="492"/>
      <c r="I18" s="500">
        <f ca="1">ROUND(E18*G18,4)</f>
        <v>5.2200000000000003E-2</v>
      </c>
    </row>
    <row r="19" spans="1:9" ht="18" customHeight="1">
      <c r="B19" s="501"/>
      <c r="E19" s="500"/>
      <c r="F19" s="492"/>
      <c r="G19" s="502"/>
      <c r="H19" s="492"/>
      <c r="I19" s="500"/>
    </row>
    <row r="20" spans="1:9" ht="18" customHeight="1">
      <c r="A20" s="488" t="s">
        <v>786</v>
      </c>
      <c r="B20" s="501"/>
      <c r="C20" s="488">
        <f ca="1">+'AFUDC Sch B'!G20</f>
        <v>280240.19074028882</v>
      </c>
      <c r="E20" s="500">
        <f ca="1">ROUND(C20/$C$24*100,2)/100</f>
        <v>0.11840000000000001</v>
      </c>
      <c r="F20" s="492"/>
      <c r="G20" s="500">
        <v>0</v>
      </c>
      <c r="H20" s="492"/>
      <c r="I20" s="503">
        <f ca="1">ROUND(E20*G20,4)</f>
        <v>0</v>
      </c>
    </row>
    <row r="21" spans="1:9" ht="18" customHeight="1">
      <c r="B21" s="501"/>
      <c r="E21" s="500"/>
      <c r="F21" s="492"/>
      <c r="G21" s="500"/>
      <c r="H21" s="492"/>
      <c r="I21" s="503"/>
    </row>
    <row r="22" spans="1:9" ht="18" customHeight="1">
      <c r="A22" s="488" t="s">
        <v>1018</v>
      </c>
      <c r="B22" s="501"/>
      <c r="C22" s="504">
        <f ca="1">+'AFUDC Sch B'!G22</f>
        <v>3156.8921704400004</v>
      </c>
      <c r="E22" s="505">
        <f ca="1">ROUND(C22/$C$24*100,2)/100</f>
        <v>1.2999999999999999E-3</v>
      </c>
      <c r="F22" s="492"/>
      <c r="G22" s="500">
        <v>0</v>
      </c>
      <c r="H22" s="492"/>
      <c r="I22" s="504">
        <f ca="1">ROUND(E22*G22,4)</f>
        <v>0</v>
      </c>
    </row>
    <row r="23" spans="1:9" ht="18" customHeight="1">
      <c r="B23" s="501"/>
      <c r="E23" s="506"/>
      <c r="F23" s="492"/>
      <c r="G23" s="500"/>
      <c r="H23" s="492"/>
      <c r="I23" s="507"/>
    </row>
    <row r="24" spans="1:9" ht="18" customHeight="1">
      <c r="A24" s="494" t="s">
        <v>230</v>
      </c>
      <c r="B24" s="498"/>
      <c r="C24" s="499">
        <f ca="1">SUM(C12:C22)</f>
        <v>2366788.2961001261</v>
      </c>
      <c r="E24" s="500">
        <f ca="1">SUM(E12:E22)</f>
        <v>0.9998999999999999</v>
      </c>
      <c r="F24" s="492"/>
      <c r="G24" s="492"/>
      <c r="H24" s="492"/>
      <c r="I24" s="500">
        <f ca="1">SUM(I12:I22)</f>
        <v>6.7900000000000002E-2</v>
      </c>
    </row>
    <row r="25" spans="1:9" ht="18" customHeight="1"/>
    <row r="26" spans="1:9" ht="18" customHeight="1"/>
    <row r="27" spans="1:9" ht="18" customHeight="1">
      <c r="A27" s="488" t="s">
        <v>1019</v>
      </c>
    </row>
    <row r="28" spans="1:9" ht="18" customHeight="1"/>
    <row r="29" spans="1:9" ht="18" customHeight="1">
      <c r="A29" s="1128" t="s">
        <v>1020</v>
      </c>
      <c r="B29" s="1129"/>
      <c r="C29" s="1129"/>
      <c r="D29" s="1129"/>
      <c r="E29" s="1129"/>
      <c r="F29" s="1129"/>
      <c r="G29" s="1129"/>
      <c r="H29" s="1129"/>
      <c r="I29" s="1129"/>
    </row>
    <row r="30" spans="1:9" ht="18" customHeight="1">
      <c r="A30" s="1129"/>
      <c r="B30" s="1129"/>
      <c r="C30" s="1129"/>
      <c r="D30" s="1129"/>
      <c r="E30" s="1129"/>
      <c r="F30" s="1129"/>
      <c r="G30" s="1129"/>
      <c r="H30" s="1129"/>
      <c r="I30" s="1129"/>
    </row>
    <row r="31" spans="1:9" ht="18" customHeight="1"/>
    <row r="32" spans="1:9" ht="18" customHeight="1">
      <c r="H32" s="508"/>
      <c r="I32" s="899" t="s">
        <v>1021</v>
      </c>
    </row>
    <row r="33" spans="7:9" ht="18" customHeight="1">
      <c r="H33" s="508"/>
      <c r="I33" s="899" t="s">
        <v>1022</v>
      </c>
    </row>
    <row r="34" spans="7:9" ht="18" customHeight="1">
      <c r="H34" s="509"/>
      <c r="I34" s="509"/>
    </row>
    <row r="35" spans="7:9" ht="18" customHeight="1">
      <c r="G35" s="488" t="s">
        <v>1023</v>
      </c>
      <c r="H35" s="510"/>
      <c r="I35" s="900">
        <f ca="1">1-I36</f>
        <v>0.23122238586156107</v>
      </c>
    </row>
    <row r="36" spans="7:9" ht="18" customHeight="1">
      <c r="G36" s="488" t="s">
        <v>1024</v>
      </c>
      <c r="H36" s="510"/>
      <c r="I36" s="900">
        <f ca="1">+I18/I24</f>
        <v>0.76877761413843893</v>
      </c>
    </row>
    <row r="37" spans="7:9" ht="18" customHeight="1">
      <c r="H37" s="510"/>
      <c r="I37" s="510"/>
    </row>
    <row r="38" spans="7:9" ht="18" customHeight="1">
      <c r="H38" s="510"/>
      <c r="I38" s="510"/>
    </row>
    <row r="39" spans="7:9" ht="18" customHeight="1">
      <c r="H39" s="510"/>
      <c r="I39" s="510"/>
    </row>
    <row r="40" spans="7:9" ht="18" customHeight="1">
      <c r="H40" s="510"/>
      <c r="I40" s="510"/>
    </row>
    <row r="41" spans="7:9" ht="18" customHeight="1"/>
    <row r="42" spans="7:9" ht="18" customHeight="1"/>
    <row r="43" spans="7:9" ht="18" customHeight="1"/>
    <row r="44" spans="7:9" ht="18" customHeight="1"/>
    <row r="45" spans="7:9" ht="18" customHeight="1"/>
    <row r="46" spans="7:9" ht="18" customHeight="1">
      <c r="I46" s="494"/>
    </row>
    <row r="47" spans="7:9" ht="18" customHeight="1">
      <c r="I47" s="494"/>
    </row>
    <row r="48" spans="7:9" ht="18" customHeight="1">
      <c r="I48" s="494"/>
    </row>
    <row r="49" spans="9:9" ht="18" customHeight="1"/>
    <row r="50" spans="9:9" ht="18" customHeight="1">
      <c r="I50" s="511"/>
    </row>
    <row r="51" spans="9:9" ht="18" customHeight="1">
      <c r="I51" s="511"/>
    </row>
    <row r="52" spans="9:9" ht="18" customHeight="1">
      <c r="I52" s="511"/>
    </row>
    <row r="53" spans="9:9" ht="18" customHeight="1">
      <c r="I53" s="511"/>
    </row>
    <row r="54" spans="9:9" ht="18" customHeight="1">
      <c r="I54" s="511"/>
    </row>
    <row r="55" spans="9:9" ht="18" customHeight="1">
      <c r="I55" s="511"/>
    </row>
    <row r="56" spans="9:9" ht="18" customHeight="1">
      <c r="I56" s="511"/>
    </row>
    <row r="57" spans="9:9" ht="18" customHeight="1">
      <c r="I57" s="511"/>
    </row>
    <row r="58" spans="9:9" ht="18" customHeight="1">
      <c r="I58" s="511"/>
    </row>
    <row r="59" spans="9:9" ht="18" customHeight="1">
      <c r="I59" s="511"/>
    </row>
    <row r="60" spans="9:9" ht="18" customHeight="1">
      <c r="I60" s="511"/>
    </row>
    <row r="61" spans="9:9" ht="18" customHeight="1">
      <c r="I61" s="511"/>
    </row>
    <row r="62" spans="9:9" ht="18" customHeight="1">
      <c r="I62" s="511"/>
    </row>
    <row r="69" spans="1:7">
      <c r="A69" s="512" t="s">
        <v>1025</v>
      </c>
    </row>
    <row r="70" spans="1:7">
      <c r="A70" s="512" t="s">
        <v>1026</v>
      </c>
    </row>
    <row r="72" spans="1:7">
      <c r="A72" s="513">
        <v>5.9699999999999998E-4</v>
      </c>
      <c r="C72" s="488" t="s">
        <v>1027</v>
      </c>
    </row>
    <row r="73" spans="1:7">
      <c r="A73" s="513">
        <v>4.5199999999999998E-4</v>
      </c>
      <c r="C73" s="488" t="s">
        <v>1028</v>
      </c>
      <c r="E73" s="514">
        <v>0.75711892797319935</v>
      </c>
      <c r="G73" s="488" t="s">
        <v>1029</v>
      </c>
    </row>
    <row r="74" spans="1:7">
      <c r="A74" s="513">
        <v>1.45E-4</v>
      </c>
      <c r="C74" s="488" t="s">
        <v>1030</v>
      </c>
      <c r="E74" s="514">
        <v>0.24288107202680065</v>
      </c>
      <c r="G74" s="488" t="s">
        <v>1031</v>
      </c>
    </row>
  </sheetData>
  <mergeCells count="6">
    <mergeCell ref="A29:I30"/>
    <mergeCell ref="A1:I1"/>
    <mergeCell ref="A2:I2"/>
    <mergeCell ref="A3:I3"/>
    <mergeCell ref="A4:I4"/>
    <mergeCell ref="G5:I5"/>
  </mergeCells>
  <printOptions horizontalCentered="1"/>
  <pageMargins left="0.7" right="0.7" top="0.75" bottom="0.75" header="0.3" footer="0.3"/>
  <pageSetup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7" tint="0.59999389629810485"/>
    <pageSetUpPr fitToPage="1"/>
  </sheetPr>
  <dimension ref="A1:K45"/>
  <sheetViews>
    <sheetView workbookViewId="0">
      <selection activeCell="C12" sqref="C12"/>
    </sheetView>
  </sheetViews>
  <sheetFormatPr defaultColWidth="2.28515625" defaultRowHeight="15"/>
  <cols>
    <col min="1" max="1" width="35" style="478" customWidth="1"/>
    <col min="2" max="2" width="2.140625" style="478" customWidth="1"/>
    <col min="3" max="3" width="20" style="478" customWidth="1"/>
    <col min="4" max="4" width="2.140625" style="478" customWidth="1"/>
    <col min="5" max="5" width="20" style="478" customWidth="1"/>
    <col min="6" max="6" width="2.140625" style="478" customWidth="1"/>
    <col min="7" max="7" width="20" style="478" customWidth="1"/>
    <col min="8" max="8" width="2.28515625" style="478" customWidth="1"/>
    <col min="9" max="9" width="9.7109375" style="478" customWidth="1"/>
    <col min="10" max="10" width="2.28515625" style="478" customWidth="1"/>
    <col min="11" max="11" width="9.7109375" style="478" customWidth="1"/>
    <col min="12" max="215" width="13.5703125" style="478" customWidth="1"/>
    <col min="216" max="216" width="31.140625" style="478" customWidth="1"/>
    <col min="217" max="217" width="14.140625" style="478" customWidth="1"/>
    <col min="218" max="218" width="2.28515625" style="478" customWidth="1"/>
    <col min="219" max="219" width="9.7109375" style="478" customWidth="1"/>
    <col min="220" max="220" width="2.28515625" style="478" customWidth="1"/>
    <col min="221" max="221" width="9.7109375" style="478" customWidth="1"/>
    <col min="222" max="222" width="2.28515625" style="478" customWidth="1"/>
    <col min="223" max="223" width="9.7109375" style="478" customWidth="1"/>
    <col min="224" max="224" width="2.28515625" style="478" customWidth="1"/>
    <col min="225" max="225" width="11" style="478" customWidth="1"/>
    <col min="226" max="226" width="2.28515625" style="478" customWidth="1"/>
    <col min="227" max="227" width="9.7109375" style="478" customWidth="1"/>
    <col min="228" max="228" width="4.28515625" style="478" customWidth="1"/>
    <col min="229" max="229" width="12.28515625" style="478" customWidth="1"/>
    <col min="230" max="230" width="2.28515625" style="478" customWidth="1"/>
    <col min="231" max="231" width="9.7109375" style="478" customWidth="1"/>
    <col min="232" max="232" width="2.28515625" style="478" customWidth="1"/>
    <col min="233" max="233" width="9.7109375" style="478" customWidth="1"/>
    <col min="234" max="234" width="2.28515625" style="478" customWidth="1"/>
    <col min="235" max="235" width="9.7109375" style="478" customWidth="1"/>
    <col min="236" max="236" width="2.28515625" style="478" customWidth="1"/>
    <col min="237" max="237" width="9.7109375" style="478" customWidth="1"/>
    <col min="238" max="238" width="13.28515625" style="478" bestFit="1" customWidth="1"/>
    <col min="239" max="239" width="14" style="478" customWidth="1"/>
    <col min="240" max="241" width="13.5703125" style="478" customWidth="1"/>
    <col min="242" max="242" width="2.85546875" style="478" customWidth="1"/>
    <col min="243" max="243" width="19.28515625" style="478" bestFit="1" customWidth="1"/>
    <col min="244" max="244" width="8.85546875" style="478" bestFit="1" customWidth="1"/>
    <col min="245" max="245" width="13.5703125" style="478" customWidth="1"/>
    <col min="246" max="246" width="31.140625" style="478" customWidth="1"/>
    <col min="247" max="247" width="14.140625" style="478" customWidth="1"/>
    <col min="248" max="248" width="2.28515625" style="478" customWidth="1"/>
    <col min="249" max="249" width="9.7109375" style="478" customWidth="1"/>
    <col min="250" max="250" width="2.28515625" style="478" customWidth="1"/>
    <col min="251" max="251" width="9.7109375" style="478" customWidth="1"/>
    <col min="252" max="252" width="2.28515625" style="478" customWidth="1"/>
    <col min="253" max="253" width="9.7109375" style="478" customWidth="1"/>
    <col min="254" max="254" width="2.28515625" style="478" customWidth="1"/>
    <col min="255" max="255" width="11" style="478" customWidth="1"/>
    <col min="256" max="256" width="2.28515625" style="478"/>
    <col min="257" max="257" width="35" style="478" customWidth="1"/>
    <col min="258" max="258" width="2.140625" style="478" customWidth="1"/>
    <col min="259" max="259" width="20" style="478" customWidth="1"/>
    <col min="260" max="260" width="2.140625" style="478" customWidth="1"/>
    <col min="261" max="261" width="20" style="478" customWidth="1"/>
    <col min="262" max="262" width="2.140625" style="478" customWidth="1"/>
    <col min="263" max="263" width="20" style="478" customWidth="1"/>
    <col min="264" max="264" width="2.28515625" style="478"/>
    <col min="265" max="265" width="9.7109375" style="478" customWidth="1"/>
    <col min="266" max="266" width="2.28515625" style="478"/>
    <col min="267" max="267" width="9.7109375" style="478" customWidth="1"/>
    <col min="268" max="471" width="13.5703125" style="478" customWidth="1"/>
    <col min="472" max="472" width="31.140625" style="478" customWidth="1"/>
    <col min="473" max="473" width="14.140625" style="478" customWidth="1"/>
    <col min="474" max="474" width="2.28515625" style="478"/>
    <col min="475" max="475" width="9.7109375" style="478" customWidth="1"/>
    <col min="476" max="476" width="2.28515625" style="478"/>
    <col min="477" max="477" width="9.7109375" style="478" customWidth="1"/>
    <col min="478" max="478" width="2.28515625" style="478"/>
    <col min="479" max="479" width="9.7109375" style="478" customWidth="1"/>
    <col min="480" max="480" width="2.28515625" style="478"/>
    <col min="481" max="481" width="11" style="478" customWidth="1"/>
    <col min="482" max="482" width="2.28515625" style="478"/>
    <col min="483" max="483" width="9.7109375" style="478" customWidth="1"/>
    <col min="484" max="484" width="4.28515625" style="478" customWidth="1"/>
    <col min="485" max="485" width="12.28515625" style="478" customWidth="1"/>
    <col min="486" max="486" width="2.28515625" style="478"/>
    <col min="487" max="487" width="9.7109375" style="478" customWidth="1"/>
    <col min="488" max="488" width="2.28515625" style="478"/>
    <col min="489" max="489" width="9.7109375" style="478" customWidth="1"/>
    <col min="490" max="490" width="2.28515625" style="478"/>
    <col min="491" max="491" width="9.7109375" style="478" customWidth="1"/>
    <col min="492" max="492" width="2.28515625" style="478"/>
    <col min="493" max="493" width="9.7109375" style="478" customWidth="1"/>
    <col min="494" max="494" width="13.28515625" style="478" bestFit="1" customWidth="1"/>
    <col min="495" max="495" width="14" style="478" customWidth="1"/>
    <col min="496" max="497" width="13.5703125" style="478" customWidth="1"/>
    <col min="498" max="498" width="2.85546875" style="478" customWidth="1"/>
    <col min="499" max="499" width="19.28515625" style="478" bestFit="1" customWidth="1"/>
    <col min="500" max="500" width="8.85546875" style="478" bestFit="1" customWidth="1"/>
    <col min="501" max="501" width="13.5703125" style="478" customWidth="1"/>
    <col min="502" max="502" width="31.140625" style="478" customWidth="1"/>
    <col min="503" max="503" width="14.140625" style="478" customWidth="1"/>
    <col min="504" max="504" width="2.28515625" style="478"/>
    <col min="505" max="505" width="9.7109375" style="478" customWidth="1"/>
    <col min="506" max="506" width="2.28515625" style="478"/>
    <col min="507" max="507" width="9.7109375" style="478" customWidth="1"/>
    <col min="508" max="508" width="2.28515625" style="478"/>
    <col min="509" max="509" width="9.7109375" style="478" customWidth="1"/>
    <col min="510" max="510" width="2.28515625" style="478"/>
    <col min="511" max="511" width="11" style="478" customWidth="1"/>
    <col min="512" max="512" width="2.28515625" style="478"/>
    <col min="513" max="513" width="35" style="478" customWidth="1"/>
    <col min="514" max="514" width="2.140625" style="478" customWidth="1"/>
    <col min="515" max="515" width="20" style="478" customWidth="1"/>
    <col min="516" max="516" width="2.140625" style="478" customWidth="1"/>
    <col min="517" max="517" width="20" style="478" customWidth="1"/>
    <col min="518" max="518" width="2.140625" style="478" customWidth="1"/>
    <col min="519" max="519" width="20" style="478" customWidth="1"/>
    <col min="520" max="520" width="2.28515625" style="478"/>
    <col min="521" max="521" width="9.7109375" style="478" customWidth="1"/>
    <col min="522" max="522" width="2.28515625" style="478"/>
    <col min="523" max="523" width="9.7109375" style="478" customWidth="1"/>
    <col min="524" max="727" width="13.5703125" style="478" customWidth="1"/>
    <col min="728" max="728" width="31.140625" style="478" customWidth="1"/>
    <col min="729" max="729" width="14.140625" style="478" customWidth="1"/>
    <col min="730" max="730" width="2.28515625" style="478"/>
    <col min="731" max="731" width="9.7109375" style="478" customWidth="1"/>
    <col min="732" max="732" width="2.28515625" style="478"/>
    <col min="733" max="733" width="9.7109375" style="478" customWidth="1"/>
    <col min="734" max="734" width="2.28515625" style="478"/>
    <col min="735" max="735" width="9.7109375" style="478" customWidth="1"/>
    <col min="736" max="736" width="2.28515625" style="478"/>
    <col min="737" max="737" width="11" style="478" customWidth="1"/>
    <col min="738" max="738" width="2.28515625" style="478"/>
    <col min="739" max="739" width="9.7109375" style="478" customWidth="1"/>
    <col min="740" max="740" width="4.28515625" style="478" customWidth="1"/>
    <col min="741" max="741" width="12.28515625" style="478" customWidth="1"/>
    <col min="742" max="742" width="2.28515625" style="478"/>
    <col min="743" max="743" width="9.7109375" style="478" customWidth="1"/>
    <col min="744" max="744" width="2.28515625" style="478"/>
    <col min="745" max="745" width="9.7109375" style="478" customWidth="1"/>
    <col min="746" max="746" width="2.28515625" style="478"/>
    <col min="747" max="747" width="9.7109375" style="478" customWidth="1"/>
    <col min="748" max="748" width="2.28515625" style="478"/>
    <col min="749" max="749" width="9.7109375" style="478" customWidth="1"/>
    <col min="750" max="750" width="13.28515625" style="478" bestFit="1" customWidth="1"/>
    <col min="751" max="751" width="14" style="478" customWidth="1"/>
    <col min="752" max="753" width="13.5703125" style="478" customWidth="1"/>
    <col min="754" max="754" width="2.85546875" style="478" customWidth="1"/>
    <col min="755" max="755" width="19.28515625" style="478" bestFit="1" customWidth="1"/>
    <col min="756" max="756" width="8.85546875" style="478" bestFit="1" customWidth="1"/>
    <col min="757" max="757" width="13.5703125" style="478" customWidth="1"/>
    <col min="758" max="758" width="31.140625" style="478" customWidth="1"/>
    <col min="759" max="759" width="14.140625" style="478" customWidth="1"/>
    <col min="760" max="760" width="2.28515625" style="478"/>
    <col min="761" max="761" width="9.7109375" style="478" customWidth="1"/>
    <col min="762" max="762" width="2.28515625" style="478"/>
    <col min="763" max="763" width="9.7109375" style="478" customWidth="1"/>
    <col min="764" max="764" width="2.28515625" style="478"/>
    <col min="765" max="765" width="9.7109375" style="478" customWidth="1"/>
    <col min="766" max="766" width="2.28515625" style="478"/>
    <col min="767" max="767" width="11" style="478" customWidth="1"/>
    <col min="768" max="768" width="2.28515625" style="478"/>
    <col min="769" max="769" width="35" style="478" customWidth="1"/>
    <col min="770" max="770" width="2.140625" style="478" customWidth="1"/>
    <col min="771" max="771" width="20" style="478" customWidth="1"/>
    <col min="772" max="772" width="2.140625" style="478" customWidth="1"/>
    <col min="773" max="773" width="20" style="478" customWidth="1"/>
    <col min="774" max="774" width="2.140625" style="478" customWidth="1"/>
    <col min="775" max="775" width="20" style="478" customWidth="1"/>
    <col min="776" max="776" width="2.28515625" style="478"/>
    <col min="777" max="777" width="9.7109375" style="478" customWidth="1"/>
    <col min="778" max="778" width="2.28515625" style="478"/>
    <col min="779" max="779" width="9.7109375" style="478" customWidth="1"/>
    <col min="780" max="983" width="13.5703125" style="478" customWidth="1"/>
    <col min="984" max="984" width="31.140625" style="478" customWidth="1"/>
    <col min="985" max="985" width="14.140625" style="478" customWidth="1"/>
    <col min="986" max="986" width="2.28515625" style="478"/>
    <col min="987" max="987" width="9.7109375" style="478" customWidth="1"/>
    <col min="988" max="988" width="2.28515625" style="478"/>
    <col min="989" max="989" width="9.7109375" style="478" customWidth="1"/>
    <col min="990" max="990" width="2.28515625" style="478"/>
    <col min="991" max="991" width="9.7109375" style="478" customWidth="1"/>
    <col min="992" max="992" width="2.28515625" style="478"/>
    <col min="993" max="993" width="11" style="478" customWidth="1"/>
    <col min="994" max="994" width="2.28515625" style="478"/>
    <col min="995" max="995" width="9.7109375" style="478" customWidth="1"/>
    <col min="996" max="996" width="4.28515625" style="478" customWidth="1"/>
    <col min="997" max="997" width="12.28515625" style="478" customWidth="1"/>
    <col min="998" max="998" width="2.28515625" style="478"/>
    <col min="999" max="999" width="9.7109375" style="478" customWidth="1"/>
    <col min="1000" max="1000" width="2.28515625" style="478"/>
    <col min="1001" max="1001" width="9.7109375" style="478" customWidth="1"/>
    <col min="1002" max="1002" width="2.28515625" style="478"/>
    <col min="1003" max="1003" width="9.7109375" style="478" customWidth="1"/>
    <col min="1004" max="1004" width="2.28515625" style="478"/>
    <col min="1005" max="1005" width="9.7109375" style="478" customWidth="1"/>
    <col min="1006" max="1006" width="13.28515625" style="478" bestFit="1" customWidth="1"/>
    <col min="1007" max="1007" width="14" style="478" customWidth="1"/>
    <col min="1008" max="1009" width="13.5703125" style="478" customWidth="1"/>
    <col min="1010" max="1010" width="2.85546875" style="478" customWidth="1"/>
    <col min="1011" max="1011" width="19.28515625" style="478" bestFit="1" customWidth="1"/>
    <col min="1012" max="1012" width="8.85546875" style="478" bestFit="1" customWidth="1"/>
    <col min="1013" max="1013" width="13.5703125" style="478" customWidth="1"/>
    <col min="1014" max="1014" width="31.140625" style="478" customWidth="1"/>
    <col min="1015" max="1015" width="14.140625" style="478" customWidth="1"/>
    <col min="1016" max="1016" width="2.28515625" style="478"/>
    <col min="1017" max="1017" width="9.7109375" style="478" customWidth="1"/>
    <col min="1018" max="1018" width="2.28515625" style="478"/>
    <col min="1019" max="1019" width="9.7109375" style="478" customWidth="1"/>
    <col min="1020" max="1020" width="2.28515625" style="478"/>
    <col min="1021" max="1021" width="9.7109375" style="478" customWidth="1"/>
    <col min="1022" max="1022" width="2.28515625" style="478"/>
    <col min="1023" max="1023" width="11" style="478" customWidth="1"/>
    <col min="1024" max="1024" width="2.28515625" style="478"/>
    <col min="1025" max="1025" width="35" style="478" customWidth="1"/>
    <col min="1026" max="1026" width="2.140625" style="478" customWidth="1"/>
    <col min="1027" max="1027" width="20" style="478" customWidth="1"/>
    <col min="1028" max="1028" width="2.140625" style="478" customWidth="1"/>
    <col min="1029" max="1029" width="20" style="478" customWidth="1"/>
    <col min="1030" max="1030" width="2.140625" style="478" customWidth="1"/>
    <col min="1031" max="1031" width="20" style="478" customWidth="1"/>
    <col min="1032" max="1032" width="2.28515625" style="478"/>
    <col min="1033" max="1033" width="9.7109375" style="478" customWidth="1"/>
    <col min="1034" max="1034" width="2.28515625" style="478"/>
    <col min="1035" max="1035" width="9.7109375" style="478" customWidth="1"/>
    <col min="1036" max="1239" width="13.5703125" style="478" customWidth="1"/>
    <col min="1240" max="1240" width="31.140625" style="478" customWidth="1"/>
    <col min="1241" max="1241" width="14.140625" style="478" customWidth="1"/>
    <col min="1242" max="1242" width="2.28515625" style="478"/>
    <col min="1243" max="1243" width="9.7109375" style="478" customWidth="1"/>
    <col min="1244" max="1244" width="2.28515625" style="478"/>
    <col min="1245" max="1245" width="9.7109375" style="478" customWidth="1"/>
    <col min="1246" max="1246" width="2.28515625" style="478"/>
    <col min="1247" max="1247" width="9.7109375" style="478" customWidth="1"/>
    <col min="1248" max="1248" width="2.28515625" style="478"/>
    <col min="1249" max="1249" width="11" style="478" customWidth="1"/>
    <col min="1250" max="1250" width="2.28515625" style="478"/>
    <col min="1251" max="1251" width="9.7109375" style="478" customWidth="1"/>
    <col min="1252" max="1252" width="4.28515625" style="478" customWidth="1"/>
    <col min="1253" max="1253" width="12.28515625" style="478" customWidth="1"/>
    <col min="1254" max="1254" width="2.28515625" style="478"/>
    <col min="1255" max="1255" width="9.7109375" style="478" customWidth="1"/>
    <col min="1256" max="1256" width="2.28515625" style="478"/>
    <col min="1257" max="1257" width="9.7109375" style="478" customWidth="1"/>
    <col min="1258" max="1258" width="2.28515625" style="478"/>
    <col min="1259" max="1259" width="9.7109375" style="478" customWidth="1"/>
    <col min="1260" max="1260" width="2.28515625" style="478"/>
    <col min="1261" max="1261" width="9.7109375" style="478" customWidth="1"/>
    <col min="1262" max="1262" width="13.28515625" style="478" bestFit="1" customWidth="1"/>
    <col min="1263" max="1263" width="14" style="478" customWidth="1"/>
    <col min="1264" max="1265" width="13.5703125" style="478" customWidth="1"/>
    <col min="1266" max="1266" width="2.85546875" style="478" customWidth="1"/>
    <col min="1267" max="1267" width="19.28515625" style="478" bestFit="1" customWidth="1"/>
    <col min="1268" max="1268" width="8.85546875" style="478" bestFit="1" customWidth="1"/>
    <col min="1269" max="1269" width="13.5703125" style="478" customWidth="1"/>
    <col min="1270" max="1270" width="31.140625" style="478" customWidth="1"/>
    <col min="1271" max="1271" width="14.140625" style="478" customWidth="1"/>
    <col min="1272" max="1272" width="2.28515625" style="478"/>
    <col min="1273" max="1273" width="9.7109375" style="478" customWidth="1"/>
    <col min="1274" max="1274" width="2.28515625" style="478"/>
    <col min="1275" max="1275" width="9.7109375" style="478" customWidth="1"/>
    <col min="1276" max="1276" width="2.28515625" style="478"/>
    <col min="1277" max="1277" width="9.7109375" style="478" customWidth="1"/>
    <col min="1278" max="1278" width="2.28515625" style="478"/>
    <col min="1279" max="1279" width="11" style="478" customWidth="1"/>
    <col min="1280" max="1280" width="2.28515625" style="478"/>
    <col min="1281" max="1281" width="35" style="478" customWidth="1"/>
    <col min="1282" max="1282" width="2.140625" style="478" customWidth="1"/>
    <col min="1283" max="1283" width="20" style="478" customWidth="1"/>
    <col min="1284" max="1284" width="2.140625" style="478" customWidth="1"/>
    <col min="1285" max="1285" width="20" style="478" customWidth="1"/>
    <col min="1286" max="1286" width="2.140625" style="478" customWidth="1"/>
    <col min="1287" max="1287" width="20" style="478" customWidth="1"/>
    <col min="1288" max="1288" width="2.28515625" style="478"/>
    <col min="1289" max="1289" width="9.7109375" style="478" customWidth="1"/>
    <col min="1290" max="1290" width="2.28515625" style="478"/>
    <col min="1291" max="1291" width="9.7109375" style="478" customWidth="1"/>
    <col min="1292" max="1495" width="13.5703125" style="478" customWidth="1"/>
    <col min="1496" max="1496" width="31.140625" style="478" customWidth="1"/>
    <col min="1497" max="1497" width="14.140625" style="478" customWidth="1"/>
    <col min="1498" max="1498" width="2.28515625" style="478"/>
    <col min="1499" max="1499" width="9.7109375" style="478" customWidth="1"/>
    <col min="1500" max="1500" width="2.28515625" style="478"/>
    <col min="1501" max="1501" width="9.7109375" style="478" customWidth="1"/>
    <col min="1502" max="1502" width="2.28515625" style="478"/>
    <col min="1503" max="1503" width="9.7109375" style="478" customWidth="1"/>
    <col min="1504" max="1504" width="2.28515625" style="478"/>
    <col min="1505" max="1505" width="11" style="478" customWidth="1"/>
    <col min="1506" max="1506" width="2.28515625" style="478"/>
    <col min="1507" max="1507" width="9.7109375" style="478" customWidth="1"/>
    <col min="1508" max="1508" width="4.28515625" style="478" customWidth="1"/>
    <col min="1509" max="1509" width="12.28515625" style="478" customWidth="1"/>
    <col min="1510" max="1510" width="2.28515625" style="478"/>
    <col min="1511" max="1511" width="9.7109375" style="478" customWidth="1"/>
    <col min="1512" max="1512" width="2.28515625" style="478"/>
    <col min="1513" max="1513" width="9.7109375" style="478" customWidth="1"/>
    <col min="1514" max="1514" width="2.28515625" style="478"/>
    <col min="1515" max="1515" width="9.7109375" style="478" customWidth="1"/>
    <col min="1516" max="1516" width="2.28515625" style="478"/>
    <col min="1517" max="1517" width="9.7109375" style="478" customWidth="1"/>
    <col min="1518" max="1518" width="13.28515625" style="478" bestFit="1" customWidth="1"/>
    <col min="1519" max="1519" width="14" style="478" customWidth="1"/>
    <col min="1520" max="1521" width="13.5703125" style="478" customWidth="1"/>
    <col min="1522" max="1522" width="2.85546875" style="478" customWidth="1"/>
    <col min="1523" max="1523" width="19.28515625" style="478" bestFit="1" customWidth="1"/>
    <col min="1524" max="1524" width="8.85546875" style="478" bestFit="1" customWidth="1"/>
    <col min="1525" max="1525" width="13.5703125" style="478" customWidth="1"/>
    <col min="1526" max="1526" width="31.140625" style="478" customWidth="1"/>
    <col min="1527" max="1527" width="14.140625" style="478" customWidth="1"/>
    <col min="1528" max="1528" width="2.28515625" style="478"/>
    <col min="1529" max="1529" width="9.7109375" style="478" customWidth="1"/>
    <col min="1530" max="1530" width="2.28515625" style="478"/>
    <col min="1531" max="1531" width="9.7109375" style="478" customWidth="1"/>
    <col min="1532" max="1532" width="2.28515625" style="478"/>
    <col min="1533" max="1533" width="9.7109375" style="478" customWidth="1"/>
    <col min="1534" max="1534" width="2.28515625" style="478"/>
    <col min="1535" max="1535" width="11" style="478" customWidth="1"/>
    <col min="1536" max="1536" width="2.28515625" style="478"/>
    <col min="1537" max="1537" width="35" style="478" customWidth="1"/>
    <col min="1538" max="1538" width="2.140625" style="478" customWidth="1"/>
    <col min="1539" max="1539" width="20" style="478" customWidth="1"/>
    <col min="1540" max="1540" width="2.140625" style="478" customWidth="1"/>
    <col min="1541" max="1541" width="20" style="478" customWidth="1"/>
    <col min="1542" max="1542" width="2.140625" style="478" customWidth="1"/>
    <col min="1543" max="1543" width="20" style="478" customWidth="1"/>
    <col min="1544" max="1544" width="2.28515625" style="478"/>
    <col min="1545" max="1545" width="9.7109375" style="478" customWidth="1"/>
    <col min="1546" max="1546" width="2.28515625" style="478"/>
    <col min="1547" max="1547" width="9.7109375" style="478" customWidth="1"/>
    <col min="1548" max="1751" width="13.5703125" style="478" customWidth="1"/>
    <col min="1752" max="1752" width="31.140625" style="478" customWidth="1"/>
    <col min="1753" max="1753" width="14.140625" style="478" customWidth="1"/>
    <col min="1754" max="1754" width="2.28515625" style="478"/>
    <col min="1755" max="1755" width="9.7109375" style="478" customWidth="1"/>
    <col min="1756" max="1756" width="2.28515625" style="478"/>
    <col min="1757" max="1757" width="9.7109375" style="478" customWidth="1"/>
    <col min="1758" max="1758" width="2.28515625" style="478"/>
    <col min="1759" max="1759" width="9.7109375" style="478" customWidth="1"/>
    <col min="1760" max="1760" width="2.28515625" style="478"/>
    <col min="1761" max="1761" width="11" style="478" customWidth="1"/>
    <col min="1762" max="1762" width="2.28515625" style="478"/>
    <col min="1763" max="1763" width="9.7109375" style="478" customWidth="1"/>
    <col min="1764" max="1764" width="4.28515625" style="478" customWidth="1"/>
    <col min="1765" max="1765" width="12.28515625" style="478" customWidth="1"/>
    <col min="1766" max="1766" width="2.28515625" style="478"/>
    <col min="1767" max="1767" width="9.7109375" style="478" customWidth="1"/>
    <col min="1768" max="1768" width="2.28515625" style="478"/>
    <col min="1769" max="1769" width="9.7109375" style="478" customWidth="1"/>
    <col min="1770" max="1770" width="2.28515625" style="478"/>
    <col min="1771" max="1771" width="9.7109375" style="478" customWidth="1"/>
    <col min="1772" max="1772" width="2.28515625" style="478"/>
    <col min="1773" max="1773" width="9.7109375" style="478" customWidth="1"/>
    <col min="1774" max="1774" width="13.28515625" style="478" bestFit="1" customWidth="1"/>
    <col min="1775" max="1775" width="14" style="478" customWidth="1"/>
    <col min="1776" max="1777" width="13.5703125" style="478" customWidth="1"/>
    <col min="1778" max="1778" width="2.85546875" style="478" customWidth="1"/>
    <col min="1779" max="1779" width="19.28515625" style="478" bestFit="1" customWidth="1"/>
    <col min="1780" max="1780" width="8.85546875" style="478" bestFit="1" customWidth="1"/>
    <col min="1781" max="1781" width="13.5703125" style="478" customWidth="1"/>
    <col min="1782" max="1782" width="31.140625" style="478" customWidth="1"/>
    <col min="1783" max="1783" width="14.140625" style="478" customWidth="1"/>
    <col min="1784" max="1784" width="2.28515625" style="478"/>
    <col min="1785" max="1785" width="9.7109375" style="478" customWidth="1"/>
    <col min="1786" max="1786" width="2.28515625" style="478"/>
    <col min="1787" max="1787" width="9.7109375" style="478" customWidth="1"/>
    <col min="1788" max="1788" width="2.28515625" style="478"/>
    <col min="1789" max="1789" width="9.7109375" style="478" customWidth="1"/>
    <col min="1790" max="1790" width="2.28515625" style="478"/>
    <col min="1791" max="1791" width="11" style="478" customWidth="1"/>
    <col min="1792" max="1792" width="2.28515625" style="478"/>
    <col min="1793" max="1793" width="35" style="478" customWidth="1"/>
    <col min="1794" max="1794" width="2.140625" style="478" customWidth="1"/>
    <col min="1795" max="1795" width="20" style="478" customWidth="1"/>
    <col min="1796" max="1796" width="2.140625" style="478" customWidth="1"/>
    <col min="1797" max="1797" width="20" style="478" customWidth="1"/>
    <col min="1798" max="1798" width="2.140625" style="478" customWidth="1"/>
    <col min="1799" max="1799" width="20" style="478" customWidth="1"/>
    <col min="1800" max="1800" width="2.28515625" style="478"/>
    <col min="1801" max="1801" width="9.7109375" style="478" customWidth="1"/>
    <col min="1802" max="1802" width="2.28515625" style="478"/>
    <col min="1803" max="1803" width="9.7109375" style="478" customWidth="1"/>
    <col min="1804" max="2007" width="13.5703125" style="478" customWidth="1"/>
    <col min="2008" max="2008" width="31.140625" style="478" customWidth="1"/>
    <col min="2009" max="2009" width="14.140625" style="478" customWidth="1"/>
    <col min="2010" max="2010" width="2.28515625" style="478"/>
    <col min="2011" max="2011" width="9.7109375" style="478" customWidth="1"/>
    <col min="2012" max="2012" width="2.28515625" style="478"/>
    <col min="2013" max="2013" width="9.7109375" style="478" customWidth="1"/>
    <col min="2014" max="2014" width="2.28515625" style="478"/>
    <col min="2015" max="2015" width="9.7109375" style="478" customWidth="1"/>
    <col min="2016" max="2016" width="2.28515625" style="478"/>
    <col min="2017" max="2017" width="11" style="478" customWidth="1"/>
    <col min="2018" max="2018" width="2.28515625" style="478"/>
    <col min="2019" max="2019" width="9.7109375" style="478" customWidth="1"/>
    <col min="2020" max="2020" width="4.28515625" style="478" customWidth="1"/>
    <col min="2021" max="2021" width="12.28515625" style="478" customWidth="1"/>
    <col min="2022" max="2022" width="2.28515625" style="478"/>
    <col min="2023" max="2023" width="9.7109375" style="478" customWidth="1"/>
    <col min="2024" max="2024" width="2.28515625" style="478"/>
    <col min="2025" max="2025" width="9.7109375" style="478" customWidth="1"/>
    <col min="2026" max="2026" width="2.28515625" style="478"/>
    <col min="2027" max="2027" width="9.7109375" style="478" customWidth="1"/>
    <col min="2028" max="2028" width="2.28515625" style="478"/>
    <col min="2029" max="2029" width="9.7109375" style="478" customWidth="1"/>
    <col min="2030" max="2030" width="13.28515625" style="478" bestFit="1" customWidth="1"/>
    <col min="2031" max="2031" width="14" style="478" customWidth="1"/>
    <col min="2032" max="2033" width="13.5703125" style="478" customWidth="1"/>
    <col min="2034" max="2034" width="2.85546875" style="478" customWidth="1"/>
    <col min="2035" max="2035" width="19.28515625" style="478" bestFit="1" customWidth="1"/>
    <col min="2036" max="2036" width="8.85546875" style="478" bestFit="1" customWidth="1"/>
    <col min="2037" max="2037" width="13.5703125" style="478" customWidth="1"/>
    <col min="2038" max="2038" width="31.140625" style="478" customWidth="1"/>
    <col min="2039" max="2039" width="14.140625" style="478" customWidth="1"/>
    <col min="2040" max="2040" width="2.28515625" style="478"/>
    <col min="2041" max="2041" width="9.7109375" style="478" customWidth="1"/>
    <col min="2042" max="2042" width="2.28515625" style="478"/>
    <col min="2043" max="2043" width="9.7109375" style="478" customWidth="1"/>
    <col min="2044" max="2044" width="2.28515625" style="478"/>
    <col min="2045" max="2045" width="9.7109375" style="478" customWidth="1"/>
    <col min="2046" max="2046" width="2.28515625" style="478"/>
    <col min="2047" max="2047" width="11" style="478" customWidth="1"/>
    <col min="2048" max="2048" width="2.28515625" style="478"/>
    <col min="2049" max="2049" width="35" style="478" customWidth="1"/>
    <col min="2050" max="2050" width="2.140625" style="478" customWidth="1"/>
    <col min="2051" max="2051" width="20" style="478" customWidth="1"/>
    <col min="2052" max="2052" width="2.140625" style="478" customWidth="1"/>
    <col min="2053" max="2053" width="20" style="478" customWidth="1"/>
    <col min="2054" max="2054" width="2.140625" style="478" customWidth="1"/>
    <col min="2055" max="2055" width="20" style="478" customWidth="1"/>
    <col min="2056" max="2056" width="2.28515625" style="478"/>
    <col min="2057" max="2057" width="9.7109375" style="478" customWidth="1"/>
    <col min="2058" max="2058" width="2.28515625" style="478"/>
    <col min="2059" max="2059" width="9.7109375" style="478" customWidth="1"/>
    <col min="2060" max="2263" width="13.5703125" style="478" customWidth="1"/>
    <col min="2264" max="2264" width="31.140625" style="478" customWidth="1"/>
    <col min="2265" max="2265" width="14.140625" style="478" customWidth="1"/>
    <col min="2266" max="2266" width="2.28515625" style="478"/>
    <col min="2267" max="2267" width="9.7109375" style="478" customWidth="1"/>
    <col min="2268" max="2268" width="2.28515625" style="478"/>
    <col min="2269" max="2269" width="9.7109375" style="478" customWidth="1"/>
    <col min="2270" max="2270" width="2.28515625" style="478"/>
    <col min="2271" max="2271" width="9.7109375" style="478" customWidth="1"/>
    <col min="2272" max="2272" width="2.28515625" style="478"/>
    <col min="2273" max="2273" width="11" style="478" customWidth="1"/>
    <col min="2274" max="2274" width="2.28515625" style="478"/>
    <col min="2275" max="2275" width="9.7109375" style="478" customWidth="1"/>
    <col min="2276" max="2276" width="4.28515625" style="478" customWidth="1"/>
    <col min="2277" max="2277" width="12.28515625" style="478" customWidth="1"/>
    <col min="2278" max="2278" width="2.28515625" style="478"/>
    <col min="2279" max="2279" width="9.7109375" style="478" customWidth="1"/>
    <col min="2280" max="2280" width="2.28515625" style="478"/>
    <col min="2281" max="2281" width="9.7109375" style="478" customWidth="1"/>
    <col min="2282" max="2282" width="2.28515625" style="478"/>
    <col min="2283" max="2283" width="9.7109375" style="478" customWidth="1"/>
    <col min="2284" max="2284" width="2.28515625" style="478"/>
    <col min="2285" max="2285" width="9.7109375" style="478" customWidth="1"/>
    <col min="2286" max="2286" width="13.28515625" style="478" bestFit="1" customWidth="1"/>
    <col min="2287" max="2287" width="14" style="478" customWidth="1"/>
    <col min="2288" max="2289" width="13.5703125" style="478" customWidth="1"/>
    <col min="2290" max="2290" width="2.85546875" style="478" customWidth="1"/>
    <col min="2291" max="2291" width="19.28515625" style="478" bestFit="1" customWidth="1"/>
    <col min="2292" max="2292" width="8.85546875" style="478" bestFit="1" customWidth="1"/>
    <col min="2293" max="2293" width="13.5703125" style="478" customWidth="1"/>
    <col min="2294" max="2294" width="31.140625" style="478" customWidth="1"/>
    <col min="2295" max="2295" width="14.140625" style="478" customWidth="1"/>
    <col min="2296" max="2296" width="2.28515625" style="478"/>
    <col min="2297" max="2297" width="9.7109375" style="478" customWidth="1"/>
    <col min="2298" max="2298" width="2.28515625" style="478"/>
    <col min="2299" max="2299" width="9.7109375" style="478" customWidth="1"/>
    <col min="2300" max="2300" width="2.28515625" style="478"/>
    <col min="2301" max="2301" width="9.7109375" style="478" customWidth="1"/>
    <col min="2302" max="2302" width="2.28515625" style="478"/>
    <col min="2303" max="2303" width="11" style="478" customWidth="1"/>
    <col min="2304" max="2304" width="2.28515625" style="478"/>
    <col min="2305" max="2305" width="35" style="478" customWidth="1"/>
    <col min="2306" max="2306" width="2.140625" style="478" customWidth="1"/>
    <col min="2307" max="2307" width="20" style="478" customWidth="1"/>
    <col min="2308" max="2308" width="2.140625" style="478" customWidth="1"/>
    <col min="2309" max="2309" width="20" style="478" customWidth="1"/>
    <col min="2310" max="2310" width="2.140625" style="478" customWidth="1"/>
    <col min="2311" max="2311" width="20" style="478" customWidth="1"/>
    <col min="2312" max="2312" width="2.28515625" style="478"/>
    <col min="2313" max="2313" width="9.7109375" style="478" customWidth="1"/>
    <col min="2314" max="2314" width="2.28515625" style="478"/>
    <col min="2315" max="2315" width="9.7109375" style="478" customWidth="1"/>
    <col min="2316" max="2519" width="13.5703125" style="478" customWidth="1"/>
    <col min="2520" max="2520" width="31.140625" style="478" customWidth="1"/>
    <col min="2521" max="2521" width="14.140625" style="478" customWidth="1"/>
    <col min="2522" max="2522" width="2.28515625" style="478"/>
    <col min="2523" max="2523" width="9.7109375" style="478" customWidth="1"/>
    <col min="2524" max="2524" width="2.28515625" style="478"/>
    <col min="2525" max="2525" width="9.7109375" style="478" customWidth="1"/>
    <col min="2526" max="2526" width="2.28515625" style="478"/>
    <col min="2527" max="2527" width="9.7109375" style="478" customWidth="1"/>
    <col min="2528" max="2528" width="2.28515625" style="478"/>
    <col min="2529" max="2529" width="11" style="478" customWidth="1"/>
    <col min="2530" max="2530" width="2.28515625" style="478"/>
    <col min="2531" max="2531" width="9.7109375" style="478" customWidth="1"/>
    <col min="2532" max="2532" width="4.28515625" style="478" customWidth="1"/>
    <col min="2533" max="2533" width="12.28515625" style="478" customWidth="1"/>
    <col min="2534" max="2534" width="2.28515625" style="478"/>
    <col min="2535" max="2535" width="9.7109375" style="478" customWidth="1"/>
    <col min="2536" max="2536" width="2.28515625" style="478"/>
    <col min="2537" max="2537" width="9.7109375" style="478" customWidth="1"/>
    <col min="2538" max="2538" width="2.28515625" style="478"/>
    <col min="2539" max="2539" width="9.7109375" style="478" customWidth="1"/>
    <col min="2540" max="2540" width="2.28515625" style="478"/>
    <col min="2541" max="2541" width="9.7109375" style="478" customWidth="1"/>
    <col min="2542" max="2542" width="13.28515625" style="478" bestFit="1" customWidth="1"/>
    <col min="2543" max="2543" width="14" style="478" customWidth="1"/>
    <col min="2544" max="2545" width="13.5703125" style="478" customWidth="1"/>
    <col min="2546" max="2546" width="2.85546875" style="478" customWidth="1"/>
    <col min="2547" max="2547" width="19.28515625" style="478" bestFit="1" customWidth="1"/>
    <col min="2548" max="2548" width="8.85546875" style="478" bestFit="1" customWidth="1"/>
    <col min="2549" max="2549" width="13.5703125" style="478" customWidth="1"/>
    <col min="2550" max="2550" width="31.140625" style="478" customWidth="1"/>
    <col min="2551" max="2551" width="14.140625" style="478" customWidth="1"/>
    <col min="2552" max="2552" width="2.28515625" style="478"/>
    <col min="2553" max="2553" width="9.7109375" style="478" customWidth="1"/>
    <col min="2554" max="2554" width="2.28515625" style="478"/>
    <col min="2555" max="2555" width="9.7109375" style="478" customWidth="1"/>
    <col min="2556" max="2556" width="2.28515625" style="478"/>
    <col min="2557" max="2557" width="9.7109375" style="478" customWidth="1"/>
    <col min="2558" max="2558" width="2.28515625" style="478"/>
    <col min="2559" max="2559" width="11" style="478" customWidth="1"/>
    <col min="2560" max="2560" width="2.28515625" style="478"/>
    <col min="2561" max="2561" width="35" style="478" customWidth="1"/>
    <col min="2562" max="2562" width="2.140625" style="478" customWidth="1"/>
    <col min="2563" max="2563" width="20" style="478" customWidth="1"/>
    <col min="2564" max="2564" width="2.140625" style="478" customWidth="1"/>
    <col min="2565" max="2565" width="20" style="478" customWidth="1"/>
    <col min="2566" max="2566" width="2.140625" style="478" customWidth="1"/>
    <col min="2567" max="2567" width="20" style="478" customWidth="1"/>
    <col min="2568" max="2568" width="2.28515625" style="478"/>
    <col min="2569" max="2569" width="9.7109375" style="478" customWidth="1"/>
    <col min="2570" max="2570" width="2.28515625" style="478"/>
    <col min="2571" max="2571" width="9.7109375" style="478" customWidth="1"/>
    <col min="2572" max="2775" width="13.5703125" style="478" customWidth="1"/>
    <col min="2776" max="2776" width="31.140625" style="478" customWidth="1"/>
    <col min="2777" max="2777" width="14.140625" style="478" customWidth="1"/>
    <col min="2778" max="2778" width="2.28515625" style="478"/>
    <col min="2779" max="2779" width="9.7109375" style="478" customWidth="1"/>
    <col min="2780" max="2780" width="2.28515625" style="478"/>
    <col min="2781" max="2781" width="9.7109375" style="478" customWidth="1"/>
    <col min="2782" max="2782" width="2.28515625" style="478"/>
    <col min="2783" max="2783" width="9.7109375" style="478" customWidth="1"/>
    <col min="2784" max="2784" width="2.28515625" style="478"/>
    <col min="2785" max="2785" width="11" style="478" customWidth="1"/>
    <col min="2786" max="2786" width="2.28515625" style="478"/>
    <col min="2787" max="2787" width="9.7109375" style="478" customWidth="1"/>
    <col min="2788" max="2788" width="4.28515625" style="478" customWidth="1"/>
    <col min="2789" max="2789" width="12.28515625" style="478" customWidth="1"/>
    <col min="2790" max="2790" width="2.28515625" style="478"/>
    <col min="2791" max="2791" width="9.7109375" style="478" customWidth="1"/>
    <col min="2792" max="2792" width="2.28515625" style="478"/>
    <col min="2793" max="2793" width="9.7109375" style="478" customWidth="1"/>
    <col min="2794" max="2794" width="2.28515625" style="478"/>
    <col min="2795" max="2795" width="9.7109375" style="478" customWidth="1"/>
    <col min="2796" max="2796" width="2.28515625" style="478"/>
    <col min="2797" max="2797" width="9.7109375" style="478" customWidth="1"/>
    <col min="2798" max="2798" width="13.28515625" style="478" bestFit="1" customWidth="1"/>
    <col min="2799" max="2799" width="14" style="478" customWidth="1"/>
    <col min="2800" max="2801" width="13.5703125" style="478" customWidth="1"/>
    <col min="2802" max="2802" width="2.85546875" style="478" customWidth="1"/>
    <col min="2803" max="2803" width="19.28515625" style="478" bestFit="1" customWidth="1"/>
    <col min="2804" max="2804" width="8.85546875" style="478" bestFit="1" customWidth="1"/>
    <col min="2805" max="2805" width="13.5703125" style="478" customWidth="1"/>
    <col min="2806" max="2806" width="31.140625" style="478" customWidth="1"/>
    <col min="2807" max="2807" width="14.140625" style="478" customWidth="1"/>
    <col min="2808" max="2808" width="2.28515625" style="478"/>
    <col min="2809" max="2809" width="9.7109375" style="478" customWidth="1"/>
    <col min="2810" max="2810" width="2.28515625" style="478"/>
    <col min="2811" max="2811" width="9.7109375" style="478" customWidth="1"/>
    <col min="2812" max="2812" width="2.28515625" style="478"/>
    <col min="2813" max="2813" width="9.7109375" style="478" customWidth="1"/>
    <col min="2814" max="2814" width="2.28515625" style="478"/>
    <col min="2815" max="2815" width="11" style="478" customWidth="1"/>
    <col min="2816" max="2816" width="2.28515625" style="478"/>
    <col min="2817" max="2817" width="35" style="478" customWidth="1"/>
    <col min="2818" max="2818" width="2.140625" style="478" customWidth="1"/>
    <col min="2819" max="2819" width="20" style="478" customWidth="1"/>
    <col min="2820" max="2820" width="2.140625" style="478" customWidth="1"/>
    <col min="2821" max="2821" width="20" style="478" customWidth="1"/>
    <col min="2822" max="2822" width="2.140625" style="478" customWidth="1"/>
    <col min="2823" max="2823" width="20" style="478" customWidth="1"/>
    <col min="2824" max="2824" width="2.28515625" style="478"/>
    <col min="2825" max="2825" width="9.7109375" style="478" customWidth="1"/>
    <col min="2826" max="2826" width="2.28515625" style="478"/>
    <col min="2827" max="2827" width="9.7109375" style="478" customWidth="1"/>
    <col min="2828" max="3031" width="13.5703125" style="478" customWidth="1"/>
    <col min="3032" max="3032" width="31.140625" style="478" customWidth="1"/>
    <col min="3033" max="3033" width="14.140625" style="478" customWidth="1"/>
    <col min="3034" max="3034" width="2.28515625" style="478"/>
    <col min="3035" max="3035" width="9.7109375" style="478" customWidth="1"/>
    <col min="3036" max="3036" width="2.28515625" style="478"/>
    <col min="3037" max="3037" width="9.7109375" style="478" customWidth="1"/>
    <col min="3038" max="3038" width="2.28515625" style="478"/>
    <col min="3039" max="3039" width="9.7109375" style="478" customWidth="1"/>
    <col min="3040" max="3040" width="2.28515625" style="478"/>
    <col min="3041" max="3041" width="11" style="478" customWidth="1"/>
    <col min="3042" max="3042" width="2.28515625" style="478"/>
    <col min="3043" max="3043" width="9.7109375" style="478" customWidth="1"/>
    <col min="3044" max="3044" width="4.28515625" style="478" customWidth="1"/>
    <col min="3045" max="3045" width="12.28515625" style="478" customWidth="1"/>
    <col min="3046" max="3046" width="2.28515625" style="478"/>
    <col min="3047" max="3047" width="9.7109375" style="478" customWidth="1"/>
    <col min="3048" max="3048" width="2.28515625" style="478"/>
    <col min="3049" max="3049" width="9.7109375" style="478" customWidth="1"/>
    <col min="3050" max="3050" width="2.28515625" style="478"/>
    <col min="3051" max="3051" width="9.7109375" style="478" customWidth="1"/>
    <col min="3052" max="3052" width="2.28515625" style="478"/>
    <col min="3053" max="3053" width="9.7109375" style="478" customWidth="1"/>
    <col min="3054" max="3054" width="13.28515625" style="478" bestFit="1" customWidth="1"/>
    <col min="3055" max="3055" width="14" style="478" customWidth="1"/>
    <col min="3056" max="3057" width="13.5703125" style="478" customWidth="1"/>
    <col min="3058" max="3058" width="2.85546875" style="478" customWidth="1"/>
    <col min="3059" max="3059" width="19.28515625" style="478" bestFit="1" customWidth="1"/>
    <col min="3060" max="3060" width="8.85546875" style="478" bestFit="1" customWidth="1"/>
    <col min="3061" max="3061" width="13.5703125" style="478" customWidth="1"/>
    <col min="3062" max="3062" width="31.140625" style="478" customWidth="1"/>
    <col min="3063" max="3063" width="14.140625" style="478" customWidth="1"/>
    <col min="3064" max="3064" width="2.28515625" style="478"/>
    <col min="3065" max="3065" width="9.7109375" style="478" customWidth="1"/>
    <col min="3066" max="3066" width="2.28515625" style="478"/>
    <col min="3067" max="3067" width="9.7109375" style="478" customWidth="1"/>
    <col min="3068" max="3068" width="2.28515625" style="478"/>
    <col min="3069" max="3069" width="9.7109375" style="478" customWidth="1"/>
    <col min="3070" max="3070" width="2.28515625" style="478"/>
    <col min="3071" max="3071" width="11" style="478" customWidth="1"/>
    <col min="3072" max="3072" width="2.28515625" style="478"/>
    <col min="3073" max="3073" width="35" style="478" customWidth="1"/>
    <col min="3074" max="3074" width="2.140625" style="478" customWidth="1"/>
    <col min="3075" max="3075" width="20" style="478" customWidth="1"/>
    <col min="3076" max="3076" width="2.140625" style="478" customWidth="1"/>
    <col min="3077" max="3077" width="20" style="478" customWidth="1"/>
    <col min="3078" max="3078" width="2.140625" style="478" customWidth="1"/>
    <col min="3079" max="3079" width="20" style="478" customWidth="1"/>
    <col min="3080" max="3080" width="2.28515625" style="478"/>
    <col min="3081" max="3081" width="9.7109375" style="478" customWidth="1"/>
    <col min="3082" max="3082" width="2.28515625" style="478"/>
    <col min="3083" max="3083" width="9.7109375" style="478" customWidth="1"/>
    <col min="3084" max="3287" width="13.5703125" style="478" customWidth="1"/>
    <col min="3288" max="3288" width="31.140625" style="478" customWidth="1"/>
    <col min="3289" max="3289" width="14.140625" style="478" customWidth="1"/>
    <col min="3290" max="3290" width="2.28515625" style="478"/>
    <col min="3291" max="3291" width="9.7109375" style="478" customWidth="1"/>
    <col min="3292" max="3292" width="2.28515625" style="478"/>
    <col min="3293" max="3293" width="9.7109375" style="478" customWidth="1"/>
    <col min="3294" max="3294" width="2.28515625" style="478"/>
    <col min="3295" max="3295" width="9.7109375" style="478" customWidth="1"/>
    <col min="3296" max="3296" width="2.28515625" style="478"/>
    <col min="3297" max="3297" width="11" style="478" customWidth="1"/>
    <col min="3298" max="3298" width="2.28515625" style="478"/>
    <col min="3299" max="3299" width="9.7109375" style="478" customWidth="1"/>
    <col min="3300" max="3300" width="4.28515625" style="478" customWidth="1"/>
    <col min="3301" max="3301" width="12.28515625" style="478" customWidth="1"/>
    <col min="3302" max="3302" width="2.28515625" style="478"/>
    <col min="3303" max="3303" width="9.7109375" style="478" customWidth="1"/>
    <col min="3304" max="3304" width="2.28515625" style="478"/>
    <col min="3305" max="3305" width="9.7109375" style="478" customWidth="1"/>
    <col min="3306" max="3306" width="2.28515625" style="478"/>
    <col min="3307" max="3307" width="9.7109375" style="478" customWidth="1"/>
    <col min="3308" max="3308" width="2.28515625" style="478"/>
    <col min="3309" max="3309" width="9.7109375" style="478" customWidth="1"/>
    <col min="3310" max="3310" width="13.28515625" style="478" bestFit="1" customWidth="1"/>
    <col min="3311" max="3311" width="14" style="478" customWidth="1"/>
    <col min="3312" max="3313" width="13.5703125" style="478" customWidth="1"/>
    <col min="3314" max="3314" width="2.85546875" style="478" customWidth="1"/>
    <col min="3315" max="3315" width="19.28515625" style="478" bestFit="1" customWidth="1"/>
    <col min="3316" max="3316" width="8.85546875" style="478" bestFit="1" customWidth="1"/>
    <col min="3317" max="3317" width="13.5703125" style="478" customWidth="1"/>
    <col min="3318" max="3318" width="31.140625" style="478" customWidth="1"/>
    <col min="3319" max="3319" width="14.140625" style="478" customWidth="1"/>
    <col min="3320" max="3320" width="2.28515625" style="478"/>
    <col min="3321" max="3321" width="9.7109375" style="478" customWidth="1"/>
    <col min="3322" max="3322" width="2.28515625" style="478"/>
    <col min="3323" max="3323" width="9.7109375" style="478" customWidth="1"/>
    <col min="3324" max="3324" width="2.28515625" style="478"/>
    <col min="3325" max="3325" width="9.7109375" style="478" customWidth="1"/>
    <col min="3326" max="3326" width="2.28515625" style="478"/>
    <col min="3327" max="3327" width="11" style="478" customWidth="1"/>
    <col min="3328" max="3328" width="2.28515625" style="478"/>
    <col min="3329" max="3329" width="35" style="478" customWidth="1"/>
    <col min="3330" max="3330" width="2.140625" style="478" customWidth="1"/>
    <col min="3331" max="3331" width="20" style="478" customWidth="1"/>
    <col min="3332" max="3332" width="2.140625" style="478" customWidth="1"/>
    <col min="3333" max="3333" width="20" style="478" customWidth="1"/>
    <col min="3334" max="3334" width="2.140625" style="478" customWidth="1"/>
    <col min="3335" max="3335" width="20" style="478" customWidth="1"/>
    <col min="3336" max="3336" width="2.28515625" style="478"/>
    <col min="3337" max="3337" width="9.7109375" style="478" customWidth="1"/>
    <col min="3338" max="3338" width="2.28515625" style="478"/>
    <col min="3339" max="3339" width="9.7109375" style="478" customWidth="1"/>
    <col min="3340" max="3543" width="13.5703125" style="478" customWidth="1"/>
    <col min="3544" max="3544" width="31.140625" style="478" customWidth="1"/>
    <col min="3545" max="3545" width="14.140625" style="478" customWidth="1"/>
    <col min="3546" max="3546" width="2.28515625" style="478"/>
    <col min="3547" max="3547" width="9.7109375" style="478" customWidth="1"/>
    <col min="3548" max="3548" width="2.28515625" style="478"/>
    <col min="3549" max="3549" width="9.7109375" style="478" customWidth="1"/>
    <col min="3550" max="3550" width="2.28515625" style="478"/>
    <col min="3551" max="3551" width="9.7109375" style="478" customWidth="1"/>
    <col min="3552" max="3552" width="2.28515625" style="478"/>
    <col min="3553" max="3553" width="11" style="478" customWidth="1"/>
    <col min="3554" max="3554" width="2.28515625" style="478"/>
    <col min="3555" max="3555" width="9.7109375" style="478" customWidth="1"/>
    <col min="3556" max="3556" width="4.28515625" style="478" customWidth="1"/>
    <col min="3557" max="3557" width="12.28515625" style="478" customWidth="1"/>
    <col min="3558" max="3558" width="2.28515625" style="478"/>
    <col min="3559" max="3559" width="9.7109375" style="478" customWidth="1"/>
    <col min="3560" max="3560" width="2.28515625" style="478"/>
    <col min="3561" max="3561" width="9.7109375" style="478" customWidth="1"/>
    <col min="3562" max="3562" width="2.28515625" style="478"/>
    <col min="3563" max="3563" width="9.7109375" style="478" customWidth="1"/>
    <col min="3564" max="3564" width="2.28515625" style="478"/>
    <col min="3565" max="3565" width="9.7109375" style="478" customWidth="1"/>
    <col min="3566" max="3566" width="13.28515625" style="478" bestFit="1" customWidth="1"/>
    <col min="3567" max="3567" width="14" style="478" customWidth="1"/>
    <col min="3568" max="3569" width="13.5703125" style="478" customWidth="1"/>
    <col min="3570" max="3570" width="2.85546875" style="478" customWidth="1"/>
    <col min="3571" max="3571" width="19.28515625" style="478" bestFit="1" customWidth="1"/>
    <col min="3572" max="3572" width="8.85546875" style="478" bestFit="1" customWidth="1"/>
    <col min="3573" max="3573" width="13.5703125" style="478" customWidth="1"/>
    <col min="3574" max="3574" width="31.140625" style="478" customWidth="1"/>
    <col min="3575" max="3575" width="14.140625" style="478" customWidth="1"/>
    <col min="3576" max="3576" width="2.28515625" style="478"/>
    <col min="3577" max="3577" width="9.7109375" style="478" customWidth="1"/>
    <col min="3578" max="3578" width="2.28515625" style="478"/>
    <col min="3579" max="3579" width="9.7109375" style="478" customWidth="1"/>
    <col min="3580" max="3580" width="2.28515625" style="478"/>
    <col min="3581" max="3581" width="9.7109375" style="478" customWidth="1"/>
    <col min="3582" max="3582" width="2.28515625" style="478"/>
    <col min="3583" max="3583" width="11" style="478" customWidth="1"/>
    <col min="3584" max="3584" width="2.28515625" style="478"/>
    <col min="3585" max="3585" width="35" style="478" customWidth="1"/>
    <col min="3586" max="3586" width="2.140625" style="478" customWidth="1"/>
    <col min="3587" max="3587" width="20" style="478" customWidth="1"/>
    <col min="3588" max="3588" width="2.140625" style="478" customWidth="1"/>
    <col min="3589" max="3589" width="20" style="478" customWidth="1"/>
    <col min="3590" max="3590" width="2.140625" style="478" customWidth="1"/>
    <col min="3591" max="3591" width="20" style="478" customWidth="1"/>
    <col min="3592" max="3592" width="2.28515625" style="478"/>
    <col min="3593" max="3593" width="9.7109375" style="478" customWidth="1"/>
    <col min="3594" max="3594" width="2.28515625" style="478"/>
    <col min="3595" max="3595" width="9.7109375" style="478" customWidth="1"/>
    <col min="3596" max="3799" width="13.5703125" style="478" customWidth="1"/>
    <col min="3800" max="3800" width="31.140625" style="478" customWidth="1"/>
    <col min="3801" max="3801" width="14.140625" style="478" customWidth="1"/>
    <col min="3802" max="3802" width="2.28515625" style="478"/>
    <col min="3803" max="3803" width="9.7109375" style="478" customWidth="1"/>
    <col min="3804" max="3804" width="2.28515625" style="478"/>
    <col min="3805" max="3805" width="9.7109375" style="478" customWidth="1"/>
    <col min="3806" max="3806" width="2.28515625" style="478"/>
    <col min="3807" max="3807" width="9.7109375" style="478" customWidth="1"/>
    <col min="3808" max="3808" width="2.28515625" style="478"/>
    <col min="3809" max="3809" width="11" style="478" customWidth="1"/>
    <col min="3810" max="3810" width="2.28515625" style="478"/>
    <col min="3811" max="3811" width="9.7109375" style="478" customWidth="1"/>
    <col min="3812" max="3812" width="4.28515625" style="478" customWidth="1"/>
    <col min="3813" max="3813" width="12.28515625" style="478" customWidth="1"/>
    <col min="3814" max="3814" width="2.28515625" style="478"/>
    <col min="3815" max="3815" width="9.7109375" style="478" customWidth="1"/>
    <col min="3816" max="3816" width="2.28515625" style="478"/>
    <col min="3817" max="3817" width="9.7109375" style="478" customWidth="1"/>
    <col min="3818" max="3818" width="2.28515625" style="478"/>
    <col min="3819" max="3819" width="9.7109375" style="478" customWidth="1"/>
    <col min="3820" max="3820" width="2.28515625" style="478"/>
    <col min="3821" max="3821" width="9.7109375" style="478" customWidth="1"/>
    <col min="3822" max="3822" width="13.28515625" style="478" bestFit="1" customWidth="1"/>
    <col min="3823" max="3823" width="14" style="478" customWidth="1"/>
    <col min="3824" max="3825" width="13.5703125" style="478" customWidth="1"/>
    <col min="3826" max="3826" width="2.85546875" style="478" customWidth="1"/>
    <col min="3827" max="3827" width="19.28515625" style="478" bestFit="1" customWidth="1"/>
    <col min="3828" max="3828" width="8.85546875" style="478" bestFit="1" customWidth="1"/>
    <col min="3829" max="3829" width="13.5703125" style="478" customWidth="1"/>
    <col min="3830" max="3830" width="31.140625" style="478" customWidth="1"/>
    <col min="3831" max="3831" width="14.140625" style="478" customWidth="1"/>
    <col min="3832" max="3832" width="2.28515625" style="478"/>
    <col min="3833" max="3833" width="9.7109375" style="478" customWidth="1"/>
    <col min="3834" max="3834" width="2.28515625" style="478"/>
    <col min="3835" max="3835" width="9.7109375" style="478" customWidth="1"/>
    <col min="3836" max="3836" width="2.28515625" style="478"/>
    <col min="3837" max="3837" width="9.7109375" style="478" customWidth="1"/>
    <col min="3838" max="3838" width="2.28515625" style="478"/>
    <col min="3839" max="3839" width="11" style="478" customWidth="1"/>
    <col min="3840" max="3840" width="2.28515625" style="478"/>
    <col min="3841" max="3841" width="35" style="478" customWidth="1"/>
    <col min="3842" max="3842" width="2.140625" style="478" customWidth="1"/>
    <col min="3843" max="3843" width="20" style="478" customWidth="1"/>
    <col min="3844" max="3844" width="2.140625" style="478" customWidth="1"/>
    <col min="3845" max="3845" width="20" style="478" customWidth="1"/>
    <col min="3846" max="3846" width="2.140625" style="478" customWidth="1"/>
    <col min="3847" max="3847" width="20" style="478" customWidth="1"/>
    <col min="3848" max="3848" width="2.28515625" style="478"/>
    <col min="3849" max="3849" width="9.7109375" style="478" customWidth="1"/>
    <col min="3850" max="3850" width="2.28515625" style="478"/>
    <col min="3851" max="3851" width="9.7109375" style="478" customWidth="1"/>
    <col min="3852" max="4055" width="13.5703125" style="478" customWidth="1"/>
    <col min="4056" max="4056" width="31.140625" style="478" customWidth="1"/>
    <col min="4057" max="4057" width="14.140625" style="478" customWidth="1"/>
    <col min="4058" max="4058" width="2.28515625" style="478"/>
    <col min="4059" max="4059" width="9.7109375" style="478" customWidth="1"/>
    <col min="4060" max="4060" width="2.28515625" style="478"/>
    <col min="4061" max="4061" width="9.7109375" style="478" customWidth="1"/>
    <col min="4062" max="4062" width="2.28515625" style="478"/>
    <col min="4063" max="4063" width="9.7109375" style="478" customWidth="1"/>
    <col min="4064" max="4064" width="2.28515625" style="478"/>
    <col min="4065" max="4065" width="11" style="478" customWidth="1"/>
    <col min="4066" max="4066" width="2.28515625" style="478"/>
    <col min="4067" max="4067" width="9.7109375" style="478" customWidth="1"/>
    <col min="4068" max="4068" width="4.28515625" style="478" customWidth="1"/>
    <col min="4069" max="4069" width="12.28515625" style="478" customWidth="1"/>
    <col min="4070" max="4070" width="2.28515625" style="478"/>
    <col min="4071" max="4071" width="9.7109375" style="478" customWidth="1"/>
    <col min="4072" max="4072" width="2.28515625" style="478"/>
    <col min="4073" max="4073" width="9.7109375" style="478" customWidth="1"/>
    <col min="4074" max="4074" width="2.28515625" style="478"/>
    <col min="4075" max="4075" width="9.7109375" style="478" customWidth="1"/>
    <col min="4076" max="4076" width="2.28515625" style="478"/>
    <col min="4077" max="4077" width="9.7109375" style="478" customWidth="1"/>
    <col min="4078" max="4078" width="13.28515625" style="478" bestFit="1" customWidth="1"/>
    <col min="4079" max="4079" width="14" style="478" customWidth="1"/>
    <col min="4080" max="4081" width="13.5703125" style="478" customWidth="1"/>
    <col min="4082" max="4082" width="2.85546875" style="478" customWidth="1"/>
    <col min="4083" max="4083" width="19.28515625" style="478" bestFit="1" customWidth="1"/>
    <col min="4084" max="4084" width="8.85546875" style="478" bestFit="1" customWidth="1"/>
    <col min="4085" max="4085" width="13.5703125" style="478" customWidth="1"/>
    <col min="4086" max="4086" width="31.140625" style="478" customWidth="1"/>
    <col min="4087" max="4087" width="14.140625" style="478" customWidth="1"/>
    <col min="4088" max="4088" width="2.28515625" style="478"/>
    <col min="4089" max="4089" width="9.7109375" style="478" customWidth="1"/>
    <col min="4090" max="4090" width="2.28515625" style="478"/>
    <col min="4091" max="4091" width="9.7109375" style="478" customWidth="1"/>
    <col min="4092" max="4092" width="2.28515625" style="478"/>
    <col min="4093" max="4093" width="9.7109375" style="478" customWidth="1"/>
    <col min="4094" max="4094" width="2.28515625" style="478"/>
    <col min="4095" max="4095" width="11" style="478" customWidth="1"/>
    <col min="4096" max="4096" width="2.28515625" style="478"/>
    <col min="4097" max="4097" width="35" style="478" customWidth="1"/>
    <col min="4098" max="4098" width="2.140625" style="478" customWidth="1"/>
    <col min="4099" max="4099" width="20" style="478" customWidth="1"/>
    <col min="4100" max="4100" width="2.140625" style="478" customWidth="1"/>
    <col min="4101" max="4101" width="20" style="478" customWidth="1"/>
    <col min="4102" max="4102" width="2.140625" style="478" customWidth="1"/>
    <col min="4103" max="4103" width="20" style="478" customWidth="1"/>
    <col min="4104" max="4104" width="2.28515625" style="478"/>
    <col min="4105" max="4105" width="9.7109375" style="478" customWidth="1"/>
    <col min="4106" max="4106" width="2.28515625" style="478"/>
    <col min="4107" max="4107" width="9.7109375" style="478" customWidth="1"/>
    <col min="4108" max="4311" width="13.5703125" style="478" customWidth="1"/>
    <col min="4312" max="4312" width="31.140625" style="478" customWidth="1"/>
    <col min="4313" max="4313" width="14.140625" style="478" customWidth="1"/>
    <col min="4314" max="4314" width="2.28515625" style="478"/>
    <col min="4315" max="4315" width="9.7109375" style="478" customWidth="1"/>
    <col min="4316" max="4316" width="2.28515625" style="478"/>
    <col min="4317" max="4317" width="9.7109375" style="478" customWidth="1"/>
    <col min="4318" max="4318" width="2.28515625" style="478"/>
    <col min="4319" max="4319" width="9.7109375" style="478" customWidth="1"/>
    <col min="4320" max="4320" width="2.28515625" style="478"/>
    <col min="4321" max="4321" width="11" style="478" customWidth="1"/>
    <col min="4322" max="4322" width="2.28515625" style="478"/>
    <col min="4323" max="4323" width="9.7109375" style="478" customWidth="1"/>
    <col min="4324" max="4324" width="4.28515625" style="478" customWidth="1"/>
    <col min="4325" max="4325" width="12.28515625" style="478" customWidth="1"/>
    <col min="4326" max="4326" width="2.28515625" style="478"/>
    <col min="4327" max="4327" width="9.7109375" style="478" customWidth="1"/>
    <col min="4328" max="4328" width="2.28515625" style="478"/>
    <col min="4329" max="4329" width="9.7109375" style="478" customWidth="1"/>
    <col min="4330" max="4330" width="2.28515625" style="478"/>
    <col min="4331" max="4331" width="9.7109375" style="478" customWidth="1"/>
    <col min="4332" max="4332" width="2.28515625" style="478"/>
    <col min="4333" max="4333" width="9.7109375" style="478" customWidth="1"/>
    <col min="4334" max="4334" width="13.28515625" style="478" bestFit="1" customWidth="1"/>
    <col min="4335" max="4335" width="14" style="478" customWidth="1"/>
    <col min="4336" max="4337" width="13.5703125" style="478" customWidth="1"/>
    <col min="4338" max="4338" width="2.85546875" style="478" customWidth="1"/>
    <col min="4339" max="4339" width="19.28515625" style="478" bestFit="1" customWidth="1"/>
    <col min="4340" max="4340" width="8.85546875" style="478" bestFit="1" customWidth="1"/>
    <col min="4341" max="4341" width="13.5703125" style="478" customWidth="1"/>
    <col min="4342" max="4342" width="31.140625" style="478" customWidth="1"/>
    <col min="4343" max="4343" width="14.140625" style="478" customWidth="1"/>
    <col min="4344" max="4344" width="2.28515625" style="478"/>
    <col min="4345" max="4345" width="9.7109375" style="478" customWidth="1"/>
    <col min="4346" max="4346" width="2.28515625" style="478"/>
    <col min="4347" max="4347" width="9.7109375" style="478" customWidth="1"/>
    <col min="4348" max="4348" width="2.28515625" style="478"/>
    <col min="4349" max="4349" width="9.7109375" style="478" customWidth="1"/>
    <col min="4350" max="4350" width="2.28515625" style="478"/>
    <col min="4351" max="4351" width="11" style="478" customWidth="1"/>
    <col min="4352" max="4352" width="2.28515625" style="478"/>
    <col min="4353" max="4353" width="35" style="478" customWidth="1"/>
    <col min="4354" max="4354" width="2.140625" style="478" customWidth="1"/>
    <col min="4355" max="4355" width="20" style="478" customWidth="1"/>
    <col min="4356" max="4356" width="2.140625" style="478" customWidth="1"/>
    <col min="4357" max="4357" width="20" style="478" customWidth="1"/>
    <col min="4358" max="4358" width="2.140625" style="478" customWidth="1"/>
    <col min="4359" max="4359" width="20" style="478" customWidth="1"/>
    <col min="4360" max="4360" width="2.28515625" style="478"/>
    <col min="4361" max="4361" width="9.7109375" style="478" customWidth="1"/>
    <col min="4362" max="4362" width="2.28515625" style="478"/>
    <col min="4363" max="4363" width="9.7109375" style="478" customWidth="1"/>
    <col min="4364" max="4567" width="13.5703125" style="478" customWidth="1"/>
    <col min="4568" max="4568" width="31.140625" style="478" customWidth="1"/>
    <col min="4569" max="4569" width="14.140625" style="478" customWidth="1"/>
    <col min="4570" max="4570" width="2.28515625" style="478"/>
    <col min="4571" max="4571" width="9.7109375" style="478" customWidth="1"/>
    <col min="4572" max="4572" width="2.28515625" style="478"/>
    <col min="4573" max="4573" width="9.7109375" style="478" customWidth="1"/>
    <col min="4574" max="4574" width="2.28515625" style="478"/>
    <col min="4575" max="4575" width="9.7109375" style="478" customWidth="1"/>
    <col min="4576" max="4576" width="2.28515625" style="478"/>
    <col min="4577" max="4577" width="11" style="478" customWidth="1"/>
    <col min="4578" max="4578" width="2.28515625" style="478"/>
    <col min="4579" max="4579" width="9.7109375" style="478" customWidth="1"/>
    <col min="4580" max="4580" width="4.28515625" style="478" customWidth="1"/>
    <col min="4581" max="4581" width="12.28515625" style="478" customWidth="1"/>
    <col min="4582" max="4582" width="2.28515625" style="478"/>
    <col min="4583" max="4583" width="9.7109375" style="478" customWidth="1"/>
    <col min="4584" max="4584" width="2.28515625" style="478"/>
    <col min="4585" max="4585" width="9.7109375" style="478" customWidth="1"/>
    <col min="4586" max="4586" width="2.28515625" style="478"/>
    <col min="4587" max="4587" width="9.7109375" style="478" customWidth="1"/>
    <col min="4588" max="4588" width="2.28515625" style="478"/>
    <col min="4589" max="4589" width="9.7109375" style="478" customWidth="1"/>
    <col min="4590" max="4590" width="13.28515625" style="478" bestFit="1" customWidth="1"/>
    <col min="4591" max="4591" width="14" style="478" customWidth="1"/>
    <col min="4592" max="4593" width="13.5703125" style="478" customWidth="1"/>
    <col min="4594" max="4594" width="2.85546875" style="478" customWidth="1"/>
    <col min="4595" max="4595" width="19.28515625" style="478" bestFit="1" customWidth="1"/>
    <col min="4596" max="4596" width="8.85546875" style="478" bestFit="1" customWidth="1"/>
    <col min="4597" max="4597" width="13.5703125" style="478" customWidth="1"/>
    <col min="4598" max="4598" width="31.140625" style="478" customWidth="1"/>
    <col min="4599" max="4599" width="14.140625" style="478" customWidth="1"/>
    <col min="4600" max="4600" width="2.28515625" style="478"/>
    <col min="4601" max="4601" width="9.7109375" style="478" customWidth="1"/>
    <col min="4602" max="4602" width="2.28515625" style="478"/>
    <col min="4603" max="4603" width="9.7109375" style="478" customWidth="1"/>
    <col min="4604" max="4604" width="2.28515625" style="478"/>
    <col min="4605" max="4605" width="9.7109375" style="478" customWidth="1"/>
    <col min="4606" max="4606" width="2.28515625" style="478"/>
    <col min="4607" max="4607" width="11" style="478" customWidth="1"/>
    <col min="4608" max="4608" width="2.28515625" style="478"/>
    <col min="4609" max="4609" width="35" style="478" customWidth="1"/>
    <col min="4610" max="4610" width="2.140625" style="478" customWidth="1"/>
    <col min="4611" max="4611" width="20" style="478" customWidth="1"/>
    <col min="4612" max="4612" width="2.140625" style="478" customWidth="1"/>
    <col min="4613" max="4613" width="20" style="478" customWidth="1"/>
    <col min="4614" max="4614" width="2.140625" style="478" customWidth="1"/>
    <col min="4615" max="4615" width="20" style="478" customWidth="1"/>
    <col min="4616" max="4616" width="2.28515625" style="478"/>
    <col min="4617" max="4617" width="9.7109375" style="478" customWidth="1"/>
    <col min="4618" max="4618" width="2.28515625" style="478"/>
    <col min="4619" max="4619" width="9.7109375" style="478" customWidth="1"/>
    <col min="4620" max="4823" width="13.5703125" style="478" customWidth="1"/>
    <col min="4824" max="4824" width="31.140625" style="478" customWidth="1"/>
    <col min="4825" max="4825" width="14.140625" style="478" customWidth="1"/>
    <col min="4826" max="4826" width="2.28515625" style="478"/>
    <col min="4827" max="4827" width="9.7109375" style="478" customWidth="1"/>
    <col min="4828" max="4828" width="2.28515625" style="478"/>
    <col min="4829" max="4829" width="9.7109375" style="478" customWidth="1"/>
    <col min="4830" max="4830" width="2.28515625" style="478"/>
    <col min="4831" max="4831" width="9.7109375" style="478" customWidth="1"/>
    <col min="4832" max="4832" width="2.28515625" style="478"/>
    <col min="4833" max="4833" width="11" style="478" customWidth="1"/>
    <col min="4834" max="4834" width="2.28515625" style="478"/>
    <col min="4835" max="4835" width="9.7109375" style="478" customWidth="1"/>
    <col min="4836" max="4836" width="4.28515625" style="478" customWidth="1"/>
    <col min="4837" max="4837" width="12.28515625" style="478" customWidth="1"/>
    <col min="4838" max="4838" width="2.28515625" style="478"/>
    <col min="4839" max="4839" width="9.7109375" style="478" customWidth="1"/>
    <col min="4840" max="4840" width="2.28515625" style="478"/>
    <col min="4841" max="4841" width="9.7109375" style="478" customWidth="1"/>
    <col min="4842" max="4842" width="2.28515625" style="478"/>
    <col min="4843" max="4843" width="9.7109375" style="478" customWidth="1"/>
    <col min="4844" max="4844" width="2.28515625" style="478"/>
    <col min="4845" max="4845" width="9.7109375" style="478" customWidth="1"/>
    <col min="4846" max="4846" width="13.28515625" style="478" bestFit="1" customWidth="1"/>
    <col min="4847" max="4847" width="14" style="478" customWidth="1"/>
    <col min="4848" max="4849" width="13.5703125" style="478" customWidth="1"/>
    <col min="4850" max="4850" width="2.85546875" style="478" customWidth="1"/>
    <col min="4851" max="4851" width="19.28515625" style="478" bestFit="1" customWidth="1"/>
    <col min="4852" max="4852" width="8.85546875" style="478" bestFit="1" customWidth="1"/>
    <col min="4853" max="4853" width="13.5703125" style="478" customWidth="1"/>
    <col min="4854" max="4854" width="31.140625" style="478" customWidth="1"/>
    <col min="4855" max="4855" width="14.140625" style="478" customWidth="1"/>
    <col min="4856" max="4856" width="2.28515625" style="478"/>
    <col min="4857" max="4857" width="9.7109375" style="478" customWidth="1"/>
    <col min="4858" max="4858" width="2.28515625" style="478"/>
    <col min="4859" max="4859" width="9.7109375" style="478" customWidth="1"/>
    <col min="4860" max="4860" width="2.28515625" style="478"/>
    <col min="4861" max="4861" width="9.7109375" style="478" customWidth="1"/>
    <col min="4862" max="4862" width="2.28515625" style="478"/>
    <col min="4863" max="4863" width="11" style="478" customWidth="1"/>
    <col min="4864" max="4864" width="2.28515625" style="478"/>
    <col min="4865" max="4865" width="35" style="478" customWidth="1"/>
    <col min="4866" max="4866" width="2.140625" style="478" customWidth="1"/>
    <col min="4867" max="4867" width="20" style="478" customWidth="1"/>
    <col min="4868" max="4868" width="2.140625" style="478" customWidth="1"/>
    <col min="4869" max="4869" width="20" style="478" customWidth="1"/>
    <col min="4870" max="4870" width="2.140625" style="478" customWidth="1"/>
    <col min="4871" max="4871" width="20" style="478" customWidth="1"/>
    <col min="4872" max="4872" width="2.28515625" style="478"/>
    <col min="4873" max="4873" width="9.7109375" style="478" customWidth="1"/>
    <col min="4874" max="4874" width="2.28515625" style="478"/>
    <col min="4875" max="4875" width="9.7109375" style="478" customWidth="1"/>
    <col min="4876" max="5079" width="13.5703125" style="478" customWidth="1"/>
    <col min="5080" max="5080" width="31.140625" style="478" customWidth="1"/>
    <col min="5081" max="5081" width="14.140625" style="478" customWidth="1"/>
    <col min="5082" max="5082" width="2.28515625" style="478"/>
    <col min="5083" max="5083" width="9.7109375" style="478" customWidth="1"/>
    <col min="5084" max="5084" width="2.28515625" style="478"/>
    <col min="5085" max="5085" width="9.7109375" style="478" customWidth="1"/>
    <col min="5086" max="5086" width="2.28515625" style="478"/>
    <col min="5087" max="5087" width="9.7109375" style="478" customWidth="1"/>
    <col min="5088" max="5088" width="2.28515625" style="478"/>
    <col min="5089" max="5089" width="11" style="478" customWidth="1"/>
    <col min="5090" max="5090" width="2.28515625" style="478"/>
    <col min="5091" max="5091" width="9.7109375" style="478" customWidth="1"/>
    <col min="5092" max="5092" width="4.28515625" style="478" customWidth="1"/>
    <col min="5093" max="5093" width="12.28515625" style="478" customWidth="1"/>
    <col min="5094" max="5094" width="2.28515625" style="478"/>
    <col min="5095" max="5095" width="9.7109375" style="478" customWidth="1"/>
    <col min="5096" max="5096" width="2.28515625" style="478"/>
    <col min="5097" max="5097" width="9.7109375" style="478" customWidth="1"/>
    <col min="5098" max="5098" width="2.28515625" style="478"/>
    <col min="5099" max="5099" width="9.7109375" style="478" customWidth="1"/>
    <col min="5100" max="5100" width="2.28515625" style="478"/>
    <col min="5101" max="5101" width="9.7109375" style="478" customWidth="1"/>
    <col min="5102" max="5102" width="13.28515625" style="478" bestFit="1" customWidth="1"/>
    <col min="5103" max="5103" width="14" style="478" customWidth="1"/>
    <col min="5104" max="5105" width="13.5703125" style="478" customWidth="1"/>
    <col min="5106" max="5106" width="2.85546875" style="478" customWidth="1"/>
    <col min="5107" max="5107" width="19.28515625" style="478" bestFit="1" customWidth="1"/>
    <col min="5108" max="5108" width="8.85546875" style="478" bestFit="1" customWidth="1"/>
    <col min="5109" max="5109" width="13.5703125" style="478" customWidth="1"/>
    <col min="5110" max="5110" width="31.140625" style="478" customWidth="1"/>
    <col min="5111" max="5111" width="14.140625" style="478" customWidth="1"/>
    <col min="5112" max="5112" width="2.28515625" style="478"/>
    <col min="5113" max="5113" width="9.7109375" style="478" customWidth="1"/>
    <col min="5114" max="5114" width="2.28515625" style="478"/>
    <col min="5115" max="5115" width="9.7109375" style="478" customWidth="1"/>
    <col min="5116" max="5116" width="2.28515625" style="478"/>
    <col min="5117" max="5117" width="9.7109375" style="478" customWidth="1"/>
    <col min="5118" max="5118" width="2.28515625" style="478"/>
    <col min="5119" max="5119" width="11" style="478" customWidth="1"/>
    <col min="5120" max="5120" width="2.28515625" style="478"/>
    <col min="5121" max="5121" width="35" style="478" customWidth="1"/>
    <col min="5122" max="5122" width="2.140625" style="478" customWidth="1"/>
    <col min="5123" max="5123" width="20" style="478" customWidth="1"/>
    <col min="5124" max="5124" width="2.140625" style="478" customWidth="1"/>
    <col min="5125" max="5125" width="20" style="478" customWidth="1"/>
    <col min="5126" max="5126" width="2.140625" style="478" customWidth="1"/>
    <col min="5127" max="5127" width="20" style="478" customWidth="1"/>
    <col min="5128" max="5128" width="2.28515625" style="478"/>
    <col min="5129" max="5129" width="9.7109375" style="478" customWidth="1"/>
    <col min="5130" max="5130" width="2.28515625" style="478"/>
    <col min="5131" max="5131" width="9.7109375" style="478" customWidth="1"/>
    <col min="5132" max="5335" width="13.5703125" style="478" customWidth="1"/>
    <col min="5336" max="5336" width="31.140625" style="478" customWidth="1"/>
    <col min="5337" max="5337" width="14.140625" style="478" customWidth="1"/>
    <col min="5338" max="5338" width="2.28515625" style="478"/>
    <col min="5339" max="5339" width="9.7109375" style="478" customWidth="1"/>
    <col min="5340" max="5340" width="2.28515625" style="478"/>
    <col min="5341" max="5341" width="9.7109375" style="478" customWidth="1"/>
    <col min="5342" max="5342" width="2.28515625" style="478"/>
    <col min="5343" max="5343" width="9.7109375" style="478" customWidth="1"/>
    <col min="5344" max="5344" width="2.28515625" style="478"/>
    <col min="5345" max="5345" width="11" style="478" customWidth="1"/>
    <col min="5346" max="5346" width="2.28515625" style="478"/>
    <col min="5347" max="5347" width="9.7109375" style="478" customWidth="1"/>
    <col min="5348" max="5348" width="4.28515625" style="478" customWidth="1"/>
    <col min="5349" max="5349" width="12.28515625" style="478" customWidth="1"/>
    <col min="5350" max="5350" width="2.28515625" style="478"/>
    <col min="5351" max="5351" width="9.7109375" style="478" customWidth="1"/>
    <col min="5352" max="5352" width="2.28515625" style="478"/>
    <col min="5353" max="5353" width="9.7109375" style="478" customWidth="1"/>
    <col min="5354" max="5354" width="2.28515625" style="478"/>
    <col min="5355" max="5355" width="9.7109375" style="478" customWidth="1"/>
    <col min="5356" max="5356" width="2.28515625" style="478"/>
    <col min="5357" max="5357" width="9.7109375" style="478" customWidth="1"/>
    <col min="5358" max="5358" width="13.28515625" style="478" bestFit="1" customWidth="1"/>
    <col min="5359" max="5359" width="14" style="478" customWidth="1"/>
    <col min="5360" max="5361" width="13.5703125" style="478" customWidth="1"/>
    <col min="5362" max="5362" width="2.85546875" style="478" customWidth="1"/>
    <col min="5363" max="5363" width="19.28515625" style="478" bestFit="1" customWidth="1"/>
    <col min="5364" max="5364" width="8.85546875" style="478" bestFit="1" customWidth="1"/>
    <col min="5365" max="5365" width="13.5703125" style="478" customWidth="1"/>
    <col min="5366" max="5366" width="31.140625" style="478" customWidth="1"/>
    <col min="5367" max="5367" width="14.140625" style="478" customWidth="1"/>
    <col min="5368" max="5368" width="2.28515625" style="478"/>
    <col min="5369" max="5369" width="9.7109375" style="478" customWidth="1"/>
    <col min="5370" max="5370" width="2.28515625" style="478"/>
    <col min="5371" max="5371" width="9.7109375" style="478" customWidth="1"/>
    <col min="5372" max="5372" width="2.28515625" style="478"/>
    <col min="5373" max="5373" width="9.7109375" style="478" customWidth="1"/>
    <col min="5374" max="5374" width="2.28515625" style="478"/>
    <col min="5375" max="5375" width="11" style="478" customWidth="1"/>
    <col min="5376" max="5376" width="2.28515625" style="478"/>
    <col min="5377" max="5377" width="35" style="478" customWidth="1"/>
    <col min="5378" max="5378" width="2.140625" style="478" customWidth="1"/>
    <col min="5379" max="5379" width="20" style="478" customWidth="1"/>
    <col min="5380" max="5380" width="2.140625" style="478" customWidth="1"/>
    <col min="5381" max="5381" width="20" style="478" customWidth="1"/>
    <col min="5382" max="5382" width="2.140625" style="478" customWidth="1"/>
    <col min="5383" max="5383" width="20" style="478" customWidth="1"/>
    <col min="5384" max="5384" width="2.28515625" style="478"/>
    <col min="5385" max="5385" width="9.7109375" style="478" customWidth="1"/>
    <col min="5386" max="5386" width="2.28515625" style="478"/>
    <col min="5387" max="5387" width="9.7109375" style="478" customWidth="1"/>
    <col min="5388" max="5591" width="13.5703125" style="478" customWidth="1"/>
    <col min="5592" max="5592" width="31.140625" style="478" customWidth="1"/>
    <col min="5593" max="5593" width="14.140625" style="478" customWidth="1"/>
    <col min="5594" max="5594" width="2.28515625" style="478"/>
    <col min="5595" max="5595" width="9.7109375" style="478" customWidth="1"/>
    <col min="5596" max="5596" width="2.28515625" style="478"/>
    <col min="5597" max="5597" width="9.7109375" style="478" customWidth="1"/>
    <col min="5598" max="5598" width="2.28515625" style="478"/>
    <col min="5599" max="5599" width="9.7109375" style="478" customWidth="1"/>
    <col min="5600" max="5600" width="2.28515625" style="478"/>
    <col min="5601" max="5601" width="11" style="478" customWidth="1"/>
    <col min="5602" max="5602" width="2.28515625" style="478"/>
    <col min="5603" max="5603" width="9.7109375" style="478" customWidth="1"/>
    <col min="5604" max="5604" width="4.28515625" style="478" customWidth="1"/>
    <col min="5605" max="5605" width="12.28515625" style="478" customWidth="1"/>
    <col min="5606" max="5606" width="2.28515625" style="478"/>
    <col min="5607" max="5607" width="9.7109375" style="478" customWidth="1"/>
    <col min="5608" max="5608" width="2.28515625" style="478"/>
    <col min="5609" max="5609" width="9.7109375" style="478" customWidth="1"/>
    <col min="5610" max="5610" width="2.28515625" style="478"/>
    <col min="5611" max="5611" width="9.7109375" style="478" customWidth="1"/>
    <col min="5612" max="5612" width="2.28515625" style="478"/>
    <col min="5613" max="5613" width="9.7109375" style="478" customWidth="1"/>
    <col min="5614" max="5614" width="13.28515625" style="478" bestFit="1" customWidth="1"/>
    <col min="5615" max="5615" width="14" style="478" customWidth="1"/>
    <col min="5616" max="5617" width="13.5703125" style="478" customWidth="1"/>
    <col min="5618" max="5618" width="2.85546875" style="478" customWidth="1"/>
    <col min="5619" max="5619" width="19.28515625" style="478" bestFit="1" customWidth="1"/>
    <col min="5620" max="5620" width="8.85546875" style="478" bestFit="1" customWidth="1"/>
    <col min="5621" max="5621" width="13.5703125" style="478" customWidth="1"/>
    <col min="5622" max="5622" width="31.140625" style="478" customWidth="1"/>
    <col min="5623" max="5623" width="14.140625" style="478" customWidth="1"/>
    <col min="5624" max="5624" width="2.28515625" style="478"/>
    <col min="5625" max="5625" width="9.7109375" style="478" customWidth="1"/>
    <col min="5626" max="5626" width="2.28515625" style="478"/>
    <col min="5627" max="5627" width="9.7109375" style="478" customWidth="1"/>
    <col min="5628" max="5628" width="2.28515625" style="478"/>
    <col min="5629" max="5629" width="9.7109375" style="478" customWidth="1"/>
    <col min="5630" max="5630" width="2.28515625" style="478"/>
    <col min="5631" max="5631" width="11" style="478" customWidth="1"/>
    <col min="5632" max="5632" width="2.28515625" style="478"/>
    <col min="5633" max="5633" width="35" style="478" customWidth="1"/>
    <col min="5634" max="5634" width="2.140625" style="478" customWidth="1"/>
    <col min="5635" max="5635" width="20" style="478" customWidth="1"/>
    <col min="5636" max="5636" width="2.140625" style="478" customWidth="1"/>
    <col min="5637" max="5637" width="20" style="478" customWidth="1"/>
    <col min="5638" max="5638" width="2.140625" style="478" customWidth="1"/>
    <col min="5639" max="5639" width="20" style="478" customWidth="1"/>
    <col min="5640" max="5640" width="2.28515625" style="478"/>
    <col min="5641" max="5641" width="9.7109375" style="478" customWidth="1"/>
    <col min="5642" max="5642" width="2.28515625" style="478"/>
    <col min="5643" max="5643" width="9.7109375" style="478" customWidth="1"/>
    <col min="5644" max="5847" width="13.5703125" style="478" customWidth="1"/>
    <col min="5848" max="5848" width="31.140625" style="478" customWidth="1"/>
    <col min="5849" max="5849" width="14.140625" style="478" customWidth="1"/>
    <col min="5850" max="5850" width="2.28515625" style="478"/>
    <col min="5851" max="5851" width="9.7109375" style="478" customWidth="1"/>
    <col min="5852" max="5852" width="2.28515625" style="478"/>
    <col min="5853" max="5853" width="9.7109375" style="478" customWidth="1"/>
    <col min="5854" max="5854" width="2.28515625" style="478"/>
    <col min="5855" max="5855" width="9.7109375" style="478" customWidth="1"/>
    <col min="5856" max="5856" width="2.28515625" style="478"/>
    <col min="5857" max="5857" width="11" style="478" customWidth="1"/>
    <col min="5858" max="5858" width="2.28515625" style="478"/>
    <col min="5859" max="5859" width="9.7109375" style="478" customWidth="1"/>
    <col min="5860" max="5860" width="4.28515625" style="478" customWidth="1"/>
    <col min="5861" max="5861" width="12.28515625" style="478" customWidth="1"/>
    <col min="5862" max="5862" width="2.28515625" style="478"/>
    <col min="5863" max="5863" width="9.7109375" style="478" customWidth="1"/>
    <col min="5864" max="5864" width="2.28515625" style="478"/>
    <col min="5865" max="5865" width="9.7109375" style="478" customWidth="1"/>
    <col min="5866" max="5866" width="2.28515625" style="478"/>
    <col min="5867" max="5867" width="9.7109375" style="478" customWidth="1"/>
    <col min="5868" max="5868" width="2.28515625" style="478"/>
    <col min="5869" max="5869" width="9.7109375" style="478" customWidth="1"/>
    <col min="5870" max="5870" width="13.28515625" style="478" bestFit="1" customWidth="1"/>
    <col min="5871" max="5871" width="14" style="478" customWidth="1"/>
    <col min="5872" max="5873" width="13.5703125" style="478" customWidth="1"/>
    <col min="5874" max="5874" width="2.85546875" style="478" customWidth="1"/>
    <col min="5875" max="5875" width="19.28515625" style="478" bestFit="1" customWidth="1"/>
    <col min="5876" max="5876" width="8.85546875" style="478" bestFit="1" customWidth="1"/>
    <col min="5877" max="5877" width="13.5703125" style="478" customWidth="1"/>
    <col min="5878" max="5878" width="31.140625" style="478" customWidth="1"/>
    <col min="5879" max="5879" width="14.140625" style="478" customWidth="1"/>
    <col min="5880" max="5880" width="2.28515625" style="478"/>
    <col min="5881" max="5881" width="9.7109375" style="478" customWidth="1"/>
    <col min="5882" max="5882" width="2.28515625" style="478"/>
    <col min="5883" max="5883" width="9.7109375" style="478" customWidth="1"/>
    <col min="5884" max="5884" width="2.28515625" style="478"/>
    <col min="5885" max="5885" width="9.7109375" style="478" customWidth="1"/>
    <col min="5886" max="5886" width="2.28515625" style="478"/>
    <col min="5887" max="5887" width="11" style="478" customWidth="1"/>
    <col min="5888" max="5888" width="2.28515625" style="478"/>
    <col min="5889" max="5889" width="35" style="478" customWidth="1"/>
    <col min="5890" max="5890" width="2.140625" style="478" customWidth="1"/>
    <col min="5891" max="5891" width="20" style="478" customWidth="1"/>
    <col min="5892" max="5892" width="2.140625" style="478" customWidth="1"/>
    <col min="5893" max="5893" width="20" style="478" customWidth="1"/>
    <col min="5894" max="5894" width="2.140625" style="478" customWidth="1"/>
    <col min="5895" max="5895" width="20" style="478" customWidth="1"/>
    <col min="5896" max="5896" width="2.28515625" style="478"/>
    <col min="5897" max="5897" width="9.7109375" style="478" customWidth="1"/>
    <col min="5898" max="5898" width="2.28515625" style="478"/>
    <col min="5899" max="5899" width="9.7109375" style="478" customWidth="1"/>
    <col min="5900" max="6103" width="13.5703125" style="478" customWidth="1"/>
    <col min="6104" max="6104" width="31.140625" style="478" customWidth="1"/>
    <col min="6105" max="6105" width="14.140625" style="478" customWidth="1"/>
    <col min="6106" max="6106" width="2.28515625" style="478"/>
    <col min="6107" max="6107" width="9.7109375" style="478" customWidth="1"/>
    <col min="6108" max="6108" width="2.28515625" style="478"/>
    <col min="6109" max="6109" width="9.7109375" style="478" customWidth="1"/>
    <col min="6110" max="6110" width="2.28515625" style="478"/>
    <col min="6111" max="6111" width="9.7109375" style="478" customWidth="1"/>
    <col min="6112" max="6112" width="2.28515625" style="478"/>
    <col min="6113" max="6113" width="11" style="478" customWidth="1"/>
    <col min="6114" max="6114" width="2.28515625" style="478"/>
    <col min="6115" max="6115" width="9.7109375" style="478" customWidth="1"/>
    <col min="6116" max="6116" width="4.28515625" style="478" customWidth="1"/>
    <col min="6117" max="6117" width="12.28515625" style="478" customWidth="1"/>
    <col min="6118" max="6118" width="2.28515625" style="478"/>
    <col min="6119" max="6119" width="9.7109375" style="478" customWidth="1"/>
    <col min="6120" max="6120" width="2.28515625" style="478"/>
    <col min="6121" max="6121" width="9.7109375" style="478" customWidth="1"/>
    <col min="6122" max="6122" width="2.28515625" style="478"/>
    <col min="6123" max="6123" width="9.7109375" style="478" customWidth="1"/>
    <col min="6124" max="6124" width="2.28515625" style="478"/>
    <col min="6125" max="6125" width="9.7109375" style="478" customWidth="1"/>
    <col min="6126" max="6126" width="13.28515625" style="478" bestFit="1" customWidth="1"/>
    <col min="6127" max="6127" width="14" style="478" customWidth="1"/>
    <col min="6128" max="6129" width="13.5703125" style="478" customWidth="1"/>
    <col min="6130" max="6130" width="2.85546875" style="478" customWidth="1"/>
    <col min="6131" max="6131" width="19.28515625" style="478" bestFit="1" customWidth="1"/>
    <col min="6132" max="6132" width="8.85546875" style="478" bestFit="1" customWidth="1"/>
    <col min="6133" max="6133" width="13.5703125" style="478" customWidth="1"/>
    <col min="6134" max="6134" width="31.140625" style="478" customWidth="1"/>
    <col min="6135" max="6135" width="14.140625" style="478" customWidth="1"/>
    <col min="6136" max="6136" width="2.28515625" style="478"/>
    <col min="6137" max="6137" width="9.7109375" style="478" customWidth="1"/>
    <col min="6138" max="6138" width="2.28515625" style="478"/>
    <col min="6139" max="6139" width="9.7109375" style="478" customWidth="1"/>
    <col min="6140" max="6140" width="2.28515625" style="478"/>
    <col min="6141" max="6141" width="9.7109375" style="478" customWidth="1"/>
    <col min="6142" max="6142" width="2.28515625" style="478"/>
    <col min="6143" max="6143" width="11" style="478" customWidth="1"/>
    <col min="6144" max="6144" width="2.28515625" style="478"/>
    <col min="6145" max="6145" width="35" style="478" customWidth="1"/>
    <col min="6146" max="6146" width="2.140625" style="478" customWidth="1"/>
    <col min="6147" max="6147" width="20" style="478" customWidth="1"/>
    <col min="6148" max="6148" width="2.140625" style="478" customWidth="1"/>
    <col min="6149" max="6149" width="20" style="478" customWidth="1"/>
    <col min="6150" max="6150" width="2.140625" style="478" customWidth="1"/>
    <col min="6151" max="6151" width="20" style="478" customWidth="1"/>
    <col min="6152" max="6152" width="2.28515625" style="478"/>
    <col min="6153" max="6153" width="9.7109375" style="478" customWidth="1"/>
    <col min="6154" max="6154" width="2.28515625" style="478"/>
    <col min="6155" max="6155" width="9.7109375" style="478" customWidth="1"/>
    <col min="6156" max="6359" width="13.5703125" style="478" customWidth="1"/>
    <col min="6360" max="6360" width="31.140625" style="478" customWidth="1"/>
    <col min="6361" max="6361" width="14.140625" style="478" customWidth="1"/>
    <col min="6362" max="6362" width="2.28515625" style="478"/>
    <col min="6363" max="6363" width="9.7109375" style="478" customWidth="1"/>
    <col min="6364" max="6364" width="2.28515625" style="478"/>
    <col min="6365" max="6365" width="9.7109375" style="478" customWidth="1"/>
    <col min="6366" max="6366" width="2.28515625" style="478"/>
    <col min="6367" max="6367" width="9.7109375" style="478" customWidth="1"/>
    <col min="6368" max="6368" width="2.28515625" style="478"/>
    <col min="6369" max="6369" width="11" style="478" customWidth="1"/>
    <col min="6370" max="6370" width="2.28515625" style="478"/>
    <col min="6371" max="6371" width="9.7109375" style="478" customWidth="1"/>
    <col min="6372" max="6372" width="4.28515625" style="478" customWidth="1"/>
    <col min="6373" max="6373" width="12.28515625" style="478" customWidth="1"/>
    <col min="6374" max="6374" width="2.28515625" style="478"/>
    <col min="6375" max="6375" width="9.7109375" style="478" customWidth="1"/>
    <col min="6376" max="6376" width="2.28515625" style="478"/>
    <col min="6377" max="6377" width="9.7109375" style="478" customWidth="1"/>
    <col min="6378" max="6378" width="2.28515625" style="478"/>
    <col min="6379" max="6379" width="9.7109375" style="478" customWidth="1"/>
    <col min="6380" max="6380" width="2.28515625" style="478"/>
    <col min="6381" max="6381" width="9.7109375" style="478" customWidth="1"/>
    <col min="6382" max="6382" width="13.28515625" style="478" bestFit="1" customWidth="1"/>
    <col min="6383" max="6383" width="14" style="478" customWidth="1"/>
    <col min="6384" max="6385" width="13.5703125" style="478" customWidth="1"/>
    <col min="6386" max="6386" width="2.85546875" style="478" customWidth="1"/>
    <col min="6387" max="6387" width="19.28515625" style="478" bestFit="1" customWidth="1"/>
    <col min="6388" max="6388" width="8.85546875" style="478" bestFit="1" customWidth="1"/>
    <col min="6389" max="6389" width="13.5703125" style="478" customWidth="1"/>
    <col min="6390" max="6390" width="31.140625" style="478" customWidth="1"/>
    <col min="6391" max="6391" width="14.140625" style="478" customWidth="1"/>
    <col min="6392" max="6392" width="2.28515625" style="478"/>
    <col min="6393" max="6393" width="9.7109375" style="478" customWidth="1"/>
    <col min="6394" max="6394" width="2.28515625" style="478"/>
    <col min="6395" max="6395" width="9.7109375" style="478" customWidth="1"/>
    <col min="6396" max="6396" width="2.28515625" style="478"/>
    <col min="6397" max="6397" width="9.7109375" style="478" customWidth="1"/>
    <col min="6398" max="6398" width="2.28515625" style="478"/>
    <col min="6399" max="6399" width="11" style="478" customWidth="1"/>
    <col min="6400" max="6400" width="2.28515625" style="478"/>
    <col min="6401" max="6401" width="35" style="478" customWidth="1"/>
    <col min="6402" max="6402" width="2.140625" style="478" customWidth="1"/>
    <col min="6403" max="6403" width="20" style="478" customWidth="1"/>
    <col min="6404" max="6404" width="2.140625" style="478" customWidth="1"/>
    <col min="6405" max="6405" width="20" style="478" customWidth="1"/>
    <col min="6406" max="6406" width="2.140625" style="478" customWidth="1"/>
    <col min="6407" max="6407" width="20" style="478" customWidth="1"/>
    <col min="6408" max="6408" width="2.28515625" style="478"/>
    <col min="6409" max="6409" width="9.7109375" style="478" customWidth="1"/>
    <col min="6410" max="6410" width="2.28515625" style="478"/>
    <col min="6411" max="6411" width="9.7109375" style="478" customWidth="1"/>
    <col min="6412" max="6615" width="13.5703125" style="478" customWidth="1"/>
    <col min="6616" max="6616" width="31.140625" style="478" customWidth="1"/>
    <col min="6617" max="6617" width="14.140625" style="478" customWidth="1"/>
    <col min="6618" max="6618" width="2.28515625" style="478"/>
    <col min="6619" max="6619" width="9.7109375" style="478" customWidth="1"/>
    <col min="6620" max="6620" width="2.28515625" style="478"/>
    <col min="6621" max="6621" width="9.7109375" style="478" customWidth="1"/>
    <col min="6622" max="6622" width="2.28515625" style="478"/>
    <col min="6623" max="6623" width="9.7109375" style="478" customWidth="1"/>
    <col min="6624" max="6624" width="2.28515625" style="478"/>
    <col min="6625" max="6625" width="11" style="478" customWidth="1"/>
    <col min="6626" max="6626" width="2.28515625" style="478"/>
    <col min="6627" max="6627" width="9.7109375" style="478" customWidth="1"/>
    <col min="6628" max="6628" width="4.28515625" style="478" customWidth="1"/>
    <col min="6629" max="6629" width="12.28515625" style="478" customWidth="1"/>
    <col min="6630" max="6630" width="2.28515625" style="478"/>
    <col min="6631" max="6631" width="9.7109375" style="478" customWidth="1"/>
    <col min="6632" max="6632" width="2.28515625" style="478"/>
    <col min="6633" max="6633" width="9.7109375" style="478" customWidth="1"/>
    <col min="6634" max="6634" width="2.28515625" style="478"/>
    <col min="6635" max="6635" width="9.7109375" style="478" customWidth="1"/>
    <col min="6636" max="6636" width="2.28515625" style="478"/>
    <col min="6637" max="6637" width="9.7109375" style="478" customWidth="1"/>
    <col min="6638" max="6638" width="13.28515625" style="478" bestFit="1" customWidth="1"/>
    <col min="6639" max="6639" width="14" style="478" customWidth="1"/>
    <col min="6640" max="6641" width="13.5703125" style="478" customWidth="1"/>
    <col min="6642" max="6642" width="2.85546875" style="478" customWidth="1"/>
    <col min="6643" max="6643" width="19.28515625" style="478" bestFit="1" customWidth="1"/>
    <col min="6644" max="6644" width="8.85546875" style="478" bestFit="1" customWidth="1"/>
    <col min="6645" max="6645" width="13.5703125" style="478" customWidth="1"/>
    <col min="6646" max="6646" width="31.140625" style="478" customWidth="1"/>
    <col min="6647" max="6647" width="14.140625" style="478" customWidth="1"/>
    <col min="6648" max="6648" width="2.28515625" style="478"/>
    <col min="6649" max="6649" width="9.7109375" style="478" customWidth="1"/>
    <col min="6650" max="6650" width="2.28515625" style="478"/>
    <col min="6651" max="6651" width="9.7109375" style="478" customWidth="1"/>
    <col min="6652" max="6652" width="2.28515625" style="478"/>
    <col min="6653" max="6653" width="9.7109375" style="478" customWidth="1"/>
    <col min="6654" max="6654" width="2.28515625" style="478"/>
    <col min="6655" max="6655" width="11" style="478" customWidth="1"/>
    <col min="6656" max="6656" width="2.28515625" style="478"/>
    <col min="6657" max="6657" width="35" style="478" customWidth="1"/>
    <col min="6658" max="6658" width="2.140625" style="478" customWidth="1"/>
    <col min="6659" max="6659" width="20" style="478" customWidth="1"/>
    <col min="6660" max="6660" width="2.140625" style="478" customWidth="1"/>
    <col min="6661" max="6661" width="20" style="478" customWidth="1"/>
    <col min="6662" max="6662" width="2.140625" style="478" customWidth="1"/>
    <col min="6663" max="6663" width="20" style="478" customWidth="1"/>
    <col min="6664" max="6664" width="2.28515625" style="478"/>
    <col min="6665" max="6665" width="9.7109375" style="478" customWidth="1"/>
    <col min="6666" max="6666" width="2.28515625" style="478"/>
    <col min="6667" max="6667" width="9.7109375" style="478" customWidth="1"/>
    <col min="6668" max="6871" width="13.5703125" style="478" customWidth="1"/>
    <col min="6872" max="6872" width="31.140625" style="478" customWidth="1"/>
    <col min="6873" max="6873" width="14.140625" style="478" customWidth="1"/>
    <col min="6874" max="6874" width="2.28515625" style="478"/>
    <col min="6875" max="6875" width="9.7109375" style="478" customWidth="1"/>
    <col min="6876" max="6876" width="2.28515625" style="478"/>
    <col min="6877" max="6877" width="9.7109375" style="478" customWidth="1"/>
    <col min="6878" max="6878" width="2.28515625" style="478"/>
    <col min="6879" max="6879" width="9.7109375" style="478" customWidth="1"/>
    <col min="6880" max="6880" width="2.28515625" style="478"/>
    <col min="6881" max="6881" width="11" style="478" customWidth="1"/>
    <col min="6882" max="6882" width="2.28515625" style="478"/>
    <col min="6883" max="6883" width="9.7109375" style="478" customWidth="1"/>
    <col min="6884" max="6884" width="4.28515625" style="478" customWidth="1"/>
    <col min="6885" max="6885" width="12.28515625" style="478" customWidth="1"/>
    <col min="6886" max="6886" width="2.28515625" style="478"/>
    <col min="6887" max="6887" width="9.7109375" style="478" customWidth="1"/>
    <col min="6888" max="6888" width="2.28515625" style="478"/>
    <col min="6889" max="6889" width="9.7109375" style="478" customWidth="1"/>
    <col min="6890" max="6890" width="2.28515625" style="478"/>
    <col min="6891" max="6891" width="9.7109375" style="478" customWidth="1"/>
    <col min="6892" max="6892" width="2.28515625" style="478"/>
    <col min="6893" max="6893" width="9.7109375" style="478" customWidth="1"/>
    <col min="6894" max="6894" width="13.28515625" style="478" bestFit="1" customWidth="1"/>
    <col min="6895" max="6895" width="14" style="478" customWidth="1"/>
    <col min="6896" max="6897" width="13.5703125" style="478" customWidth="1"/>
    <col min="6898" max="6898" width="2.85546875" style="478" customWidth="1"/>
    <col min="6899" max="6899" width="19.28515625" style="478" bestFit="1" customWidth="1"/>
    <col min="6900" max="6900" width="8.85546875" style="478" bestFit="1" customWidth="1"/>
    <col min="6901" max="6901" width="13.5703125" style="478" customWidth="1"/>
    <col min="6902" max="6902" width="31.140625" style="478" customWidth="1"/>
    <col min="6903" max="6903" width="14.140625" style="478" customWidth="1"/>
    <col min="6904" max="6904" width="2.28515625" style="478"/>
    <col min="6905" max="6905" width="9.7109375" style="478" customWidth="1"/>
    <col min="6906" max="6906" width="2.28515625" style="478"/>
    <col min="6907" max="6907" width="9.7109375" style="478" customWidth="1"/>
    <col min="6908" max="6908" width="2.28515625" style="478"/>
    <col min="6909" max="6909" width="9.7109375" style="478" customWidth="1"/>
    <col min="6910" max="6910" width="2.28515625" style="478"/>
    <col min="6911" max="6911" width="11" style="478" customWidth="1"/>
    <col min="6912" max="6912" width="2.28515625" style="478"/>
    <col min="6913" max="6913" width="35" style="478" customWidth="1"/>
    <col min="6914" max="6914" width="2.140625" style="478" customWidth="1"/>
    <col min="6915" max="6915" width="20" style="478" customWidth="1"/>
    <col min="6916" max="6916" width="2.140625" style="478" customWidth="1"/>
    <col min="6917" max="6917" width="20" style="478" customWidth="1"/>
    <col min="6918" max="6918" width="2.140625" style="478" customWidth="1"/>
    <col min="6919" max="6919" width="20" style="478" customWidth="1"/>
    <col min="6920" max="6920" width="2.28515625" style="478"/>
    <col min="6921" max="6921" width="9.7109375" style="478" customWidth="1"/>
    <col min="6922" max="6922" width="2.28515625" style="478"/>
    <col min="6923" max="6923" width="9.7109375" style="478" customWidth="1"/>
    <col min="6924" max="7127" width="13.5703125" style="478" customWidth="1"/>
    <col min="7128" max="7128" width="31.140625" style="478" customWidth="1"/>
    <col min="7129" max="7129" width="14.140625" style="478" customWidth="1"/>
    <col min="7130" max="7130" width="2.28515625" style="478"/>
    <col min="7131" max="7131" width="9.7109375" style="478" customWidth="1"/>
    <col min="7132" max="7132" width="2.28515625" style="478"/>
    <col min="7133" max="7133" width="9.7109375" style="478" customWidth="1"/>
    <col min="7134" max="7134" width="2.28515625" style="478"/>
    <col min="7135" max="7135" width="9.7109375" style="478" customWidth="1"/>
    <col min="7136" max="7136" width="2.28515625" style="478"/>
    <col min="7137" max="7137" width="11" style="478" customWidth="1"/>
    <col min="7138" max="7138" width="2.28515625" style="478"/>
    <col min="7139" max="7139" width="9.7109375" style="478" customWidth="1"/>
    <col min="7140" max="7140" width="4.28515625" style="478" customWidth="1"/>
    <col min="7141" max="7141" width="12.28515625" style="478" customWidth="1"/>
    <col min="7142" max="7142" width="2.28515625" style="478"/>
    <col min="7143" max="7143" width="9.7109375" style="478" customWidth="1"/>
    <col min="7144" max="7144" width="2.28515625" style="478"/>
    <col min="7145" max="7145" width="9.7109375" style="478" customWidth="1"/>
    <col min="7146" max="7146" width="2.28515625" style="478"/>
    <col min="7147" max="7147" width="9.7109375" style="478" customWidth="1"/>
    <col min="7148" max="7148" width="2.28515625" style="478"/>
    <col min="7149" max="7149" width="9.7109375" style="478" customWidth="1"/>
    <col min="7150" max="7150" width="13.28515625" style="478" bestFit="1" customWidth="1"/>
    <col min="7151" max="7151" width="14" style="478" customWidth="1"/>
    <col min="7152" max="7153" width="13.5703125" style="478" customWidth="1"/>
    <col min="7154" max="7154" width="2.85546875" style="478" customWidth="1"/>
    <col min="7155" max="7155" width="19.28515625" style="478" bestFit="1" customWidth="1"/>
    <col min="7156" max="7156" width="8.85546875" style="478" bestFit="1" customWidth="1"/>
    <col min="7157" max="7157" width="13.5703125" style="478" customWidth="1"/>
    <col min="7158" max="7158" width="31.140625" style="478" customWidth="1"/>
    <col min="7159" max="7159" width="14.140625" style="478" customWidth="1"/>
    <col min="7160" max="7160" width="2.28515625" style="478"/>
    <col min="7161" max="7161" width="9.7109375" style="478" customWidth="1"/>
    <col min="7162" max="7162" width="2.28515625" style="478"/>
    <col min="7163" max="7163" width="9.7109375" style="478" customWidth="1"/>
    <col min="7164" max="7164" width="2.28515625" style="478"/>
    <col min="7165" max="7165" width="9.7109375" style="478" customWidth="1"/>
    <col min="7166" max="7166" width="2.28515625" style="478"/>
    <col min="7167" max="7167" width="11" style="478" customWidth="1"/>
    <col min="7168" max="7168" width="2.28515625" style="478"/>
    <col min="7169" max="7169" width="35" style="478" customWidth="1"/>
    <col min="7170" max="7170" width="2.140625" style="478" customWidth="1"/>
    <col min="7171" max="7171" width="20" style="478" customWidth="1"/>
    <col min="7172" max="7172" width="2.140625" style="478" customWidth="1"/>
    <col min="7173" max="7173" width="20" style="478" customWidth="1"/>
    <col min="7174" max="7174" width="2.140625" style="478" customWidth="1"/>
    <col min="7175" max="7175" width="20" style="478" customWidth="1"/>
    <col min="7176" max="7176" width="2.28515625" style="478"/>
    <col min="7177" max="7177" width="9.7109375" style="478" customWidth="1"/>
    <col min="7178" max="7178" width="2.28515625" style="478"/>
    <col min="7179" max="7179" width="9.7109375" style="478" customWidth="1"/>
    <col min="7180" max="7383" width="13.5703125" style="478" customWidth="1"/>
    <col min="7384" max="7384" width="31.140625" style="478" customWidth="1"/>
    <col min="7385" max="7385" width="14.140625" style="478" customWidth="1"/>
    <col min="7386" max="7386" width="2.28515625" style="478"/>
    <col min="7387" max="7387" width="9.7109375" style="478" customWidth="1"/>
    <col min="7388" max="7388" width="2.28515625" style="478"/>
    <col min="7389" max="7389" width="9.7109375" style="478" customWidth="1"/>
    <col min="7390" max="7390" width="2.28515625" style="478"/>
    <col min="7391" max="7391" width="9.7109375" style="478" customWidth="1"/>
    <col min="7392" max="7392" width="2.28515625" style="478"/>
    <col min="7393" max="7393" width="11" style="478" customWidth="1"/>
    <col min="7394" max="7394" width="2.28515625" style="478"/>
    <col min="7395" max="7395" width="9.7109375" style="478" customWidth="1"/>
    <col min="7396" max="7396" width="4.28515625" style="478" customWidth="1"/>
    <col min="7397" max="7397" width="12.28515625" style="478" customWidth="1"/>
    <col min="7398" max="7398" width="2.28515625" style="478"/>
    <col min="7399" max="7399" width="9.7109375" style="478" customWidth="1"/>
    <col min="7400" max="7400" width="2.28515625" style="478"/>
    <col min="7401" max="7401" width="9.7109375" style="478" customWidth="1"/>
    <col min="7402" max="7402" width="2.28515625" style="478"/>
    <col min="7403" max="7403" width="9.7109375" style="478" customWidth="1"/>
    <col min="7404" max="7404" width="2.28515625" style="478"/>
    <col min="7405" max="7405" width="9.7109375" style="478" customWidth="1"/>
    <col min="7406" max="7406" width="13.28515625" style="478" bestFit="1" customWidth="1"/>
    <col min="7407" max="7407" width="14" style="478" customWidth="1"/>
    <col min="7408" max="7409" width="13.5703125" style="478" customWidth="1"/>
    <col min="7410" max="7410" width="2.85546875" style="478" customWidth="1"/>
    <col min="7411" max="7411" width="19.28515625" style="478" bestFit="1" customWidth="1"/>
    <col min="7412" max="7412" width="8.85546875" style="478" bestFit="1" customWidth="1"/>
    <col min="7413" max="7413" width="13.5703125" style="478" customWidth="1"/>
    <col min="7414" max="7414" width="31.140625" style="478" customWidth="1"/>
    <col min="7415" max="7415" width="14.140625" style="478" customWidth="1"/>
    <col min="7416" max="7416" width="2.28515625" style="478"/>
    <col min="7417" max="7417" width="9.7109375" style="478" customWidth="1"/>
    <col min="7418" max="7418" width="2.28515625" style="478"/>
    <col min="7419" max="7419" width="9.7109375" style="478" customWidth="1"/>
    <col min="7420" max="7420" width="2.28515625" style="478"/>
    <col min="7421" max="7421" width="9.7109375" style="478" customWidth="1"/>
    <col min="7422" max="7422" width="2.28515625" style="478"/>
    <col min="7423" max="7423" width="11" style="478" customWidth="1"/>
    <col min="7424" max="7424" width="2.28515625" style="478"/>
    <col min="7425" max="7425" width="35" style="478" customWidth="1"/>
    <col min="7426" max="7426" width="2.140625" style="478" customWidth="1"/>
    <col min="7427" max="7427" width="20" style="478" customWidth="1"/>
    <col min="7428" max="7428" width="2.140625" style="478" customWidth="1"/>
    <col min="7429" max="7429" width="20" style="478" customWidth="1"/>
    <col min="7430" max="7430" width="2.140625" style="478" customWidth="1"/>
    <col min="7431" max="7431" width="20" style="478" customWidth="1"/>
    <col min="7432" max="7432" width="2.28515625" style="478"/>
    <col min="7433" max="7433" width="9.7109375" style="478" customWidth="1"/>
    <col min="7434" max="7434" width="2.28515625" style="478"/>
    <col min="7435" max="7435" width="9.7109375" style="478" customWidth="1"/>
    <col min="7436" max="7639" width="13.5703125" style="478" customWidth="1"/>
    <col min="7640" max="7640" width="31.140625" style="478" customWidth="1"/>
    <col min="7641" max="7641" width="14.140625" style="478" customWidth="1"/>
    <col min="7642" max="7642" width="2.28515625" style="478"/>
    <col min="7643" max="7643" width="9.7109375" style="478" customWidth="1"/>
    <col min="7644" max="7644" width="2.28515625" style="478"/>
    <col min="7645" max="7645" width="9.7109375" style="478" customWidth="1"/>
    <col min="7646" max="7646" width="2.28515625" style="478"/>
    <col min="7647" max="7647" width="9.7109375" style="478" customWidth="1"/>
    <col min="7648" max="7648" width="2.28515625" style="478"/>
    <col min="7649" max="7649" width="11" style="478" customWidth="1"/>
    <col min="7650" max="7650" width="2.28515625" style="478"/>
    <col min="7651" max="7651" width="9.7109375" style="478" customWidth="1"/>
    <col min="7652" max="7652" width="4.28515625" style="478" customWidth="1"/>
    <col min="7653" max="7653" width="12.28515625" style="478" customWidth="1"/>
    <col min="7654" max="7654" width="2.28515625" style="478"/>
    <col min="7655" max="7655" width="9.7109375" style="478" customWidth="1"/>
    <col min="7656" max="7656" width="2.28515625" style="478"/>
    <col min="7657" max="7657" width="9.7109375" style="478" customWidth="1"/>
    <col min="7658" max="7658" width="2.28515625" style="478"/>
    <col min="7659" max="7659" width="9.7109375" style="478" customWidth="1"/>
    <col min="7660" max="7660" width="2.28515625" style="478"/>
    <col min="7661" max="7661" width="9.7109375" style="478" customWidth="1"/>
    <col min="7662" max="7662" width="13.28515625" style="478" bestFit="1" customWidth="1"/>
    <col min="7663" max="7663" width="14" style="478" customWidth="1"/>
    <col min="7664" max="7665" width="13.5703125" style="478" customWidth="1"/>
    <col min="7666" max="7666" width="2.85546875" style="478" customWidth="1"/>
    <col min="7667" max="7667" width="19.28515625" style="478" bestFit="1" customWidth="1"/>
    <col min="7668" max="7668" width="8.85546875" style="478" bestFit="1" customWidth="1"/>
    <col min="7669" max="7669" width="13.5703125" style="478" customWidth="1"/>
    <col min="7670" max="7670" width="31.140625" style="478" customWidth="1"/>
    <col min="7671" max="7671" width="14.140625" style="478" customWidth="1"/>
    <col min="7672" max="7672" width="2.28515625" style="478"/>
    <col min="7673" max="7673" width="9.7109375" style="478" customWidth="1"/>
    <col min="7674" max="7674" width="2.28515625" style="478"/>
    <col min="7675" max="7675" width="9.7109375" style="478" customWidth="1"/>
    <col min="7676" max="7676" width="2.28515625" style="478"/>
    <col min="7677" max="7677" width="9.7109375" style="478" customWidth="1"/>
    <col min="7678" max="7678" width="2.28515625" style="478"/>
    <col min="7679" max="7679" width="11" style="478" customWidth="1"/>
    <col min="7680" max="7680" width="2.28515625" style="478"/>
    <col min="7681" max="7681" width="35" style="478" customWidth="1"/>
    <col min="7682" max="7682" width="2.140625" style="478" customWidth="1"/>
    <col min="7683" max="7683" width="20" style="478" customWidth="1"/>
    <col min="7684" max="7684" width="2.140625" style="478" customWidth="1"/>
    <col min="7685" max="7685" width="20" style="478" customWidth="1"/>
    <col min="7686" max="7686" width="2.140625" style="478" customWidth="1"/>
    <col min="7687" max="7687" width="20" style="478" customWidth="1"/>
    <col min="7688" max="7688" width="2.28515625" style="478"/>
    <col min="7689" max="7689" width="9.7109375" style="478" customWidth="1"/>
    <col min="7690" max="7690" width="2.28515625" style="478"/>
    <col min="7691" max="7691" width="9.7109375" style="478" customWidth="1"/>
    <col min="7692" max="7895" width="13.5703125" style="478" customWidth="1"/>
    <col min="7896" max="7896" width="31.140625" style="478" customWidth="1"/>
    <col min="7897" max="7897" width="14.140625" style="478" customWidth="1"/>
    <col min="7898" max="7898" width="2.28515625" style="478"/>
    <col min="7899" max="7899" width="9.7109375" style="478" customWidth="1"/>
    <col min="7900" max="7900" width="2.28515625" style="478"/>
    <col min="7901" max="7901" width="9.7109375" style="478" customWidth="1"/>
    <col min="7902" max="7902" width="2.28515625" style="478"/>
    <col min="7903" max="7903" width="9.7109375" style="478" customWidth="1"/>
    <col min="7904" max="7904" width="2.28515625" style="478"/>
    <col min="7905" max="7905" width="11" style="478" customWidth="1"/>
    <col min="7906" max="7906" width="2.28515625" style="478"/>
    <col min="7907" max="7907" width="9.7109375" style="478" customWidth="1"/>
    <col min="7908" max="7908" width="4.28515625" style="478" customWidth="1"/>
    <col min="7909" max="7909" width="12.28515625" style="478" customWidth="1"/>
    <col min="7910" max="7910" width="2.28515625" style="478"/>
    <col min="7911" max="7911" width="9.7109375" style="478" customWidth="1"/>
    <col min="7912" max="7912" width="2.28515625" style="478"/>
    <col min="7913" max="7913" width="9.7109375" style="478" customWidth="1"/>
    <col min="7914" max="7914" width="2.28515625" style="478"/>
    <col min="7915" max="7915" width="9.7109375" style="478" customWidth="1"/>
    <col min="7916" max="7916" width="2.28515625" style="478"/>
    <col min="7917" max="7917" width="9.7109375" style="478" customWidth="1"/>
    <col min="7918" max="7918" width="13.28515625" style="478" bestFit="1" customWidth="1"/>
    <col min="7919" max="7919" width="14" style="478" customWidth="1"/>
    <col min="7920" max="7921" width="13.5703125" style="478" customWidth="1"/>
    <col min="7922" max="7922" width="2.85546875" style="478" customWidth="1"/>
    <col min="7923" max="7923" width="19.28515625" style="478" bestFit="1" customWidth="1"/>
    <col min="7924" max="7924" width="8.85546875" style="478" bestFit="1" customWidth="1"/>
    <col min="7925" max="7925" width="13.5703125" style="478" customWidth="1"/>
    <col min="7926" max="7926" width="31.140625" style="478" customWidth="1"/>
    <col min="7927" max="7927" width="14.140625" style="478" customWidth="1"/>
    <col min="7928" max="7928" width="2.28515625" style="478"/>
    <col min="7929" max="7929" width="9.7109375" style="478" customWidth="1"/>
    <col min="7930" max="7930" width="2.28515625" style="478"/>
    <col min="7931" max="7931" width="9.7109375" style="478" customWidth="1"/>
    <col min="7932" max="7932" width="2.28515625" style="478"/>
    <col min="7933" max="7933" width="9.7109375" style="478" customWidth="1"/>
    <col min="7934" max="7934" width="2.28515625" style="478"/>
    <col min="7935" max="7935" width="11" style="478" customWidth="1"/>
    <col min="7936" max="7936" width="2.28515625" style="478"/>
    <col min="7937" max="7937" width="35" style="478" customWidth="1"/>
    <col min="7938" max="7938" width="2.140625" style="478" customWidth="1"/>
    <col min="7939" max="7939" width="20" style="478" customWidth="1"/>
    <col min="7940" max="7940" width="2.140625" style="478" customWidth="1"/>
    <col min="7941" max="7941" width="20" style="478" customWidth="1"/>
    <col min="7942" max="7942" width="2.140625" style="478" customWidth="1"/>
    <col min="7943" max="7943" width="20" style="478" customWidth="1"/>
    <col min="7944" max="7944" width="2.28515625" style="478"/>
    <col min="7945" max="7945" width="9.7109375" style="478" customWidth="1"/>
    <col min="7946" max="7946" width="2.28515625" style="478"/>
    <col min="7947" max="7947" width="9.7109375" style="478" customWidth="1"/>
    <col min="7948" max="8151" width="13.5703125" style="478" customWidth="1"/>
    <col min="8152" max="8152" width="31.140625" style="478" customWidth="1"/>
    <col min="8153" max="8153" width="14.140625" style="478" customWidth="1"/>
    <col min="8154" max="8154" width="2.28515625" style="478"/>
    <col min="8155" max="8155" width="9.7109375" style="478" customWidth="1"/>
    <col min="8156" max="8156" width="2.28515625" style="478"/>
    <col min="8157" max="8157" width="9.7109375" style="478" customWidth="1"/>
    <col min="8158" max="8158" width="2.28515625" style="478"/>
    <col min="8159" max="8159" width="9.7109375" style="478" customWidth="1"/>
    <col min="8160" max="8160" width="2.28515625" style="478"/>
    <col min="8161" max="8161" width="11" style="478" customWidth="1"/>
    <col min="8162" max="8162" width="2.28515625" style="478"/>
    <col min="8163" max="8163" width="9.7109375" style="478" customWidth="1"/>
    <col min="8164" max="8164" width="4.28515625" style="478" customWidth="1"/>
    <col min="8165" max="8165" width="12.28515625" style="478" customWidth="1"/>
    <col min="8166" max="8166" width="2.28515625" style="478"/>
    <col min="8167" max="8167" width="9.7109375" style="478" customWidth="1"/>
    <col min="8168" max="8168" width="2.28515625" style="478"/>
    <col min="8169" max="8169" width="9.7109375" style="478" customWidth="1"/>
    <col min="8170" max="8170" width="2.28515625" style="478"/>
    <col min="8171" max="8171" width="9.7109375" style="478" customWidth="1"/>
    <col min="8172" max="8172" width="2.28515625" style="478"/>
    <col min="8173" max="8173" width="9.7109375" style="478" customWidth="1"/>
    <col min="8174" max="8174" width="13.28515625" style="478" bestFit="1" customWidth="1"/>
    <col min="8175" max="8175" width="14" style="478" customWidth="1"/>
    <col min="8176" max="8177" width="13.5703125" style="478" customWidth="1"/>
    <col min="8178" max="8178" width="2.85546875" style="478" customWidth="1"/>
    <col min="8179" max="8179" width="19.28515625" style="478" bestFit="1" customWidth="1"/>
    <col min="8180" max="8180" width="8.85546875" style="478" bestFit="1" customWidth="1"/>
    <col min="8181" max="8181" width="13.5703125" style="478" customWidth="1"/>
    <col min="8182" max="8182" width="31.140625" style="478" customWidth="1"/>
    <col min="8183" max="8183" width="14.140625" style="478" customWidth="1"/>
    <col min="8184" max="8184" width="2.28515625" style="478"/>
    <col min="8185" max="8185" width="9.7109375" style="478" customWidth="1"/>
    <col min="8186" max="8186" width="2.28515625" style="478"/>
    <col min="8187" max="8187" width="9.7109375" style="478" customWidth="1"/>
    <col min="8188" max="8188" width="2.28515625" style="478"/>
    <col min="8189" max="8189" width="9.7109375" style="478" customWidth="1"/>
    <col min="8190" max="8190" width="2.28515625" style="478"/>
    <col min="8191" max="8191" width="11" style="478" customWidth="1"/>
    <col min="8192" max="8192" width="2.28515625" style="478"/>
    <col min="8193" max="8193" width="35" style="478" customWidth="1"/>
    <col min="8194" max="8194" width="2.140625" style="478" customWidth="1"/>
    <col min="8195" max="8195" width="20" style="478" customWidth="1"/>
    <col min="8196" max="8196" width="2.140625" style="478" customWidth="1"/>
    <col min="8197" max="8197" width="20" style="478" customWidth="1"/>
    <col min="8198" max="8198" width="2.140625" style="478" customWidth="1"/>
    <col min="8199" max="8199" width="20" style="478" customWidth="1"/>
    <col min="8200" max="8200" width="2.28515625" style="478"/>
    <col min="8201" max="8201" width="9.7109375" style="478" customWidth="1"/>
    <col min="8202" max="8202" width="2.28515625" style="478"/>
    <col min="8203" max="8203" width="9.7109375" style="478" customWidth="1"/>
    <col min="8204" max="8407" width="13.5703125" style="478" customWidth="1"/>
    <col min="8408" max="8408" width="31.140625" style="478" customWidth="1"/>
    <col min="8409" max="8409" width="14.140625" style="478" customWidth="1"/>
    <col min="8410" max="8410" width="2.28515625" style="478"/>
    <col min="8411" max="8411" width="9.7109375" style="478" customWidth="1"/>
    <col min="8412" max="8412" width="2.28515625" style="478"/>
    <col min="8413" max="8413" width="9.7109375" style="478" customWidth="1"/>
    <col min="8414" max="8414" width="2.28515625" style="478"/>
    <col min="8415" max="8415" width="9.7109375" style="478" customWidth="1"/>
    <col min="8416" max="8416" width="2.28515625" style="478"/>
    <col min="8417" max="8417" width="11" style="478" customWidth="1"/>
    <col min="8418" max="8418" width="2.28515625" style="478"/>
    <col min="8419" max="8419" width="9.7109375" style="478" customWidth="1"/>
    <col min="8420" max="8420" width="4.28515625" style="478" customWidth="1"/>
    <col min="8421" max="8421" width="12.28515625" style="478" customWidth="1"/>
    <col min="8422" max="8422" width="2.28515625" style="478"/>
    <col min="8423" max="8423" width="9.7109375" style="478" customWidth="1"/>
    <col min="8424" max="8424" width="2.28515625" style="478"/>
    <col min="8425" max="8425" width="9.7109375" style="478" customWidth="1"/>
    <col min="8426" max="8426" width="2.28515625" style="478"/>
    <col min="8427" max="8427" width="9.7109375" style="478" customWidth="1"/>
    <col min="8428" max="8428" width="2.28515625" style="478"/>
    <col min="8429" max="8429" width="9.7109375" style="478" customWidth="1"/>
    <col min="8430" max="8430" width="13.28515625" style="478" bestFit="1" customWidth="1"/>
    <col min="8431" max="8431" width="14" style="478" customWidth="1"/>
    <col min="8432" max="8433" width="13.5703125" style="478" customWidth="1"/>
    <col min="8434" max="8434" width="2.85546875" style="478" customWidth="1"/>
    <col min="8435" max="8435" width="19.28515625" style="478" bestFit="1" customWidth="1"/>
    <col min="8436" max="8436" width="8.85546875" style="478" bestFit="1" customWidth="1"/>
    <col min="8437" max="8437" width="13.5703125" style="478" customWidth="1"/>
    <col min="8438" max="8438" width="31.140625" style="478" customWidth="1"/>
    <col min="8439" max="8439" width="14.140625" style="478" customWidth="1"/>
    <col min="8440" max="8440" width="2.28515625" style="478"/>
    <col min="8441" max="8441" width="9.7109375" style="478" customWidth="1"/>
    <col min="8442" max="8442" width="2.28515625" style="478"/>
    <col min="8443" max="8443" width="9.7109375" style="478" customWidth="1"/>
    <col min="8444" max="8444" width="2.28515625" style="478"/>
    <col min="8445" max="8445" width="9.7109375" style="478" customWidth="1"/>
    <col min="8446" max="8446" width="2.28515625" style="478"/>
    <col min="8447" max="8447" width="11" style="478" customWidth="1"/>
    <col min="8448" max="8448" width="2.28515625" style="478"/>
    <col min="8449" max="8449" width="35" style="478" customWidth="1"/>
    <col min="8450" max="8450" width="2.140625" style="478" customWidth="1"/>
    <col min="8451" max="8451" width="20" style="478" customWidth="1"/>
    <col min="8452" max="8452" width="2.140625" style="478" customWidth="1"/>
    <col min="8453" max="8453" width="20" style="478" customWidth="1"/>
    <col min="8454" max="8454" width="2.140625" style="478" customWidth="1"/>
    <col min="8455" max="8455" width="20" style="478" customWidth="1"/>
    <col min="8456" max="8456" width="2.28515625" style="478"/>
    <col min="8457" max="8457" width="9.7109375" style="478" customWidth="1"/>
    <col min="8458" max="8458" width="2.28515625" style="478"/>
    <col min="8459" max="8459" width="9.7109375" style="478" customWidth="1"/>
    <col min="8460" max="8663" width="13.5703125" style="478" customWidth="1"/>
    <col min="8664" max="8664" width="31.140625" style="478" customWidth="1"/>
    <col min="8665" max="8665" width="14.140625" style="478" customWidth="1"/>
    <col min="8666" max="8666" width="2.28515625" style="478"/>
    <col min="8667" max="8667" width="9.7109375" style="478" customWidth="1"/>
    <col min="8668" max="8668" width="2.28515625" style="478"/>
    <col min="8669" max="8669" width="9.7109375" style="478" customWidth="1"/>
    <col min="8670" max="8670" width="2.28515625" style="478"/>
    <col min="8671" max="8671" width="9.7109375" style="478" customWidth="1"/>
    <col min="8672" max="8672" width="2.28515625" style="478"/>
    <col min="8673" max="8673" width="11" style="478" customWidth="1"/>
    <col min="8674" max="8674" width="2.28515625" style="478"/>
    <col min="8675" max="8675" width="9.7109375" style="478" customWidth="1"/>
    <col min="8676" max="8676" width="4.28515625" style="478" customWidth="1"/>
    <col min="8677" max="8677" width="12.28515625" style="478" customWidth="1"/>
    <col min="8678" max="8678" width="2.28515625" style="478"/>
    <col min="8679" max="8679" width="9.7109375" style="478" customWidth="1"/>
    <col min="8680" max="8680" width="2.28515625" style="478"/>
    <col min="8681" max="8681" width="9.7109375" style="478" customWidth="1"/>
    <col min="8682" max="8682" width="2.28515625" style="478"/>
    <col min="8683" max="8683" width="9.7109375" style="478" customWidth="1"/>
    <col min="8684" max="8684" width="2.28515625" style="478"/>
    <col min="8685" max="8685" width="9.7109375" style="478" customWidth="1"/>
    <col min="8686" max="8686" width="13.28515625" style="478" bestFit="1" customWidth="1"/>
    <col min="8687" max="8687" width="14" style="478" customWidth="1"/>
    <col min="8688" max="8689" width="13.5703125" style="478" customWidth="1"/>
    <col min="8690" max="8690" width="2.85546875" style="478" customWidth="1"/>
    <col min="8691" max="8691" width="19.28515625" style="478" bestFit="1" customWidth="1"/>
    <col min="8692" max="8692" width="8.85546875" style="478" bestFit="1" customWidth="1"/>
    <col min="8693" max="8693" width="13.5703125" style="478" customWidth="1"/>
    <col min="8694" max="8694" width="31.140625" style="478" customWidth="1"/>
    <col min="8695" max="8695" width="14.140625" style="478" customWidth="1"/>
    <col min="8696" max="8696" width="2.28515625" style="478"/>
    <col min="8697" max="8697" width="9.7109375" style="478" customWidth="1"/>
    <col min="8698" max="8698" width="2.28515625" style="478"/>
    <col min="8699" max="8699" width="9.7109375" style="478" customWidth="1"/>
    <col min="8700" max="8700" width="2.28515625" style="478"/>
    <col min="8701" max="8701" width="9.7109375" style="478" customWidth="1"/>
    <col min="8702" max="8702" width="2.28515625" style="478"/>
    <col min="8703" max="8703" width="11" style="478" customWidth="1"/>
    <col min="8704" max="8704" width="2.28515625" style="478"/>
    <col min="8705" max="8705" width="35" style="478" customWidth="1"/>
    <col min="8706" max="8706" width="2.140625" style="478" customWidth="1"/>
    <col min="8707" max="8707" width="20" style="478" customWidth="1"/>
    <col min="8708" max="8708" width="2.140625" style="478" customWidth="1"/>
    <col min="8709" max="8709" width="20" style="478" customWidth="1"/>
    <col min="8710" max="8710" width="2.140625" style="478" customWidth="1"/>
    <col min="8711" max="8711" width="20" style="478" customWidth="1"/>
    <col min="8712" max="8712" width="2.28515625" style="478"/>
    <col min="8713" max="8713" width="9.7109375" style="478" customWidth="1"/>
    <col min="8714" max="8714" width="2.28515625" style="478"/>
    <col min="8715" max="8715" width="9.7109375" style="478" customWidth="1"/>
    <col min="8716" max="8919" width="13.5703125" style="478" customWidth="1"/>
    <col min="8920" max="8920" width="31.140625" style="478" customWidth="1"/>
    <col min="8921" max="8921" width="14.140625" style="478" customWidth="1"/>
    <col min="8922" max="8922" width="2.28515625" style="478"/>
    <col min="8923" max="8923" width="9.7109375" style="478" customWidth="1"/>
    <col min="8924" max="8924" width="2.28515625" style="478"/>
    <col min="8925" max="8925" width="9.7109375" style="478" customWidth="1"/>
    <col min="8926" max="8926" width="2.28515625" style="478"/>
    <col min="8927" max="8927" width="9.7109375" style="478" customWidth="1"/>
    <col min="8928" max="8928" width="2.28515625" style="478"/>
    <col min="8929" max="8929" width="11" style="478" customWidth="1"/>
    <col min="8930" max="8930" width="2.28515625" style="478"/>
    <col min="8931" max="8931" width="9.7109375" style="478" customWidth="1"/>
    <col min="8932" max="8932" width="4.28515625" style="478" customWidth="1"/>
    <col min="8933" max="8933" width="12.28515625" style="478" customWidth="1"/>
    <col min="8934" max="8934" width="2.28515625" style="478"/>
    <col min="8935" max="8935" width="9.7109375" style="478" customWidth="1"/>
    <col min="8936" max="8936" width="2.28515625" style="478"/>
    <col min="8937" max="8937" width="9.7109375" style="478" customWidth="1"/>
    <col min="8938" max="8938" width="2.28515625" style="478"/>
    <col min="8939" max="8939" width="9.7109375" style="478" customWidth="1"/>
    <col min="8940" max="8940" width="2.28515625" style="478"/>
    <col min="8941" max="8941" width="9.7109375" style="478" customWidth="1"/>
    <col min="8942" max="8942" width="13.28515625" style="478" bestFit="1" customWidth="1"/>
    <col min="8943" max="8943" width="14" style="478" customWidth="1"/>
    <col min="8944" max="8945" width="13.5703125" style="478" customWidth="1"/>
    <col min="8946" max="8946" width="2.85546875" style="478" customWidth="1"/>
    <col min="8947" max="8947" width="19.28515625" style="478" bestFit="1" customWidth="1"/>
    <col min="8948" max="8948" width="8.85546875" style="478" bestFit="1" customWidth="1"/>
    <col min="8949" max="8949" width="13.5703125" style="478" customWidth="1"/>
    <col min="8950" max="8950" width="31.140625" style="478" customWidth="1"/>
    <col min="8951" max="8951" width="14.140625" style="478" customWidth="1"/>
    <col min="8952" max="8952" width="2.28515625" style="478"/>
    <col min="8953" max="8953" width="9.7109375" style="478" customWidth="1"/>
    <col min="8954" max="8954" width="2.28515625" style="478"/>
    <col min="8955" max="8955" width="9.7109375" style="478" customWidth="1"/>
    <col min="8956" max="8956" width="2.28515625" style="478"/>
    <col min="8957" max="8957" width="9.7109375" style="478" customWidth="1"/>
    <col min="8958" max="8958" width="2.28515625" style="478"/>
    <col min="8959" max="8959" width="11" style="478" customWidth="1"/>
    <col min="8960" max="8960" width="2.28515625" style="478"/>
    <col min="8961" max="8961" width="35" style="478" customWidth="1"/>
    <col min="8962" max="8962" width="2.140625" style="478" customWidth="1"/>
    <col min="8963" max="8963" width="20" style="478" customWidth="1"/>
    <col min="8964" max="8964" width="2.140625" style="478" customWidth="1"/>
    <col min="8965" max="8965" width="20" style="478" customWidth="1"/>
    <col min="8966" max="8966" width="2.140625" style="478" customWidth="1"/>
    <col min="8967" max="8967" width="20" style="478" customWidth="1"/>
    <col min="8968" max="8968" width="2.28515625" style="478"/>
    <col min="8969" max="8969" width="9.7109375" style="478" customWidth="1"/>
    <col min="8970" max="8970" width="2.28515625" style="478"/>
    <col min="8971" max="8971" width="9.7109375" style="478" customWidth="1"/>
    <col min="8972" max="9175" width="13.5703125" style="478" customWidth="1"/>
    <col min="9176" max="9176" width="31.140625" style="478" customWidth="1"/>
    <col min="9177" max="9177" width="14.140625" style="478" customWidth="1"/>
    <col min="9178" max="9178" width="2.28515625" style="478"/>
    <col min="9179" max="9179" width="9.7109375" style="478" customWidth="1"/>
    <col min="9180" max="9180" width="2.28515625" style="478"/>
    <col min="9181" max="9181" width="9.7109375" style="478" customWidth="1"/>
    <col min="9182" max="9182" width="2.28515625" style="478"/>
    <col min="9183" max="9183" width="9.7109375" style="478" customWidth="1"/>
    <col min="9184" max="9184" width="2.28515625" style="478"/>
    <col min="9185" max="9185" width="11" style="478" customWidth="1"/>
    <col min="9186" max="9186" width="2.28515625" style="478"/>
    <col min="9187" max="9187" width="9.7109375" style="478" customWidth="1"/>
    <col min="9188" max="9188" width="4.28515625" style="478" customWidth="1"/>
    <col min="9189" max="9189" width="12.28515625" style="478" customWidth="1"/>
    <col min="9190" max="9190" width="2.28515625" style="478"/>
    <col min="9191" max="9191" width="9.7109375" style="478" customWidth="1"/>
    <col min="9192" max="9192" width="2.28515625" style="478"/>
    <col min="9193" max="9193" width="9.7109375" style="478" customWidth="1"/>
    <col min="9194" max="9194" width="2.28515625" style="478"/>
    <col min="9195" max="9195" width="9.7109375" style="478" customWidth="1"/>
    <col min="9196" max="9196" width="2.28515625" style="478"/>
    <col min="9197" max="9197" width="9.7109375" style="478" customWidth="1"/>
    <col min="9198" max="9198" width="13.28515625" style="478" bestFit="1" customWidth="1"/>
    <col min="9199" max="9199" width="14" style="478" customWidth="1"/>
    <col min="9200" max="9201" width="13.5703125" style="478" customWidth="1"/>
    <col min="9202" max="9202" width="2.85546875" style="478" customWidth="1"/>
    <col min="9203" max="9203" width="19.28515625" style="478" bestFit="1" customWidth="1"/>
    <col min="9204" max="9204" width="8.85546875" style="478" bestFit="1" customWidth="1"/>
    <col min="9205" max="9205" width="13.5703125" style="478" customWidth="1"/>
    <col min="9206" max="9206" width="31.140625" style="478" customWidth="1"/>
    <col min="9207" max="9207" width="14.140625" style="478" customWidth="1"/>
    <col min="9208" max="9208" width="2.28515625" style="478"/>
    <col min="9209" max="9209" width="9.7109375" style="478" customWidth="1"/>
    <col min="9210" max="9210" width="2.28515625" style="478"/>
    <col min="9211" max="9211" width="9.7109375" style="478" customWidth="1"/>
    <col min="9212" max="9212" width="2.28515625" style="478"/>
    <col min="9213" max="9213" width="9.7109375" style="478" customWidth="1"/>
    <col min="9214" max="9214" width="2.28515625" style="478"/>
    <col min="9215" max="9215" width="11" style="478" customWidth="1"/>
    <col min="9216" max="9216" width="2.28515625" style="478"/>
    <col min="9217" max="9217" width="35" style="478" customWidth="1"/>
    <col min="9218" max="9218" width="2.140625" style="478" customWidth="1"/>
    <col min="9219" max="9219" width="20" style="478" customWidth="1"/>
    <col min="9220" max="9220" width="2.140625" style="478" customWidth="1"/>
    <col min="9221" max="9221" width="20" style="478" customWidth="1"/>
    <col min="9222" max="9222" width="2.140625" style="478" customWidth="1"/>
    <col min="9223" max="9223" width="20" style="478" customWidth="1"/>
    <col min="9224" max="9224" width="2.28515625" style="478"/>
    <col min="9225" max="9225" width="9.7109375" style="478" customWidth="1"/>
    <col min="9226" max="9226" width="2.28515625" style="478"/>
    <col min="9227" max="9227" width="9.7109375" style="478" customWidth="1"/>
    <col min="9228" max="9431" width="13.5703125" style="478" customWidth="1"/>
    <col min="9432" max="9432" width="31.140625" style="478" customWidth="1"/>
    <col min="9433" max="9433" width="14.140625" style="478" customWidth="1"/>
    <col min="9434" max="9434" width="2.28515625" style="478"/>
    <col min="9435" max="9435" width="9.7109375" style="478" customWidth="1"/>
    <col min="9436" max="9436" width="2.28515625" style="478"/>
    <col min="9437" max="9437" width="9.7109375" style="478" customWidth="1"/>
    <col min="9438" max="9438" width="2.28515625" style="478"/>
    <col min="9439" max="9439" width="9.7109375" style="478" customWidth="1"/>
    <col min="9440" max="9440" width="2.28515625" style="478"/>
    <col min="9441" max="9441" width="11" style="478" customWidth="1"/>
    <col min="9442" max="9442" width="2.28515625" style="478"/>
    <col min="9443" max="9443" width="9.7109375" style="478" customWidth="1"/>
    <col min="9444" max="9444" width="4.28515625" style="478" customWidth="1"/>
    <col min="9445" max="9445" width="12.28515625" style="478" customWidth="1"/>
    <col min="9446" max="9446" width="2.28515625" style="478"/>
    <col min="9447" max="9447" width="9.7109375" style="478" customWidth="1"/>
    <col min="9448" max="9448" width="2.28515625" style="478"/>
    <col min="9449" max="9449" width="9.7109375" style="478" customWidth="1"/>
    <col min="9450" max="9450" width="2.28515625" style="478"/>
    <col min="9451" max="9451" width="9.7109375" style="478" customWidth="1"/>
    <col min="9452" max="9452" width="2.28515625" style="478"/>
    <col min="9453" max="9453" width="9.7109375" style="478" customWidth="1"/>
    <col min="9454" max="9454" width="13.28515625" style="478" bestFit="1" customWidth="1"/>
    <col min="9455" max="9455" width="14" style="478" customWidth="1"/>
    <col min="9456" max="9457" width="13.5703125" style="478" customWidth="1"/>
    <col min="9458" max="9458" width="2.85546875" style="478" customWidth="1"/>
    <col min="9459" max="9459" width="19.28515625" style="478" bestFit="1" customWidth="1"/>
    <col min="9460" max="9460" width="8.85546875" style="478" bestFit="1" customWidth="1"/>
    <col min="9461" max="9461" width="13.5703125" style="478" customWidth="1"/>
    <col min="9462" max="9462" width="31.140625" style="478" customWidth="1"/>
    <col min="9463" max="9463" width="14.140625" style="478" customWidth="1"/>
    <col min="9464" max="9464" width="2.28515625" style="478"/>
    <col min="9465" max="9465" width="9.7109375" style="478" customWidth="1"/>
    <col min="9466" max="9466" width="2.28515625" style="478"/>
    <col min="9467" max="9467" width="9.7109375" style="478" customWidth="1"/>
    <col min="9468" max="9468" width="2.28515625" style="478"/>
    <col min="9469" max="9469" width="9.7109375" style="478" customWidth="1"/>
    <col min="9470" max="9470" width="2.28515625" style="478"/>
    <col min="9471" max="9471" width="11" style="478" customWidth="1"/>
    <col min="9472" max="9472" width="2.28515625" style="478"/>
    <col min="9473" max="9473" width="35" style="478" customWidth="1"/>
    <col min="9474" max="9474" width="2.140625" style="478" customWidth="1"/>
    <col min="9475" max="9475" width="20" style="478" customWidth="1"/>
    <col min="9476" max="9476" width="2.140625" style="478" customWidth="1"/>
    <col min="9477" max="9477" width="20" style="478" customWidth="1"/>
    <col min="9478" max="9478" width="2.140625" style="478" customWidth="1"/>
    <col min="9479" max="9479" width="20" style="478" customWidth="1"/>
    <col min="9480" max="9480" width="2.28515625" style="478"/>
    <col min="9481" max="9481" width="9.7109375" style="478" customWidth="1"/>
    <col min="9482" max="9482" width="2.28515625" style="478"/>
    <col min="9483" max="9483" width="9.7109375" style="478" customWidth="1"/>
    <col min="9484" max="9687" width="13.5703125" style="478" customWidth="1"/>
    <col min="9688" max="9688" width="31.140625" style="478" customWidth="1"/>
    <col min="9689" max="9689" width="14.140625" style="478" customWidth="1"/>
    <col min="9690" max="9690" width="2.28515625" style="478"/>
    <col min="9691" max="9691" width="9.7109375" style="478" customWidth="1"/>
    <col min="9692" max="9692" width="2.28515625" style="478"/>
    <col min="9693" max="9693" width="9.7109375" style="478" customWidth="1"/>
    <col min="9694" max="9694" width="2.28515625" style="478"/>
    <col min="9695" max="9695" width="9.7109375" style="478" customWidth="1"/>
    <col min="9696" max="9696" width="2.28515625" style="478"/>
    <col min="9697" max="9697" width="11" style="478" customWidth="1"/>
    <col min="9698" max="9698" width="2.28515625" style="478"/>
    <col min="9699" max="9699" width="9.7109375" style="478" customWidth="1"/>
    <col min="9700" max="9700" width="4.28515625" style="478" customWidth="1"/>
    <col min="9701" max="9701" width="12.28515625" style="478" customWidth="1"/>
    <col min="9702" max="9702" width="2.28515625" style="478"/>
    <col min="9703" max="9703" width="9.7109375" style="478" customWidth="1"/>
    <col min="9704" max="9704" width="2.28515625" style="478"/>
    <col min="9705" max="9705" width="9.7109375" style="478" customWidth="1"/>
    <col min="9706" max="9706" width="2.28515625" style="478"/>
    <col min="9707" max="9707" width="9.7109375" style="478" customWidth="1"/>
    <col min="9708" max="9708" width="2.28515625" style="478"/>
    <col min="9709" max="9709" width="9.7109375" style="478" customWidth="1"/>
    <col min="9710" max="9710" width="13.28515625" style="478" bestFit="1" customWidth="1"/>
    <col min="9711" max="9711" width="14" style="478" customWidth="1"/>
    <col min="9712" max="9713" width="13.5703125" style="478" customWidth="1"/>
    <col min="9714" max="9714" width="2.85546875" style="478" customWidth="1"/>
    <col min="9715" max="9715" width="19.28515625" style="478" bestFit="1" customWidth="1"/>
    <col min="9716" max="9716" width="8.85546875" style="478" bestFit="1" customWidth="1"/>
    <col min="9717" max="9717" width="13.5703125" style="478" customWidth="1"/>
    <col min="9718" max="9718" width="31.140625" style="478" customWidth="1"/>
    <col min="9719" max="9719" width="14.140625" style="478" customWidth="1"/>
    <col min="9720" max="9720" width="2.28515625" style="478"/>
    <col min="9721" max="9721" width="9.7109375" style="478" customWidth="1"/>
    <col min="9722" max="9722" width="2.28515625" style="478"/>
    <col min="9723" max="9723" width="9.7109375" style="478" customWidth="1"/>
    <col min="9724" max="9724" width="2.28515625" style="478"/>
    <col min="9725" max="9725" width="9.7109375" style="478" customWidth="1"/>
    <col min="9726" max="9726" width="2.28515625" style="478"/>
    <col min="9727" max="9727" width="11" style="478" customWidth="1"/>
    <col min="9728" max="9728" width="2.28515625" style="478"/>
    <col min="9729" max="9729" width="35" style="478" customWidth="1"/>
    <col min="9730" max="9730" width="2.140625" style="478" customWidth="1"/>
    <col min="9731" max="9731" width="20" style="478" customWidth="1"/>
    <col min="9732" max="9732" width="2.140625" style="478" customWidth="1"/>
    <col min="9733" max="9733" width="20" style="478" customWidth="1"/>
    <col min="9734" max="9734" width="2.140625" style="478" customWidth="1"/>
    <col min="9735" max="9735" width="20" style="478" customWidth="1"/>
    <col min="9736" max="9736" width="2.28515625" style="478"/>
    <col min="9737" max="9737" width="9.7109375" style="478" customWidth="1"/>
    <col min="9738" max="9738" width="2.28515625" style="478"/>
    <col min="9739" max="9739" width="9.7109375" style="478" customWidth="1"/>
    <col min="9740" max="9943" width="13.5703125" style="478" customWidth="1"/>
    <col min="9944" max="9944" width="31.140625" style="478" customWidth="1"/>
    <col min="9945" max="9945" width="14.140625" style="478" customWidth="1"/>
    <col min="9946" max="9946" width="2.28515625" style="478"/>
    <col min="9947" max="9947" width="9.7109375" style="478" customWidth="1"/>
    <col min="9948" max="9948" width="2.28515625" style="478"/>
    <col min="9949" max="9949" width="9.7109375" style="478" customWidth="1"/>
    <col min="9950" max="9950" width="2.28515625" style="478"/>
    <col min="9951" max="9951" width="9.7109375" style="478" customWidth="1"/>
    <col min="9952" max="9952" width="2.28515625" style="478"/>
    <col min="9953" max="9953" width="11" style="478" customWidth="1"/>
    <col min="9954" max="9954" width="2.28515625" style="478"/>
    <col min="9955" max="9955" width="9.7109375" style="478" customWidth="1"/>
    <col min="9956" max="9956" width="4.28515625" style="478" customWidth="1"/>
    <col min="9957" max="9957" width="12.28515625" style="478" customWidth="1"/>
    <col min="9958" max="9958" width="2.28515625" style="478"/>
    <col min="9959" max="9959" width="9.7109375" style="478" customWidth="1"/>
    <col min="9960" max="9960" width="2.28515625" style="478"/>
    <col min="9961" max="9961" width="9.7109375" style="478" customWidth="1"/>
    <col min="9962" max="9962" width="2.28515625" style="478"/>
    <col min="9963" max="9963" width="9.7109375" style="478" customWidth="1"/>
    <col min="9964" max="9964" width="2.28515625" style="478"/>
    <col min="9965" max="9965" width="9.7109375" style="478" customWidth="1"/>
    <col min="9966" max="9966" width="13.28515625" style="478" bestFit="1" customWidth="1"/>
    <col min="9967" max="9967" width="14" style="478" customWidth="1"/>
    <col min="9968" max="9969" width="13.5703125" style="478" customWidth="1"/>
    <col min="9970" max="9970" width="2.85546875" style="478" customWidth="1"/>
    <col min="9971" max="9971" width="19.28515625" style="478" bestFit="1" customWidth="1"/>
    <col min="9972" max="9972" width="8.85546875" style="478" bestFit="1" customWidth="1"/>
    <col min="9973" max="9973" width="13.5703125" style="478" customWidth="1"/>
    <col min="9974" max="9974" width="31.140625" style="478" customWidth="1"/>
    <col min="9975" max="9975" width="14.140625" style="478" customWidth="1"/>
    <col min="9976" max="9976" width="2.28515625" style="478"/>
    <col min="9977" max="9977" width="9.7109375" style="478" customWidth="1"/>
    <col min="9978" max="9978" width="2.28515625" style="478"/>
    <col min="9979" max="9979" width="9.7109375" style="478" customWidth="1"/>
    <col min="9980" max="9980" width="2.28515625" style="478"/>
    <col min="9981" max="9981" width="9.7109375" style="478" customWidth="1"/>
    <col min="9982" max="9982" width="2.28515625" style="478"/>
    <col min="9983" max="9983" width="11" style="478" customWidth="1"/>
    <col min="9984" max="9984" width="2.28515625" style="478"/>
    <col min="9985" max="9985" width="35" style="478" customWidth="1"/>
    <col min="9986" max="9986" width="2.140625" style="478" customWidth="1"/>
    <col min="9987" max="9987" width="20" style="478" customWidth="1"/>
    <col min="9988" max="9988" width="2.140625" style="478" customWidth="1"/>
    <col min="9989" max="9989" width="20" style="478" customWidth="1"/>
    <col min="9990" max="9990" width="2.140625" style="478" customWidth="1"/>
    <col min="9991" max="9991" width="20" style="478" customWidth="1"/>
    <col min="9992" max="9992" width="2.28515625" style="478"/>
    <col min="9993" max="9993" width="9.7109375" style="478" customWidth="1"/>
    <col min="9994" max="9994" width="2.28515625" style="478"/>
    <col min="9995" max="9995" width="9.7109375" style="478" customWidth="1"/>
    <col min="9996" max="10199" width="13.5703125" style="478" customWidth="1"/>
    <col min="10200" max="10200" width="31.140625" style="478" customWidth="1"/>
    <col min="10201" max="10201" width="14.140625" style="478" customWidth="1"/>
    <col min="10202" max="10202" width="2.28515625" style="478"/>
    <col min="10203" max="10203" width="9.7109375" style="478" customWidth="1"/>
    <col min="10204" max="10204" width="2.28515625" style="478"/>
    <col min="10205" max="10205" width="9.7109375" style="478" customWidth="1"/>
    <col min="10206" max="10206" width="2.28515625" style="478"/>
    <col min="10207" max="10207" width="9.7109375" style="478" customWidth="1"/>
    <col min="10208" max="10208" width="2.28515625" style="478"/>
    <col min="10209" max="10209" width="11" style="478" customWidth="1"/>
    <col min="10210" max="10210" width="2.28515625" style="478"/>
    <col min="10211" max="10211" width="9.7109375" style="478" customWidth="1"/>
    <col min="10212" max="10212" width="4.28515625" style="478" customWidth="1"/>
    <col min="10213" max="10213" width="12.28515625" style="478" customWidth="1"/>
    <col min="10214" max="10214" width="2.28515625" style="478"/>
    <col min="10215" max="10215" width="9.7109375" style="478" customWidth="1"/>
    <col min="10216" max="10216" width="2.28515625" style="478"/>
    <col min="10217" max="10217" width="9.7109375" style="478" customWidth="1"/>
    <col min="10218" max="10218" width="2.28515625" style="478"/>
    <col min="10219" max="10219" width="9.7109375" style="478" customWidth="1"/>
    <col min="10220" max="10220" width="2.28515625" style="478"/>
    <col min="10221" max="10221" width="9.7109375" style="478" customWidth="1"/>
    <col min="10222" max="10222" width="13.28515625" style="478" bestFit="1" customWidth="1"/>
    <col min="10223" max="10223" width="14" style="478" customWidth="1"/>
    <col min="10224" max="10225" width="13.5703125" style="478" customWidth="1"/>
    <col min="10226" max="10226" width="2.85546875" style="478" customWidth="1"/>
    <col min="10227" max="10227" width="19.28515625" style="478" bestFit="1" customWidth="1"/>
    <col min="10228" max="10228" width="8.85546875" style="478" bestFit="1" customWidth="1"/>
    <col min="10229" max="10229" width="13.5703125" style="478" customWidth="1"/>
    <col min="10230" max="10230" width="31.140625" style="478" customWidth="1"/>
    <col min="10231" max="10231" width="14.140625" style="478" customWidth="1"/>
    <col min="10232" max="10232" width="2.28515625" style="478"/>
    <col min="10233" max="10233" width="9.7109375" style="478" customWidth="1"/>
    <col min="10234" max="10234" width="2.28515625" style="478"/>
    <col min="10235" max="10235" width="9.7109375" style="478" customWidth="1"/>
    <col min="10236" max="10236" width="2.28515625" style="478"/>
    <col min="10237" max="10237" width="9.7109375" style="478" customWidth="1"/>
    <col min="10238" max="10238" width="2.28515625" style="478"/>
    <col min="10239" max="10239" width="11" style="478" customWidth="1"/>
    <col min="10240" max="10240" width="2.28515625" style="478"/>
    <col min="10241" max="10241" width="35" style="478" customWidth="1"/>
    <col min="10242" max="10242" width="2.140625" style="478" customWidth="1"/>
    <col min="10243" max="10243" width="20" style="478" customWidth="1"/>
    <col min="10244" max="10244" width="2.140625" style="478" customWidth="1"/>
    <col min="10245" max="10245" width="20" style="478" customWidth="1"/>
    <col min="10246" max="10246" width="2.140625" style="478" customWidth="1"/>
    <col min="10247" max="10247" width="20" style="478" customWidth="1"/>
    <col min="10248" max="10248" width="2.28515625" style="478"/>
    <col min="10249" max="10249" width="9.7109375" style="478" customWidth="1"/>
    <col min="10250" max="10250" width="2.28515625" style="478"/>
    <col min="10251" max="10251" width="9.7109375" style="478" customWidth="1"/>
    <col min="10252" max="10455" width="13.5703125" style="478" customWidth="1"/>
    <col min="10456" max="10456" width="31.140625" style="478" customWidth="1"/>
    <col min="10457" max="10457" width="14.140625" style="478" customWidth="1"/>
    <col min="10458" max="10458" width="2.28515625" style="478"/>
    <col min="10459" max="10459" width="9.7109375" style="478" customWidth="1"/>
    <col min="10460" max="10460" width="2.28515625" style="478"/>
    <col min="10461" max="10461" width="9.7109375" style="478" customWidth="1"/>
    <col min="10462" max="10462" width="2.28515625" style="478"/>
    <col min="10463" max="10463" width="9.7109375" style="478" customWidth="1"/>
    <col min="10464" max="10464" width="2.28515625" style="478"/>
    <col min="10465" max="10465" width="11" style="478" customWidth="1"/>
    <col min="10466" max="10466" width="2.28515625" style="478"/>
    <col min="10467" max="10467" width="9.7109375" style="478" customWidth="1"/>
    <col min="10468" max="10468" width="4.28515625" style="478" customWidth="1"/>
    <col min="10469" max="10469" width="12.28515625" style="478" customWidth="1"/>
    <col min="10470" max="10470" width="2.28515625" style="478"/>
    <col min="10471" max="10471" width="9.7109375" style="478" customWidth="1"/>
    <col min="10472" max="10472" width="2.28515625" style="478"/>
    <col min="10473" max="10473" width="9.7109375" style="478" customWidth="1"/>
    <col min="10474" max="10474" width="2.28515625" style="478"/>
    <col min="10475" max="10475" width="9.7109375" style="478" customWidth="1"/>
    <col min="10476" max="10476" width="2.28515625" style="478"/>
    <col min="10477" max="10477" width="9.7109375" style="478" customWidth="1"/>
    <col min="10478" max="10478" width="13.28515625" style="478" bestFit="1" customWidth="1"/>
    <col min="10479" max="10479" width="14" style="478" customWidth="1"/>
    <col min="10480" max="10481" width="13.5703125" style="478" customWidth="1"/>
    <col min="10482" max="10482" width="2.85546875" style="478" customWidth="1"/>
    <col min="10483" max="10483" width="19.28515625" style="478" bestFit="1" customWidth="1"/>
    <col min="10484" max="10484" width="8.85546875" style="478" bestFit="1" customWidth="1"/>
    <col min="10485" max="10485" width="13.5703125" style="478" customWidth="1"/>
    <col min="10486" max="10486" width="31.140625" style="478" customWidth="1"/>
    <col min="10487" max="10487" width="14.140625" style="478" customWidth="1"/>
    <col min="10488" max="10488" width="2.28515625" style="478"/>
    <col min="10489" max="10489" width="9.7109375" style="478" customWidth="1"/>
    <col min="10490" max="10490" width="2.28515625" style="478"/>
    <col min="10491" max="10491" width="9.7109375" style="478" customWidth="1"/>
    <col min="10492" max="10492" width="2.28515625" style="478"/>
    <col min="10493" max="10493" width="9.7109375" style="478" customWidth="1"/>
    <col min="10494" max="10494" width="2.28515625" style="478"/>
    <col min="10495" max="10495" width="11" style="478" customWidth="1"/>
    <col min="10496" max="10496" width="2.28515625" style="478"/>
    <col min="10497" max="10497" width="35" style="478" customWidth="1"/>
    <col min="10498" max="10498" width="2.140625" style="478" customWidth="1"/>
    <col min="10499" max="10499" width="20" style="478" customWidth="1"/>
    <col min="10500" max="10500" width="2.140625" style="478" customWidth="1"/>
    <col min="10501" max="10501" width="20" style="478" customWidth="1"/>
    <col min="10502" max="10502" width="2.140625" style="478" customWidth="1"/>
    <col min="10503" max="10503" width="20" style="478" customWidth="1"/>
    <col min="10504" max="10504" width="2.28515625" style="478"/>
    <col min="10505" max="10505" width="9.7109375" style="478" customWidth="1"/>
    <col min="10506" max="10506" width="2.28515625" style="478"/>
    <col min="10507" max="10507" width="9.7109375" style="478" customWidth="1"/>
    <col min="10508" max="10711" width="13.5703125" style="478" customWidth="1"/>
    <col min="10712" max="10712" width="31.140625" style="478" customWidth="1"/>
    <col min="10713" max="10713" width="14.140625" style="478" customWidth="1"/>
    <col min="10714" max="10714" width="2.28515625" style="478"/>
    <col min="10715" max="10715" width="9.7109375" style="478" customWidth="1"/>
    <col min="10716" max="10716" width="2.28515625" style="478"/>
    <col min="10717" max="10717" width="9.7109375" style="478" customWidth="1"/>
    <col min="10718" max="10718" width="2.28515625" style="478"/>
    <col min="10719" max="10719" width="9.7109375" style="478" customWidth="1"/>
    <col min="10720" max="10720" width="2.28515625" style="478"/>
    <col min="10721" max="10721" width="11" style="478" customWidth="1"/>
    <col min="10722" max="10722" width="2.28515625" style="478"/>
    <col min="10723" max="10723" width="9.7109375" style="478" customWidth="1"/>
    <col min="10724" max="10724" width="4.28515625" style="478" customWidth="1"/>
    <col min="10725" max="10725" width="12.28515625" style="478" customWidth="1"/>
    <col min="10726" max="10726" width="2.28515625" style="478"/>
    <col min="10727" max="10727" width="9.7109375" style="478" customWidth="1"/>
    <col min="10728" max="10728" width="2.28515625" style="478"/>
    <col min="10729" max="10729" width="9.7109375" style="478" customWidth="1"/>
    <col min="10730" max="10730" width="2.28515625" style="478"/>
    <col min="10731" max="10731" width="9.7109375" style="478" customWidth="1"/>
    <col min="10732" max="10732" width="2.28515625" style="478"/>
    <col min="10733" max="10733" width="9.7109375" style="478" customWidth="1"/>
    <col min="10734" max="10734" width="13.28515625" style="478" bestFit="1" customWidth="1"/>
    <col min="10735" max="10735" width="14" style="478" customWidth="1"/>
    <col min="10736" max="10737" width="13.5703125" style="478" customWidth="1"/>
    <col min="10738" max="10738" width="2.85546875" style="478" customWidth="1"/>
    <col min="10739" max="10739" width="19.28515625" style="478" bestFit="1" customWidth="1"/>
    <col min="10740" max="10740" width="8.85546875" style="478" bestFit="1" customWidth="1"/>
    <col min="10741" max="10741" width="13.5703125" style="478" customWidth="1"/>
    <col min="10742" max="10742" width="31.140625" style="478" customWidth="1"/>
    <col min="10743" max="10743" width="14.140625" style="478" customWidth="1"/>
    <col min="10744" max="10744" width="2.28515625" style="478"/>
    <col min="10745" max="10745" width="9.7109375" style="478" customWidth="1"/>
    <col min="10746" max="10746" width="2.28515625" style="478"/>
    <col min="10747" max="10747" width="9.7109375" style="478" customWidth="1"/>
    <col min="10748" max="10748" width="2.28515625" style="478"/>
    <col min="10749" max="10749" width="9.7109375" style="478" customWidth="1"/>
    <col min="10750" max="10750" width="2.28515625" style="478"/>
    <col min="10751" max="10751" width="11" style="478" customWidth="1"/>
    <col min="10752" max="10752" width="2.28515625" style="478"/>
    <col min="10753" max="10753" width="35" style="478" customWidth="1"/>
    <col min="10754" max="10754" width="2.140625" style="478" customWidth="1"/>
    <col min="10755" max="10755" width="20" style="478" customWidth="1"/>
    <col min="10756" max="10756" width="2.140625" style="478" customWidth="1"/>
    <col min="10757" max="10757" width="20" style="478" customWidth="1"/>
    <col min="10758" max="10758" width="2.140625" style="478" customWidth="1"/>
    <col min="10759" max="10759" width="20" style="478" customWidth="1"/>
    <col min="10760" max="10760" width="2.28515625" style="478"/>
    <col min="10761" max="10761" width="9.7109375" style="478" customWidth="1"/>
    <col min="10762" max="10762" width="2.28515625" style="478"/>
    <col min="10763" max="10763" width="9.7109375" style="478" customWidth="1"/>
    <col min="10764" max="10967" width="13.5703125" style="478" customWidth="1"/>
    <col min="10968" max="10968" width="31.140625" style="478" customWidth="1"/>
    <col min="10969" max="10969" width="14.140625" style="478" customWidth="1"/>
    <col min="10970" max="10970" width="2.28515625" style="478"/>
    <col min="10971" max="10971" width="9.7109375" style="478" customWidth="1"/>
    <col min="10972" max="10972" width="2.28515625" style="478"/>
    <col min="10973" max="10973" width="9.7109375" style="478" customWidth="1"/>
    <col min="10974" max="10974" width="2.28515625" style="478"/>
    <col min="10975" max="10975" width="9.7109375" style="478" customWidth="1"/>
    <col min="10976" max="10976" width="2.28515625" style="478"/>
    <col min="10977" max="10977" width="11" style="478" customWidth="1"/>
    <col min="10978" max="10978" width="2.28515625" style="478"/>
    <col min="10979" max="10979" width="9.7109375" style="478" customWidth="1"/>
    <col min="10980" max="10980" width="4.28515625" style="478" customWidth="1"/>
    <col min="10981" max="10981" width="12.28515625" style="478" customWidth="1"/>
    <col min="10982" max="10982" width="2.28515625" style="478"/>
    <col min="10983" max="10983" width="9.7109375" style="478" customWidth="1"/>
    <col min="10984" max="10984" width="2.28515625" style="478"/>
    <col min="10985" max="10985" width="9.7109375" style="478" customWidth="1"/>
    <col min="10986" max="10986" width="2.28515625" style="478"/>
    <col min="10987" max="10987" width="9.7109375" style="478" customWidth="1"/>
    <col min="10988" max="10988" width="2.28515625" style="478"/>
    <col min="10989" max="10989" width="9.7109375" style="478" customWidth="1"/>
    <col min="10990" max="10990" width="13.28515625" style="478" bestFit="1" customWidth="1"/>
    <col min="10991" max="10991" width="14" style="478" customWidth="1"/>
    <col min="10992" max="10993" width="13.5703125" style="478" customWidth="1"/>
    <col min="10994" max="10994" width="2.85546875" style="478" customWidth="1"/>
    <col min="10995" max="10995" width="19.28515625" style="478" bestFit="1" customWidth="1"/>
    <col min="10996" max="10996" width="8.85546875" style="478" bestFit="1" customWidth="1"/>
    <col min="10997" max="10997" width="13.5703125" style="478" customWidth="1"/>
    <col min="10998" max="10998" width="31.140625" style="478" customWidth="1"/>
    <col min="10999" max="10999" width="14.140625" style="478" customWidth="1"/>
    <col min="11000" max="11000" width="2.28515625" style="478"/>
    <col min="11001" max="11001" width="9.7109375" style="478" customWidth="1"/>
    <col min="11002" max="11002" width="2.28515625" style="478"/>
    <col min="11003" max="11003" width="9.7109375" style="478" customWidth="1"/>
    <col min="11004" max="11004" width="2.28515625" style="478"/>
    <col min="11005" max="11005" width="9.7109375" style="478" customWidth="1"/>
    <col min="11006" max="11006" width="2.28515625" style="478"/>
    <col min="11007" max="11007" width="11" style="478" customWidth="1"/>
    <col min="11008" max="11008" width="2.28515625" style="478"/>
    <col min="11009" max="11009" width="35" style="478" customWidth="1"/>
    <col min="11010" max="11010" width="2.140625" style="478" customWidth="1"/>
    <col min="11011" max="11011" width="20" style="478" customWidth="1"/>
    <col min="11012" max="11012" width="2.140625" style="478" customWidth="1"/>
    <col min="11013" max="11013" width="20" style="478" customWidth="1"/>
    <col min="11014" max="11014" width="2.140625" style="478" customWidth="1"/>
    <col min="11015" max="11015" width="20" style="478" customWidth="1"/>
    <col min="11016" max="11016" width="2.28515625" style="478"/>
    <col min="11017" max="11017" width="9.7109375" style="478" customWidth="1"/>
    <col min="11018" max="11018" width="2.28515625" style="478"/>
    <col min="11019" max="11019" width="9.7109375" style="478" customWidth="1"/>
    <col min="11020" max="11223" width="13.5703125" style="478" customWidth="1"/>
    <col min="11224" max="11224" width="31.140625" style="478" customWidth="1"/>
    <col min="11225" max="11225" width="14.140625" style="478" customWidth="1"/>
    <col min="11226" max="11226" width="2.28515625" style="478"/>
    <col min="11227" max="11227" width="9.7109375" style="478" customWidth="1"/>
    <col min="11228" max="11228" width="2.28515625" style="478"/>
    <col min="11229" max="11229" width="9.7109375" style="478" customWidth="1"/>
    <col min="11230" max="11230" width="2.28515625" style="478"/>
    <col min="11231" max="11231" width="9.7109375" style="478" customWidth="1"/>
    <col min="11232" max="11232" width="2.28515625" style="478"/>
    <col min="11233" max="11233" width="11" style="478" customWidth="1"/>
    <col min="11234" max="11234" width="2.28515625" style="478"/>
    <col min="11235" max="11235" width="9.7109375" style="478" customWidth="1"/>
    <col min="11236" max="11236" width="4.28515625" style="478" customWidth="1"/>
    <col min="11237" max="11237" width="12.28515625" style="478" customWidth="1"/>
    <col min="11238" max="11238" width="2.28515625" style="478"/>
    <col min="11239" max="11239" width="9.7109375" style="478" customWidth="1"/>
    <col min="11240" max="11240" width="2.28515625" style="478"/>
    <col min="11241" max="11241" width="9.7109375" style="478" customWidth="1"/>
    <col min="11242" max="11242" width="2.28515625" style="478"/>
    <col min="11243" max="11243" width="9.7109375" style="478" customWidth="1"/>
    <col min="11244" max="11244" width="2.28515625" style="478"/>
    <col min="11245" max="11245" width="9.7109375" style="478" customWidth="1"/>
    <col min="11246" max="11246" width="13.28515625" style="478" bestFit="1" customWidth="1"/>
    <col min="11247" max="11247" width="14" style="478" customWidth="1"/>
    <col min="11248" max="11249" width="13.5703125" style="478" customWidth="1"/>
    <col min="11250" max="11250" width="2.85546875" style="478" customWidth="1"/>
    <col min="11251" max="11251" width="19.28515625" style="478" bestFit="1" customWidth="1"/>
    <col min="11252" max="11252" width="8.85546875" style="478" bestFit="1" customWidth="1"/>
    <col min="11253" max="11253" width="13.5703125" style="478" customWidth="1"/>
    <col min="11254" max="11254" width="31.140625" style="478" customWidth="1"/>
    <col min="11255" max="11255" width="14.140625" style="478" customWidth="1"/>
    <col min="11256" max="11256" width="2.28515625" style="478"/>
    <col min="11257" max="11257" width="9.7109375" style="478" customWidth="1"/>
    <col min="11258" max="11258" width="2.28515625" style="478"/>
    <col min="11259" max="11259" width="9.7109375" style="478" customWidth="1"/>
    <col min="11260" max="11260" width="2.28515625" style="478"/>
    <col min="11261" max="11261" width="9.7109375" style="478" customWidth="1"/>
    <col min="11262" max="11262" width="2.28515625" style="478"/>
    <col min="11263" max="11263" width="11" style="478" customWidth="1"/>
    <col min="11264" max="11264" width="2.28515625" style="478"/>
    <col min="11265" max="11265" width="35" style="478" customWidth="1"/>
    <col min="11266" max="11266" width="2.140625" style="478" customWidth="1"/>
    <col min="11267" max="11267" width="20" style="478" customWidth="1"/>
    <col min="11268" max="11268" width="2.140625" style="478" customWidth="1"/>
    <col min="11269" max="11269" width="20" style="478" customWidth="1"/>
    <col min="11270" max="11270" width="2.140625" style="478" customWidth="1"/>
    <col min="11271" max="11271" width="20" style="478" customWidth="1"/>
    <col min="11272" max="11272" width="2.28515625" style="478"/>
    <col min="11273" max="11273" width="9.7109375" style="478" customWidth="1"/>
    <col min="11274" max="11274" width="2.28515625" style="478"/>
    <col min="11275" max="11275" width="9.7109375" style="478" customWidth="1"/>
    <col min="11276" max="11479" width="13.5703125" style="478" customWidth="1"/>
    <col min="11480" max="11480" width="31.140625" style="478" customWidth="1"/>
    <col min="11481" max="11481" width="14.140625" style="478" customWidth="1"/>
    <col min="11482" max="11482" width="2.28515625" style="478"/>
    <col min="11483" max="11483" width="9.7109375" style="478" customWidth="1"/>
    <col min="11484" max="11484" width="2.28515625" style="478"/>
    <col min="11485" max="11485" width="9.7109375" style="478" customWidth="1"/>
    <col min="11486" max="11486" width="2.28515625" style="478"/>
    <col min="11487" max="11487" width="9.7109375" style="478" customWidth="1"/>
    <col min="11488" max="11488" width="2.28515625" style="478"/>
    <col min="11489" max="11489" width="11" style="478" customWidth="1"/>
    <col min="11490" max="11490" width="2.28515625" style="478"/>
    <col min="11491" max="11491" width="9.7109375" style="478" customWidth="1"/>
    <col min="11492" max="11492" width="4.28515625" style="478" customWidth="1"/>
    <col min="11493" max="11493" width="12.28515625" style="478" customWidth="1"/>
    <col min="11494" max="11494" width="2.28515625" style="478"/>
    <col min="11495" max="11495" width="9.7109375" style="478" customWidth="1"/>
    <col min="11496" max="11496" width="2.28515625" style="478"/>
    <col min="11497" max="11497" width="9.7109375" style="478" customWidth="1"/>
    <col min="11498" max="11498" width="2.28515625" style="478"/>
    <col min="11499" max="11499" width="9.7109375" style="478" customWidth="1"/>
    <col min="11500" max="11500" width="2.28515625" style="478"/>
    <col min="11501" max="11501" width="9.7109375" style="478" customWidth="1"/>
    <col min="11502" max="11502" width="13.28515625" style="478" bestFit="1" customWidth="1"/>
    <col min="11503" max="11503" width="14" style="478" customWidth="1"/>
    <col min="11504" max="11505" width="13.5703125" style="478" customWidth="1"/>
    <col min="11506" max="11506" width="2.85546875" style="478" customWidth="1"/>
    <col min="11507" max="11507" width="19.28515625" style="478" bestFit="1" customWidth="1"/>
    <col min="11508" max="11508" width="8.85546875" style="478" bestFit="1" customWidth="1"/>
    <col min="11509" max="11509" width="13.5703125" style="478" customWidth="1"/>
    <col min="11510" max="11510" width="31.140625" style="478" customWidth="1"/>
    <col min="11511" max="11511" width="14.140625" style="478" customWidth="1"/>
    <col min="11512" max="11512" width="2.28515625" style="478"/>
    <col min="11513" max="11513" width="9.7109375" style="478" customWidth="1"/>
    <col min="11514" max="11514" width="2.28515625" style="478"/>
    <col min="11515" max="11515" width="9.7109375" style="478" customWidth="1"/>
    <col min="11516" max="11516" width="2.28515625" style="478"/>
    <col min="11517" max="11517" width="9.7109375" style="478" customWidth="1"/>
    <col min="11518" max="11518" width="2.28515625" style="478"/>
    <col min="11519" max="11519" width="11" style="478" customWidth="1"/>
    <col min="11520" max="11520" width="2.28515625" style="478"/>
    <col min="11521" max="11521" width="35" style="478" customWidth="1"/>
    <col min="11522" max="11522" width="2.140625" style="478" customWidth="1"/>
    <col min="11523" max="11523" width="20" style="478" customWidth="1"/>
    <col min="11524" max="11524" width="2.140625" style="478" customWidth="1"/>
    <col min="11525" max="11525" width="20" style="478" customWidth="1"/>
    <col min="11526" max="11526" width="2.140625" style="478" customWidth="1"/>
    <col min="11527" max="11527" width="20" style="478" customWidth="1"/>
    <col min="11528" max="11528" width="2.28515625" style="478"/>
    <col min="11529" max="11529" width="9.7109375" style="478" customWidth="1"/>
    <col min="11530" max="11530" width="2.28515625" style="478"/>
    <col min="11531" max="11531" width="9.7109375" style="478" customWidth="1"/>
    <col min="11532" max="11735" width="13.5703125" style="478" customWidth="1"/>
    <col min="11736" max="11736" width="31.140625" style="478" customWidth="1"/>
    <col min="11737" max="11737" width="14.140625" style="478" customWidth="1"/>
    <col min="11738" max="11738" width="2.28515625" style="478"/>
    <col min="11739" max="11739" width="9.7109375" style="478" customWidth="1"/>
    <col min="11740" max="11740" width="2.28515625" style="478"/>
    <col min="11741" max="11741" width="9.7109375" style="478" customWidth="1"/>
    <col min="11742" max="11742" width="2.28515625" style="478"/>
    <col min="11743" max="11743" width="9.7109375" style="478" customWidth="1"/>
    <col min="11744" max="11744" width="2.28515625" style="478"/>
    <col min="11745" max="11745" width="11" style="478" customWidth="1"/>
    <col min="11746" max="11746" width="2.28515625" style="478"/>
    <col min="11747" max="11747" width="9.7109375" style="478" customWidth="1"/>
    <col min="11748" max="11748" width="4.28515625" style="478" customWidth="1"/>
    <col min="11749" max="11749" width="12.28515625" style="478" customWidth="1"/>
    <col min="11750" max="11750" width="2.28515625" style="478"/>
    <col min="11751" max="11751" width="9.7109375" style="478" customWidth="1"/>
    <col min="11752" max="11752" width="2.28515625" style="478"/>
    <col min="11753" max="11753" width="9.7109375" style="478" customWidth="1"/>
    <col min="11754" max="11754" width="2.28515625" style="478"/>
    <col min="11755" max="11755" width="9.7109375" style="478" customWidth="1"/>
    <col min="11756" max="11756" width="2.28515625" style="478"/>
    <col min="11757" max="11757" width="9.7109375" style="478" customWidth="1"/>
    <col min="11758" max="11758" width="13.28515625" style="478" bestFit="1" customWidth="1"/>
    <col min="11759" max="11759" width="14" style="478" customWidth="1"/>
    <col min="11760" max="11761" width="13.5703125" style="478" customWidth="1"/>
    <col min="11762" max="11762" width="2.85546875" style="478" customWidth="1"/>
    <col min="11763" max="11763" width="19.28515625" style="478" bestFit="1" customWidth="1"/>
    <col min="11764" max="11764" width="8.85546875" style="478" bestFit="1" customWidth="1"/>
    <col min="11765" max="11765" width="13.5703125" style="478" customWidth="1"/>
    <col min="11766" max="11766" width="31.140625" style="478" customWidth="1"/>
    <col min="11767" max="11767" width="14.140625" style="478" customWidth="1"/>
    <col min="11768" max="11768" width="2.28515625" style="478"/>
    <col min="11769" max="11769" width="9.7109375" style="478" customWidth="1"/>
    <col min="11770" max="11770" width="2.28515625" style="478"/>
    <col min="11771" max="11771" width="9.7109375" style="478" customWidth="1"/>
    <col min="11772" max="11772" width="2.28515625" style="478"/>
    <col min="11773" max="11773" width="9.7109375" style="478" customWidth="1"/>
    <col min="11774" max="11774" width="2.28515625" style="478"/>
    <col min="11775" max="11775" width="11" style="478" customWidth="1"/>
    <col min="11776" max="11776" width="2.28515625" style="478"/>
    <col min="11777" max="11777" width="35" style="478" customWidth="1"/>
    <col min="11778" max="11778" width="2.140625" style="478" customWidth="1"/>
    <col min="11779" max="11779" width="20" style="478" customWidth="1"/>
    <col min="11780" max="11780" width="2.140625" style="478" customWidth="1"/>
    <col min="11781" max="11781" width="20" style="478" customWidth="1"/>
    <col min="11782" max="11782" width="2.140625" style="478" customWidth="1"/>
    <col min="11783" max="11783" width="20" style="478" customWidth="1"/>
    <col min="11784" max="11784" width="2.28515625" style="478"/>
    <col min="11785" max="11785" width="9.7109375" style="478" customWidth="1"/>
    <col min="11786" max="11786" width="2.28515625" style="478"/>
    <col min="11787" max="11787" width="9.7109375" style="478" customWidth="1"/>
    <col min="11788" max="11991" width="13.5703125" style="478" customWidth="1"/>
    <col min="11992" max="11992" width="31.140625" style="478" customWidth="1"/>
    <col min="11993" max="11993" width="14.140625" style="478" customWidth="1"/>
    <col min="11994" max="11994" width="2.28515625" style="478"/>
    <col min="11995" max="11995" width="9.7109375" style="478" customWidth="1"/>
    <col min="11996" max="11996" width="2.28515625" style="478"/>
    <col min="11997" max="11997" width="9.7109375" style="478" customWidth="1"/>
    <col min="11998" max="11998" width="2.28515625" style="478"/>
    <col min="11999" max="11999" width="9.7109375" style="478" customWidth="1"/>
    <col min="12000" max="12000" width="2.28515625" style="478"/>
    <col min="12001" max="12001" width="11" style="478" customWidth="1"/>
    <col min="12002" max="12002" width="2.28515625" style="478"/>
    <col min="12003" max="12003" width="9.7109375" style="478" customWidth="1"/>
    <col min="12004" max="12004" width="4.28515625" style="478" customWidth="1"/>
    <col min="12005" max="12005" width="12.28515625" style="478" customWidth="1"/>
    <col min="12006" max="12006" width="2.28515625" style="478"/>
    <col min="12007" max="12007" width="9.7109375" style="478" customWidth="1"/>
    <col min="12008" max="12008" width="2.28515625" style="478"/>
    <col min="12009" max="12009" width="9.7109375" style="478" customWidth="1"/>
    <col min="12010" max="12010" width="2.28515625" style="478"/>
    <col min="12011" max="12011" width="9.7109375" style="478" customWidth="1"/>
    <col min="12012" max="12012" width="2.28515625" style="478"/>
    <col min="12013" max="12013" width="9.7109375" style="478" customWidth="1"/>
    <col min="12014" max="12014" width="13.28515625" style="478" bestFit="1" customWidth="1"/>
    <col min="12015" max="12015" width="14" style="478" customWidth="1"/>
    <col min="12016" max="12017" width="13.5703125" style="478" customWidth="1"/>
    <col min="12018" max="12018" width="2.85546875" style="478" customWidth="1"/>
    <col min="12019" max="12019" width="19.28515625" style="478" bestFit="1" customWidth="1"/>
    <col min="12020" max="12020" width="8.85546875" style="478" bestFit="1" customWidth="1"/>
    <col min="12021" max="12021" width="13.5703125" style="478" customWidth="1"/>
    <col min="12022" max="12022" width="31.140625" style="478" customWidth="1"/>
    <col min="12023" max="12023" width="14.140625" style="478" customWidth="1"/>
    <col min="12024" max="12024" width="2.28515625" style="478"/>
    <col min="12025" max="12025" width="9.7109375" style="478" customWidth="1"/>
    <col min="12026" max="12026" width="2.28515625" style="478"/>
    <col min="12027" max="12027" width="9.7109375" style="478" customWidth="1"/>
    <col min="12028" max="12028" width="2.28515625" style="478"/>
    <col min="12029" max="12029" width="9.7109375" style="478" customWidth="1"/>
    <col min="12030" max="12030" width="2.28515625" style="478"/>
    <col min="12031" max="12031" width="11" style="478" customWidth="1"/>
    <col min="12032" max="12032" width="2.28515625" style="478"/>
    <col min="12033" max="12033" width="35" style="478" customWidth="1"/>
    <col min="12034" max="12034" width="2.140625" style="478" customWidth="1"/>
    <col min="12035" max="12035" width="20" style="478" customWidth="1"/>
    <col min="12036" max="12036" width="2.140625" style="478" customWidth="1"/>
    <col min="12037" max="12037" width="20" style="478" customWidth="1"/>
    <col min="12038" max="12038" width="2.140625" style="478" customWidth="1"/>
    <col min="12039" max="12039" width="20" style="478" customWidth="1"/>
    <col min="12040" max="12040" width="2.28515625" style="478"/>
    <col min="12041" max="12041" width="9.7109375" style="478" customWidth="1"/>
    <col min="12042" max="12042" width="2.28515625" style="478"/>
    <col min="12043" max="12043" width="9.7109375" style="478" customWidth="1"/>
    <col min="12044" max="12247" width="13.5703125" style="478" customWidth="1"/>
    <col min="12248" max="12248" width="31.140625" style="478" customWidth="1"/>
    <col min="12249" max="12249" width="14.140625" style="478" customWidth="1"/>
    <col min="12250" max="12250" width="2.28515625" style="478"/>
    <col min="12251" max="12251" width="9.7109375" style="478" customWidth="1"/>
    <col min="12252" max="12252" width="2.28515625" style="478"/>
    <col min="12253" max="12253" width="9.7109375" style="478" customWidth="1"/>
    <col min="12254" max="12254" width="2.28515625" style="478"/>
    <col min="12255" max="12255" width="9.7109375" style="478" customWidth="1"/>
    <col min="12256" max="12256" width="2.28515625" style="478"/>
    <col min="12257" max="12257" width="11" style="478" customWidth="1"/>
    <col min="12258" max="12258" width="2.28515625" style="478"/>
    <col min="12259" max="12259" width="9.7109375" style="478" customWidth="1"/>
    <col min="12260" max="12260" width="4.28515625" style="478" customWidth="1"/>
    <col min="12261" max="12261" width="12.28515625" style="478" customWidth="1"/>
    <col min="12262" max="12262" width="2.28515625" style="478"/>
    <col min="12263" max="12263" width="9.7109375" style="478" customWidth="1"/>
    <col min="12264" max="12264" width="2.28515625" style="478"/>
    <col min="12265" max="12265" width="9.7109375" style="478" customWidth="1"/>
    <col min="12266" max="12266" width="2.28515625" style="478"/>
    <col min="12267" max="12267" width="9.7109375" style="478" customWidth="1"/>
    <col min="12268" max="12268" width="2.28515625" style="478"/>
    <col min="12269" max="12269" width="9.7109375" style="478" customWidth="1"/>
    <col min="12270" max="12270" width="13.28515625" style="478" bestFit="1" customWidth="1"/>
    <col min="12271" max="12271" width="14" style="478" customWidth="1"/>
    <col min="12272" max="12273" width="13.5703125" style="478" customWidth="1"/>
    <col min="12274" max="12274" width="2.85546875" style="478" customWidth="1"/>
    <col min="12275" max="12275" width="19.28515625" style="478" bestFit="1" customWidth="1"/>
    <col min="12276" max="12276" width="8.85546875" style="478" bestFit="1" customWidth="1"/>
    <col min="12277" max="12277" width="13.5703125" style="478" customWidth="1"/>
    <col min="12278" max="12278" width="31.140625" style="478" customWidth="1"/>
    <col min="12279" max="12279" width="14.140625" style="478" customWidth="1"/>
    <col min="12280" max="12280" width="2.28515625" style="478"/>
    <col min="12281" max="12281" width="9.7109375" style="478" customWidth="1"/>
    <col min="12282" max="12282" width="2.28515625" style="478"/>
    <col min="12283" max="12283" width="9.7109375" style="478" customWidth="1"/>
    <col min="12284" max="12284" width="2.28515625" style="478"/>
    <col min="12285" max="12285" width="9.7109375" style="478" customWidth="1"/>
    <col min="12286" max="12286" width="2.28515625" style="478"/>
    <col min="12287" max="12287" width="11" style="478" customWidth="1"/>
    <col min="12288" max="12288" width="2.28515625" style="478"/>
    <col min="12289" max="12289" width="35" style="478" customWidth="1"/>
    <col min="12290" max="12290" width="2.140625" style="478" customWidth="1"/>
    <col min="12291" max="12291" width="20" style="478" customWidth="1"/>
    <col min="12292" max="12292" width="2.140625" style="478" customWidth="1"/>
    <col min="12293" max="12293" width="20" style="478" customWidth="1"/>
    <col min="12294" max="12294" width="2.140625" style="478" customWidth="1"/>
    <col min="12295" max="12295" width="20" style="478" customWidth="1"/>
    <col min="12296" max="12296" width="2.28515625" style="478"/>
    <col min="12297" max="12297" width="9.7109375" style="478" customWidth="1"/>
    <col min="12298" max="12298" width="2.28515625" style="478"/>
    <col min="12299" max="12299" width="9.7109375" style="478" customWidth="1"/>
    <col min="12300" max="12503" width="13.5703125" style="478" customWidth="1"/>
    <col min="12504" max="12504" width="31.140625" style="478" customWidth="1"/>
    <col min="12505" max="12505" width="14.140625" style="478" customWidth="1"/>
    <col min="12506" max="12506" width="2.28515625" style="478"/>
    <col min="12507" max="12507" width="9.7109375" style="478" customWidth="1"/>
    <col min="12508" max="12508" width="2.28515625" style="478"/>
    <col min="12509" max="12509" width="9.7109375" style="478" customWidth="1"/>
    <col min="12510" max="12510" width="2.28515625" style="478"/>
    <col min="12511" max="12511" width="9.7109375" style="478" customWidth="1"/>
    <col min="12512" max="12512" width="2.28515625" style="478"/>
    <col min="12513" max="12513" width="11" style="478" customWidth="1"/>
    <col min="12514" max="12514" width="2.28515625" style="478"/>
    <col min="12515" max="12515" width="9.7109375" style="478" customWidth="1"/>
    <col min="12516" max="12516" width="4.28515625" style="478" customWidth="1"/>
    <col min="12517" max="12517" width="12.28515625" style="478" customWidth="1"/>
    <col min="12518" max="12518" width="2.28515625" style="478"/>
    <col min="12519" max="12519" width="9.7109375" style="478" customWidth="1"/>
    <col min="12520" max="12520" width="2.28515625" style="478"/>
    <col min="12521" max="12521" width="9.7109375" style="478" customWidth="1"/>
    <col min="12522" max="12522" width="2.28515625" style="478"/>
    <col min="12523" max="12523" width="9.7109375" style="478" customWidth="1"/>
    <col min="12524" max="12524" width="2.28515625" style="478"/>
    <col min="12525" max="12525" width="9.7109375" style="478" customWidth="1"/>
    <col min="12526" max="12526" width="13.28515625" style="478" bestFit="1" customWidth="1"/>
    <col min="12527" max="12527" width="14" style="478" customWidth="1"/>
    <col min="12528" max="12529" width="13.5703125" style="478" customWidth="1"/>
    <col min="12530" max="12530" width="2.85546875" style="478" customWidth="1"/>
    <col min="12531" max="12531" width="19.28515625" style="478" bestFit="1" customWidth="1"/>
    <col min="12532" max="12532" width="8.85546875" style="478" bestFit="1" customWidth="1"/>
    <col min="12533" max="12533" width="13.5703125" style="478" customWidth="1"/>
    <col min="12534" max="12534" width="31.140625" style="478" customWidth="1"/>
    <col min="12535" max="12535" width="14.140625" style="478" customWidth="1"/>
    <col min="12536" max="12536" width="2.28515625" style="478"/>
    <col min="12537" max="12537" width="9.7109375" style="478" customWidth="1"/>
    <col min="12538" max="12538" width="2.28515625" style="478"/>
    <col min="12539" max="12539" width="9.7109375" style="478" customWidth="1"/>
    <col min="12540" max="12540" width="2.28515625" style="478"/>
    <col min="12541" max="12541" width="9.7109375" style="478" customWidth="1"/>
    <col min="12542" max="12542" width="2.28515625" style="478"/>
    <col min="12543" max="12543" width="11" style="478" customWidth="1"/>
    <col min="12544" max="12544" width="2.28515625" style="478"/>
    <col min="12545" max="12545" width="35" style="478" customWidth="1"/>
    <col min="12546" max="12546" width="2.140625" style="478" customWidth="1"/>
    <col min="12547" max="12547" width="20" style="478" customWidth="1"/>
    <col min="12548" max="12548" width="2.140625" style="478" customWidth="1"/>
    <col min="12549" max="12549" width="20" style="478" customWidth="1"/>
    <col min="12550" max="12550" width="2.140625" style="478" customWidth="1"/>
    <col min="12551" max="12551" width="20" style="478" customWidth="1"/>
    <col min="12552" max="12552" width="2.28515625" style="478"/>
    <col min="12553" max="12553" width="9.7109375" style="478" customWidth="1"/>
    <col min="12554" max="12554" width="2.28515625" style="478"/>
    <col min="12555" max="12555" width="9.7109375" style="478" customWidth="1"/>
    <col min="12556" max="12759" width="13.5703125" style="478" customWidth="1"/>
    <col min="12760" max="12760" width="31.140625" style="478" customWidth="1"/>
    <col min="12761" max="12761" width="14.140625" style="478" customWidth="1"/>
    <col min="12762" max="12762" width="2.28515625" style="478"/>
    <col min="12763" max="12763" width="9.7109375" style="478" customWidth="1"/>
    <col min="12764" max="12764" width="2.28515625" style="478"/>
    <col min="12765" max="12765" width="9.7109375" style="478" customWidth="1"/>
    <col min="12766" max="12766" width="2.28515625" style="478"/>
    <col min="12767" max="12767" width="9.7109375" style="478" customWidth="1"/>
    <col min="12768" max="12768" width="2.28515625" style="478"/>
    <col min="12769" max="12769" width="11" style="478" customWidth="1"/>
    <col min="12770" max="12770" width="2.28515625" style="478"/>
    <col min="12771" max="12771" width="9.7109375" style="478" customWidth="1"/>
    <col min="12772" max="12772" width="4.28515625" style="478" customWidth="1"/>
    <col min="12773" max="12773" width="12.28515625" style="478" customWidth="1"/>
    <col min="12774" max="12774" width="2.28515625" style="478"/>
    <col min="12775" max="12775" width="9.7109375" style="478" customWidth="1"/>
    <col min="12776" max="12776" width="2.28515625" style="478"/>
    <col min="12777" max="12777" width="9.7109375" style="478" customWidth="1"/>
    <col min="12778" max="12778" width="2.28515625" style="478"/>
    <col min="12779" max="12779" width="9.7109375" style="478" customWidth="1"/>
    <col min="12780" max="12780" width="2.28515625" style="478"/>
    <col min="12781" max="12781" width="9.7109375" style="478" customWidth="1"/>
    <col min="12782" max="12782" width="13.28515625" style="478" bestFit="1" customWidth="1"/>
    <col min="12783" max="12783" width="14" style="478" customWidth="1"/>
    <col min="12784" max="12785" width="13.5703125" style="478" customWidth="1"/>
    <col min="12786" max="12786" width="2.85546875" style="478" customWidth="1"/>
    <col min="12787" max="12787" width="19.28515625" style="478" bestFit="1" customWidth="1"/>
    <col min="12788" max="12788" width="8.85546875" style="478" bestFit="1" customWidth="1"/>
    <col min="12789" max="12789" width="13.5703125" style="478" customWidth="1"/>
    <col min="12790" max="12790" width="31.140625" style="478" customWidth="1"/>
    <col min="12791" max="12791" width="14.140625" style="478" customWidth="1"/>
    <col min="12792" max="12792" width="2.28515625" style="478"/>
    <col min="12793" max="12793" width="9.7109375" style="478" customWidth="1"/>
    <col min="12794" max="12794" width="2.28515625" style="478"/>
    <col min="12795" max="12795" width="9.7109375" style="478" customWidth="1"/>
    <col min="12796" max="12796" width="2.28515625" style="478"/>
    <col min="12797" max="12797" width="9.7109375" style="478" customWidth="1"/>
    <col min="12798" max="12798" width="2.28515625" style="478"/>
    <col min="12799" max="12799" width="11" style="478" customWidth="1"/>
    <col min="12800" max="12800" width="2.28515625" style="478"/>
    <col min="12801" max="12801" width="35" style="478" customWidth="1"/>
    <col min="12802" max="12802" width="2.140625" style="478" customWidth="1"/>
    <col min="12803" max="12803" width="20" style="478" customWidth="1"/>
    <col min="12804" max="12804" width="2.140625" style="478" customWidth="1"/>
    <col min="12805" max="12805" width="20" style="478" customWidth="1"/>
    <col min="12806" max="12806" width="2.140625" style="478" customWidth="1"/>
    <col min="12807" max="12807" width="20" style="478" customWidth="1"/>
    <col min="12808" max="12808" width="2.28515625" style="478"/>
    <col min="12809" max="12809" width="9.7109375" style="478" customWidth="1"/>
    <col min="12810" max="12810" width="2.28515625" style="478"/>
    <col min="12811" max="12811" width="9.7109375" style="478" customWidth="1"/>
    <col min="12812" max="13015" width="13.5703125" style="478" customWidth="1"/>
    <col min="13016" max="13016" width="31.140625" style="478" customWidth="1"/>
    <col min="13017" max="13017" width="14.140625" style="478" customWidth="1"/>
    <col min="13018" max="13018" width="2.28515625" style="478"/>
    <col min="13019" max="13019" width="9.7109375" style="478" customWidth="1"/>
    <col min="13020" max="13020" width="2.28515625" style="478"/>
    <col min="13021" max="13021" width="9.7109375" style="478" customWidth="1"/>
    <col min="13022" max="13022" width="2.28515625" style="478"/>
    <col min="13023" max="13023" width="9.7109375" style="478" customWidth="1"/>
    <col min="13024" max="13024" width="2.28515625" style="478"/>
    <col min="13025" max="13025" width="11" style="478" customWidth="1"/>
    <col min="13026" max="13026" width="2.28515625" style="478"/>
    <col min="13027" max="13027" width="9.7109375" style="478" customWidth="1"/>
    <col min="13028" max="13028" width="4.28515625" style="478" customWidth="1"/>
    <col min="13029" max="13029" width="12.28515625" style="478" customWidth="1"/>
    <col min="13030" max="13030" width="2.28515625" style="478"/>
    <col min="13031" max="13031" width="9.7109375" style="478" customWidth="1"/>
    <col min="13032" max="13032" width="2.28515625" style="478"/>
    <col min="13033" max="13033" width="9.7109375" style="478" customWidth="1"/>
    <col min="13034" max="13034" width="2.28515625" style="478"/>
    <col min="13035" max="13035" width="9.7109375" style="478" customWidth="1"/>
    <col min="13036" max="13036" width="2.28515625" style="478"/>
    <col min="13037" max="13037" width="9.7109375" style="478" customWidth="1"/>
    <col min="13038" max="13038" width="13.28515625" style="478" bestFit="1" customWidth="1"/>
    <col min="13039" max="13039" width="14" style="478" customWidth="1"/>
    <col min="13040" max="13041" width="13.5703125" style="478" customWidth="1"/>
    <col min="13042" max="13042" width="2.85546875" style="478" customWidth="1"/>
    <col min="13043" max="13043" width="19.28515625" style="478" bestFit="1" customWidth="1"/>
    <col min="13044" max="13044" width="8.85546875" style="478" bestFit="1" customWidth="1"/>
    <col min="13045" max="13045" width="13.5703125" style="478" customWidth="1"/>
    <col min="13046" max="13046" width="31.140625" style="478" customWidth="1"/>
    <col min="13047" max="13047" width="14.140625" style="478" customWidth="1"/>
    <col min="13048" max="13048" width="2.28515625" style="478"/>
    <col min="13049" max="13049" width="9.7109375" style="478" customWidth="1"/>
    <col min="13050" max="13050" width="2.28515625" style="478"/>
    <col min="13051" max="13051" width="9.7109375" style="478" customWidth="1"/>
    <col min="13052" max="13052" width="2.28515625" style="478"/>
    <col min="13053" max="13053" width="9.7109375" style="478" customWidth="1"/>
    <col min="13054" max="13054" width="2.28515625" style="478"/>
    <col min="13055" max="13055" width="11" style="478" customWidth="1"/>
    <col min="13056" max="13056" width="2.28515625" style="478"/>
    <col min="13057" max="13057" width="35" style="478" customWidth="1"/>
    <col min="13058" max="13058" width="2.140625" style="478" customWidth="1"/>
    <col min="13059" max="13059" width="20" style="478" customWidth="1"/>
    <col min="13060" max="13060" width="2.140625" style="478" customWidth="1"/>
    <col min="13061" max="13061" width="20" style="478" customWidth="1"/>
    <col min="13062" max="13062" width="2.140625" style="478" customWidth="1"/>
    <col min="13063" max="13063" width="20" style="478" customWidth="1"/>
    <col min="13064" max="13064" width="2.28515625" style="478"/>
    <col min="13065" max="13065" width="9.7109375" style="478" customWidth="1"/>
    <col min="13066" max="13066" width="2.28515625" style="478"/>
    <col min="13067" max="13067" width="9.7109375" style="478" customWidth="1"/>
    <col min="13068" max="13271" width="13.5703125" style="478" customWidth="1"/>
    <col min="13272" max="13272" width="31.140625" style="478" customWidth="1"/>
    <col min="13273" max="13273" width="14.140625" style="478" customWidth="1"/>
    <col min="13274" max="13274" width="2.28515625" style="478"/>
    <col min="13275" max="13275" width="9.7109375" style="478" customWidth="1"/>
    <col min="13276" max="13276" width="2.28515625" style="478"/>
    <col min="13277" max="13277" width="9.7109375" style="478" customWidth="1"/>
    <col min="13278" max="13278" width="2.28515625" style="478"/>
    <col min="13279" max="13279" width="9.7109375" style="478" customWidth="1"/>
    <col min="13280" max="13280" width="2.28515625" style="478"/>
    <col min="13281" max="13281" width="11" style="478" customWidth="1"/>
    <col min="13282" max="13282" width="2.28515625" style="478"/>
    <col min="13283" max="13283" width="9.7109375" style="478" customWidth="1"/>
    <col min="13284" max="13284" width="4.28515625" style="478" customWidth="1"/>
    <col min="13285" max="13285" width="12.28515625" style="478" customWidth="1"/>
    <col min="13286" max="13286" width="2.28515625" style="478"/>
    <col min="13287" max="13287" width="9.7109375" style="478" customWidth="1"/>
    <col min="13288" max="13288" width="2.28515625" style="478"/>
    <col min="13289" max="13289" width="9.7109375" style="478" customWidth="1"/>
    <col min="13290" max="13290" width="2.28515625" style="478"/>
    <col min="13291" max="13291" width="9.7109375" style="478" customWidth="1"/>
    <col min="13292" max="13292" width="2.28515625" style="478"/>
    <col min="13293" max="13293" width="9.7109375" style="478" customWidth="1"/>
    <col min="13294" max="13294" width="13.28515625" style="478" bestFit="1" customWidth="1"/>
    <col min="13295" max="13295" width="14" style="478" customWidth="1"/>
    <col min="13296" max="13297" width="13.5703125" style="478" customWidth="1"/>
    <col min="13298" max="13298" width="2.85546875" style="478" customWidth="1"/>
    <col min="13299" max="13299" width="19.28515625" style="478" bestFit="1" customWidth="1"/>
    <col min="13300" max="13300" width="8.85546875" style="478" bestFit="1" customWidth="1"/>
    <col min="13301" max="13301" width="13.5703125" style="478" customWidth="1"/>
    <col min="13302" max="13302" width="31.140625" style="478" customWidth="1"/>
    <col min="13303" max="13303" width="14.140625" style="478" customWidth="1"/>
    <col min="13304" max="13304" width="2.28515625" style="478"/>
    <col min="13305" max="13305" width="9.7109375" style="478" customWidth="1"/>
    <col min="13306" max="13306" width="2.28515625" style="478"/>
    <col min="13307" max="13307" width="9.7109375" style="478" customWidth="1"/>
    <col min="13308" max="13308" width="2.28515625" style="478"/>
    <col min="13309" max="13309" width="9.7109375" style="478" customWidth="1"/>
    <col min="13310" max="13310" width="2.28515625" style="478"/>
    <col min="13311" max="13311" width="11" style="478" customWidth="1"/>
    <col min="13312" max="13312" width="2.28515625" style="478"/>
    <col min="13313" max="13313" width="35" style="478" customWidth="1"/>
    <col min="13314" max="13314" width="2.140625" style="478" customWidth="1"/>
    <col min="13315" max="13315" width="20" style="478" customWidth="1"/>
    <col min="13316" max="13316" width="2.140625" style="478" customWidth="1"/>
    <col min="13317" max="13317" width="20" style="478" customWidth="1"/>
    <col min="13318" max="13318" width="2.140625" style="478" customWidth="1"/>
    <col min="13319" max="13319" width="20" style="478" customWidth="1"/>
    <col min="13320" max="13320" width="2.28515625" style="478"/>
    <col min="13321" max="13321" width="9.7109375" style="478" customWidth="1"/>
    <col min="13322" max="13322" width="2.28515625" style="478"/>
    <col min="13323" max="13323" width="9.7109375" style="478" customWidth="1"/>
    <col min="13324" max="13527" width="13.5703125" style="478" customWidth="1"/>
    <col min="13528" max="13528" width="31.140625" style="478" customWidth="1"/>
    <col min="13529" max="13529" width="14.140625" style="478" customWidth="1"/>
    <col min="13530" max="13530" width="2.28515625" style="478"/>
    <col min="13531" max="13531" width="9.7109375" style="478" customWidth="1"/>
    <col min="13532" max="13532" width="2.28515625" style="478"/>
    <col min="13533" max="13533" width="9.7109375" style="478" customWidth="1"/>
    <col min="13534" max="13534" width="2.28515625" style="478"/>
    <col min="13535" max="13535" width="9.7109375" style="478" customWidth="1"/>
    <col min="13536" max="13536" width="2.28515625" style="478"/>
    <col min="13537" max="13537" width="11" style="478" customWidth="1"/>
    <col min="13538" max="13538" width="2.28515625" style="478"/>
    <col min="13539" max="13539" width="9.7109375" style="478" customWidth="1"/>
    <col min="13540" max="13540" width="4.28515625" style="478" customWidth="1"/>
    <col min="13541" max="13541" width="12.28515625" style="478" customWidth="1"/>
    <col min="13542" max="13542" width="2.28515625" style="478"/>
    <col min="13543" max="13543" width="9.7109375" style="478" customWidth="1"/>
    <col min="13544" max="13544" width="2.28515625" style="478"/>
    <col min="13545" max="13545" width="9.7109375" style="478" customWidth="1"/>
    <col min="13546" max="13546" width="2.28515625" style="478"/>
    <col min="13547" max="13547" width="9.7109375" style="478" customWidth="1"/>
    <col min="13548" max="13548" width="2.28515625" style="478"/>
    <col min="13549" max="13549" width="9.7109375" style="478" customWidth="1"/>
    <col min="13550" max="13550" width="13.28515625" style="478" bestFit="1" customWidth="1"/>
    <col min="13551" max="13551" width="14" style="478" customWidth="1"/>
    <col min="13552" max="13553" width="13.5703125" style="478" customWidth="1"/>
    <col min="13554" max="13554" width="2.85546875" style="478" customWidth="1"/>
    <col min="13555" max="13555" width="19.28515625" style="478" bestFit="1" customWidth="1"/>
    <col min="13556" max="13556" width="8.85546875" style="478" bestFit="1" customWidth="1"/>
    <col min="13557" max="13557" width="13.5703125" style="478" customWidth="1"/>
    <col min="13558" max="13558" width="31.140625" style="478" customWidth="1"/>
    <col min="13559" max="13559" width="14.140625" style="478" customWidth="1"/>
    <col min="13560" max="13560" width="2.28515625" style="478"/>
    <col min="13561" max="13561" width="9.7109375" style="478" customWidth="1"/>
    <col min="13562" max="13562" width="2.28515625" style="478"/>
    <col min="13563" max="13563" width="9.7109375" style="478" customWidth="1"/>
    <col min="13564" max="13564" width="2.28515625" style="478"/>
    <col min="13565" max="13565" width="9.7109375" style="478" customWidth="1"/>
    <col min="13566" max="13566" width="2.28515625" style="478"/>
    <col min="13567" max="13567" width="11" style="478" customWidth="1"/>
    <col min="13568" max="13568" width="2.28515625" style="478"/>
    <col min="13569" max="13569" width="35" style="478" customWidth="1"/>
    <col min="13570" max="13570" width="2.140625" style="478" customWidth="1"/>
    <col min="13571" max="13571" width="20" style="478" customWidth="1"/>
    <col min="13572" max="13572" width="2.140625" style="478" customWidth="1"/>
    <col min="13573" max="13573" width="20" style="478" customWidth="1"/>
    <col min="13574" max="13574" width="2.140625" style="478" customWidth="1"/>
    <col min="13575" max="13575" width="20" style="478" customWidth="1"/>
    <col min="13576" max="13576" width="2.28515625" style="478"/>
    <col min="13577" max="13577" width="9.7109375" style="478" customWidth="1"/>
    <col min="13578" max="13578" width="2.28515625" style="478"/>
    <col min="13579" max="13579" width="9.7109375" style="478" customWidth="1"/>
    <col min="13580" max="13783" width="13.5703125" style="478" customWidth="1"/>
    <col min="13784" max="13784" width="31.140625" style="478" customWidth="1"/>
    <col min="13785" max="13785" width="14.140625" style="478" customWidth="1"/>
    <col min="13786" max="13786" width="2.28515625" style="478"/>
    <col min="13787" max="13787" width="9.7109375" style="478" customWidth="1"/>
    <col min="13788" max="13788" width="2.28515625" style="478"/>
    <col min="13789" max="13789" width="9.7109375" style="478" customWidth="1"/>
    <col min="13790" max="13790" width="2.28515625" style="478"/>
    <col min="13791" max="13791" width="9.7109375" style="478" customWidth="1"/>
    <col min="13792" max="13792" width="2.28515625" style="478"/>
    <col min="13793" max="13793" width="11" style="478" customWidth="1"/>
    <col min="13794" max="13794" width="2.28515625" style="478"/>
    <col min="13795" max="13795" width="9.7109375" style="478" customWidth="1"/>
    <col min="13796" max="13796" width="4.28515625" style="478" customWidth="1"/>
    <col min="13797" max="13797" width="12.28515625" style="478" customWidth="1"/>
    <col min="13798" max="13798" width="2.28515625" style="478"/>
    <col min="13799" max="13799" width="9.7109375" style="478" customWidth="1"/>
    <col min="13800" max="13800" width="2.28515625" style="478"/>
    <col min="13801" max="13801" width="9.7109375" style="478" customWidth="1"/>
    <col min="13802" max="13802" width="2.28515625" style="478"/>
    <col min="13803" max="13803" width="9.7109375" style="478" customWidth="1"/>
    <col min="13804" max="13804" width="2.28515625" style="478"/>
    <col min="13805" max="13805" width="9.7109375" style="478" customWidth="1"/>
    <col min="13806" max="13806" width="13.28515625" style="478" bestFit="1" customWidth="1"/>
    <col min="13807" max="13807" width="14" style="478" customWidth="1"/>
    <col min="13808" max="13809" width="13.5703125" style="478" customWidth="1"/>
    <col min="13810" max="13810" width="2.85546875" style="478" customWidth="1"/>
    <col min="13811" max="13811" width="19.28515625" style="478" bestFit="1" customWidth="1"/>
    <col min="13812" max="13812" width="8.85546875" style="478" bestFit="1" customWidth="1"/>
    <col min="13813" max="13813" width="13.5703125" style="478" customWidth="1"/>
    <col min="13814" max="13814" width="31.140625" style="478" customWidth="1"/>
    <col min="13815" max="13815" width="14.140625" style="478" customWidth="1"/>
    <col min="13816" max="13816" width="2.28515625" style="478"/>
    <col min="13817" max="13817" width="9.7109375" style="478" customWidth="1"/>
    <col min="13818" max="13818" width="2.28515625" style="478"/>
    <col min="13819" max="13819" width="9.7109375" style="478" customWidth="1"/>
    <col min="13820" max="13820" width="2.28515625" style="478"/>
    <col min="13821" max="13821" width="9.7109375" style="478" customWidth="1"/>
    <col min="13822" max="13822" width="2.28515625" style="478"/>
    <col min="13823" max="13823" width="11" style="478" customWidth="1"/>
    <col min="13824" max="13824" width="2.28515625" style="478"/>
    <col min="13825" max="13825" width="35" style="478" customWidth="1"/>
    <col min="13826" max="13826" width="2.140625" style="478" customWidth="1"/>
    <col min="13827" max="13827" width="20" style="478" customWidth="1"/>
    <col min="13828" max="13828" width="2.140625" style="478" customWidth="1"/>
    <col min="13829" max="13829" width="20" style="478" customWidth="1"/>
    <col min="13830" max="13830" width="2.140625" style="478" customWidth="1"/>
    <col min="13831" max="13831" width="20" style="478" customWidth="1"/>
    <col min="13832" max="13832" width="2.28515625" style="478"/>
    <col min="13833" max="13833" width="9.7109375" style="478" customWidth="1"/>
    <col min="13834" max="13834" width="2.28515625" style="478"/>
    <col min="13835" max="13835" width="9.7109375" style="478" customWidth="1"/>
    <col min="13836" max="14039" width="13.5703125" style="478" customWidth="1"/>
    <col min="14040" max="14040" width="31.140625" style="478" customWidth="1"/>
    <col min="14041" max="14041" width="14.140625" style="478" customWidth="1"/>
    <col min="14042" max="14042" width="2.28515625" style="478"/>
    <col min="14043" max="14043" width="9.7109375" style="478" customWidth="1"/>
    <col min="14044" max="14044" width="2.28515625" style="478"/>
    <col min="14045" max="14045" width="9.7109375" style="478" customWidth="1"/>
    <col min="14046" max="14046" width="2.28515625" style="478"/>
    <col min="14047" max="14047" width="9.7109375" style="478" customWidth="1"/>
    <col min="14048" max="14048" width="2.28515625" style="478"/>
    <col min="14049" max="14049" width="11" style="478" customWidth="1"/>
    <col min="14050" max="14050" width="2.28515625" style="478"/>
    <col min="14051" max="14051" width="9.7109375" style="478" customWidth="1"/>
    <col min="14052" max="14052" width="4.28515625" style="478" customWidth="1"/>
    <col min="14053" max="14053" width="12.28515625" style="478" customWidth="1"/>
    <col min="14054" max="14054" width="2.28515625" style="478"/>
    <col min="14055" max="14055" width="9.7109375" style="478" customWidth="1"/>
    <col min="14056" max="14056" width="2.28515625" style="478"/>
    <col min="14057" max="14057" width="9.7109375" style="478" customWidth="1"/>
    <col min="14058" max="14058" width="2.28515625" style="478"/>
    <col min="14059" max="14059" width="9.7109375" style="478" customWidth="1"/>
    <col min="14060" max="14060" width="2.28515625" style="478"/>
    <col min="14061" max="14061" width="9.7109375" style="478" customWidth="1"/>
    <col min="14062" max="14062" width="13.28515625" style="478" bestFit="1" customWidth="1"/>
    <col min="14063" max="14063" width="14" style="478" customWidth="1"/>
    <col min="14064" max="14065" width="13.5703125" style="478" customWidth="1"/>
    <col min="14066" max="14066" width="2.85546875" style="478" customWidth="1"/>
    <col min="14067" max="14067" width="19.28515625" style="478" bestFit="1" customWidth="1"/>
    <col min="14068" max="14068" width="8.85546875" style="478" bestFit="1" customWidth="1"/>
    <col min="14069" max="14069" width="13.5703125" style="478" customWidth="1"/>
    <col min="14070" max="14070" width="31.140625" style="478" customWidth="1"/>
    <col min="14071" max="14071" width="14.140625" style="478" customWidth="1"/>
    <col min="14072" max="14072" width="2.28515625" style="478"/>
    <col min="14073" max="14073" width="9.7109375" style="478" customWidth="1"/>
    <col min="14074" max="14074" width="2.28515625" style="478"/>
    <col min="14075" max="14075" width="9.7109375" style="478" customWidth="1"/>
    <col min="14076" max="14076" width="2.28515625" style="478"/>
    <col min="14077" max="14077" width="9.7109375" style="478" customWidth="1"/>
    <col min="14078" max="14078" width="2.28515625" style="478"/>
    <col min="14079" max="14079" width="11" style="478" customWidth="1"/>
    <col min="14080" max="14080" width="2.28515625" style="478"/>
    <col min="14081" max="14081" width="35" style="478" customWidth="1"/>
    <col min="14082" max="14082" width="2.140625" style="478" customWidth="1"/>
    <col min="14083" max="14083" width="20" style="478" customWidth="1"/>
    <col min="14084" max="14084" width="2.140625" style="478" customWidth="1"/>
    <col min="14085" max="14085" width="20" style="478" customWidth="1"/>
    <col min="14086" max="14086" width="2.140625" style="478" customWidth="1"/>
    <col min="14087" max="14087" width="20" style="478" customWidth="1"/>
    <col min="14088" max="14088" width="2.28515625" style="478"/>
    <col min="14089" max="14089" width="9.7109375" style="478" customWidth="1"/>
    <col min="14090" max="14090" width="2.28515625" style="478"/>
    <col min="14091" max="14091" width="9.7109375" style="478" customWidth="1"/>
    <col min="14092" max="14295" width="13.5703125" style="478" customWidth="1"/>
    <col min="14296" max="14296" width="31.140625" style="478" customWidth="1"/>
    <col min="14297" max="14297" width="14.140625" style="478" customWidth="1"/>
    <col min="14298" max="14298" width="2.28515625" style="478"/>
    <col min="14299" max="14299" width="9.7109375" style="478" customWidth="1"/>
    <col min="14300" max="14300" width="2.28515625" style="478"/>
    <col min="14301" max="14301" width="9.7109375" style="478" customWidth="1"/>
    <col min="14302" max="14302" width="2.28515625" style="478"/>
    <col min="14303" max="14303" width="9.7109375" style="478" customWidth="1"/>
    <col min="14304" max="14304" width="2.28515625" style="478"/>
    <col min="14305" max="14305" width="11" style="478" customWidth="1"/>
    <col min="14306" max="14306" width="2.28515625" style="478"/>
    <col min="14307" max="14307" width="9.7109375" style="478" customWidth="1"/>
    <col min="14308" max="14308" width="4.28515625" style="478" customWidth="1"/>
    <col min="14309" max="14309" width="12.28515625" style="478" customWidth="1"/>
    <col min="14310" max="14310" width="2.28515625" style="478"/>
    <col min="14311" max="14311" width="9.7109375" style="478" customWidth="1"/>
    <col min="14312" max="14312" width="2.28515625" style="478"/>
    <col min="14313" max="14313" width="9.7109375" style="478" customWidth="1"/>
    <col min="14314" max="14314" width="2.28515625" style="478"/>
    <col min="14315" max="14315" width="9.7109375" style="478" customWidth="1"/>
    <col min="14316" max="14316" width="2.28515625" style="478"/>
    <col min="14317" max="14317" width="9.7109375" style="478" customWidth="1"/>
    <col min="14318" max="14318" width="13.28515625" style="478" bestFit="1" customWidth="1"/>
    <col min="14319" max="14319" width="14" style="478" customWidth="1"/>
    <col min="14320" max="14321" width="13.5703125" style="478" customWidth="1"/>
    <col min="14322" max="14322" width="2.85546875" style="478" customWidth="1"/>
    <col min="14323" max="14323" width="19.28515625" style="478" bestFit="1" customWidth="1"/>
    <col min="14324" max="14324" width="8.85546875" style="478" bestFit="1" customWidth="1"/>
    <col min="14325" max="14325" width="13.5703125" style="478" customWidth="1"/>
    <col min="14326" max="14326" width="31.140625" style="478" customWidth="1"/>
    <col min="14327" max="14327" width="14.140625" style="478" customWidth="1"/>
    <col min="14328" max="14328" width="2.28515625" style="478"/>
    <col min="14329" max="14329" width="9.7109375" style="478" customWidth="1"/>
    <col min="14330" max="14330" width="2.28515625" style="478"/>
    <col min="14331" max="14331" width="9.7109375" style="478" customWidth="1"/>
    <col min="14332" max="14332" width="2.28515625" style="478"/>
    <col min="14333" max="14333" width="9.7109375" style="478" customWidth="1"/>
    <col min="14334" max="14334" width="2.28515625" style="478"/>
    <col min="14335" max="14335" width="11" style="478" customWidth="1"/>
    <col min="14336" max="14336" width="2.28515625" style="478"/>
    <col min="14337" max="14337" width="35" style="478" customWidth="1"/>
    <col min="14338" max="14338" width="2.140625" style="478" customWidth="1"/>
    <col min="14339" max="14339" width="20" style="478" customWidth="1"/>
    <col min="14340" max="14340" width="2.140625" style="478" customWidth="1"/>
    <col min="14341" max="14341" width="20" style="478" customWidth="1"/>
    <col min="14342" max="14342" width="2.140625" style="478" customWidth="1"/>
    <col min="14343" max="14343" width="20" style="478" customWidth="1"/>
    <col min="14344" max="14344" width="2.28515625" style="478"/>
    <col min="14345" max="14345" width="9.7109375" style="478" customWidth="1"/>
    <col min="14346" max="14346" width="2.28515625" style="478"/>
    <col min="14347" max="14347" width="9.7109375" style="478" customWidth="1"/>
    <col min="14348" max="14551" width="13.5703125" style="478" customWidth="1"/>
    <col min="14552" max="14552" width="31.140625" style="478" customWidth="1"/>
    <col min="14553" max="14553" width="14.140625" style="478" customWidth="1"/>
    <col min="14554" max="14554" width="2.28515625" style="478"/>
    <col min="14555" max="14555" width="9.7109375" style="478" customWidth="1"/>
    <col min="14556" max="14556" width="2.28515625" style="478"/>
    <col min="14557" max="14557" width="9.7109375" style="478" customWidth="1"/>
    <col min="14558" max="14558" width="2.28515625" style="478"/>
    <col min="14559" max="14559" width="9.7109375" style="478" customWidth="1"/>
    <col min="14560" max="14560" width="2.28515625" style="478"/>
    <col min="14561" max="14561" width="11" style="478" customWidth="1"/>
    <col min="14562" max="14562" width="2.28515625" style="478"/>
    <col min="14563" max="14563" width="9.7109375" style="478" customWidth="1"/>
    <col min="14564" max="14564" width="4.28515625" style="478" customWidth="1"/>
    <col min="14565" max="14565" width="12.28515625" style="478" customWidth="1"/>
    <col min="14566" max="14566" width="2.28515625" style="478"/>
    <col min="14567" max="14567" width="9.7109375" style="478" customWidth="1"/>
    <col min="14568" max="14568" width="2.28515625" style="478"/>
    <col min="14569" max="14569" width="9.7109375" style="478" customWidth="1"/>
    <col min="14570" max="14570" width="2.28515625" style="478"/>
    <col min="14571" max="14571" width="9.7109375" style="478" customWidth="1"/>
    <col min="14572" max="14572" width="2.28515625" style="478"/>
    <col min="14573" max="14573" width="9.7109375" style="478" customWidth="1"/>
    <col min="14574" max="14574" width="13.28515625" style="478" bestFit="1" customWidth="1"/>
    <col min="14575" max="14575" width="14" style="478" customWidth="1"/>
    <col min="14576" max="14577" width="13.5703125" style="478" customWidth="1"/>
    <col min="14578" max="14578" width="2.85546875" style="478" customWidth="1"/>
    <col min="14579" max="14579" width="19.28515625" style="478" bestFit="1" customWidth="1"/>
    <col min="14580" max="14580" width="8.85546875" style="478" bestFit="1" customWidth="1"/>
    <col min="14581" max="14581" width="13.5703125" style="478" customWidth="1"/>
    <col min="14582" max="14582" width="31.140625" style="478" customWidth="1"/>
    <col min="14583" max="14583" width="14.140625" style="478" customWidth="1"/>
    <col min="14584" max="14584" width="2.28515625" style="478"/>
    <col min="14585" max="14585" width="9.7109375" style="478" customWidth="1"/>
    <col min="14586" max="14586" width="2.28515625" style="478"/>
    <col min="14587" max="14587" width="9.7109375" style="478" customWidth="1"/>
    <col min="14588" max="14588" width="2.28515625" style="478"/>
    <col min="14589" max="14589" width="9.7109375" style="478" customWidth="1"/>
    <col min="14590" max="14590" width="2.28515625" style="478"/>
    <col min="14591" max="14591" width="11" style="478" customWidth="1"/>
    <col min="14592" max="14592" width="2.28515625" style="478"/>
    <col min="14593" max="14593" width="35" style="478" customWidth="1"/>
    <col min="14594" max="14594" width="2.140625" style="478" customWidth="1"/>
    <col min="14595" max="14595" width="20" style="478" customWidth="1"/>
    <col min="14596" max="14596" width="2.140625" style="478" customWidth="1"/>
    <col min="14597" max="14597" width="20" style="478" customWidth="1"/>
    <col min="14598" max="14598" width="2.140625" style="478" customWidth="1"/>
    <col min="14599" max="14599" width="20" style="478" customWidth="1"/>
    <col min="14600" max="14600" width="2.28515625" style="478"/>
    <col min="14601" max="14601" width="9.7109375" style="478" customWidth="1"/>
    <col min="14602" max="14602" width="2.28515625" style="478"/>
    <col min="14603" max="14603" width="9.7109375" style="478" customWidth="1"/>
    <col min="14604" max="14807" width="13.5703125" style="478" customWidth="1"/>
    <col min="14808" max="14808" width="31.140625" style="478" customWidth="1"/>
    <col min="14809" max="14809" width="14.140625" style="478" customWidth="1"/>
    <col min="14810" max="14810" width="2.28515625" style="478"/>
    <col min="14811" max="14811" width="9.7109375" style="478" customWidth="1"/>
    <col min="14812" max="14812" width="2.28515625" style="478"/>
    <col min="14813" max="14813" width="9.7109375" style="478" customWidth="1"/>
    <col min="14814" max="14814" width="2.28515625" style="478"/>
    <col min="14815" max="14815" width="9.7109375" style="478" customWidth="1"/>
    <col min="14816" max="14816" width="2.28515625" style="478"/>
    <col min="14817" max="14817" width="11" style="478" customWidth="1"/>
    <col min="14818" max="14818" width="2.28515625" style="478"/>
    <col min="14819" max="14819" width="9.7109375" style="478" customWidth="1"/>
    <col min="14820" max="14820" width="4.28515625" style="478" customWidth="1"/>
    <col min="14821" max="14821" width="12.28515625" style="478" customWidth="1"/>
    <col min="14822" max="14822" width="2.28515625" style="478"/>
    <col min="14823" max="14823" width="9.7109375" style="478" customWidth="1"/>
    <col min="14824" max="14824" width="2.28515625" style="478"/>
    <col min="14825" max="14825" width="9.7109375" style="478" customWidth="1"/>
    <col min="14826" max="14826" width="2.28515625" style="478"/>
    <col min="14827" max="14827" width="9.7109375" style="478" customWidth="1"/>
    <col min="14828" max="14828" width="2.28515625" style="478"/>
    <col min="14829" max="14829" width="9.7109375" style="478" customWidth="1"/>
    <col min="14830" max="14830" width="13.28515625" style="478" bestFit="1" customWidth="1"/>
    <col min="14831" max="14831" width="14" style="478" customWidth="1"/>
    <col min="14832" max="14833" width="13.5703125" style="478" customWidth="1"/>
    <col min="14834" max="14834" width="2.85546875" style="478" customWidth="1"/>
    <col min="14835" max="14835" width="19.28515625" style="478" bestFit="1" customWidth="1"/>
    <col min="14836" max="14836" width="8.85546875" style="478" bestFit="1" customWidth="1"/>
    <col min="14837" max="14837" width="13.5703125" style="478" customWidth="1"/>
    <col min="14838" max="14838" width="31.140625" style="478" customWidth="1"/>
    <col min="14839" max="14839" width="14.140625" style="478" customWidth="1"/>
    <col min="14840" max="14840" width="2.28515625" style="478"/>
    <col min="14841" max="14841" width="9.7109375" style="478" customWidth="1"/>
    <col min="14842" max="14842" width="2.28515625" style="478"/>
    <col min="14843" max="14843" width="9.7109375" style="478" customWidth="1"/>
    <col min="14844" max="14844" width="2.28515625" style="478"/>
    <col min="14845" max="14845" width="9.7109375" style="478" customWidth="1"/>
    <col min="14846" max="14846" width="2.28515625" style="478"/>
    <col min="14847" max="14847" width="11" style="478" customWidth="1"/>
    <col min="14848" max="14848" width="2.28515625" style="478"/>
    <col min="14849" max="14849" width="35" style="478" customWidth="1"/>
    <col min="14850" max="14850" width="2.140625" style="478" customWidth="1"/>
    <col min="14851" max="14851" width="20" style="478" customWidth="1"/>
    <col min="14852" max="14852" width="2.140625" style="478" customWidth="1"/>
    <col min="14853" max="14853" width="20" style="478" customWidth="1"/>
    <col min="14854" max="14854" width="2.140625" style="478" customWidth="1"/>
    <col min="14855" max="14855" width="20" style="478" customWidth="1"/>
    <col min="14856" max="14856" width="2.28515625" style="478"/>
    <col min="14857" max="14857" width="9.7109375" style="478" customWidth="1"/>
    <col min="14858" max="14858" width="2.28515625" style="478"/>
    <col min="14859" max="14859" width="9.7109375" style="478" customWidth="1"/>
    <col min="14860" max="15063" width="13.5703125" style="478" customWidth="1"/>
    <col min="15064" max="15064" width="31.140625" style="478" customWidth="1"/>
    <col min="15065" max="15065" width="14.140625" style="478" customWidth="1"/>
    <col min="15066" max="15066" width="2.28515625" style="478"/>
    <col min="15067" max="15067" width="9.7109375" style="478" customWidth="1"/>
    <col min="15068" max="15068" width="2.28515625" style="478"/>
    <col min="15069" max="15069" width="9.7109375" style="478" customWidth="1"/>
    <col min="15070" max="15070" width="2.28515625" style="478"/>
    <col min="15071" max="15071" width="9.7109375" style="478" customWidth="1"/>
    <col min="15072" max="15072" width="2.28515625" style="478"/>
    <col min="15073" max="15073" width="11" style="478" customWidth="1"/>
    <col min="15074" max="15074" width="2.28515625" style="478"/>
    <col min="15075" max="15075" width="9.7109375" style="478" customWidth="1"/>
    <col min="15076" max="15076" width="4.28515625" style="478" customWidth="1"/>
    <col min="15077" max="15077" width="12.28515625" style="478" customWidth="1"/>
    <col min="15078" max="15078" width="2.28515625" style="478"/>
    <col min="15079" max="15079" width="9.7109375" style="478" customWidth="1"/>
    <col min="15080" max="15080" width="2.28515625" style="478"/>
    <col min="15081" max="15081" width="9.7109375" style="478" customWidth="1"/>
    <col min="15082" max="15082" width="2.28515625" style="478"/>
    <col min="15083" max="15083" width="9.7109375" style="478" customWidth="1"/>
    <col min="15084" max="15084" width="2.28515625" style="478"/>
    <col min="15085" max="15085" width="9.7109375" style="478" customWidth="1"/>
    <col min="15086" max="15086" width="13.28515625" style="478" bestFit="1" customWidth="1"/>
    <col min="15087" max="15087" width="14" style="478" customWidth="1"/>
    <col min="15088" max="15089" width="13.5703125" style="478" customWidth="1"/>
    <col min="15090" max="15090" width="2.85546875" style="478" customWidth="1"/>
    <col min="15091" max="15091" width="19.28515625" style="478" bestFit="1" customWidth="1"/>
    <col min="15092" max="15092" width="8.85546875" style="478" bestFit="1" customWidth="1"/>
    <col min="15093" max="15093" width="13.5703125" style="478" customWidth="1"/>
    <col min="15094" max="15094" width="31.140625" style="478" customWidth="1"/>
    <col min="15095" max="15095" width="14.140625" style="478" customWidth="1"/>
    <col min="15096" max="15096" width="2.28515625" style="478"/>
    <col min="15097" max="15097" width="9.7109375" style="478" customWidth="1"/>
    <col min="15098" max="15098" width="2.28515625" style="478"/>
    <col min="15099" max="15099" width="9.7109375" style="478" customWidth="1"/>
    <col min="15100" max="15100" width="2.28515625" style="478"/>
    <col min="15101" max="15101" width="9.7109375" style="478" customWidth="1"/>
    <col min="15102" max="15102" width="2.28515625" style="478"/>
    <col min="15103" max="15103" width="11" style="478" customWidth="1"/>
    <col min="15104" max="15104" width="2.28515625" style="478"/>
    <col min="15105" max="15105" width="35" style="478" customWidth="1"/>
    <col min="15106" max="15106" width="2.140625" style="478" customWidth="1"/>
    <col min="15107" max="15107" width="20" style="478" customWidth="1"/>
    <col min="15108" max="15108" width="2.140625" style="478" customWidth="1"/>
    <col min="15109" max="15109" width="20" style="478" customWidth="1"/>
    <col min="15110" max="15110" width="2.140625" style="478" customWidth="1"/>
    <col min="15111" max="15111" width="20" style="478" customWidth="1"/>
    <col min="15112" max="15112" width="2.28515625" style="478"/>
    <col min="15113" max="15113" width="9.7109375" style="478" customWidth="1"/>
    <col min="15114" max="15114" width="2.28515625" style="478"/>
    <col min="15115" max="15115" width="9.7109375" style="478" customWidth="1"/>
    <col min="15116" max="15319" width="13.5703125" style="478" customWidth="1"/>
    <col min="15320" max="15320" width="31.140625" style="478" customWidth="1"/>
    <col min="15321" max="15321" width="14.140625" style="478" customWidth="1"/>
    <col min="15322" max="15322" width="2.28515625" style="478"/>
    <col min="15323" max="15323" width="9.7109375" style="478" customWidth="1"/>
    <col min="15324" max="15324" width="2.28515625" style="478"/>
    <col min="15325" max="15325" width="9.7109375" style="478" customWidth="1"/>
    <col min="15326" max="15326" width="2.28515625" style="478"/>
    <col min="15327" max="15327" width="9.7109375" style="478" customWidth="1"/>
    <col min="15328" max="15328" width="2.28515625" style="478"/>
    <col min="15329" max="15329" width="11" style="478" customWidth="1"/>
    <col min="15330" max="15330" width="2.28515625" style="478"/>
    <col min="15331" max="15331" width="9.7109375" style="478" customWidth="1"/>
    <col min="15332" max="15332" width="4.28515625" style="478" customWidth="1"/>
    <col min="15333" max="15333" width="12.28515625" style="478" customWidth="1"/>
    <col min="15334" max="15334" width="2.28515625" style="478"/>
    <col min="15335" max="15335" width="9.7109375" style="478" customWidth="1"/>
    <col min="15336" max="15336" width="2.28515625" style="478"/>
    <col min="15337" max="15337" width="9.7109375" style="478" customWidth="1"/>
    <col min="15338" max="15338" width="2.28515625" style="478"/>
    <col min="15339" max="15339" width="9.7109375" style="478" customWidth="1"/>
    <col min="15340" max="15340" width="2.28515625" style="478"/>
    <col min="15341" max="15341" width="9.7109375" style="478" customWidth="1"/>
    <col min="15342" max="15342" width="13.28515625" style="478" bestFit="1" customWidth="1"/>
    <col min="15343" max="15343" width="14" style="478" customWidth="1"/>
    <col min="15344" max="15345" width="13.5703125" style="478" customWidth="1"/>
    <col min="15346" max="15346" width="2.85546875" style="478" customWidth="1"/>
    <col min="15347" max="15347" width="19.28515625" style="478" bestFit="1" customWidth="1"/>
    <col min="15348" max="15348" width="8.85546875" style="478" bestFit="1" customWidth="1"/>
    <col min="15349" max="15349" width="13.5703125" style="478" customWidth="1"/>
    <col min="15350" max="15350" width="31.140625" style="478" customWidth="1"/>
    <col min="15351" max="15351" width="14.140625" style="478" customWidth="1"/>
    <col min="15352" max="15352" width="2.28515625" style="478"/>
    <col min="15353" max="15353" width="9.7109375" style="478" customWidth="1"/>
    <col min="15354" max="15354" width="2.28515625" style="478"/>
    <col min="15355" max="15355" width="9.7109375" style="478" customWidth="1"/>
    <col min="15356" max="15356" width="2.28515625" style="478"/>
    <col min="15357" max="15357" width="9.7109375" style="478" customWidth="1"/>
    <col min="15358" max="15358" width="2.28515625" style="478"/>
    <col min="15359" max="15359" width="11" style="478" customWidth="1"/>
    <col min="15360" max="15360" width="2.28515625" style="478"/>
    <col min="15361" max="15361" width="35" style="478" customWidth="1"/>
    <col min="15362" max="15362" width="2.140625" style="478" customWidth="1"/>
    <col min="15363" max="15363" width="20" style="478" customWidth="1"/>
    <col min="15364" max="15364" width="2.140625" style="478" customWidth="1"/>
    <col min="15365" max="15365" width="20" style="478" customWidth="1"/>
    <col min="15366" max="15366" width="2.140625" style="478" customWidth="1"/>
    <col min="15367" max="15367" width="20" style="478" customWidth="1"/>
    <col min="15368" max="15368" width="2.28515625" style="478"/>
    <col min="15369" max="15369" width="9.7109375" style="478" customWidth="1"/>
    <col min="15370" max="15370" width="2.28515625" style="478"/>
    <col min="15371" max="15371" width="9.7109375" style="478" customWidth="1"/>
    <col min="15372" max="15575" width="13.5703125" style="478" customWidth="1"/>
    <col min="15576" max="15576" width="31.140625" style="478" customWidth="1"/>
    <col min="15577" max="15577" width="14.140625" style="478" customWidth="1"/>
    <col min="15578" max="15578" width="2.28515625" style="478"/>
    <col min="15579" max="15579" width="9.7109375" style="478" customWidth="1"/>
    <col min="15580" max="15580" width="2.28515625" style="478"/>
    <col min="15581" max="15581" width="9.7109375" style="478" customWidth="1"/>
    <col min="15582" max="15582" width="2.28515625" style="478"/>
    <col min="15583" max="15583" width="9.7109375" style="478" customWidth="1"/>
    <col min="15584" max="15584" width="2.28515625" style="478"/>
    <col min="15585" max="15585" width="11" style="478" customWidth="1"/>
    <col min="15586" max="15586" width="2.28515625" style="478"/>
    <col min="15587" max="15587" width="9.7109375" style="478" customWidth="1"/>
    <col min="15588" max="15588" width="4.28515625" style="478" customWidth="1"/>
    <col min="15589" max="15589" width="12.28515625" style="478" customWidth="1"/>
    <col min="15590" max="15590" width="2.28515625" style="478"/>
    <col min="15591" max="15591" width="9.7109375" style="478" customWidth="1"/>
    <col min="15592" max="15592" width="2.28515625" style="478"/>
    <col min="15593" max="15593" width="9.7109375" style="478" customWidth="1"/>
    <col min="15594" max="15594" width="2.28515625" style="478"/>
    <col min="15595" max="15595" width="9.7109375" style="478" customWidth="1"/>
    <col min="15596" max="15596" width="2.28515625" style="478"/>
    <col min="15597" max="15597" width="9.7109375" style="478" customWidth="1"/>
    <col min="15598" max="15598" width="13.28515625" style="478" bestFit="1" customWidth="1"/>
    <col min="15599" max="15599" width="14" style="478" customWidth="1"/>
    <col min="15600" max="15601" width="13.5703125" style="478" customWidth="1"/>
    <col min="15602" max="15602" width="2.85546875" style="478" customWidth="1"/>
    <col min="15603" max="15603" width="19.28515625" style="478" bestFit="1" customWidth="1"/>
    <col min="15604" max="15604" width="8.85546875" style="478" bestFit="1" customWidth="1"/>
    <col min="15605" max="15605" width="13.5703125" style="478" customWidth="1"/>
    <col min="15606" max="15606" width="31.140625" style="478" customWidth="1"/>
    <col min="15607" max="15607" width="14.140625" style="478" customWidth="1"/>
    <col min="15608" max="15608" width="2.28515625" style="478"/>
    <col min="15609" max="15609" width="9.7109375" style="478" customWidth="1"/>
    <col min="15610" max="15610" width="2.28515625" style="478"/>
    <col min="15611" max="15611" width="9.7109375" style="478" customWidth="1"/>
    <col min="15612" max="15612" width="2.28515625" style="478"/>
    <col min="15613" max="15613" width="9.7109375" style="478" customWidth="1"/>
    <col min="15614" max="15614" width="2.28515625" style="478"/>
    <col min="15615" max="15615" width="11" style="478" customWidth="1"/>
    <col min="15616" max="15616" width="2.28515625" style="478"/>
    <col min="15617" max="15617" width="35" style="478" customWidth="1"/>
    <col min="15618" max="15618" width="2.140625" style="478" customWidth="1"/>
    <col min="15619" max="15619" width="20" style="478" customWidth="1"/>
    <col min="15620" max="15620" width="2.140625" style="478" customWidth="1"/>
    <col min="15621" max="15621" width="20" style="478" customWidth="1"/>
    <col min="15622" max="15622" width="2.140625" style="478" customWidth="1"/>
    <col min="15623" max="15623" width="20" style="478" customWidth="1"/>
    <col min="15624" max="15624" width="2.28515625" style="478"/>
    <col min="15625" max="15625" width="9.7109375" style="478" customWidth="1"/>
    <col min="15626" max="15626" width="2.28515625" style="478"/>
    <col min="15627" max="15627" width="9.7109375" style="478" customWidth="1"/>
    <col min="15628" max="15831" width="13.5703125" style="478" customWidth="1"/>
    <col min="15832" max="15832" width="31.140625" style="478" customWidth="1"/>
    <col min="15833" max="15833" width="14.140625" style="478" customWidth="1"/>
    <col min="15834" max="15834" width="2.28515625" style="478"/>
    <col min="15835" max="15835" width="9.7109375" style="478" customWidth="1"/>
    <col min="15836" max="15836" width="2.28515625" style="478"/>
    <col min="15837" max="15837" width="9.7109375" style="478" customWidth="1"/>
    <col min="15838" max="15838" width="2.28515625" style="478"/>
    <col min="15839" max="15839" width="9.7109375" style="478" customWidth="1"/>
    <col min="15840" max="15840" width="2.28515625" style="478"/>
    <col min="15841" max="15841" width="11" style="478" customWidth="1"/>
    <col min="15842" max="15842" width="2.28515625" style="478"/>
    <col min="15843" max="15843" width="9.7109375" style="478" customWidth="1"/>
    <col min="15844" max="15844" width="4.28515625" style="478" customWidth="1"/>
    <col min="15845" max="15845" width="12.28515625" style="478" customWidth="1"/>
    <col min="15846" max="15846" width="2.28515625" style="478"/>
    <col min="15847" max="15847" width="9.7109375" style="478" customWidth="1"/>
    <col min="15848" max="15848" width="2.28515625" style="478"/>
    <col min="15849" max="15849" width="9.7109375" style="478" customWidth="1"/>
    <col min="15850" max="15850" width="2.28515625" style="478"/>
    <col min="15851" max="15851" width="9.7109375" style="478" customWidth="1"/>
    <col min="15852" max="15852" width="2.28515625" style="478"/>
    <col min="15853" max="15853" width="9.7109375" style="478" customWidth="1"/>
    <col min="15854" max="15854" width="13.28515625" style="478" bestFit="1" customWidth="1"/>
    <col min="15855" max="15855" width="14" style="478" customWidth="1"/>
    <col min="15856" max="15857" width="13.5703125" style="478" customWidth="1"/>
    <col min="15858" max="15858" width="2.85546875" style="478" customWidth="1"/>
    <col min="15859" max="15859" width="19.28515625" style="478" bestFit="1" customWidth="1"/>
    <col min="15860" max="15860" width="8.85546875" style="478" bestFit="1" customWidth="1"/>
    <col min="15861" max="15861" width="13.5703125" style="478" customWidth="1"/>
    <col min="15862" max="15862" width="31.140625" style="478" customWidth="1"/>
    <col min="15863" max="15863" width="14.140625" style="478" customWidth="1"/>
    <col min="15864" max="15864" width="2.28515625" style="478"/>
    <col min="15865" max="15865" width="9.7109375" style="478" customWidth="1"/>
    <col min="15866" max="15866" width="2.28515625" style="478"/>
    <col min="15867" max="15867" width="9.7109375" style="478" customWidth="1"/>
    <col min="15868" max="15868" width="2.28515625" style="478"/>
    <col min="15869" max="15869" width="9.7109375" style="478" customWidth="1"/>
    <col min="15870" max="15870" width="2.28515625" style="478"/>
    <col min="15871" max="15871" width="11" style="478" customWidth="1"/>
    <col min="15872" max="15872" width="2.28515625" style="478"/>
    <col min="15873" max="15873" width="35" style="478" customWidth="1"/>
    <col min="15874" max="15874" width="2.140625" style="478" customWidth="1"/>
    <col min="15875" max="15875" width="20" style="478" customWidth="1"/>
    <col min="15876" max="15876" width="2.140625" style="478" customWidth="1"/>
    <col min="15877" max="15877" width="20" style="478" customWidth="1"/>
    <col min="15878" max="15878" width="2.140625" style="478" customWidth="1"/>
    <col min="15879" max="15879" width="20" style="478" customWidth="1"/>
    <col min="15880" max="15880" width="2.28515625" style="478"/>
    <col min="15881" max="15881" width="9.7109375" style="478" customWidth="1"/>
    <col min="15882" max="15882" width="2.28515625" style="478"/>
    <col min="15883" max="15883" width="9.7109375" style="478" customWidth="1"/>
    <col min="15884" max="16087" width="13.5703125" style="478" customWidth="1"/>
    <col min="16088" max="16088" width="31.140625" style="478" customWidth="1"/>
    <col min="16089" max="16089" width="14.140625" style="478" customWidth="1"/>
    <col min="16090" max="16090" width="2.28515625" style="478"/>
    <col min="16091" max="16091" width="9.7109375" style="478" customWidth="1"/>
    <col min="16092" max="16092" width="2.28515625" style="478"/>
    <col min="16093" max="16093" width="9.7109375" style="478" customWidth="1"/>
    <col min="16094" max="16094" width="2.28515625" style="478"/>
    <col min="16095" max="16095" width="9.7109375" style="478" customWidth="1"/>
    <col min="16096" max="16096" width="2.28515625" style="478"/>
    <col min="16097" max="16097" width="11" style="478" customWidth="1"/>
    <col min="16098" max="16098" width="2.28515625" style="478"/>
    <col min="16099" max="16099" width="9.7109375" style="478" customWidth="1"/>
    <col min="16100" max="16100" width="4.28515625" style="478" customWidth="1"/>
    <col min="16101" max="16101" width="12.28515625" style="478" customWidth="1"/>
    <col min="16102" max="16102" width="2.28515625" style="478"/>
    <col min="16103" max="16103" width="9.7109375" style="478" customWidth="1"/>
    <col min="16104" max="16104" width="2.28515625" style="478"/>
    <col min="16105" max="16105" width="9.7109375" style="478" customWidth="1"/>
    <col min="16106" max="16106" width="2.28515625" style="478"/>
    <col min="16107" max="16107" width="9.7109375" style="478" customWidth="1"/>
    <col min="16108" max="16108" width="2.28515625" style="478"/>
    <col min="16109" max="16109" width="9.7109375" style="478" customWidth="1"/>
    <col min="16110" max="16110" width="13.28515625" style="478" bestFit="1" customWidth="1"/>
    <col min="16111" max="16111" width="14" style="478" customWidth="1"/>
    <col min="16112" max="16113" width="13.5703125" style="478" customWidth="1"/>
    <col min="16114" max="16114" width="2.85546875" style="478" customWidth="1"/>
    <col min="16115" max="16115" width="19.28515625" style="478" bestFit="1" customWidth="1"/>
    <col min="16116" max="16116" width="8.85546875" style="478" bestFit="1" customWidth="1"/>
    <col min="16117" max="16117" width="13.5703125" style="478" customWidth="1"/>
    <col min="16118" max="16118" width="31.140625" style="478" customWidth="1"/>
    <col min="16119" max="16119" width="14.140625" style="478" customWidth="1"/>
    <col min="16120" max="16120" width="2.28515625" style="478"/>
    <col min="16121" max="16121" width="9.7109375" style="478" customWidth="1"/>
    <col min="16122" max="16122" width="2.28515625" style="478"/>
    <col min="16123" max="16123" width="9.7109375" style="478" customWidth="1"/>
    <col min="16124" max="16124" width="2.28515625" style="478"/>
    <col min="16125" max="16125" width="9.7109375" style="478" customWidth="1"/>
    <col min="16126" max="16126" width="2.28515625" style="478"/>
    <col min="16127" max="16127" width="11" style="478" customWidth="1"/>
    <col min="16128" max="16128" width="2.28515625" style="478"/>
    <col min="16129" max="16129" width="35" style="478" customWidth="1"/>
    <col min="16130" max="16130" width="2.140625" style="478" customWidth="1"/>
    <col min="16131" max="16131" width="20" style="478" customWidth="1"/>
    <col min="16132" max="16132" width="2.140625" style="478" customWidth="1"/>
    <col min="16133" max="16133" width="20" style="478" customWidth="1"/>
    <col min="16134" max="16134" width="2.140625" style="478" customWidth="1"/>
    <col min="16135" max="16135" width="20" style="478" customWidth="1"/>
    <col min="16136" max="16136" width="2.28515625" style="478"/>
    <col min="16137" max="16137" width="9.7109375" style="478" customWidth="1"/>
    <col min="16138" max="16138" width="2.28515625" style="478"/>
    <col min="16139" max="16139" width="9.7109375" style="478" customWidth="1"/>
    <col min="16140" max="16343" width="13.5703125" style="478" customWidth="1"/>
    <col min="16344" max="16344" width="31.140625" style="478" customWidth="1"/>
    <col min="16345" max="16345" width="14.140625" style="478" customWidth="1"/>
    <col min="16346" max="16346" width="2.28515625" style="478"/>
    <col min="16347" max="16347" width="9.7109375" style="478" customWidth="1"/>
    <col min="16348" max="16348" width="2.28515625" style="478"/>
    <col min="16349" max="16349" width="9.7109375" style="478" customWidth="1"/>
    <col min="16350" max="16350" width="2.28515625" style="478"/>
    <col min="16351" max="16351" width="9.7109375" style="478" customWidth="1"/>
    <col min="16352" max="16352" width="2.28515625" style="478"/>
    <col min="16353" max="16353" width="11" style="478" customWidth="1"/>
    <col min="16354" max="16354" width="2.28515625" style="478"/>
    <col min="16355" max="16355" width="9.7109375" style="478" customWidth="1"/>
    <col min="16356" max="16356" width="4.28515625" style="478" customWidth="1"/>
    <col min="16357" max="16357" width="12.28515625" style="478" customWidth="1"/>
    <col min="16358" max="16358" width="2.28515625" style="478"/>
    <col min="16359" max="16359" width="9.7109375" style="478" customWidth="1"/>
    <col min="16360" max="16360" width="2.28515625" style="478"/>
    <col min="16361" max="16361" width="9.7109375" style="478" customWidth="1"/>
    <col min="16362" max="16362" width="2.28515625" style="478"/>
    <col min="16363" max="16363" width="9.7109375" style="478" customWidth="1"/>
    <col min="16364" max="16364" width="2.28515625" style="478"/>
    <col min="16365" max="16365" width="9.7109375" style="478" customWidth="1"/>
    <col min="16366" max="16366" width="13.28515625" style="478" bestFit="1" customWidth="1"/>
    <col min="16367" max="16367" width="14" style="478" customWidth="1"/>
    <col min="16368" max="16369" width="13.5703125" style="478" customWidth="1"/>
    <col min="16370" max="16370" width="2.85546875" style="478" customWidth="1"/>
    <col min="16371" max="16371" width="19.28515625" style="478" bestFit="1" customWidth="1"/>
    <col min="16372" max="16372" width="8.85546875" style="478" bestFit="1" customWidth="1"/>
    <col min="16373" max="16373" width="13.5703125" style="478" customWidth="1"/>
    <col min="16374" max="16374" width="31.140625" style="478" customWidth="1"/>
    <col min="16375" max="16375" width="14.140625" style="478" customWidth="1"/>
    <col min="16376" max="16376" width="2.28515625" style="478"/>
    <col min="16377" max="16377" width="9.7109375" style="478" customWidth="1"/>
    <col min="16378" max="16378" width="2.28515625" style="478"/>
    <col min="16379" max="16379" width="9.7109375" style="478" customWidth="1"/>
    <col min="16380" max="16380" width="2.28515625" style="478"/>
    <col min="16381" max="16381" width="9.7109375" style="478" customWidth="1"/>
    <col min="16382" max="16382" width="2.28515625" style="478"/>
    <col min="16383" max="16383" width="11" style="478" customWidth="1"/>
    <col min="16384" max="16384" width="2.28515625" style="478"/>
  </cols>
  <sheetData>
    <row r="1" spans="1:11" ht="16.5" customHeight="1">
      <c r="A1" s="1136" t="s">
        <v>232</v>
      </c>
      <c r="B1" s="1136"/>
      <c r="C1" s="1136"/>
      <c r="D1" s="1136"/>
      <c r="E1" s="1136"/>
      <c r="F1" s="1136"/>
      <c r="G1" s="1136"/>
      <c r="H1" s="515"/>
      <c r="I1" s="516"/>
      <c r="J1" s="516"/>
      <c r="K1" s="516"/>
    </row>
    <row r="2" spans="1:11" ht="15.75">
      <c r="A2" s="1136" t="s">
        <v>1010</v>
      </c>
      <c r="B2" s="1136"/>
      <c r="C2" s="1136"/>
      <c r="D2" s="1136"/>
      <c r="E2" s="1136"/>
      <c r="F2" s="1136"/>
      <c r="G2" s="1136"/>
      <c r="H2" s="515"/>
      <c r="I2" s="516"/>
      <c r="J2" s="516"/>
      <c r="K2" s="516"/>
    </row>
    <row r="3" spans="1:11" ht="15.75">
      <c r="A3" s="1137" t="str">
        <f>+Input!A4</f>
        <v>December 2024</v>
      </c>
      <c r="B3" s="1137"/>
      <c r="C3" s="1132"/>
      <c r="D3" s="1132"/>
      <c r="E3" s="1132"/>
      <c r="F3" s="1132"/>
      <c r="G3" s="1132"/>
      <c r="H3" s="515"/>
      <c r="I3" s="516"/>
      <c r="J3" s="516"/>
      <c r="K3" s="516"/>
    </row>
    <row r="4" spans="1:11" ht="15.75">
      <c r="A4" s="1132" t="s">
        <v>662</v>
      </c>
      <c r="B4" s="1132"/>
      <c r="C4" s="1132"/>
      <c r="D4" s="1132"/>
      <c r="E4" s="1132"/>
      <c r="F4" s="1132"/>
      <c r="G4" s="1132"/>
      <c r="H4" s="515"/>
      <c r="I4" s="516"/>
      <c r="J4" s="516"/>
      <c r="K4" s="516"/>
    </row>
    <row r="5" spans="1:11" ht="18" customHeight="1">
      <c r="C5" s="517"/>
      <c r="D5" s="517"/>
      <c r="E5" s="1133" t="s">
        <v>1032</v>
      </c>
      <c r="F5" s="1133"/>
      <c r="G5" s="1133"/>
      <c r="H5" s="517"/>
      <c r="I5" s="517"/>
      <c r="J5" s="517"/>
      <c r="K5" s="517"/>
    </row>
    <row r="6" spans="1:11" ht="18" customHeight="1">
      <c r="C6" s="517"/>
      <c r="D6" s="517"/>
      <c r="E6" s="517"/>
      <c r="F6" s="517"/>
      <c r="G6" s="517"/>
      <c r="H6" s="517"/>
      <c r="I6" s="517"/>
      <c r="J6" s="517"/>
      <c r="K6" s="517"/>
    </row>
    <row r="7" spans="1:11" ht="18" customHeight="1">
      <c r="C7" s="517"/>
      <c r="D7" s="517"/>
      <c r="E7" s="517"/>
      <c r="F7" s="517"/>
      <c r="G7" s="517"/>
      <c r="H7" s="517"/>
      <c r="I7" s="517"/>
      <c r="J7" s="517"/>
      <c r="K7" s="517"/>
    </row>
    <row r="8" spans="1:11" ht="18" customHeight="1">
      <c r="C8" s="517"/>
      <c r="D8" s="517"/>
      <c r="F8" s="517"/>
      <c r="G8" s="518" t="s">
        <v>780</v>
      </c>
      <c r="H8" s="517"/>
      <c r="I8" s="517"/>
      <c r="J8" s="517"/>
      <c r="K8" s="517"/>
    </row>
    <row r="9" spans="1:11" ht="18" customHeight="1">
      <c r="C9" s="517"/>
      <c r="D9" s="517"/>
      <c r="E9" s="518" t="s">
        <v>1033</v>
      </c>
      <c r="F9" s="517"/>
      <c r="G9" s="518" t="s">
        <v>247</v>
      </c>
      <c r="H9" s="517"/>
      <c r="I9" s="517"/>
      <c r="J9" s="517"/>
      <c r="K9" s="517"/>
    </row>
    <row r="10" spans="1:11" ht="18" customHeight="1">
      <c r="A10" s="519" t="s">
        <v>1015</v>
      </c>
      <c r="C10" s="519" t="s">
        <v>728</v>
      </c>
      <c r="D10" s="517"/>
      <c r="E10" s="519" t="s">
        <v>1034</v>
      </c>
      <c r="F10" s="517"/>
      <c r="G10" s="519" t="s">
        <v>1016</v>
      </c>
      <c r="H10" s="517"/>
      <c r="I10" s="517"/>
      <c r="J10" s="517"/>
      <c r="K10" s="517"/>
    </row>
    <row r="11" spans="1:11" ht="18" customHeight="1">
      <c r="A11" s="520"/>
      <c r="C11" s="518"/>
      <c r="D11" s="517"/>
      <c r="E11" s="518"/>
      <c r="F11" s="517"/>
      <c r="G11" s="518"/>
      <c r="H11" s="517"/>
      <c r="I11" s="517"/>
      <c r="J11" s="517"/>
      <c r="K11" s="517"/>
    </row>
    <row r="12" spans="1:11" ht="18" customHeight="1">
      <c r="A12" s="478" t="s">
        <v>782</v>
      </c>
      <c r="C12" s="499">
        <f ca="1">+Report!B160</f>
        <v>878846.15384615387</v>
      </c>
      <c r="D12" s="521"/>
      <c r="E12" s="499">
        <f ca="1">+Report!D160+Report!F160</f>
        <v>-46660.678342015002</v>
      </c>
      <c r="F12" s="521"/>
      <c r="G12" s="499">
        <f ca="1">+Report!H160</f>
        <v>832185.47550413886</v>
      </c>
      <c r="H12" s="517"/>
      <c r="I12" s="517"/>
      <c r="J12" s="517"/>
      <c r="K12" s="517"/>
    </row>
    <row r="13" spans="1:11" ht="18" customHeight="1">
      <c r="C13" s="521"/>
      <c r="D13" s="521"/>
      <c r="E13" s="521"/>
      <c r="F13" s="521"/>
      <c r="G13" s="521"/>
      <c r="H13" s="517"/>
      <c r="I13" s="517"/>
      <c r="J13" s="517"/>
      <c r="K13" s="517"/>
    </row>
    <row r="14" spans="1:11" ht="18" customHeight="1">
      <c r="A14" s="478" t="s">
        <v>783</v>
      </c>
      <c r="C14" s="521">
        <f ca="1">+Report!B162</f>
        <v>106020.08789723561</v>
      </c>
      <c r="D14" s="521"/>
      <c r="E14" s="521">
        <f ca="1">+Report!D162+Report!F162</f>
        <v>-6348.6440346175323</v>
      </c>
      <c r="F14" s="521"/>
      <c r="G14" s="521">
        <f ca="1">+Report!H162</f>
        <v>99671.443862618078</v>
      </c>
      <c r="H14" s="517"/>
      <c r="I14" s="517"/>
      <c r="J14" s="517"/>
      <c r="K14" s="517"/>
    </row>
    <row r="15" spans="1:11" ht="18" customHeight="1">
      <c r="C15" s="521"/>
      <c r="D15" s="521"/>
      <c r="E15" s="521"/>
      <c r="F15" s="521"/>
      <c r="G15" s="521"/>
      <c r="H15" s="517"/>
      <c r="I15" s="517"/>
      <c r="J15" s="517"/>
      <c r="K15" s="517"/>
    </row>
    <row r="16" spans="1:11" ht="18" customHeight="1">
      <c r="A16" s="488" t="s">
        <v>784</v>
      </c>
      <c r="C16" s="521">
        <f ca="1">+Report!B164</f>
        <v>28892.061538461534</v>
      </c>
      <c r="D16" s="521"/>
      <c r="E16" s="521">
        <f ca="1">+Report!D164+Report!F164</f>
        <v>-1363.8803116930001</v>
      </c>
      <c r="F16" s="521"/>
      <c r="G16" s="521">
        <f ca="1">+C16+E16</f>
        <v>27528.181226768535</v>
      </c>
      <c r="H16" s="517"/>
      <c r="I16" s="522"/>
      <c r="J16" s="517"/>
      <c r="K16" s="522"/>
    </row>
    <row r="17" spans="1:11" ht="18" customHeight="1">
      <c r="C17" s="521"/>
      <c r="D17" s="521"/>
      <c r="E17" s="521"/>
      <c r="F17" s="521"/>
      <c r="G17" s="521"/>
      <c r="H17" s="517"/>
      <c r="I17" s="522"/>
      <c r="J17" s="517"/>
      <c r="K17" s="522"/>
    </row>
    <row r="18" spans="1:11" ht="18" customHeight="1">
      <c r="A18" s="478" t="s">
        <v>785</v>
      </c>
      <c r="C18" s="521">
        <f ca="1">+Report!B166</f>
        <v>1191009.1383188458</v>
      </c>
      <c r="D18" s="521"/>
      <c r="E18" s="521">
        <f ca="1">+Report!D166+Report!F166</f>
        <v>-67003.025722974053</v>
      </c>
      <c r="F18" s="521"/>
      <c r="G18" s="521">
        <f ca="1">+Report!H166</f>
        <v>1124006.1125958718</v>
      </c>
      <c r="H18" s="517"/>
      <c r="I18" s="522"/>
      <c r="J18" s="517"/>
      <c r="K18" s="522"/>
    </row>
    <row r="19" spans="1:11" ht="18" customHeight="1">
      <c r="C19" s="521"/>
      <c r="D19" s="521"/>
      <c r="E19" s="521"/>
      <c r="F19" s="521"/>
      <c r="G19" s="521"/>
      <c r="H19" s="517"/>
      <c r="I19" s="522"/>
      <c r="J19" s="517"/>
      <c r="K19" s="522"/>
    </row>
    <row r="20" spans="1:11" ht="18" customHeight="1">
      <c r="A20" s="478" t="s">
        <v>786</v>
      </c>
      <c r="C20" s="521">
        <f ca="1">+Report!B168</f>
        <v>301187.4384615384</v>
      </c>
      <c r="D20" s="521"/>
      <c r="E20" s="521">
        <f ca="1">+Report!D168+Report!F168</f>
        <v>-20947.247721249565</v>
      </c>
      <c r="F20" s="521"/>
      <c r="G20" s="521">
        <f ca="1">+C20+E20</f>
        <v>280240.19074028882</v>
      </c>
      <c r="H20" s="517"/>
      <c r="I20" s="522"/>
      <c r="J20" s="517"/>
      <c r="K20" s="522"/>
    </row>
    <row r="21" spans="1:11" ht="18" customHeight="1">
      <c r="C21" s="521"/>
      <c r="D21" s="521"/>
      <c r="E21" s="521"/>
      <c r="F21" s="521"/>
      <c r="G21" s="521"/>
      <c r="H21" s="517"/>
      <c r="I21" s="522"/>
      <c r="J21" s="517"/>
      <c r="K21" s="522"/>
    </row>
    <row r="22" spans="1:11" ht="18" customHeight="1">
      <c r="A22" s="478" t="s">
        <v>1018</v>
      </c>
      <c r="C22" s="523">
        <f ca="1">+Report!B170</f>
        <v>3313.3000000000006</v>
      </c>
      <c r="D22" s="521"/>
      <c r="E22" s="523">
        <f ca="1">+Report!D170+Report!F170</f>
        <v>-156.40782956000001</v>
      </c>
      <c r="F22" s="521"/>
      <c r="G22" s="523">
        <f ca="1">+C22+E22</f>
        <v>3156.8921704400004</v>
      </c>
      <c r="H22" s="517"/>
      <c r="I22" s="522"/>
      <c r="J22" s="517"/>
      <c r="K22" s="522"/>
    </row>
    <row r="23" spans="1:11" ht="18" customHeight="1">
      <c r="H23" s="522"/>
      <c r="I23" s="522"/>
      <c r="J23" s="522"/>
      <c r="K23" s="522"/>
    </row>
    <row r="24" spans="1:11" ht="18" customHeight="1">
      <c r="A24" s="478" t="s">
        <v>230</v>
      </c>
      <c r="C24" s="524">
        <f ca="1">SUM(C12:C22)</f>
        <v>2509268.1800622349</v>
      </c>
      <c r="D24" s="524"/>
      <c r="E24" s="524">
        <f ca="1">SUM(E12:E22)</f>
        <v>-142479.88396210913</v>
      </c>
      <c r="F24" s="524"/>
      <c r="G24" s="524">
        <f ca="1">SUM(G12:G22)</f>
        <v>2366788.2961001261</v>
      </c>
      <c r="H24" s="517"/>
      <c r="I24" s="517"/>
      <c r="J24" s="517"/>
      <c r="K24" s="522"/>
    </row>
    <row r="25" spans="1:11" ht="18" customHeight="1">
      <c r="C25" s="517"/>
      <c r="D25" s="517"/>
      <c r="E25" s="517"/>
      <c r="F25" s="517"/>
      <c r="G25" s="521"/>
      <c r="H25" s="517"/>
      <c r="I25" s="517"/>
      <c r="J25" s="517"/>
      <c r="K25" s="522"/>
    </row>
    <row r="26" spans="1:11" ht="18" customHeight="1">
      <c r="C26" s="517"/>
      <c r="D26" s="517"/>
      <c r="E26" s="517"/>
      <c r="F26" s="517"/>
      <c r="G26" s="521"/>
      <c r="H26" s="517"/>
      <c r="I26" s="517"/>
      <c r="J26" s="517"/>
      <c r="K26" s="522"/>
    </row>
    <row r="27" spans="1:11" ht="18" customHeight="1">
      <c r="A27" s="1135" t="s">
        <v>1035</v>
      </c>
      <c r="B27" s="1135"/>
      <c r="C27" s="1135"/>
      <c r="D27" s="1135"/>
      <c r="E27" s="1135"/>
      <c r="F27" s="1135"/>
      <c r="G27" s="1135"/>
      <c r="H27" s="517"/>
      <c r="I27" s="517"/>
      <c r="J27" s="517"/>
      <c r="K27" s="522"/>
    </row>
    <row r="28" spans="1:11" ht="18" customHeight="1">
      <c r="A28" s="1135"/>
      <c r="B28" s="1135"/>
      <c r="C28" s="1135"/>
      <c r="D28" s="1135"/>
      <c r="E28" s="1135"/>
      <c r="F28" s="1135"/>
      <c r="G28" s="1135"/>
      <c r="H28" s="517"/>
      <c r="I28" s="517"/>
      <c r="J28" s="517"/>
      <c r="K28" s="522"/>
    </row>
    <row r="29" spans="1:11">
      <c r="C29" s="517"/>
      <c r="D29" s="517"/>
      <c r="E29" s="517"/>
      <c r="F29" s="517"/>
      <c r="G29" s="517"/>
      <c r="H29" s="517"/>
      <c r="I29" s="517"/>
      <c r="J29" s="517"/>
      <c r="K29" s="517"/>
    </row>
    <row r="30" spans="1:11">
      <c r="A30" s="1134" t="s">
        <v>1036</v>
      </c>
      <c r="B30" s="1134"/>
      <c r="C30" s="1134"/>
      <c r="D30" s="1134"/>
      <c r="E30" s="1134"/>
      <c r="F30" s="1134"/>
      <c r="G30" s="1134"/>
      <c r="H30" s="517"/>
      <c r="I30" s="517"/>
      <c r="J30" s="517"/>
      <c r="K30" s="517"/>
    </row>
    <row r="31" spans="1:11">
      <c r="A31" s="1134"/>
      <c r="B31" s="1134"/>
      <c r="C31" s="1134"/>
      <c r="D31" s="1134"/>
      <c r="E31" s="1134"/>
      <c r="F31" s="1134"/>
      <c r="G31" s="1134"/>
      <c r="H31" s="517"/>
      <c r="I31" s="517"/>
      <c r="J31" s="517"/>
      <c r="K31" s="517"/>
    </row>
    <row r="32" spans="1:11">
      <c r="A32" s="1134"/>
      <c r="B32" s="1134"/>
      <c r="C32" s="1134"/>
      <c r="D32" s="1134"/>
      <c r="E32" s="1134"/>
      <c r="F32" s="1134"/>
      <c r="G32" s="1134"/>
      <c r="H32" s="517"/>
      <c r="I32" s="517"/>
      <c r="J32" s="517"/>
      <c r="K32" s="517"/>
    </row>
    <row r="33" spans="2:11">
      <c r="B33" s="525"/>
      <c r="C33" s="517"/>
      <c r="D33" s="517"/>
      <c r="E33" s="517"/>
      <c r="F33" s="517"/>
      <c r="G33" s="526"/>
      <c r="H33" s="517"/>
      <c r="I33" s="517"/>
      <c r="J33" s="517"/>
      <c r="K33" s="517"/>
    </row>
    <row r="34" spans="2:11">
      <c r="C34" s="517"/>
      <c r="D34" s="517"/>
      <c r="E34" s="517"/>
      <c r="F34" s="517"/>
      <c r="G34" s="517"/>
      <c r="H34" s="517"/>
      <c r="I34" s="517"/>
      <c r="J34" s="517"/>
      <c r="K34" s="517"/>
    </row>
    <row r="35" spans="2:11">
      <c r="C35" s="517"/>
      <c r="D35" s="517"/>
      <c r="E35" s="517"/>
      <c r="F35" s="517"/>
      <c r="G35" s="517"/>
      <c r="H35" s="517"/>
      <c r="I35" s="517"/>
      <c r="J35" s="517"/>
      <c r="K35" s="517"/>
    </row>
    <row r="36" spans="2:11">
      <c r="C36" s="517"/>
      <c r="D36" s="517"/>
      <c r="E36" s="517"/>
      <c r="F36" s="517"/>
      <c r="G36" s="517"/>
      <c r="H36" s="517"/>
      <c r="I36" s="517"/>
      <c r="J36" s="517"/>
      <c r="K36" s="517"/>
    </row>
    <row r="37" spans="2:11">
      <c r="C37" s="517"/>
      <c r="D37" s="517"/>
      <c r="E37" s="517"/>
      <c r="F37" s="517"/>
      <c r="G37" s="517"/>
      <c r="H37" s="517"/>
      <c r="I37" s="517"/>
      <c r="J37" s="517"/>
      <c r="K37" s="517"/>
    </row>
    <row r="38" spans="2:11">
      <c r="C38" s="517"/>
      <c r="D38" s="517"/>
      <c r="E38" s="517"/>
      <c r="F38" s="517"/>
      <c r="G38" s="517"/>
      <c r="H38" s="517"/>
      <c r="I38" s="517"/>
      <c r="J38" s="517"/>
      <c r="K38" s="517"/>
    </row>
    <row r="39" spans="2:11">
      <c r="C39" s="517"/>
      <c r="D39" s="517"/>
      <c r="E39" s="517"/>
      <c r="F39" s="517"/>
      <c r="G39" s="517"/>
      <c r="H39" s="517"/>
      <c r="I39" s="517"/>
      <c r="J39" s="517"/>
      <c r="K39" s="517"/>
    </row>
    <row r="40" spans="2:11">
      <c r="C40" s="517"/>
      <c r="D40" s="517"/>
      <c r="E40" s="517"/>
      <c r="F40" s="517"/>
      <c r="G40" s="517"/>
      <c r="H40" s="517"/>
      <c r="I40" s="517"/>
      <c r="J40" s="517"/>
      <c r="K40" s="517"/>
    </row>
    <row r="41" spans="2:11">
      <c r="C41" s="517"/>
      <c r="D41" s="517"/>
      <c r="E41" s="517"/>
      <c r="F41" s="517"/>
      <c r="G41" s="517"/>
      <c r="H41" s="517"/>
      <c r="I41" s="517"/>
      <c r="J41" s="517"/>
      <c r="K41" s="517"/>
    </row>
    <row r="42" spans="2:11">
      <c r="C42" s="517"/>
      <c r="D42" s="517"/>
      <c r="E42" s="517"/>
      <c r="F42" s="517"/>
      <c r="G42" s="517"/>
      <c r="H42" s="517"/>
      <c r="I42" s="517"/>
      <c r="J42" s="517"/>
      <c r="K42" s="517"/>
    </row>
    <row r="43" spans="2:11">
      <c r="C43" s="517"/>
      <c r="D43" s="517"/>
      <c r="E43" s="517"/>
      <c r="F43" s="517"/>
      <c r="G43" s="517"/>
      <c r="H43" s="517"/>
      <c r="I43" s="517"/>
      <c r="J43" s="517"/>
      <c r="K43" s="517"/>
    </row>
    <row r="44" spans="2:11">
      <c r="C44" s="517"/>
      <c r="D44" s="517"/>
      <c r="E44" s="517"/>
      <c r="F44" s="517"/>
      <c r="G44" s="517"/>
      <c r="H44" s="517"/>
      <c r="I44" s="517"/>
      <c r="J44" s="517"/>
      <c r="K44" s="517"/>
    </row>
    <row r="45" spans="2:11">
      <c r="C45" s="517"/>
      <c r="D45" s="517"/>
      <c r="E45" s="517"/>
      <c r="F45" s="517"/>
      <c r="G45" s="517"/>
      <c r="H45" s="517"/>
      <c r="I45" s="517"/>
      <c r="J45" s="517"/>
      <c r="K45" s="517"/>
    </row>
  </sheetData>
  <mergeCells count="7">
    <mergeCell ref="A30:G32"/>
    <mergeCell ref="A27:G28"/>
    <mergeCell ref="A1:G1"/>
    <mergeCell ref="A2:G2"/>
    <mergeCell ref="A3:G3"/>
    <mergeCell ref="A4:G4"/>
    <mergeCell ref="E5:G5"/>
  </mergeCells>
  <printOptions horizontalCentered="1"/>
  <pageMargins left="0.7" right="0.7" top="0.75" bottom="0.75" header="0.3" footer="0.3"/>
  <pageSetup scale="9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0.59999389629810485"/>
    <pageSetUpPr fitToPage="1"/>
  </sheetPr>
  <dimension ref="A1:R107"/>
  <sheetViews>
    <sheetView workbookViewId="0">
      <selection activeCell="G13" sqref="G13"/>
    </sheetView>
  </sheetViews>
  <sheetFormatPr defaultColWidth="27.85546875" defaultRowHeight="15"/>
  <cols>
    <col min="1" max="1" width="17.28515625" style="488" customWidth="1"/>
    <col min="2" max="2" width="2.28515625" style="488" customWidth="1"/>
    <col min="3" max="3" width="17.42578125" style="488" customWidth="1"/>
    <col min="4" max="4" width="2.28515625" style="488" customWidth="1"/>
    <col min="5" max="5" width="15.5703125" style="488" bestFit="1" customWidth="1"/>
    <col min="6" max="6" width="2.28515625" style="488" customWidth="1"/>
    <col min="7" max="7" width="17.42578125" style="488" bestFit="1" customWidth="1"/>
    <col min="8" max="8" width="2.28515625" style="488" customWidth="1"/>
    <col min="9" max="9" width="19.42578125" style="488" customWidth="1"/>
    <col min="10" max="10" width="4.140625" style="488" customWidth="1"/>
    <col min="11" max="11" width="19.42578125" style="488" customWidth="1"/>
    <col min="12" max="12" width="4.140625" style="488" customWidth="1"/>
    <col min="13" max="13" width="20" style="488" customWidth="1"/>
    <col min="14" max="14" width="16.7109375" style="488" customWidth="1"/>
    <col min="15" max="15" width="27.85546875" style="488"/>
    <col min="16" max="16" width="20.7109375" style="488" customWidth="1"/>
    <col min="17" max="17" width="14.28515625" style="488" customWidth="1"/>
    <col min="18" max="18" width="10.140625" style="488" customWidth="1"/>
    <col min="19" max="19" width="15.5703125" style="488" customWidth="1"/>
    <col min="20" max="20" width="3.140625" style="488" customWidth="1"/>
    <col min="21" max="21" width="2.28515625" style="488" customWidth="1"/>
    <col min="22" max="45" width="18.85546875" style="488" customWidth="1"/>
    <col min="46" max="46" width="47.42578125" style="488" bestFit="1" customWidth="1"/>
    <col min="47" max="47" width="20.42578125" style="488" customWidth="1"/>
    <col min="48" max="48" width="18.7109375" style="488" customWidth="1"/>
    <col min="49" max="49" width="19.28515625" style="488" customWidth="1"/>
    <col min="50" max="50" width="18.7109375" style="488" customWidth="1"/>
    <col min="51" max="51" width="3.7109375" style="488" customWidth="1"/>
    <col min="52" max="52" width="18.7109375" style="488" customWidth="1"/>
    <col min="53" max="53" width="43" style="488" customWidth="1"/>
    <col min="54" max="55" width="18.7109375" style="488" customWidth="1"/>
    <col min="56" max="56" width="3.7109375" style="488" customWidth="1"/>
    <col min="57" max="256" width="27.85546875" style="488"/>
    <col min="257" max="257" width="17.28515625" style="488" customWidth="1"/>
    <col min="258" max="258" width="2.28515625" style="488" customWidth="1"/>
    <col min="259" max="259" width="17.42578125" style="488" customWidth="1"/>
    <col min="260" max="260" width="2.28515625" style="488" customWidth="1"/>
    <col min="261" max="261" width="15.5703125" style="488" bestFit="1" customWidth="1"/>
    <col min="262" max="262" width="2.28515625" style="488" customWidth="1"/>
    <col min="263" max="263" width="17.42578125" style="488" bestFit="1" customWidth="1"/>
    <col min="264" max="264" width="2.28515625" style="488" customWidth="1"/>
    <col min="265" max="265" width="19.42578125" style="488" customWidth="1"/>
    <col min="266" max="266" width="4.140625" style="488" customWidth="1"/>
    <col min="267" max="267" width="19.42578125" style="488" customWidth="1"/>
    <col min="268" max="268" width="4.140625" style="488" customWidth="1"/>
    <col min="269" max="269" width="20" style="488" customWidth="1"/>
    <col min="270" max="270" width="16.7109375" style="488" customWidth="1"/>
    <col min="271" max="271" width="27.85546875" style="488"/>
    <col min="272" max="272" width="20.7109375" style="488" customWidth="1"/>
    <col min="273" max="273" width="14.28515625" style="488" customWidth="1"/>
    <col min="274" max="274" width="10.140625" style="488" customWidth="1"/>
    <col min="275" max="275" width="15.5703125" style="488" customWidth="1"/>
    <col min="276" max="276" width="3.140625" style="488" customWidth="1"/>
    <col min="277" max="277" width="2.28515625" style="488" customWidth="1"/>
    <col min="278" max="301" width="18.85546875" style="488" customWidth="1"/>
    <col min="302" max="302" width="47.42578125" style="488" bestFit="1" customWidth="1"/>
    <col min="303" max="303" width="20.42578125" style="488" customWidth="1"/>
    <col min="304" max="304" width="18.7109375" style="488" customWidth="1"/>
    <col min="305" max="305" width="19.28515625" style="488" customWidth="1"/>
    <col min="306" max="306" width="18.7109375" style="488" customWidth="1"/>
    <col min="307" max="307" width="3.7109375" style="488" customWidth="1"/>
    <col min="308" max="308" width="18.7109375" style="488" customWidth="1"/>
    <col min="309" max="309" width="43" style="488" customWidth="1"/>
    <col min="310" max="311" width="18.7109375" style="488" customWidth="1"/>
    <col min="312" max="312" width="3.7109375" style="488" customWidth="1"/>
    <col min="313" max="512" width="27.85546875" style="488"/>
    <col min="513" max="513" width="17.28515625" style="488" customWidth="1"/>
    <col min="514" max="514" width="2.28515625" style="488" customWidth="1"/>
    <col min="515" max="515" width="17.42578125" style="488" customWidth="1"/>
    <col min="516" max="516" width="2.28515625" style="488" customWidth="1"/>
    <col min="517" max="517" width="15.5703125" style="488" bestFit="1" customWidth="1"/>
    <col min="518" max="518" width="2.28515625" style="488" customWidth="1"/>
    <col min="519" max="519" width="17.42578125" style="488" bestFit="1" customWidth="1"/>
    <col min="520" max="520" width="2.28515625" style="488" customWidth="1"/>
    <col min="521" max="521" width="19.42578125" style="488" customWidth="1"/>
    <col min="522" max="522" width="4.140625" style="488" customWidth="1"/>
    <col min="523" max="523" width="19.42578125" style="488" customWidth="1"/>
    <col min="524" max="524" width="4.140625" style="488" customWidth="1"/>
    <col min="525" max="525" width="20" style="488" customWidth="1"/>
    <col min="526" max="526" width="16.7109375" style="488" customWidth="1"/>
    <col min="527" max="527" width="27.85546875" style="488"/>
    <col min="528" max="528" width="20.7109375" style="488" customWidth="1"/>
    <col min="529" max="529" width="14.28515625" style="488" customWidth="1"/>
    <col min="530" max="530" width="10.140625" style="488" customWidth="1"/>
    <col min="531" max="531" width="15.5703125" style="488" customWidth="1"/>
    <col min="532" max="532" width="3.140625" style="488" customWidth="1"/>
    <col min="533" max="533" width="2.28515625" style="488" customWidth="1"/>
    <col min="534" max="557" width="18.85546875" style="488" customWidth="1"/>
    <col min="558" max="558" width="47.42578125" style="488" bestFit="1" customWidth="1"/>
    <col min="559" max="559" width="20.42578125" style="488" customWidth="1"/>
    <col min="560" max="560" width="18.7109375" style="488" customWidth="1"/>
    <col min="561" max="561" width="19.28515625" style="488" customWidth="1"/>
    <col min="562" max="562" width="18.7109375" style="488" customWidth="1"/>
    <col min="563" max="563" width="3.7109375" style="488" customWidth="1"/>
    <col min="564" max="564" width="18.7109375" style="488" customWidth="1"/>
    <col min="565" max="565" width="43" style="488" customWidth="1"/>
    <col min="566" max="567" width="18.7109375" style="488" customWidth="1"/>
    <col min="568" max="568" width="3.7109375" style="488" customWidth="1"/>
    <col min="569" max="768" width="27.85546875" style="488"/>
    <col min="769" max="769" width="17.28515625" style="488" customWidth="1"/>
    <col min="770" max="770" width="2.28515625" style="488" customWidth="1"/>
    <col min="771" max="771" width="17.42578125" style="488" customWidth="1"/>
    <col min="772" max="772" width="2.28515625" style="488" customWidth="1"/>
    <col min="773" max="773" width="15.5703125" style="488" bestFit="1" customWidth="1"/>
    <col min="774" max="774" width="2.28515625" style="488" customWidth="1"/>
    <col min="775" max="775" width="17.42578125" style="488" bestFit="1" customWidth="1"/>
    <col min="776" max="776" width="2.28515625" style="488" customWidth="1"/>
    <col min="777" max="777" width="19.42578125" style="488" customWidth="1"/>
    <col min="778" max="778" width="4.140625" style="488" customWidth="1"/>
    <col min="779" max="779" width="19.42578125" style="488" customWidth="1"/>
    <col min="780" max="780" width="4.140625" style="488" customWidth="1"/>
    <col min="781" max="781" width="20" style="488" customWidth="1"/>
    <col min="782" max="782" width="16.7109375" style="488" customWidth="1"/>
    <col min="783" max="783" width="27.85546875" style="488"/>
    <col min="784" max="784" width="20.7109375" style="488" customWidth="1"/>
    <col min="785" max="785" width="14.28515625" style="488" customWidth="1"/>
    <col min="786" max="786" width="10.140625" style="488" customWidth="1"/>
    <col min="787" max="787" width="15.5703125" style="488" customWidth="1"/>
    <col min="788" max="788" width="3.140625" style="488" customWidth="1"/>
    <col min="789" max="789" width="2.28515625" style="488" customWidth="1"/>
    <col min="790" max="813" width="18.85546875" style="488" customWidth="1"/>
    <col min="814" max="814" width="47.42578125" style="488" bestFit="1" customWidth="1"/>
    <col min="815" max="815" width="20.42578125" style="488" customWidth="1"/>
    <col min="816" max="816" width="18.7109375" style="488" customWidth="1"/>
    <col min="817" max="817" width="19.28515625" style="488" customWidth="1"/>
    <col min="818" max="818" width="18.7109375" style="488" customWidth="1"/>
    <col min="819" max="819" width="3.7109375" style="488" customWidth="1"/>
    <col min="820" max="820" width="18.7109375" style="488" customWidth="1"/>
    <col min="821" max="821" width="43" style="488" customWidth="1"/>
    <col min="822" max="823" width="18.7109375" style="488" customWidth="1"/>
    <col min="824" max="824" width="3.7109375" style="488" customWidth="1"/>
    <col min="825" max="1024" width="27.85546875" style="488"/>
    <col min="1025" max="1025" width="17.28515625" style="488" customWidth="1"/>
    <col min="1026" max="1026" width="2.28515625" style="488" customWidth="1"/>
    <col min="1027" max="1027" width="17.42578125" style="488" customWidth="1"/>
    <col min="1028" max="1028" width="2.28515625" style="488" customWidth="1"/>
    <col min="1029" max="1029" width="15.5703125" style="488" bestFit="1" customWidth="1"/>
    <col min="1030" max="1030" width="2.28515625" style="488" customWidth="1"/>
    <col min="1031" max="1031" width="17.42578125" style="488" bestFit="1" customWidth="1"/>
    <col min="1032" max="1032" width="2.28515625" style="488" customWidth="1"/>
    <col min="1033" max="1033" width="19.42578125" style="488" customWidth="1"/>
    <col min="1034" max="1034" width="4.140625" style="488" customWidth="1"/>
    <col min="1035" max="1035" width="19.42578125" style="488" customWidth="1"/>
    <col min="1036" max="1036" width="4.140625" style="488" customWidth="1"/>
    <col min="1037" max="1037" width="20" style="488" customWidth="1"/>
    <col min="1038" max="1038" width="16.7109375" style="488" customWidth="1"/>
    <col min="1039" max="1039" width="27.85546875" style="488"/>
    <col min="1040" max="1040" width="20.7109375" style="488" customWidth="1"/>
    <col min="1041" max="1041" width="14.28515625" style="488" customWidth="1"/>
    <col min="1042" max="1042" width="10.140625" style="488" customWidth="1"/>
    <col min="1043" max="1043" width="15.5703125" style="488" customWidth="1"/>
    <col min="1044" max="1044" width="3.140625" style="488" customWidth="1"/>
    <col min="1045" max="1045" width="2.28515625" style="488" customWidth="1"/>
    <col min="1046" max="1069" width="18.85546875" style="488" customWidth="1"/>
    <col min="1070" max="1070" width="47.42578125" style="488" bestFit="1" customWidth="1"/>
    <col min="1071" max="1071" width="20.42578125" style="488" customWidth="1"/>
    <col min="1072" max="1072" width="18.7109375" style="488" customWidth="1"/>
    <col min="1073" max="1073" width="19.28515625" style="488" customWidth="1"/>
    <col min="1074" max="1074" width="18.7109375" style="488" customWidth="1"/>
    <col min="1075" max="1075" width="3.7109375" style="488" customWidth="1"/>
    <col min="1076" max="1076" width="18.7109375" style="488" customWidth="1"/>
    <col min="1077" max="1077" width="43" style="488" customWidth="1"/>
    <col min="1078" max="1079" width="18.7109375" style="488" customWidth="1"/>
    <col min="1080" max="1080" width="3.7109375" style="488" customWidth="1"/>
    <col min="1081" max="1280" width="27.85546875" style="488"/>
    <col min="1281" max="1281" width="17.28515625" style="488" customWidth="1"/>
    <col min="1282" max="1282" width="2.28515625" style="488" customWidth="1"/>
    <col min="1283" max="1283" width="17.42578125" style="488" customWidth="1"/>
    <col min="1284" max="1284" width="2.28515625" style="488" customWidth="1"/>
    <col min="1285" max="1285" width="15.5703125" style="488" bestFit="1" customWidth="1"/>
    <col min="1286" max="1286" width="2.28515625" style="488" customWidth="1"/>
    <col min="1287" max="1287" width="17.42578125" style="488" bestFit="1" customWidth="1"/>
    <col min="1288" max="1288" width="2.28515625" style="488" customWidth="1"/>
    <col min="1289" max="1289" width="19.42578125" style="488" customWidth="1"/>
    <col min="1290" max="1290" width="4.140625" style="488" customWidth="1"/>
    <col min="1291" max="1291" width="19.42578125" style="488" customWidth="1"/>
    <col min="1292" max="1292" width="4.140625" style="488" customWidth="1"/>
    <col min="1293" max="1293" width="20" style="488" customWidth="1"/>
    <col min="1294" max="1294" width="16.7109375" style="488" customWidth="1"/>
    <col min="1295" max="1295" width="27.85546875" style="488"/>
    <col min="1296" max="1296" width="20.7109375" style="488" customWidth="1"/>
    <col min="1297" max="1297" width="14.28515625" style="488" customWidth="1"/>
    <col min="1298" max="1298" width="10.140625" style="488" customWidth="1"/>
    <col min="1299" max="1299" width="15.5703125" style="488" customWidth="1"/>
    <col min="1300" max="1300" width="3.140625" style="488" customWidth="1"/>
    <col min="1301" max="1301" width="2.28515625" style="488" customWidth="1"/>
    <col min="1302" max="1325" width="18.85546875" style="488" customWidth="1"/>
    <col min="1326" max="1326" width="47.42578125" style="488" bestFit="1" customWidth="1"/>
    <col min="1327" max="1327" width="20.42578125" style="488" customWidth="1"/>
    <col min="1328" max="1328" width="18.7109375" style="488" customWidth="1"/>
    <col min="1329" max="1329" width="19.28515625" style="488" customWidth="1"/>
    <col min="1330" max="1330" width="18.7109375" style="488" customWidth="1"/>
    <col min="1331" max="1331" width="3.7109375" style="488" customWidth="1"/>
    <col min="1332" max="1332" width="18.7109375" style="488" customWidth="1"/>
    <col min="1333" max="1333" width="43" style="488" customWidth="1"/>
    <col min="1334" max="1335" width="18.7109375" style="488" customWidth="1"/>
    <col min="1336" max="1336" width="3.7109375" style="488" customWidth="1"/>
    <col min="1337" max="1536" width="27.85546875" style="488"/>
    <col min="1537" max="1537" width="17.28515625" style="488" customWidth="1"/>
    <col min="1538" max="1538" width="2.28515625" style="488" customWidth="1"/>
    <col min="1539" max="1539" width="17.42578125" style="488" customWidth="1"/>
    <col min="1540" max="1540" width="2.28515625" style="488" customWidth="1"/>
    <col min="1541" max="1541" width="15.5703125" style="488" bestFit="1" customWidth="1"/>
    <col min="1542" max="1542" width="2.28515625" style="488" customWidth="1"/>
    <col min="1543" max="1543" width="17.42578125" style="488" bestFit="1" customWidth="1"/>
    <col min="1544" max="1544" width="2.28515625" style="488" customWidth="1"/>
    <col min="1545" max="1545" width="19.42578125" style="488" customWidth="1"/>
    <col min="1546" max="1546" width="4.140625" style="488" customWidth="1"/>
    <col min="1547" max="1547" width="19.42578125" style="488" customWidth="1"/>
    <col min="1548" max="1548" width="4.140625" style="488" customWidth="1"/>
    <col min="1549" max="1549" width="20" style="488" customWidth="1"/>
    <col min="1550" max="1550" width="16.7109375" style="488" customWidth="1"/>
    <col min="1551" max="1551" width="27.85546875" style="488"/>
    <col min="1552" max="1552" width="20.7109375" style="488" customWidth="1"/>
    <col min="1553" max="1553" width="14.28515625" style="488" customWidth="1"/>
    <col min="1554" max="1554" width="10.140625" style="488" customWidth="1"/>
    <col min="1555" max="1555" width="15.5703125" style="488" customWidth="1"/>
    <col min="1556" max="1556" width="3.140625" style="488" customWidth="1"/>
    <col min="1557" max="1557" width="2.28515625" style="488" customWidth="1"/>
    <col min="1558" max="1581" width="18.85546875" style="488" customWidth="1"/>
    <col min="1582" max="1582" width="47.42578125" style="488" bestFit="1" customWidth="1"/>
    <col min="1583" max="1583" width="20.42578125" style="488" customWidth="1"/>
    <col min="1584" max="1584" width="18.7109375" style="488" customWidth="1"/>
    <col min="1585" max="1585" width="19.28515625" style="488" customWidth="1"/>
    <col min="1586" max="1586" width="18.7109375" style="488" customWidth="1"/>
    <col min="1587" max="1587" width="3.7109375" style="488" customWidth="1"/>
    <col min="1588" max="1588" width="18.7109375" style="488" customWidth="1"/>
    <col min="1589" max="1589" width="43" style="488" customWidth="1"/>
    <col min="1590" max="1591" width="18.7109375" style="488" customWidth="1"/>
    <col min="1592" max="1592" width="3.7109375" style="488" customWidth="1"/>
    <col min="1593" max="1792" width="27.85546875" style="488"/>
    <col min="1793" max="1793" width="17.28515625" style="488" customWidth="1"/>
    <col min="1794" max="1794" width="2.28515625" style="488" customWidth="1"/>
    <col min="1795" max="1795" width="17.42578125" style="488" customWidth="1"/>
    <col min="1796" max="1796" width="2.28515625" style="488" customWidth="1"/>
    <col min="1797" max="1797" width="15.5703125" style="488" bestFit="1" customWidth="1"/>
    <col min="1798" max="1798" width="2.28515625" style="488" customWidth="1"/>
    <col min="1799" max="1799" width="17.42578125" style="488" bestFit="1" customWidth="1"/>
    <col min="1800" max="1800" width="2.28515625" style="488" customWidth="1"/>
    <col min="1801" max="1801" width="19.42578125" style="488" customWidth="1"/>
    <col min="1802" max="1802" width="4.140625" style="488" customWidth="1"/>
    <col min="1803" max="1803" width="19.42578125" style="488" customWidth="1"/>
    <col min="1804" max="1804" width="4.140625" style="488" customWidth="1"/>
    <col min="1805" max="1805" width="20" style="488" customWidth="1"/>
    <col min="1806" max="1806" width="16.7109375" style="488" customWidth="1"/>
    <col min="1807" max="1807" width="27.85546875" style="488"/>
    <col min="1808" max="1808" width="20.7109375" style="488" customWidth="1"/>
    <col min="1809" max="1809" width="14.28515625" style="488" customWidth="1"/>
    <col min="1810" max="1810" width="10.140625" style="488" customWidth="1"/>
    <col min="1811" max="1811" width="15.5703125" style="488" customWidth="1"/>
    <col min="1812" max="1812" width="3.140625" style="488" customWidth="1"/>
    <col min="1813" max="1813" width="2.28515625" style="488" customWidth="1"/>
    <col min="1814" max="1837" width="18.85546875" style="488" customWidth="1"/>
    <col min="1838" max="1838" width="47.42578125" style="488" bestFit="1" customWidth="1"/>
    <col min="1839" max="1839" width="20.42578125" style="488" customWidth="1"/>
    <col min="1840" max="1840" width="18.7109375" style="488" customWidth="1"/>
    <col min="1841" max="1841" width="19.28515625" style="488" customWidth="1"/>
    <col min="1842" max="1842" width="18.7109375" style="488" customWidth="1"/>
    <col min="1843" max="1843" width="3.7109375" style="488" customWidth="1"/>
    <col min="1844" max="1844" width="18.7109375" style="488" customWidth="1"/>
    <col min="1845" max="1845" width="43" style="488" customWidth="1"/>
    <col min="1846" max="1847" width="18.7109375" style="488" customWidth="1"/>
    <col min="1848" max="1848" width="3.7109375" style="488" customWidth="1"/>
    <col min="1849" max="2048" width="27.85546875" style="488"/>
    <col min="2049" max="2049" width="17.28515625" style="488" customWidth="1"/>
    <col min="2050" max="2050" width="2.28515625" style="488" customWidth="1"/>
    <col min="2051" max="2051" width="17.42578125" style="488" customWidth="1"/>
    <col min="2052" max="2052" width="2.28515625" style="488" customWidth="1"/>
    <col min="2053" max="2053" width="15.5703125" style="488" bestFit="1" customWidth="1"/>
    <col min="2054" max="2054" width="2.28515625" style="488" customWidth="1"/>
    <col min="2055" max="2055" width="17.42578125" style="488" bestFit="1" customWidth="1"/>
    <col min="2056" max="2056" width="2.28515625" style="488" customWidth="1"/>
    <col min="2057" max="2057" width="19.42578125" style="488" customWidth="1"/>
    <col min="2058" max="2058" width="4.140625" style="488" customWidth="1"/>
    <col min="2059" max="2059" width="19.42578125" style="488" customWidth="1"/>
    <col min="2060" max="2060" width="4.140625" style="488" customWidth="1"/>
    <col min="2061" max="2061" width="20" style="488" customWidth="1"/>
    <col min="2062" max="2062" width="16.7109375" style="488" customWidth="1"/>
    <col min="2063" max="2063" width="27.85546875" style="488"/>
    <col min="2064" max="2064" width="20.7109375" style="488" customWidth="1"/>
    <col min="2065" max="2065" width="14.28515625" style="488" customWidth="1"/>
    <col min="2066" max="2066" width="10.140625" style="488" customWidth="1"/>
    <col min="2067" max="2067" width="15.5703125" style="488" customWidth="1"/>
    <col min="2068" max="2068" width="3.140625" style="488" customWidth="1"/>
    <col min="2069" max="2069" width="2.28515625" style="488" customWidth="1"/>
    <col min="2070" max="2093" width="18.85546875" style="488" customWidth="1"/>
    <col min="2094" max="2094" width="47.42578125" style="488" bestFit="1" customWidth="1"/>
    <col min="2095" max="2095" width="20.42578125" style="488" customWidth="1"/>
    <col min="2096" max="2096" width="18.7109375" style="488" customWidth="1"/>
    <col min="2097" max="2097" width="19.28515625" style="488" customWidth="1"/>
    <col min="2098" max="2098" width="18.7109375" style="488" customWidth="1"/>
    <col min="2099" max="2099" width="3.7109375" style="488" customWidth="1"/>
    <col min="2100" max="2100" width="18.7109375" style="488" customWidth="1"/>
    <col min="2101" max="2101" width="43" style="488" customWidth="1"/>
    <col min="2102" max="2103" width="18.7109375" style="488" customWidth="1"/>
    <col min="2104" max="2104" width="3.7109375" style="488" customWidth="1"/>
    <col min="2105" max="2304" width="27.85546875" style="488"/>
    <col min="2305" max="2305" width="17.28515625" style="488" customWidth="1"/>
    <col min="2306" max="2306" width="2.28515625" style="488" customWidth="1"/>
    <col min="2307" max="2307" width="17.42578125" style="488" customWidth="1"/>
    <col min="2308" max="2308" width="2.28515625" style="488" customWidth="1"/>
    <col min="2309" max="2309" width="15.5703125" style="488" bestFit="1" customWidth="1"/>
    <col min="2310" max="2310" width="2.28515625" style="488" customWidth="1"/>
    <col min="2311" max="2311" width="17.42578125" style="488" bestFit="1" customWidth="1"/>
    <col min="2312" max="2312" width="2.28515625" style="488" customWidth="1"/>
    <col min="2313" max="2313" width="19.42578125" style="488" customWidth="1"/>
    <col min="2314" max="2314" width="4.140625" style="488" customWidth="1"/>
    <col min="2315" max="2315" width="19.42578125" style="488" customWidth="1"/>
    <col min="2316" max="2316" width="4.140625" style="488" customWidth="1"/>
    <col min="2317" max="2317" width="20" style="488" customWidth="1"/>
    <col min="2318" max="2318" width="16.7109375" style="488" customWidth="1"/>
    <col min="2319" max="2319" width="27.85546875" style="488"/>
    <col min="2320" max="2320" width="20.7109375" style="488" customWidth="1"/>
    <col min="2321" max="2321" width="14.28515625" style="488" customWidth="1"/>
    <col min="2322" max="2322" width="10.140625" style="488" customWidth="1"/>
    <col min="2323" max="2323" width="15.5703125" style="488" customWidth="1"/>
    <col min="2324" max="2324" width="3.140625" style="488" customWidth="1"/>
    <col min="2325" max="2325" width="2.28515625" style="488" customWidth="1"/>
    <col min="2326" max="2349" width="18.85546875" style="488" customWidth="1"/>
    <col min="2350" max="2350" width="47.42578125" style="488" bestFit="1" customWidth="1"/>
    <col min="2351" max="2351" width="20.42578125" style="488" customWidth="1"/>
    <col min="2352" max="2352" width="18.7109375" style="488" customWidth="1"/>
    <col min="2353" max="2353" width="19.28515625" style="488" customWidth="1"/>
    <col min="2354" max="2354" width="18.7109375" style="488" customWidth="1"/>
    <col min="2355" max="2355" width="3.7109375" style="488" customWidth="1"/>
    <col min="2356" max="2356" width="18.7109375" style="488" customWidth="1"/>
    <col min="2357" max="2357" width="43" style="488" customWidth="1"/>
    <col min="2358" max="2359" width="18.7109375" style="488" customWidth="1"/>
    <col min="2360" max="2360" width="3.7109375" style="488" customWidth="1"/>
    <col min="2361" max="2560" width="27.85546875" style="488"/>
    <col min="2561" max="2561" width="17.28515625" style="488" customWidth="1"/>
    <col min="2562" max="2562" width="2.28515625" style="488" customWidth="1"/>
    <col min="2563" max="2563" width="17.42578125" style="488" customWidth="1"/>
    <col min="2564" max="2564" width="2.28515625" style="488" customWidth="1"/>
    <col min="2565" max="2565" width="15.5703125" style="488" bestFit="1" customWidth="1"/>
    <col min="2566" max="2566" width="2.28515625" style="488" customWidth="1"/>
    <col min="2567" max="2567" width="17.42578125" style="488" bestFit="1" customWidth="1"/>
    <col min="2568" max="2568" width="2.28515625" style="488" customWidth="1"/>
    <col min="2569" max="2569" width="19.42578125" style="488" customWidth="1"/>
    <col min="2570" max="2570" width="4.140625" style="488" customWidth="1"/>
    <col min="2571" max="2571" width="19.42578125" style="488" customWidth="1"/>
    <col min="2572" max="2572" width="4.140625" style="488" customWidth="1"/>
    <col min="2573" max="2573" width="20" style="488" customWidth="1"/>
    <col min="2574" max="2574" width="16.7109375" style="488" customWidth="1"/>
    <col min="2575" max="2575" width="27.85546875" style="488"/>
    <col min="2576" max="2576" width="20.7109375" style="488" customWidth="1"/>
    <col min="2577" max="2577" width="14.28515625" style="488" customWidth="1"/>
    <col min="2578" max="2578" width="10.140625" style="488" customWidth="1"/>
    <col min="2579" max="2579" width="15.5703125" style="488" customWidth="1"/>
    <col min="2580" max="2580" width="3.140625" style="488" customWidth="1"/>
    <col min="2581" max="2581" width="2.28515625" style="488" customWidth="1"/>
    <col min="2582" max="2605" width="18.85546875" style="488" customWidth="1"/>
    <col min="2606" max="2606" width="47.42578125" style="488" bestFit="1" customWidth="1"/>
    <col min="2607" max="2607" width="20.42578125" style="488" customWidth="1"/>
    <col min="2608" max="2608" width="18.7109375" style="488" customWidth="1"/>
    <col min="2609" max="2609" width="19.28515625" style="488" customWidth="1"/>
    <col min="2610" max="2610" width="18.7109375" style="488" customWidth="1"/>
    <col min="2611" max="2611" width="3.7109375" style="488" customWidth="1"/>
    <col min="2612" max="2612" width="18.7109375" style="488" customWidth="1"/>
    <col min="2613" max="2613" width="43" style="488" customWidth="1"/>
    <col min="2614" max="2615" width="18.7109375" style="488" customWidth="1"/>
    <col min="2616" max="2616" width="3.7109375" style="488" customWidth="1"/>
    <col min="2617" max="2816" width="27.85546875" style="488"/>
    <col min="2817" max="2817" width="17.28515625" style="488" customWidth="1"/>
    <col min="2818" max="2818" width="2.28515625" style="488" customWidth="1"/>
    <col min="2819" max="2819" width="17.42578125" style="488" customWidth="1"/>
    <col min="2820" max="2820" width="2.28515625" style="488" customWidth="1"/>
    <col min="2821" max="2821" width="15.5703125" style="488" bestFit="1" customWidth="1"/>
    <col min="2822" max="2822" width="2.28515625" style="488" customWidth="1"/>
    <col min="2823" max="2823" width="17.42578125" style="488" bestFit="1" customWidth="1"/>
    <col min="2824" max="2824" width="2.28515625" style="488" customWidth="1"/>
    <col min="2825" max="2825" width="19.42578125" style="488" customWidth="1"/>
    <col min="2826" max="2826" width="4.140625" style="488" customWidth="1"/>
    <col min="2827" max="2827" width="19.42578125" style="488" customWidth="1"/>
    <col min="2828" max="2828" width="4.140625" style="488" customWidth="1"/>
    <col min="2829" max="2829" width="20" style="488" customWidth="1"/>
    <col min="2830" max="2830" width="16.7109375" style="488" customWidth="1"/>
    <col min="2831" max="2831" width="27.85546875" style="488"/>
    <col min="2832" max="2832" width="20.7109375" style="488" customWidth="1"/>
    <col min="2833" max="2833" width="14.28515625" style="488" customWidth="1"/>
    <col min="2834" max="2834" width="10.140625" style="488" customWidth="1"/>
    <col min="2835" max="2835" width="15.5703125" style="488" customWidth="1"/>
    <col min="2836" max="2836" width="3.140625" style="488" customWidth="1"/>
    <col min="2837" max="2837" width="2.28515625" style="488" customWidth="1"/>
    <col min="2838" max="2861" width="18.85546875" style="488" customWidth="1"/>
    <col min="2862" max="2862" width="47.42578125" style="488" bestFit="1" customWidth="1"/>
    <col min="2863" max="2863" width="20.42578125" style="488" customWidth="1"/>
    <col min="2864" max="2864" width="18.7109375" style="488" customWidth="1"/>
    <col min="2865" max="2865" width="19.28515625" style="488" customWidth="1"/>
    <col min="2866" max="2866" width="18.7109375" style="488" customWidth="1"/>
    <col min="2867" max="2867" width="3.7109375" style="488" customWidth="1"/>
    <col min="2868" max="2868" width="18.7109375" style="488" customWidth="1"/>
    <col min="2869" max="2869" width="43" style="488" customWidth="1"/>
    <col min="2870" max="2871" width="18.7109375" style="488" customWidth="1"/>
    <col min="2872" max="2872" width="3.7109375" style="488" customWidth="1"/>
    <col min="2873" max="3072" width="27.85546875" style="488"/>
    <col min="3073" max="3073" width="17.28515625" style="488" customWidth="1"/>
    <col min="3074" max="3074" width="2.28515625" style="488" customWidth="1"/>
    <col min="3075" max="3075" width="17.42578125" style="488" customWidth="1"/>
    <col min="3076" max="3076" width="2.28515625" style="488" customWidth="1"/>
    <col min="3077" max="3077" width="15.5703125" style="488" bestFit="1" customWidth="1"/>
    <col min="3078" max="3078" width="2.28515625" style="488" customWidth="1"/>
    <col min="3079" max="3079" width="17.42578125" style="488" bestFit="1" customWidth="1"/>
    <col min="3080" max="3080" width="2.28515625" style="488" customWidth="1"/>
    <col min="3081" max="3081" width="19.42578125" style="488" customWidth="1"/>
    <col min="3082" max="3082" width="4.140625" style="488" customWidth="1"/>
    <col min="3083" max="3083" width="19.42578125" style="488" customWidth="1"/>
    <col min="3084" max="3084" width="4.140625" style="488" customWidth="1"/>
    <col min="3085" max="3085" width="20" style="488" customWidth="1"/>
    <col min="3086" max="3086" width="16.7109375" style="488" customWidth="1"/>
    <col min="3087" max="3087" width="27.85546875" style="488"/>
    <col min="3088" max="3088" width="20.7109375" style="488" customWidth="1"/>
    <col min="3089" max="3089" width="14.28515625" style="488" customWidth="1"/>
    <col min="3090" max="3090" width="10.140625" style="488" customWidth="1"/>
    <col min="3091" max="3091" width="15.5703125" style="488" customWidth="1"/>
    <col min="3092" max="3092" width="3.140625" style="488" customWidth="1"/>
    <col min="3093" max="3093" width="2.28515625" style="488" customWidth="1"/>
    <col min="3094" max="3117" width="18.85546875" style="488" customWidth="1"/>
    <col min="3118" max="3118" width="47.42578125" style="488" bestFit="1" customWidth="1"/>
    <col min="3119" max="3119" width="20.42578125" style="488" customWidth="1"/>
    <col min="3120" max="3120" width="18.7109375" style="488" customWidth="1"/>
    <col min="3121" max="3121" width="19.28515625" style="488" customWidth="1"/>
    <col min="3122" max="3122" width="18.7109375" style="488" customWidth="1"/>
    <col min="3123" max="3123" width="3.7109375" style="488" customWidth="1"/>
    <col min="3124" max="3124" width="18.7109375" style="488" customWidth="1"/>
    <col min="3125" max="3125" width="43" style="488" customWidth="1"/>
    <col min="3126" max="3127" width="18.7109375" style="488" customWidth="1"/>
    <col min="3128" max="3128" width="3.7109375" style="488" customWidth="1"/>
    <col min="3129" max="3328" width="27.85546875" style="488"/>
    <col min="3329" max="3329" width="17.28515625" style="488" customWidth="1"/>
    <col min="3330" max="3330" width="2.28515625" style="488" customWidth="1"/>
    <col min="3331" max="3331" width="17.42578125" style="488" customWidth="1"/>
    <col min="3332" max="3332" width="2.28515625" style="488" customWidth="1"/>
    <col min="3333" max="3333" width="15.5703125" style="488" bestFit="1" customWidth="1"/>
    <col min="3334" max="3334" width="2.28515625" style="488" customWidth="1"/>
    <col min="3335" max="3335" width="17.42578125" style="488" bestFit="1" customWidth="1"/>
    <col min="3336" max="3336" width="2.28515625" style="488" customWidth="1"/>
    <col min="3337" max="3337" width="19.42578125" style="488" customWidth="1"/>
    <col min="3338" max="3338" width="4.140625" style="488" customWidth="1"/>
    <col min="3339" max="3339" width="19.42578125" style="488" customWidth="1"/>
    <col min="3340" max="3340" width="4.140625" style="488" customWidth="1"/>
    <col min="3341" max="3341" width="20" style="488" customWidth="1"/>
    <col min="3342" max="3342" width="16.7109375" style="488" customWidth="1"/>
    <col min="3343" max="3343" width="27.85546875" style="488"/>
    <col min="3344" max="3344" width="20.7109375" style="488" customWidth="1"/>
    <col min="3345" max="3345" width="14.28515625" style="488" customWidth="1"/>
    <col min="3346" max="3346" width="10.140625" style="488" customWidth="1"/>
    <col min="3347" max="3347" width="15.5703125" style="488" customWidth="1"/>
    <col min="3348" max="3348" width="3.140625" style="488" customWidth="1"/>
    <col min="3349" max="3349" width="2.28515625" style="488" customWidth="1"/>
    <col min="3350" max="3373" width="18.85546875" style="488" customWidth="1"/>
    <col min="3374" max="3374" width="47.42578125" style="488" bestFit="1" customWidth="1"/>
    <col min="3375" max="3375" width="20.42578125" style="488" customWidth="1"/>
    <col min="3376" max="3376" width="18.7109375" style="488" customWidth="1"/>
    <col min="3377" max="3377" width="19.28515625" style="488" customWidth="1"/>
    <col min="3378" max="3378" width="18.7109375" style="488" customWidth="1"/>
    <col min="3379" max="3379" width="3.7109375" style="488" customWidth="1"/>
    <col min="3380" max="3380" width="18.7109375" style="488" customWidth="1"/>
    <col min="3381" max="3381" width="43" style="488" customWidth="1"/>
    <col min="3382" max="3383" width="18.7109375" style="488" customWidth="1"/>
    <col min="3384" max="3384" width="3.7109375" style="488" customWidth="1"/>
    <col min="3385" max="3584" width="27.85546875" style="488"/>
    <col min="3585" max="3585" width="17.28515625" style="488" customWidth="1"/>
    <col min="3586" max="3586" width="2.28515625" style="488" customWidth="1"/>
    <col min="3587" max="3587" width="17.42578125" style="488" customWidth="1"/>
    <col min="3588" max="3588" width="2.28515625" style="488" customWidth="1"/>
    <col min="3589" max="3589" width="15.5703125" style="488" bestFit="1" customWidth="1"/>
    <col min="3590" max="3590" width="2.28515625" style="488" customWidth="1"/>
    <col min="3591" max="3591" width="17.42578125" style="488" bestFit="1" customWidth="1"/>
    <col min="3592" max="3592" width="2.28515625" style="488" customWidth="1"/>
    <col min="3593" max="3593" width="19.42578125" style="488" customWidth="1"/>
    <col min="3594" max="3594" width="4.140625" style="488" customWidth="1"/>
    <col min="3595" max="3595" width="19.42578125" style="488" customWidth="1"/>
    <col min="3596" max="3596" width="4.140625" style="488" customWidth="1"/>
    <col min="3597" max="3597" width="20" style="488" customWidth="1"/>
    <col min="3598" max="3598" width="16.7109375" style="488" customWidth="1"/>
    <col min="3599" max="3599" width="27.85546875" style="488"/>
    <col min="3600" max="3600" width="20.7109375" style="488" customWidth="1"/>
    <col min="3601" max="3601" width="14.28515625" style="488" customWidth="1"/>
    <col min="3602" max="3602" width="10.140625" style="488" customWidth="1"/>
    <col min="3603" max="3603" width="15.5703125" style="488" customWidth="1"/>
    <col min="3604" max="3604" width="3.140625" style="488" customWidth="1"/>
    <col min="3605" max="3605" width="2.28515625" style="488" customWidth="1"/>
    <col min="3606" max="3629" width="18.85546875" style="488" customWidth="1"/>
    <col min="3630" max="3630" width="47.42578125" style="488" bestFit="1" customWidth="1"/>
    <col min="3631" max="3631" width="20.42578125" style="488" customWidth="1"/>
    <col min="3632" max="3632" width="18.7109375" style="488" customWidth="1"/>
    <col min="3633" max="3633" width="19.28515625" style="488" customWidth="1"/>
    <col min="3634" max="3634" width="18.7109375" style="488" customWidth="1"/>
    <col min="3635" max="3635" width="3.7109375" style="488" customWidth="1"/>
    <col min="3636" max="3636" width="18.7109375" style="488" customWidth="1"/>
    <col min="3637" max="3637" width="43" style="488" customWidth="1"/>
    <col min="3638" max="3639" width="18.7109375" style="488" customWidth="1"/>
    <col min="3640" max="3640" width="3.7109375" style="488" customWidth="1"/>
    <col min="3641" max="3840" width="27.85546875" style="488"/>
    <col min="3841" max="3841" width="17.28515625" style="488" customWidth="1"/>
    <col min="3842" max="3842" width="2.28515625" style="488" customWidth="1"/>
    <col min="3843" max="3843" width="17.42578125" style="488" customWidth="1"/>
    <col min="3844" max="3844" width="2.28515625" style="488" customWidth="1"/>
    <col min="3845" max="3845" width="15.5703125" style="488" bestFit="1" customWidth="1"/>
    <col min="3846" max="3846" width="2.28515625" style="488" customWidth="1"/>
    <col min="3847" max="3847" width="17.42578125" style="488" bestFit="1" customWidth="1"/>
    <col min="3848" max="3848" width="2.28515625" style="488" customWidth="1"/>
    <col min="3849" max="3849" width="19.42578125" style="488" customWidth="1"/>
    <col min="3850" max="3850" width="4.140625" style="488" customWidth="1"/>
    <col min="3851" max="3851" width="19.42578125" style="488" customWidth="1"/>
    <col min="3852" max="3852" width="4.140625" style="488" customWidth="1"/>
    <col min="3853" max="3853" width="20" style="488" customWidth="1"/>
    <col min="3854" max="3854" width="16.7109375" style="488" customWidth="1"/>
    <col min="3855" max="3855" width="27.85546875" style="488"/>
    <col min="3856" max="3856" width="20.7109375" style="488" customWidth="1"/>
    <col min="3857" max="3857" width="14.28515625" style="488" customWidth="1"/>
    <col min="3858" max="3858" width="10.140625" style="488" customWidth="1"/>
    <col min="3859" max="3859" width="15.5703125" style="488" customWidth="1"/>
    <col min="3860" max="3860" width="3.140625" style="488" customWidth="1"/>
    <col min="3861" max="3861" width="2.28515625" style="488" customWidth="1"/>
    <col min="3862" max="3885" width="18.85546875" style="488" customWidth="1"/>
    <col min="3886" max="3886" width="47.42578125" style="488" bestFit="1" customWidth="1"/>
    <col min="3887" max="3887" width="20.42578125" style="488" customWidth="1"/>
    <col min="3888" max="3888" width="18.7109375" style="488" customWidth="1"/>
    <col min="3889" max="3889" width="19.28515625" style="488" customWidth="1"/>
    <col min="3890" max="3890" width="18.7109375" style="488" customWidth="1"/>
    <col min="3891" max="3891" width="3.7109375" style="488" customWidth="1"/>
    <col min="3892" max="3892" width="18.7109375" style="488" customWidth="1"/>
    <col min="3893" max="3893" width="43" style="488" customWidth="1"/>
    <col min="3894" max="3895" width="18.7109375" style="488" customWidth="1"/>
    <col min="3896" max="3896" width="3.7109375" style="488" customWidth="1"/>
    <col min="3897" max="4096" width="27.85546875" style="488"/>
    <col min="4097" max="4097" width="17.28515625" style="488" customWidth="1"/>
    <col min="4098" max="4098" width="2.28515625" style="488" customWidth="1"/>
    <col min="4099" max="4099" width="17.42578125" style="488" customWidth="1"/>
    <col min="4100" max="4100" width="2.28515625" style="488" customWidth="1"/>
    <col min="4101" max="4101" width="15.5703125" style="488" bestFit="1" customWidth="1"/>
    <col min="4102" max="4102" width="2.28515625" style="488" customWidth="1"/>
    <col min="4103" max="4103" width="17.42578125" style="488" bestFit="1" customWidth="1"/>
    <col min="4104" max="4104" width="2.28515625" style="488" customWidth="1"/>
    <col min="4105" max="4105" width="19.42578125" style="488" customWidth="1"/>
    <col min="4106" max="4106" width="4.140625" style="488" customWidth="1"/>
    <col min="4107" max="4107" width="19.42578125" style="488" customWidth="1"/>
    <col min="4108" max="4108" width="4.140625" style="488" customWidth="1"/>
    <col min="4109" max="4109" width="20" style="488" customWidth="1"/>
    <col min="4110" max="4110" width="16.7109375" style="488" customWidth="1"/>
    <col min="4111" max="4111" width="27.85546875" style="488"/>
    <col min="4112" max="4112" width="20.7109375" style="488" customWidth="1"/>
    <col min="4113" max="4113" width="14.28515625" style="488" customWidth="1"/>
    <col min="4114" max="4114" width="10.140625" style="488" customWidth="1"/>
    <col min="4115" max="4115" width="15.5703125" style="488" customWidth="1"/>
    <col min="4116" max="4116" width="3.140625" style="488" customWidth="1"/>
    <col min="4117" max="4117" width="2.28515625" style="488" customWidth="1"/>
    <col min="4118" max="4141" width="18.85546875" style="488" customWidth="1"/>
    <col min="4142" max="4142" width="47.42578125" style="488" bestFit="1" customWidth="1"/>
    <col min="4143" max="4143" width="20.42578125" style="488" customWidth="1"/>
    <col min="4144" max="4144" width="18.7109375" style="488" customWidth="1"/>
    <col min="4145" max="4145" width="19.28515625" style="488" customWidth="1"/>
    <col min="4146" max="4146" width="18.7109375" style="488" customWidth="1"/>
    <col min="4147" max="4147" width="3.7109375" style="488" customWidth="1"/>
    <col min="4148" max="4148" width="18.7109375" style="488" customWidth="1"/>
    <col min="4149" max="4149" width="43" style="488" customWidth="1"/>
    <col min="4150" max="4151" width="18.7109375" style="488" customWidth="1"/>
    <col min="4152" max="4152" width="3.7109375" style="488" customWidth="1"/>
    <col min="4153" max="4352" width="27.85546875" style="488"/>
    <col min="4353" max="4353" width="17.28515625" style="488" customWidth="1"/>
    <col min="4354" max="4354" width="2.28515625" style="488" customWidth="1"/>
    <col min="4355" max="4355" width="17.42578125" style="488" customWidth="1"/>
    <col min="4356" max="4356" width="2.28515625" style="488" customWidth="1"/>
    <col min="4357" max="4357" width="15.5703125" style="488" bestFit="1" customWidth="1"/>
    <col min="4358" max="4358" width="2.28515625" style="488" customWidth="1"/>
    <col min="4359" max="4359" width="17.42578125" style="488" bestFit="1" customWidth="1"/>
    <col min="4360" max="4360" width="2.28515625" style="488" customWidth="1"/>
    <col min="4361" max="4361" width="19.42578125" style="488" customWidth="1"/>
    <col min="4362" max="4362" width="4.140625" style="488" customWidth="1"/>
    <col min="4363" max="4363" width="19.42578125" style="488" customWidth="1"/>
    <col min="4364" max="4364" width="4.140625" style="488" customWidth="1"/>
    <col min="4365" max="4365" width="20" style="488" customWidth="1"/>
    <col min="4366" max="4366" width="16.7109375" style="488" customWidth="1"/>
    <col min="4367" max="4367" width="27.85546875" style="488"/>
    <col min="4368" max="4368" width="20.7109375" style="488" customWidth="1"/>
    <col min="4369" max="4369" width="14.28515625" style="488" customWidth="1"/>
    <col min="4370" max="4370" width="10.140625" style="488" customWidth="1"/>
    <col min="4371" max="4371" width="15.5703125" style="488" customWidth="1"/>
    <col min="4372" max="4372" width="3.140625" style="488" customWidth="1"/>
    <col min="4373" max="4373" width="2.28515625" style="488" customWidth="1"/>
    <col min="4374" max="4397" width="18.85546875" style="488" customWidth="1"/>
    <col min="4398" max="4398" width="47.42578125" style="488" bestFit="1" customWidth="1"/>
    <col min="4399" max="4399" width="20.42578125" style="488" customWidth="1"/>
    <col min="4400" max="4400" width="18.7109375" style="488" customWidth="1"/>
    <col min="4401" max="4401" width="19.28515625" style="488" customWidth="1"/>
    <col min="4402" max="4402" width="18.7109375" style="488" customWidth="1"/>
    <col min="4403" max="4403" width="3.7109375" style="488" customWidth="1"/>
    <col min="4404" max="4404" width="18.7109375" style="488" customWidth="1"/>
    <col min="4405" max="4405" width="43" style="488" customWidth="1"/>
    <col min="4406" max="4407" width="18.7109375" style="488" customWidth="1"/>
    <col min="4408" max="4408" width="3.7109375" style="488" customWidth="1"/>
    <col min="4409" max="4608" width="27.85546875" style="488"/>
    <col min="4609" max="4609" width="17.28515625" style="488" customWidth="1"/>
    <col min="4610" max="4610" width="2.28515625" style="488" customWidth="1"/>
    <col min="4611" max="4611" width="17.42578125" style="488" customWidth="1"/>
    <col min="4612" max="4612" width="2.28515625" style="488" customWidth="1"/>
    <col min="4613" max="4613" width="15.5703125" style="488" bestFit="1" customWidth="1"/>
    <col min="4614" max="4614" width="2.28515625" style="488" customWidth="1"/>
    <col min="4615" max="4615" width="17.42578125" style="488" bestFit="1" customWidth="1"/>
    <col min="4616" max="4616" width="2.28515625" style="488" customWidth="1"/>
    <col min="4617" max="4617" width="19.42578125" style="488" customWidth="1"/>
    <col min="4618" max="4618" width="4.140625" style="488" customWidth="1"/>
    <col min="4619" max="4619" width="19.42578125" style="488" customWidth="1"/>
    <col min="4620" max="4620" width="4.140625" style="488" customWidth="1"/>
    <col min="4621" max="4621" width="20" style="488" customWidth="1"/>
    <col min="4622" max="4622" width="16.7109375" style="488" customWidth="1"/>
    <col min="4623" max="4623" width="27.85546875" style="488"/>
    <col min="4624" max="4624" width="20.7109375" style="488" customWidth="1"/>
    <col min="4625" max="4625" width="14.28515625" style="488" customWidth="1"/>
    <col min="4626" max="4626" width="10.140625" style="488" customWidth="1"/>
    <col min="4627" max="4627" width="15.5703125" style="488" customWidth="1"/>
    <col min="4628" max="4628" width="3.140625" style="488" customWidth="1"/>
    <col min="4629" max="4629" width="2.28515625" style="488" customWidth="1"/>
    <col min="4630" max="4653" width="18.85546875" style="488" customWidth="1"/>
    <col min="4654" max="4654" width="47.42578125" style="488" bestFit="1" customWidth="1"/>
    <col min="4655" max="4655" width="20.42578125" style="488" customWidth="1"/>
    <col min="4656" max="4656" width="18.7109375" style="488" customWidth="1"/>
    <col min="4657" max="4657" width="19.28515625" style="488" customWidth="1"/>
    <col min="4658" max="4658" width="18.7109375" style="488" customWidth="1"/>
    <col min="4659" max="4659" width="3.7109375" style="488" customWidth="1"/>
    <col min="4660" max="4660" width="18.7109375" style="488" customWidth="1"/>
    <col min="4661" max="4661" width="43" style="488" customWidth="1"/>
    <col min="4662" max="4663" width="18.7109375" style="488" customWidth="1"/>
    <col min="4664" max="4664" width="3.7109375" style="488" customWidth="1"/>
    <col min="4665" max="4864" width="27.85546875" style="488"/>
    <col min="4865" max="4865" width="17.28515625" style="488" customWidth="1"/>
    <col min="4866" max="4866" width="2.28515625" style="488" customWidth="1"/>
    <col min="4867" max="4867" width="17.42578125" style="488" customWidth="1"/>
    <col min="4868" max="4868" width="2.28515625" style="488" customWidth="1"/>
    <col min="4869" max="4869" width="15.5703125" style="488" bestFit="1" customWidth="1"/>
    <col min="4870" max="4870" width="2.28515625" style="488" customWidth="1"/>
    <col min="4871" max="4871" width="17.42578125" style="488" bestFit="1" customWidth="1"/>
    <col min="4872" max="4872" width="2.28515625" style="488" customWidth="1"/>
    <col min="4873" max="4873" width="19.42578125" style="488" customWidth="1"/>
    <col min="4874" max="4874" width="4.140625" style="488" customWidth="1"/>
    <col min="4875" max="4875" width="19.42578125" style="488" customWidth="1"/>
    <col min="4876" max="4876" width="4.140625" style="488" customWidth="1"/>
    <col min="4877" max="4877" width="20" style="488" customWidth="1"/>
    <col min="4878" max="4878" width="16.7109375" style="488" customWidth="1"/>
    <col min="4879" max="4879" width="27.85546875" style="488"/>
    <col min="4880" max="4880" width="20.7109375" style="488" customWidth="1"/>
    <col min="4881" max="4881" width="14.28515625" style="488" customWidth="1"/>
    <col min="4882" max="4882" width="10.140625" style="488" customWidth="1"/>
    <col min="4883" max="4883" width="15.5703125" style="488" customWidth="1"/>
    <col min="4884" max="4884" width="3.140625" style="488" customWidth="1"/>
    <col min="4885" max="4885" width="2.28515625" style="488" customWidth="1"/>
    <col min="4886" max="4909" width="18.85546875" style="488" customWidth="1"/>
    <col min="4910" max="4910" width="47.42578125" style="488" bestFit="1" customWidth="1"/>
    <col min="4911" max="4911" width="20.42578125" style="488" customWidth="1"/>
    <col min="4912" max="4912" width="18.7109375" style="488" customWidth="1"/>
    <col min="4913" max="4913" width="19.28515625" style="488" customWidth="1"/>
    <col min="4914" max="4914" width="18.7109375" style="488" customWidth="1"/>
    <col min="4915" max="4915" width="3.7109375" style="488" customWidth="1"/>
    <col min="4916" max="4916" width="18.7109375" style="488" customWidth="1"/>
    <col min="4917" max="4917" width="43" style="488" customWidth="1"/>
    <col min="4918" max="4919" width="18.7109375" style="488" customWidth="1"/>
    <col min="4920" max="4920" width="3.7109375" style="488" customWidth="1"/>
    <col min="4921" max="5120" width="27.85546875" style="488"/>
    <col min="5121" max="5121" width="17.28515625" style="488" customWidth="1"/>
    <col min="5122" max="5122" width="2.28515625" style="488" customWidth="1"/>
    <col min="5123" max="5123" width="17.42578125" style="488" customWidth="1"/>
    <col min="5124" max="5124" width="2.28515625" style="488" customWidth="1"/>
    <col min="5125" max="5125" width="15.5703125" style="488" bestFit="1" customWidth="1"/>
    <col min="5126" max="5126" width="2.28515625" style="488" customWidth="1"/>
    <col min="5127" max="5127" width="17.42578125" style="488" bestFit="1" customWidth="1"/>
    <col min="5128" max="5128" width="2.28515625" style="488" customWidth="1"/>
    <col min="5129" max="5129" width="19.42578125" style="488" customWidth="1"/>
    <col min="5130" max="5130" width="4.140625" style="488" customWidth="1"/>
    <col min="5131" max="5131" width="19.42578125" style="488" customWidth="1"/>
    <col min="5132" max="5132" width="4.140625" style="488" customWidth="1"/>
    <col min="5133" max="5133" width="20" style="488" customWidth="1"/>
    <col min="5134" max="5134" width="16.7109375" style="488" customWidth="1"/>
    <col min="5135" max="5135" width="27.85546875" style="488"/>
    <col min="5136" max="5136" width="20.7109375" style="488" customWidth="1"/>
    <col min="5137" max="5137" width="14.28515625" style="488" customWidth="1"/>
    <col min="5138" max="5138" width="10.140625" style="488" customWidth="1"/>
    <col min="5139" max="5139" width="15.5703125" style="488" customWidth="1"/>
    <col min="5140" max="5140" width="3.140625" style="488" customWidth="1"/>
    <col min="5141" max="5141" width="2.28515625" style="488" customWidth="1"/>
    <col min="5142" max="5165" width="18.85546875" style="488" customWidth="1"/>
    <col min="5166" max="5166" width="47.42578125" style="488" bestFit="1" customWidth="1"/>
    <col min="5167" max="5167" width="20.42578125" style="488" customWidth="1"/>
    <col min="5168" max="5168" width="18.7109375" style="488" customWidth="1"/>
    <col min="5169" max="5169" width="19.28515625" style="488" customWidth="1"/>
    <col min="5170" max="5170" width="18.7109375" style="488" customWidth="1"/>
    <col min="5171" max="5171" width="3.7109375" style="488" customWidth="1"/>
    <col min="5172" max="5172" width="18.7109375" style="488" customWidth="1"/>
    <col min="5173" max="5173" width="43" style="488" customWidth="1"/>
    <col min="5174" max="5175" width="18.7109375" style="488" customWidth="1"/>
    <col min="5176" max="5176" width="3.7109375" style="488" customWidth="1"/>
    <col min="5177" max="5376" width="27.85546875" style="488"/>
    <col min="5377" max="5377" width="17.28515625" style="488" customWidth="1"/>
    <col min="5378" max="5378" width="2.28515625" style="488" customWidth="1"/>
    <col min="5379" max="5379" width="17.42578125" style="488" customWidth="1"/>
    <col min="5380" max="5380" width="2.28515625" style="488" customWidth="1"/>
    <col min="5381" max="5381" width="15.5703125" style="488" bestFit="1" customWidth="1"/>
    <col min="5382" max="5382" width="2.28515625" style="488" customWidth="1"/>
    <col min="5383" max="5383" width="17.42578125" style="488" bestFit="1" customWidth="1"/>
    <col min="5384" max="5384" width="2.28515625" style="488" customWidth="1"/>
    <col min="5385" max="5385" width="19.42578125" style="488" customWidth="1"/>
    <col min="5386" max="5386" width="4.140625" style="488" customWidth="1"/>
    <col min="5387" max="5387" width="19.42578125" style="488" customWidth="1"/>
    <col min="5388" max="5388" width="4.140625" style="488" customWidth="1"/>
    <col min="5389" max="5389" width="20" style="488" customWidth="1"/>
    <col min="5390" max="5390" width="16.7109375" style="488" customWidth="1"/>
    <col min="5391" max="5391" width="27.85546875" style="488"/>
    <col min="5392" max="5392" width="20.7109375" style="488" customWidth="1"/>
    <col min="5393" max="5393" width="14.28515625" style="488" customWidth="1"/>
    <col min="5394" max="5394" width="10.140625" style="488" customWidth="1"/>
    <col min="5395" max="5395" width="15.5703125" style="488" customWidth="1"/>
    <col min="5396" max="5396" width="3.140625" style="488" customWidth="1"/>
    <col min="5397" max="5397" width="2.28515625" style="488" customWidth="1"/>
    <col min="5398" max="5421" width="18.85546875" style="488" customWidth="1"/>
    <col min="5422" max="5422" width="47.42578125" style="488" bestFit="1" customWidth="1"/>
    <col min="5423" max="5423" width="20.42578125" style="488" customWidth="1"/>
    <col min="5424" max="5424" width="18.7109375" style="488" customWidth="1"/>
    <col min="5425" max="5425" width="19.28515625" style="488" customWidth="1"/>
    <col min="5426" max="5426" width="18.7109375" style="488" customWidth="1"/>
    <col min="5427" max="5427" width="3.7109375" style="488" customWidth="1"/>
    <col min="5428" max="5428" width="18.7109375" style="488" customWidth="1"/>
    <col min="5429" max="5429" width="43" style="488" customWidth="1"/>
    <col min="5430" max="5431" width="18.7109375" style="488" customWidth="1"/>
    <col min="5432" max="5432" width="3.7109375" style="488" customWidth="1"/>
    <col min="5433" max="5632" width="27.85546875" style="488"/>
    <col min="5633" max="5633" width="17.28515625" style="488" customWidth="1"/>
    <col min="5634" max="5634" width="2.28515625" style="488" customWidth="1"/>
    <col min="5635" max="5635" width="17.42578125" style="488" customWidth="1"/>
    <col min="5636" max="5636" width="2.28515625" style="488" customWidth="1"/>
    <col min="5637" max="5637" width="15.5703125" style="488" bestFit="1" customWidth="1"/>
    <col min="5638" max="5638" width="2.28515625" style="488" customWidth="1"/>
    <col min="5639" max="5639" width="17.42578125" style="488" bestFit="1" customWidth="1"/>
    <col min="5640" max="5640" width="2.28515625" style="488" customWidth="1"/>
    <col min="5641" max="5641" width="19.42578125" style="488" customWidth="1"/>
    <col min="5642" max="5642" width="4.140625" style="488" customWidth="1"/>
    <col min="5643" max="5643" width="19.42578125" style="488" customWidth="1"/>
    <col min="5644" max="5644" width="4.140625" style="488" customWidth="1"/>
    <col min="5645" max="5645" width="20" style="488" customWidth="1"/>
    <col min="5646" max="5646" width="16.7109375" style="488" customWidth="1"/>
    <col min="5647" max="5647" width="27.85546875" style="488"/>
    <col min="5648" max="5648" width="20.7109375" style="488" customWidth="1"/>
    <col min="5649" max="5649" width="14.28515625" style="488" customWidth="1"/>
    <col min="5650" max="5650" width="10.140625" style="488" customWidth="1"/>
    <col min="5651" max="5651" width="15.5703125" style="488" customWidth="1"/>
    <col min="5652" max="5652" width="3.140625" style="488" customWidth="1"/>
    <col min="5653" max="5653" width="2.28515625" style="488" customWidth="1"/>
    <col min="5654" max="5677" width="18.85546875" style="488" customWidth="1"/>
    <col min="5678" max="5678" width="47.42578125" style="488" bestFit="1" customWidth="1"/>
    <col min="5679" max="5679" width="20.42578125" style="488" customWidth="1"/>
    <col min="5680" max="5680" width="18.7109375" style="488" customWidth="1"/>
    <col min="5681" max="5681" width="19.28515625" style="488" customWidth="1"/>
    <col min="5682" max="5682" width="18.7109375" style="488" customWidth="1"/>
    <col min="5683" max="5683" width="3.7109375" style="488" customWidth="1"/>
    <col min="5684" max="5684" width="18.7109375" style="488" customWidth="1"/>
    <col min="5685" max="5685" width="43" style="488" customWidth="1"/>
    <col min="5686" max="5687" width="18.7109375" style="488" customWidth="1"/>
    <col min="5688" max="5688" width="3.7109375" style="488" customWidth="1"/>
    <col min="5689" max="5888" width="27.85546875" style="488"/>
    <col min="5889" max="5889" width="17.28515625" style="488" customWidth="1"/>
    <col min="5890" max="5890" width="2.28515625" style="488" customWidth="1"/>
    <col min="5891" max="5891" width="17.42578125" style="488" customWidth="1"/>
    <col min="5892" max="5892" width="2.28515625" style="488" customWidth="1"/>
    <col min="5893" max="5893" width="15.5703125" style="488" bestFit="1" customWidth="1"/>
    <col min="5894" max="5894" width="2.28515625" style="488" customWidth="1"/>
    <col min="5895" max="5895" width="17.42578125" style="488" bestFit="1" customWidth="1"/>
    <col min="5896" max="5896" width="2.28515625" style="488" customWidth="1"/>
    <col min="5897" max="5897" width="19.42578125" style="488" customWidth="1"/>
    <col min="5898" max="5898" width="4.140625" style="488" customWidth="1"/>
    <col min="5899" max="5899" width="19.42578125" style="488" customWidth="1"/>
    <col min="5900" max="5900" width="4.140625" style="488" customWidth="1"/>
    <col min="5901" max="5901" width="20" style="488" customWidth="1"/>
    <col min="5902" max="5902" width="16.7109375" style="488" customWidth="1"/>
    <col min="5903" max="5903" width="27.85546875" style="488"/>
    <col min="5904" max="5904" width="20.7109375" style="488" customWidth="1"/>
    <col min="5905" max="5905" width="14.28515625" style="488" customWidth="1"/>
    <col min="5906" max="5906" width="10.140625" style="488" customWidth="1"/>
    <col min="5907" max="5907" width="15.5703125" style="488" customWidth="1"/>
    <col min="5908" max="5908" width="3.140625" style="488" customWidth="1"/>
    <col min="5909" max="5909" width="2.28515625" style="488" customWidth="1"/>
    <col min="5910" max="5933" width="18.85546875" style="488" customWidth="1"/>
    <col min="5934" max="5934" width="47.42578125" style="488" bestFit="1" customWidth="1"/>
    <col min="5935" max="5935" width="20.42578125" style="488" customWidth="1"/>
    <col min="5936" max="5936" width="18.7109375" style="488" customWidth="1"/>
    <col min="5937" max="5937" width="19.28515625" style="488" customWidth="1"/>
    <col min="5938" max="5938" width="18.7109375" style="488" customWidth="1"/>
    <col min="5939" max="5939" width="3.7109375" style="488" customWidth="1"/>
    <col min="5940" max="5940" width="18.7109375" style="488" customWidth="1"/>
    <col min="5941" max="5941" width="43" style="488" customWidth="1"/>
    <col min="5942" max="5943" width="18.7109375" style="488" customWidth="1"/>
    <col min="5944" max="5944" width="3.7109375" style="488" customWidth="1"/>
    <col min="5945" max="6144" width="27.85546875" style="488"/>
    <col min="6145" max="6145" width="17.28515625" style="488" customWidth="1"/>
    <col min="6146" max="6146" width="2.28515625" style="488" customWidth="1"/>
    <col min="6147" max="6147" width="17.42578125" style="488" customWidth="1"/>
    <col min="6148" max="6148" width="2.28515625" style="488" customWidth="1"/>
    <col min="6149" max="6149" width="15.5703125" style="488" bestFit="1" customWidth="1"/>
    <col min="6150" max="6150" width="2.28515625" style="488" customWidth="1"/>
    <col min="6151" max="6151" width="17.42578125" style="488" bestFit="1" customWidth="1"/>
    <col min="6152" max="6152" width="2.28515625" style="488" customWidth="1"/>
    <col min="6153" max="6153" width="19.42578125" style="488" customWidth="1"/>
    <col min="6154" max="6154" width="4.140625" style="488" customWidth="1"/>
    <col min="6155" max="6155" width="19.42578125" style="488" customWidth="1"/>
    <col min="6156" max="6156" width="4.140625" style="488" customWidth="1"/>
    <col min="6157" max="6157" width="20" style="488" customWidth="1"/>
    <col min="6158" max="6158" width="16.7109375" style="488" customWidth="1"/>
    <col min="6159" max="6159" width="27.85546875" style="488"/>
    <col min="6160" max="6160" width="20.7109375" style="488" customWidth="1"/>
    <col min="6161" max="6161" width="14.28515625" style="488" customWidth="1"/>
    <col min="6162" max="6162" width="10.140625" style="488" customWidth="1"/>
    <col min="6163" max="6163" width="15.5703125" style="488" customWidth="1"/>
    <col min="6164" max="6164" width="3.140625" style="488" customWidth="1"/>
    <col min="6165" max="6165" width="2.28515625" style="488" customWidth="1"/>
    <col min="6166" max="6189" width="18.85546875" style="488" customWidth="1"/>
    <col min="6190" max="6190" width="47.42578125" style="488" bestFit="1" customWidth="1"/>
    <col min="6191" max="6191" width="20.42578125" style="488" customWidth="1"/>
    <col min="6192" max="6192" width="18.7109375" style="488" customWidth="1"/>
    <col min="6193" max="6193" width="19.28515625" style="488" customWidth="1"/>
    <col min="6194" max="6194" width="18.7109375" style="488" customWidth="1"/>
    <col min="6195" max="6195" width="3.7109375" style="488" customWidth="1"/>
    <col min="6196" max="6196" width="18.7109375" style="488" customWidth="1"/>
    <col min="6197" max="6197" width="43" style="488" customWidth="1"/>
    <col min="6198" max="6199" width="18.7109375" style="488" customWidth="1"/>
    <col min="6200" max="6200" width="3.7109375" style="488" customWidth="1"/>
    <col min="6201" max="6400" width="27.85546875" style="488"/>
    <col min="6401" max="6401" width="17.28515625" style="488" customWidth="1"/>
    <col min="6402" max="6402" width="2.28515625" style="488" customWidth="1"/>
    <col min="6403" max="6403" width="17.42578125" style="488" customWidth="1"/>
    <col min="6404" max="6404" width="2.28515625" style="488" customWidth="1"/>
    <col min="6405" max="6405" width="15.5703125" style="488" bestFit="1" customWidth="1"/>
    <col min="6406" max="6406" width="2.28515625" style="488" customWidth="1"/>
    <col min="6407" max="6407" width="17.42578125" style="488" bestFit="1" customWidth="1"/>
    <col min="6408" max="6408" width="2.28515625" style="488" customWidth="1"/>
    <col min="6409" max="6409" width="19.42578125" style="488" customWidth="1"/>
    <col min="6410" max="6410" width="4.140625" style="488" customWidth="1"/>
    <col min="6411" max="6411" width="19.42578125" style="488" customWidth="1"/>
    <col min="6412" max="6412" width="4.140625" style="488" customWidth="1"/>
    <col min="6413" max="6413" width="20" style="488" customWidth="1"/>
    <col min="6414" max="6414" width="16.7109375" style="488" customWidth="1"/>
    <col min="6415" max="6415" width="27.85546875" style="488"/>
    <col min="6416" max="6416" width="20.7109375" style="488" customWidth="1"/>
    <col min="6417" max="6417" width="14.28515625" style="488" customWidth="1"/>
    <col min="6418" max="6418" width="10.140625" style="488" customWidth="1"/>
    <col min="6419" max="6419" width="15.5703125" style="488" customWidth="1"/>
    <col min="6420" max="6420" width="3.140625" style="488" customWidth="1"/>
    <col min="6421" max="6421" width="2.28515625" style="488" customWidth="1"/>
    <col min="6422" max="6445" width="18.85546875" style="488" customWidth="1"/>
    <col min="6446" max="6446" width="47.42578125" style="488" bestFit="1" customWidth="1"/>
    <col min="6447" max="6447" width="20.42578125" style="488" customWidth="1"/>
    <col min="6448" max="6448" width="18.7109375" style="488" customWidth="1"/>
    <col min="6449" max="6449" width="19.28515625" style="488" customWidth="1"/>
    <col min="6450" max="6450" width="18.7109375" style="488" customWidth="1"/>
    <col min="6451" max="6451" width="3.7109375" style="488" customWidth="1"/>
    <col min="6452" max="6452" width="18.7109375" style="488" customWidth="1"/>
    <col min="6453" max="6453" width="43" style="488" customWidth="1"/>
    <col min="6454" max="6455" width="18.7109375" style="488" customWidth="1"/>
    <col min="6456" max="6456" width="3.7109375" style="488" customWidth="1"/>
    <col min="6457" max="6656" width="27.85546875" style="488"/>
    <col min="6657" max="6657" width="17.28515625" style="488" customWidth="1"/>
    <col min="6658" max="6658" width="2.28515625" style="488" customWidth="1"/>
    <col min="6659" max="6659" width="17.42578125" style="488" customWidth="1"/>
    <col min="6660" max="6660" width="2.28515625" style="488" customWidth="1"/>
    <col min="6661" max="6661" width="15.5703125" style="488" bestFit="1" customWidth="1"/>
    <col min="6662" max="6662" width="2.28515625" style="488" customWidth="1"/>
    <col min="6663" max="6663" width="17.42578125" style="488" bestFit="1" customWidth="1"/>
    <col min="6664" max="6664" width="2.28515625" style="488" customWidth="1"/>
    <col min="6665" max="6665" width="19.42578125" style="488" customWidth="1"/>
    <col min="6666" max="6666" width="4.140625" style="488" customWidth="1"/>
    <col min="6667" max="6667" width="19.42578125" style="488" customWidth="1"/>
    <col min="6668" max="6668" width="4.140625" style="488" customWidth="1"/>
    <col min="6669" max="6669" width="20" style="488" customWidth="1"/>
    <col min="6670" max="6670" width="16.7109375" style="488" customWidth="1"/>
    <col min="6671" max="6671" width="27.85546875" style="488"/>
    <col min="6672" max="6672" width="20.7109375" style="488" customWidth="1"/>
    <col min="6673" max="6673" width="14.28515625" style="488" customWidth="1"/>
    <col min="6674" max="6674" width="10.140625" style="488" customWidth="1"/>
    <col min="6675" max="6675" width="15.5703125" style="488" customWidth="1"/>
    <col min="6676" max="6676" width="3.140625" style="488" customWidth="1"/>
    <col min="6677" max="6677" width="2.28515625" style="488" customWidth="1"/>
    <col min="6678" max="6701" width="18.85546875" style="488" customWidth="1"/>
    <col min="6702" max="6702" width="47.42578125" style="488" bestFit="1" customWidth="1"/>
    <col min="6703" max="6703" width="20.42578125" style="488" customWidth="1"/>
    <col min="6704" max="6704" width="18.7109375" style="488" customWidth="1"/>
    <col min="6705" max="6705" width="19.28515625" style="488" customWidth="1"/>
    <col min="6706" max="6706" width="18.7109375" style="488" customWidth="1"/>
    <col min="6707" max="6707" width="3.7109375" style="488" customWidth="1"/>
    <col min="6708" max="6708" width="18.7109375" style="488" customWidth="1"/>
    <col min="6709" max="6709" width="43" style="488" customWidth="1"/>
    <col min="6710" max="6711" width="18.7109375" style="488" customWidth="1"/>
    <col min="6712" max="6712" width="3.7109375" style="488" customWidth="1"/>
    <col min="6713" max="6912" width="27.85546875" style="488"/>
    <col min="6913" max="6913" width="17.28515625" style="488" customWidth="1"/>
    <col min="6914" max="6914" width="2.28515625" style="488" customWidth="1"/>
    <col min="6915" max="6915" width="17.42578125" style="488" customWidth="1"/>
    <col min="6916" max="6916" width="2.28515625" style="488" customWidth="1"/>
    <col min="6917" max="6917" width="15.5703125" style="488" bestFit="1" customWidth="1"/>
    <col min="6918" max="6918" width="2.28515625" style="488" customWidth="1"/>
    <col min="6919" max="6919" width="17.42578125" style="488" bestFit="1" customWidth="1"/>
    <col min="6920" max="6920" width="2.28515625" style="488" customWidth="1"/>
    <col min="6921" max="6921" width="19.42578125" style="488" customWidth="1"/>
    <col min="6922" max="6922" width="4.140625" style="488" customWidth="1"/>
    <col min="6923" max="6923" width="19.42578125" style="488" customWidth="1"/>
    <col min="6924" max="6924" width="4.140625" style="488" customWidth="1"/>
    <col min="6925" max="6925" width="20" style="488" customWidth="1"/>
    <col min="6926" max="6926" width="16.7109375" style="488" customWidth="1"/>
    <col min="6927" max="6927" width="27.85546875" style="488"/>
    <col min="6928" max="6928" width="20.7109375" style="488" customWidth="1"/>
    <col min="6929" max="6929" width="14.28515625" style="488" customWidth="1"/>
    <col min="6930" max="6930" width="10.140625" style="488" customWidth="1"/>
    <col min="6931" max="6931" width="15.5703125" style="488" customWidth="1"/>
    <col min="6932" max="6932" width="3.140625" style="488" customWidth="1"/>
    <col min="6933" max="6933" width="2.28515625" style="488" customWidth="1"/>
    <col min="6934" max="6957" width="18.85546875" style="488" customWidth="1"/>
    <col min="6958" max="6958" width="47.42578125" style="488" bestFit="1" customWidth="1"/>
    <col min="6959" max="6959" width="20.42578125" style="488" customWidth="1"/>
    <col min="6960" max="6960" width="18.7109375" style="488" customWidth="1"/>
    <col min="6961" max="6961" width="19.28515625" style="488" customWidth="1"/>
    <col min="6962" max="6962" width="18.7109375" style="488" customWidth="1"/>
    <col min="6963" max="6963" width="3.7109375" style="488" customWidth="1"/>
    <col min="6964" max="6964" width="18.7109375" style="488" customWidth="1"/>
    <col min="6965" max="6965" width="43" style="488" customWidth="1"/>
    <col min="6966" max="6967" width="18.7109375" style="488" customWidth="1"/>
    <col min="6968" max="6968" width="3.7109375" style="488" customWidth="1"/>
    <col min="6969" max="7168" width="27.85546875" style="488"/>
    <col min="7169" max="7169" width="17.28515625" style="488" customWidth="1"/>
    <col min="7170" max="7170" width="2.28515625" style="488" customWidth="1"/>
    <col min="7171" max="7171" width="17.42578125" style="488" customWidth="1"/>
    <col min="7172" max="7172" width="2.28515625" style="488" customWidth="1"/>
    <col min="7173" max="7173" width="15.5703125" style="488" bestFit="1" customWidth="1"/>
    <col min="7174" max="7174" width="2.28515625" style="488" customWidth="1"/>
    <col min="7175" max="7175" width="17.42578125" style="488" bestFit="1" customWidth="1"/>
    <col min="7176" max="7176" width="2.28515625" style="488" customWidth="1"/>
    <col min="7177" max="7177" width="19.42578125" style="488" customWidth="1"/>
    <col min="7178" max="7178" width="4.140625" style="488" customWidth="1"/>
    <col min="7179" max="7179" width="19.42578125" style="488" customWidth="1"/>
    <col min="7180" max="7180" width="4.140625" style="488" customWidth="1"/>
    <col min="7181" max="7181" width="20" style="488" customWidth="1"/>
    <col min="7182" max="7182" width="16.7109375" style="488" customWidth="1"/>
    <col min="7183" max="7183" width="27.85546875" style="488"/>
    <col min="7184" max="7184" width="20.7109375" style="488" customWidth="1"/>
    <col min="7185" max="7185" width="14.28515625" style="488" customWidth="1"/>
    <col min="7186" max="7186" width="10.140625" style="488" customWidth="1"/>
    <col min="7187" max="7187" width="15.5703125" style="488" customWidth="1"/>
    <col min="7188" max="7188" width="3.140625" style="488" customWidth="1"/>
    <col min="7189" max="7189" width="2.28515625" style="488" customWidth="1"/>
    <col min="7190" max="7213" width="18.85546875" style="488" customWidth="1"/>
    <col min="7214" max="7214" width="47.42578125" style="488" bestFit="1" customWidth="1"/>
    <col min="7215" max="7215" width="20.42578125" style="488" customWidth="1"/>
    <col min="7216" max="7216" width="18.7109375" style="488" customWidth="1"/>
    <col min="7217" max="7217" width="19.28515625" style="488" customWidth="1"/>
    <col min="7218" max="7218" width="18.7109375" style="488" customWidth="1"/>
    <col min="7219" max="7219" width="3.7109375" style="488" customWidth="1"/>
    <col min="7220" max="7220" width="18.7109375" style="488" customWidth="1"/>
    <col min="7221" max="7221" width="43" style="488" customWidth="1"/>
    <col min="7222" max="7223" width="18.7109375" style="488" customWidth="1"/>
    <col min="7224" max="7224" width="3.7109375" style="488" customWidth="1"/>
    <col min="7225" max="7424" width="27.85546875" style="488"/>
    <col min="7425" max="7425" width="17.28515625" style="488" customWidth="1"/>
    <col min="7426" max="7426" width="2.28515625" style="488" customWidth="1"/>
    <col min="7427" max="7427" width="17.42578125" style="488" customWidth="1"/>
    <col min="7428" max="7428" width="2.28515625" style="488" customWidth="1"/>
    <col min="7429" max="7429" width="15.5703125" style="488" bestFit="1" customWidth="1"/>
    <col min="7430" max="7430" width="2.28515625" style="488" customWidth="1"/>
    <col min="7431" max="7431" width="17.42578125" style="488" bestFit="1" customWidth="1"/>
    <col min="7432" max="7432" width="2.28515625" style="488" customWidth="1"/>
    <col min="7433" max="7433" width="19.42578125" style="488" customWidth="1"/>
    <col min="7434" max="7434" width="4.140625" style="488" customWidth="1"/>
    <col min="7435" max="7435" width="19.42578125" style="488" customWidth="1"/>
    <col min="7436" max="7436" width="4.140625" style="488" customWidth="1"/>
    <col min="7437" max="7437" width="20" style="488" customWidth="1"/>
    <col min="7438" max="7438" width="16.7109375" style="488" customWidth="1"/>
    <col min="7439" max="7439" width="27.85546875" style="488"/>
    <col min="7440" max="7440" width="20.7109375" style="488" customWidth="1"/>
    <col min="7441" max="7441" width="14.28515625" style="488" customWidth="1"/>
    <col min="7442" max="7442" width="10.140625" style="488" customWidth="1"/>
    <col min="7443" max="7443" width="15.5703125" style="488" customWidth="1"/>
    <col min="7444" max="7444" width="3.140625" style="488" customWidth="1"/>
    <col min="7445" max="7445" width="2.28515625" style="488" customWidth="1"/>
    <col min="7446" max="7469" width="18.85546875" style="488" customWidth="1"/>
    <col min="7470" max="7470" width="47.42578125" style="488" bestFit="1" customWidth="1"/>
    <col min="7471" max="7471" width="20.42578125" style="488" customWidth="1"/>
    <col min="7472" max="7472" width="18.7109375" style="488" customWidth="1"/>
    <col min="7473" max="7473" width="19.28515625" style="488" customWidth="1"/>
    <col min="7474" max="7474" width="18.7109375" style="488" customWidth="1"/>
    <col min="7475" max="7475" width="3.7109375" style="488" customWidth="1"/>
    <col min="7476" max="7476" width="18.7109375" style="488" customWidth="1"/>
    <col min="7477" max="7477" width="43" style="488" customWidth="1"/>
    <col min="7478" max="7479" width="18.7109375" style="488" customWidth="1"/>
    <col min="7480" max="7480" width="3.7109375" style="488" customWidth="1"/>
    <col min="7481" max="7680" width="27.85546875" style="488"/>
    <col min="7681" max="7681" width="17.28515625" style="488" customWidth="1"/>
    <col min="7682" max="7682" width="2.28515625" style="488" customWidth="1"/>
    <col min="7683" max="7683" width="17.42578125" style="488" customWidth="1"/>
    <col min="7684" max="7684" width="2.28515625" style="488" customWidth="1"/>
    <col min="7685" max="7685" width="15.5703125" style="488" bestFit="1" customWidth="1"/>
    <col min="7686" max="7686" width="2.28515625" style="488" customWidth="1"/>
    <col min="7687" max="7687" width="17.42578125" style="488" bestFit="1" customWidth="1"/>
    <col min="7688" max="7688" width="2.28515625" style="488" customWidth="1"/>
    <col min="7689" max="7689" width="19.42578125" style="488" customWidth="1"/>
    <col min="7690" max="7690" width="4.140625" style="488" customWidth="1"/>
    <col min="7691" max="7691" width="19.42578125" style="488" customWidth="1"/>
    <col min="7692" max="7692" width="4.140625" style="488" customWidth="1"/>
    <col min="7693" max="7693" width="20" style="488" customWidth="1"/>
    <col min="7694" max="7694" width="16.7109375" style="488" customWidth="1"/>
    <col min="7695" max="7695" width="27.85546875" style="488"/>
    <col min="7696" max="7696" width="20.7109375" style="488" customWidth="1"/>
    <col min="7697" max="7697" width="14.28515625" style="488" customWidth="1"/>
    <col min="7698" max="7698" width="10.140625" style="488" customWidth="1"/>
    <col min="7699" max="7699" width="15.5703125" style="488" customWidth="1"/>
    <col min="7700" max="7700" width="3.140625" style="488" customWidth="1"/>
    <col min="7701" max="7701" width="2.28515625" style="488" customWidth="1"/>
    <col min="7702" max="7725" width="18.85546875" style="488" customWidth="1"/>
    <col min="7726" max="7726" width="47.42578125" style="488" bestFit="1" customWidth="1"/>
    <col min="7727" max="7727" width="20.42578125" style="488" customWidth="1"/>
    <col min="7728" max="7728" width="18.7109375" style="488" customWidth="1"/>
    <col min="7729" max="7729" width="19.28515625" style="488" customWidth="1"/>
    <col min="7730" max="7730" width="18.7109375" style="488" customWidth="1"/>
    <col min="7731" max="7731" width="3.7109375" style="488" customWidth="1"/>
    <col min="7732" max="7732" width="18.7109375" style="488" customWidth="1"/>
    <col min="7733" max="7733" width="43" style="488" customWidth="1"/>
    <col min="7734" max="7735" width="18.7109375" style="488" customWidth="1"/>
    <col min="7736" max="7736" width="3.7109375" style="488" customWidth="1"/>
    <col min="7737" max="7936" width="27.85546875" style="488"/>
    <col min="7937" max="7937" width="17.28515625" style="488" customWidth="1"/>
    <col min="7938" max="7938" width="2.28515625" style="488" customWidth="1"/>
    <col min="7939" max="7939" width="17.42578125" style="488" customWidth="1"/>
    <col min="7940" max="7940" width="2.28515625" style="488" customWidth="1"/>
    <col min="7941" max="7941" width="15.5703125" style="488" bestFit="1" customWidth="1"/>
    <col min="7942" max="7942" width="2.28515625" style="488" customWidth="1"/>
    <col min="7943" max="7943" width="17.42578125" style="488" bestFit="1" customWidth="1"/>
    <col min="7944" max="7944" width="2.28515625" style="488" customWidth="1"/>
    <col min="7945" max="7945" width="19.42578125" style="488" customWidth="1"/>
    <col min="7946" max="7946" width="4.140625" style="488" customWidth="1"/>
    <col min="7947" max="7947" width="19.42578125" style="488" customWidth="1"/>
    <col min="7948" max="7948" width="4.140625" style="488" customWidth="1"/>
    <col min="7949" max="7949" width="20" style="488" customWidth="1"/>
    <col min="7950" max="7950" width="16.7109375" style="488" customWidth="1"/>
    <col min="7951" max="7951" width="27.85546875" style="488"/>
    <col min="7952" max="7952" width="20.7109375" style="488" customWidth="1"/>
    <col min="7953" max="7953" width="14.28515625" style="488" customWidth="1"/>
    <col min="7954" max="7954" width="10.140625" style="488" customWidth="1"/>
    <col min="7955" max="7955" width="15.5703125" style="488" customWidth="1"/>
    <col min="7956" max="7956" width="3.140625" style="488" customWidth="1"/>
    <col min="7957" max="7957" width="2.28515625" style="488" customWidth="1"/>
    <col min="7958" max="7981" width="18.85546875" style="488" customWidth="1"/>
    <col min="7982" max="7982" width="47.42578125" style="488" bestFit="1" customWidth="1"/>
    <col min="7983" max="7983" width="20.42578125" style="488" customWidth="1"/>
    <col min="7984" max="7984" width="18.7109375" style="488" customWidth="1"/>
    <col min="7985" max="7985" width="19.28515625" style="488" customWidth="1"/>
    <col min="7986" max="7986" width="18.7109375" style="488" customWidth="1"/>
    <col min="7987" max="7987" width="3.7109375" style="488" customWidth="1"/>
    <col min="7988" max="7988" width="18.7109375" style="488" customWidth="1"/>
    <col min="7989" max="7989" width="43" style="488" customWidth="1"/>
    <col min="7990" max="7991" width="18.7109375" style="488" customWidth="1"/>
    <col min="7992" max="7992" width="3.7109375" style="488" customWidth="1"/>
    <col min="7993" max="8192" width="27.85546875" style="488"/>
    <col min="8193" max="8193" width="17.28515625" style="488" customWidth="1"/>
    <col min="8194" max="8194" width="2.28515625" style="488" customWidth="1"/>
    <col min="8195" max="8195" width="17.42578125" style="488" customWidth="1"/>
    <col min="8196" max="8196" width="2.28515625" style="488" customWidth="1"/>
    <col min="8197" max="8197" width="15.5703125" style="488" bestFit="1" customWidth="1"/>
    <col min="8198" max="8198" width="2.28515625" style="488" customWidth="1"/>
    <col min="8199" max="8199" width="17.42578125" style="488" bestFit="1" customWidth="1"/>
    <col min="8200" max="8200" width="2.28515625" style="488" customWidth="1"/>
    <col min="8201" max="8201" width="19.42578125" style="488" customWidth="1"/>
    <col min="8202" max="8202" width="4.140625" style="488" customWidth="1"/>
    <col min="8203" max="8203" width="19.42578125" style="488" customWidth="1"/>
    <col min="8204" max="8204" width="4.140625" style="488" customWidth="1"/>
    <col min="8205" max="8205" width="20" style="488" customWidth="1"/>
    <col min="8206" max="8206" width="16.7109375" style="488" customWidth="1"/>
    <col min="8207" max="8207" width="27.85546875" style="488"/>
    <col min="8208" max="8208" width="20.7109375" style="488" customWidth="1"/>
    <col min="8209" max="8209" width="14.28515625" style="488" customWidth="1"/>
    <col min="8210" max="8210" width="10.140625" style="488" customWidth="1"/>
    <col min="8211" max="8211" width="15.5703125" style="488" customWidth="1"/>
    <col min="8212" max="8212" width="3.140625" style="488" customWidth="1"/>
    <col min="8213" max="8213" width="2.28515625" style="488" customWidth="1"/>
    <col min="8214" max="8237" width="18.85546875" style="488" customWidth="1"/>
    <col min="8238" max="8238" width="47.42578125" style="488" bestFit="1" customWidth="1"/>
    <col min="8239" max="8239" width="20.42578125" style="488" customWidth="1"/>
    <col min="8240" max="8240" width="18.7109375" style="488" customWidth="1"/>
    <col min="8241" max="8241" width="19.28515625" style="488" customWidth="1"/>
    <col min="8242" max="8242" width="18.7109375" style="488" customWidth="1"/>
    <col min="8243" max="8243" width="3.7109375" style="488" customWidth="1"/>
    <col min="8244" max="8244" width="18.7109375" style="488" customWidth="1"/>
    <col min="8245" max="8245" width="43" style="488" customWidth="1"/>
    <col min="8246" max="8247" width="18.7109375" style="488" customWidth="1"/>
    <col min="8248" max="8248" width="3.7109375" style="488" customWidth="1"/>
    <col min="8249" max="8448" width="27.85546875" style="488"/>
    <col min="8449" max="8449" width="17.28515625" style="488" customWidth="1"/>
    <col min="8450" max="8450" width="2.28515625" style="488" customWidth="1"/>
    <col min="8451" max="8451" width="17.42578125" style="488" customWidth="1"/>
    <col min="8452" max="8452" width="2.28515625" style="488" customWidth="1"/>
    <col min="8453" max="8453" width="15.5703125" style="488" bestFit="1" customWidth="1"/>
    <col min="8454" max="8454" width="2.28515625" style="488" customWidth="1"/>
    <col min="8455" max="8455" width="17.42578125" style="488" bestFit="1" customWidth="1"/>
    <col min="8456" max="8456" width="2.28515625" style="488" customWidth="1"/>
    <col min="8457" max="8457" width="19.42578125" style="488" customWidth="1"/>
    <col min="8458" max="8458" width="4.140625" style="488" customWidth="1"/>
    <col min="8459" max="8459" width="19.42578125" style="488" customWidth="1"/>
    <col min="8460" max="8460" width="4.140625" style="488" customWidth="1"/>
    <col min="8461" max="8461" width="20" style="488" customWidth="1"/>
    <col min="8462" max="8462" width="16.7109375" style="488" customWidth="1"/>
    <col min="8463" max="8463" width="27.85546875" style="488"/>
    <col min="8464" max="8464" width="20.7109375" style="488" customWidth="1"/>
    <col min="8465" max="8465" width="14.28515625" style="488" customWidth="1"/>
    <col min="8466" max="8466" width="10.140625" style="488" customWidth="1"/>
    <col min="8467" max="8467" width="15.5703125" style="488" customWidth="1"/>
    <col min="8468" max="8468" width="3.140625" style="488" customWidth="1"/>
    <col min="8469" max="8469" width="2.28515625" style="488" customWidth="1"/>
    <col min="8470" max="8493" width="18.85546875" style="488" customWidth="1"/>
    <col min="8494" max="8494" width="47.42578125" style="488" bestFit="1" customWidth="1"/>
    <col min="8495" max="8495" width="20.42578125" style="488" customWidth="1"/>
    <col min="8496" max="8496" width="18.7109375" style="488" customWidth="1"/>
    <col min="8497" max="8497" width="19.28515625" style="488" customWidth="1"/>
    <col min="8498" max="8498" width="18.7109375" style="488" customWidth="1"/>
    <col min="8499" max="8499" width="3.7109375" style="488" customWidth="1"/>
    <col min="8500" max="8500" width="18.7109375" style="488" customWidth="1"/>
    <col min="8501" max="8501" width="43" style="488" customWidth="1"/>
    <col min="8502" max="8503" width="18.7109375" style="488" customWidth="1"/>
    <col min="8504" max="8504" width="3.7109375" style="488" customWidth="1"/>
    <col min="8505" max="8704" width="27.85546875" style="488"/>
    <col min="8705" max="8705" width="17.28515625" style="488" customWidth="1"/>
    <col min="8706" max="8706" width="2.28515625" style="488" customWidth="1"/>
    <col min="8707" max="8707" width="17.42578125" style="488" customWidth="1"/>
    <col min="8708" max="8708" width="2.28515625" style="488" customWidth="1"/>
    <col min="8709" max="8709" width="15.5703125" style="488" bestFit="1" customWidth="1"/>
    <col min="8710" max="8710" width="2.28515625" style="488" customWidth="1"/>
    <col min="8711" max="8711" width="17.42578125" style="488" bestFit="1" customWidth="1"/>
    <col min="8712" max="8712" width="2.28515625" style="488" customWidth="1"/>
    <col min="8713" max="8713" width="19.42578125" style="488" customWidth="1"/>
    <col min="8714" max="8714" width="4.140625" style="488" customWidth="1"/>
    <col min="8715" max="8715" width="19.42578125" style="488" customWidth="1"/>
    <col min="8716" max="8716" width="4.140625" style="488" customWidth="1"/>
    <col min="8717" max="8717" width="20" style="488" customWidth="1"/>
    <col min="8718" max="8718" width="16.7109375" style="488" customWidth="1"/>
    <col min="8719" max="8719" width="27.85546875" style="488"/>
    <col min="8720" max="8720" width="20.7109375" style="488" customWidth="1"/>
    <col min="8721" max="8721" width="14.28515625" style="488" customWidth="1"/>
    <col min="8722" max="8722" width="10.140625" style="488" customWidth="1"/>
    <col min="8723" max="8723" width="15.5703125" style="488" customWidth="1"/>
    <col min="8724" max="8724" width="3.140625" style="488" customWidth="1"/>
    <col min="8725" max="8725" width="2.28515625" style="488" customWidth="1"/>
    <col min="8726" max="8749" width="18.85546875" style="488" customWidth="1"/>
    <col min="8750" max="8750" width="47.42578125" style="488" bestFit="1" customWidth="1"/>
    <col min="8751" max="8751" width="20.42578125" style="488" customWidth="1"/>
    <col min="8752" max="8752" width="18.7109375" style="488" customWidth="1"/>
    <col min="8753" max="8753" width="19.28515625" style="488" customWidth="1"/>
    <col min="8754" max="8754" width="18.7109375" style="488" customWidth="1"/>
    <col min="8755" max="8755" width="3.7109375" style="488" customWidth="1"/>
    <col min="8756" max="8756" width="18.7109375" style="488" customWidth="1"/>
    <col min="8757" max="8757" width="43" style="488" customWidth="1"/>
    <col min="8758" max="8759" width="18.7109375" style="488" customWidth="1"/>
    <col min="8760" max="8760" width="3.7109375" style="488" customWidth="1"/>
    <col min="8761" max="8960" width="27.85546875" style="488"/>
    <col min="8961" max="8961" width="17.28515625" style="488" customWidth="1"/>
    <col min="8962" max="8962" width="2.28515625" style="488" customWidth="1"/>
    <col min="8963" max="8963" width="17.42578125" style="488" customWidth="1"/>
    <col min="8964" max="8964" width="2.28515625" style="488" customWidth="1"/>
    <col min="8965" max="8965" width="15.5703125" style="488" bestFit="1" customWidth="1"/>
    <col min="8966" max="8966" width="2.28515625" style="488" customWidth="1"/>
    <col min="8967" max="8967" width="17.42578125" style="488" bestFit="1" customWidth="1"/>
    <col min="8968" max="8968" width="2.28515625" style="488" customWidth="1"/>
    <col min="8969" max="8969" width="19.42578125" style="488" customWidth="1"/>
    <col min="8970" max="8970" width="4.140625" style="488" customWidth="1"/>
    <col min="8971" max="8971" width="19.42578125" style="488" customWidth="1"/>
    <col min="8972" max="8972" width="4.140625" style="488" customWidth="1"/>
    <col min="8973" max="8973" width="20" style="488" customWidth="1"/>
    <col min="8974" max="8974" width="16.7109375" style="488" customWidth="1"/>
    <col min="8975" max="8975" width="27.85546875" style="488"/>
    <col min="8976" max="8976" width="20.7109375" style="488" customWidth="1"/>
    <col min="8977" max="8977" width="14.28515625" style="488" customWidth="1"/>
    <col min="8978" max="8978" width="10.140625" style="488" customWidth="1"/>
    <col min="8979" max="8979" width="15.5703125" style="488" customWidth="1"/>
    <col min="8980" max="8980" width="3.140625" style="488" customWidth="1"/>
    <col min="8981" max="8981" width="2.28515625" style="488" customWidth="1"/>
    <col min="8982" max="9005" width="18.85546875" style="488" customWidth="1"/>
    <col min="9006" max="9006" width="47.42578125" style="488" bestFit="1" customWidth="1"/>
    <col min="9007" max="9007" width="20.42578125" style="488" customWidth="1"/>
    <col min="9008" max="9008" width="18.7109375" style="488" customWidth="1"/>
    <col min="9009" max="9009" width="19.28515625" style="488" customWidth="1"/>
    <col min="9010" max="9010" width="18.7109375" style="488" customWidth="1"/>
    <col min="9011" max="9011" width="3.7109375" style="488" customWidth="1"/>
    <col min="9012" max="9012" width="18.7109375" style="488" customWidth="1"/>
    <col min="9013" max="9013" width="43" style="488" customWidth="1"/>
    <col min="9014" max="9015" width="18.7109375" style="488" customWidth="1"/>
    <col min="9016" max="9016" width="3.7109375" style="488" customWidth="1"/>
    <col min="9017" max="9216" width="27.85546875" style="488"/>
    <col min="9217" max="9217" width="17.28515625" style="488" customWidth="1"/>
    <col min="9218" max="9218" width="2.28515625" style="488" customWidth="1"/>
    <col min="9219" max="9219" width="17.42578125" style="488" customWidth="1"/>
    <col min="9220" max="9220" width="2.28515625" style="488" customWidth="1"/>
    <col min="9221" max="9221" width="15.5703125" style="488" bestFit="1" customWidth="1"/>
    <col min="9222" max="9222" width="2.28515625" style="488" customWidth="1"/>
    <col min="9223" max="9223" width="17.42578125" style="488" bestFit="1" customWidth="1"/>
    <col min="9224" max="9224" width="2.28515625" style="488" customWidth="1"/>
    <col min="9225" max="9225" width="19.42578125" style="488" customWidth="1"/>
    <col min="9226" max="9226" width="4.140625" style="488" customWidth="1"/>
    <col min="9227" max="9227" width="19.42578125" style="488" customWidth="1"/>
    <col min="9228" max="9228" width="4.140625" style="488" customWidth="1"/>
    <col min="9229" max="9229" width="20" style="488" customWidth="1"/>
    <col min="9230" max="9230" width="16.7109375" style="488" customWidth="1"/>
    <col min="9231" max="9231" width="27.85546875" style="488"/>
    <col min="9232" max="9232" width="20.7109375" style="488" customWidth="1"/>
    <col min="9233" max="9233" width="14.28515625" style="488" customWidth="1"/>
    <col min="9234" max="9234" width="10.140625" style="488" customWidth="1"/>
    <col min="9235" max="9235" width="15.5703125" style="488" customWidth="1"/>
    <col min="9236" max="9236" width="3.140625" style="488" customWidth="1"/>
    <col min="9237" max="9237" width="2.28515625" style="488" customWidth="1"/>
    <col min="9238" max="9261" width="18.85546875" style="488" customWidth="1"/>
    <col min="9262" max="9262" width="47.42578125" style="488" bestFit="1" customWidth="1"/>
    <col min="9263" max="9263" width="20.42578125" style="488" customWidth="1"/>
    <col min="9264" max="9264" width="18.7109375" style="488" customWidth="1"/>
    <col min="9265" max="9265" width="19.28515625" style="488" customWidth="1"/>
    <col min="9266" max="9266" width="18.7109375" style="488" customWidth="1"/>
    <col min="9267" max="9267" width="3.7109375" style="488" customWidth="1"/>
    <col min="9268" max="9268" width="18.7109375" style="488" customWidth="1"/>
    <col min="9269" max="9269" width="43" style="488" customWidth="1"/>
    <col min="9270" max="9271" width="18.7109375" style="488" customWidth="1"/>
    <col min="9272" max="9272" width="3.7109375" style="488" customWidth="1"/>
    <col min="9273" max="9472" width="27.85546875" style="488"/>
    <col min="9473" max="9473" width="17.28515625" style="488" customWidth="1"/>
    <col min="9474" max="9474" width="2.28515625" style="488" customWidth="1"/>
    <col min="9475" max="9475" width="17.42578125" style="488" customWidth="1"/>
    <col min="9476" max="9476" width="2.28515625" style="488" customWidth="1"/>
    <col min="9477" max="9477" width="15.5703125" style="488" bestFit="1" customWidth="1"/>
    <col min="9478" max="9478" width="2.28515625" style="488" customWidth="1"/>
    <col min="9479" max="9479" width="17.42578125" style="488" bestFit="1" customWidth="1"/>
    <col min="9480" max="9480" width="2.28515625" style="488" customWidth="1"/>
    <col min="9481" max="9481" width="19.42578125" style="488" customWidth="1"/>
    <col min="9482" max="9482" width="4.140625" style="488" customWidth="1"/>
    <col min="9483" max="9483" width="19.42578125" style="488" customWidth="1"/>
    <col min="9484" max="9484" width="4.140625" style="488" customWidth="1"/>
    <col min="9485" max="9485" width="20" style="488" customWidth="1"/>
    <col min="9486" max="9486" width="16.7109375" style="488" customWidth="1"/>
    <col min="9487" max="9487" width="27.85546875" style="488"/>
    <col min="9488" max="9488" width="20.7109375" style="488" customWidth="1"/>
    <col min="9489" max="9489" width="14.28515625" style="488" customWidth="1"/>
    <col min="9490" max="9490" width="10.140625" style="488" customWidth="1"/>
    <col min="9491" max="9491" width="15.5703125" style="488" customWidth="1"/>
    <col min="9492" max="9492" width="3.140625" style="488" customWidth="1"/>
    <col min="9493" max="9493" width="2.28515625" style="488" customWidth="1"/>
    <col min="9494" max="9517" width="18.85546875" style="488" customWidth="1"/>
    <col min="9518" max="9518" width="47.42578125" style="488" bestFit="1" customWidth="1"/>
    <col min="9519" max="9519" width="20.42578125" style="488" customWidth="1"/>
    <col min="9520" max="9520" width="18.7109375" style="488" customWidth="1"/>
    <col min="9521" max="9521" width="19.28515625" style="488" customWidth="1"/>
    <col min="9522" max="9522" width="18.7109375" style="488" customWidth="1"/>
    <col min="9523" max="9523" width="3.7109375" style="488" customWidth="1"/>
    <col min="9524" max="9524" width="18.7109375" style="488" customWidth="1"/>
    <col min="9525" max="9525" width="43" style="488" customWidth="1"/>
    <col min="9526" max="9527" width="18.7109375" style="488" customWidth="1"/>
    <col min="9528" max="9528" width="3.7109375" style="488" customWidth="1"/>
    <col min="9529" max="9728" width="27.85546875" style="488"/>
    <col min="9729" max="9729" width="17.28515625" style="488" customWidth="1"/>
    <col min="9730" max="9730" width="2.28515625" style="488" customWidth="1"/>
    <col min="9731" max="9731" width="17.42578125" style="488" customWidth="1"/>
    <col min="9732" max="9732" width="2.28515625" style="488" customWidth="1"/>
    <col min="9733" max="9733" width="15.5703125" style="488" bestFit="1" customWidth="1"/>
    <col min="9734" max="9734" width="2.28515625" style="488" customWidth="1"/>
    <col min="9735" max="9735" width="17.42578125" style="488" bestFit="1" customWidth="1"/>
    <col min="9736" max="9736" width="2.28515625" style="488" customWidth="1"/>
    <col min="9737" max="9737" width="19.42578125" style="488" customWidth="1"/>
    <col min="9738" max="9738" width="4.140625" style="488" customWidth="1"/>
    <col min="9739" max="9739" width="19.42578125" style="488" customWidth="1"/>
    <col min="9740" max="9740" width="4.140625" style="488" customWidth="1"/>
    <col min="9741" max="9741" width="20" style="488" customWidth="1"/>
    <col min="9742" max="9742" width="16.7109375" style="488" customWidth="1"/>
    <col min="9743" max="9743" width="27.85546875" style="488"/>
    <col min="9744" max="9744" width="20.7109375" style="488" customWidth="1"/>
    <col min="9745" max="9745" width="14.28515625" style="488" customWidth="1"/>
    <col min="9746" max="9746" width="10.140625" style="488" customWidth="1"/>
    <col min="9747" max="9747" width="15.5703125" style="488" customWidth="1"/>
    <col min="9748" max="9748" width="3.140625" style="488" customWidth="1"/>
    <col min="9749" max="9749" width="2.28515625" style="488" customWidth="1"/>
    <col min="9750" max="9773" width="18.85546875" style="488" customWidth="1"/>
    <col min="9774" max="9774" width="47.42578125" style="488" bestFit="1" customWidth="1"/>
    <col min="9775" max="9775" width="20.42578125" style="488" customWidth="1"/>
    <col min="9776" max="9776" width="18.7109375" style="488" customWidth="1"/>
    <col min="9777" max="9777" width="19.28515625" style="488" customWidth="1"/>
    <col min="9778" max="9778" width="18.7109375" style="488" customWidth="1"/>
    <col min="9779" max="9779" width="3.7109375" style="488" customWidth="1"/>
    <col min="9780" max="9780" width="18.7109375" style="488" customWidth="1"/>
    <col min="9781" max="9781" width="43" style="488" customWidth="1"/>
    <col min="9782" max="9783" width="18.7109375" style="488" customWidth="1"/>
    <col min="9784" max="9784" width="3.7109375" style="488" customWidth="1"/>
    <col min="9785" max="9984" width="27.85546875" style="488"/>
    <col min="9985" max="9985" width="17.28515625" style="488" customWidth="1"/>
    <col min="9986" max="9986" width="2.28515625" style="488" customWidth="1"/>
    <col min="9987" max="9987" width="17.42578125" style="488" customWidth="1"/>
    <col min="9988" max="9988" width="2.28515625" style="488" customWidth="1"/>
    <col min="9989" max="9989" width="15.5703125" style="488" bestFit="1" customWidth="1"/>
    <col min="9990" max="9990" width="2.28515625" style="488" customWidth="1"/>
    <col min="9991" max="9991" width="17.42578125" style="488" bestFit="1" customWidth="1"/>
    <col min="9992" max="9992" width="2.28515625" style="488" customWidth="1"/>
    <col min="9993" max="9993" width="19.42578125" style="488" customWidth="1"/>
    <col min="9994" max="9994" width="4.140625" style="488" customWidth="1"/>
    <col min="9995" max="9995" width="19.42578125" style="488" customWidth="1"/>
    <col min="9996" max="9996" width="4.140625" style="488" customWidth="1"/>
    <col min="9997" max="9997" width="20" style="488" customWidth="1"/>
    <col min="9998" max="9998" width="16.7109375" style="488" customWidth="1"/>
    <col min="9999" max="9999" width="27.85546875" style="488"/>
    <col min="10000" max="10000" width="20.7109375" style="488" customWidth="1"/>
    <col min="10001" max="10001" width="14.28515625" style="488" customWidth="1"/>
    <col min="10002" max="10002" width="10.140625" style="488" customWidth="1"/>
    <col min="10003" max="10003" width="15.5703125" style="488" customWidth="1"/>
    <col min="10004" max="10004" width="3.140625" style="488" customWidth="1"/>
    <col min="10005" max="10005" width="2.28515625" style="488" customWidth="1"/>
    <col min="10006" max="10029" width="18.85546875" style="488" customWidth="1"/>
    <col min="10030" max="10030" width="47.42578125" style="488" bestFit="1" customWidth="1"/>
    <col min="10031" max="10031" width="20.42578125" style="488" customWidth="1"/>
    <col min="10032" max="10032" width="18.7109375" style="488" customWidth="1"/>
    <col min="10033" max="10033" width="19.28515625" style="488" customWidth="1"/>
    <col min="10034" max="10034" width="18.7109375" style="488" customWidth="1"/>
    <col min="10035" max="10035" width="3.7109375" style="488" customWidth="1"/>
    <col min="10036" max="10036" width="18.7109375" style="488" customWidth="1"/>
    <col min="10037" max="10037" width="43" style="488" customWidth="1"/>
    <col min="10038" max="10039" width="18.7109375" style="488" customWidth="1"/>
    <col min="10040" max="10040" width="3.7109375" style="488" customWidth="1"/>
    <col min="10041" max="10240" width="27.85546875" style="488"/>
    <col min="10241" max="10241" width="17.28515625" style="488" customWidth="1"/>
    <col min="10242" max="10242" width="2.28515625" style="488" customWidth="1"/>
    <col min="10243" max="10243" width="17.42578125" style="488" customWidth="1"/>
    <col min="10244" max="10244" width="2.28515625" style="488" customWidth="1"/>
    <col min="10245" max="10245" width="15.5703125" style="488" bestFit="1" customWidth="1"/>
    <col min="10246" max="10246" width="2.28515625" style="488" customWidth="1"/>
    <col min="10247" max="10247" width="17.42578125" style="488" bestFit="1" customWidth="1"/>
    <col min="10248" max="10248" width="2.28515625" style="488" customWidth="1"/>
    <col min="10249" max="10249" width="19.42578125" style="488" customWidth="1"/>
    <col min="10250" max="10250" width="4.140625" style="488" customWidth="1"/>
    <col min="10251" max="10251" width="19.42578125" style="488" customWidth="1"/>
    <col min="10252" max="10252" width="4.140625" style="488" customWidth="1"/>
    <col min="10253" max="10253" width="20" style="488" customWidth="1"/>
    <col min="10254" max="10254" width="16.7109375" style="488" customWidth="1"/>
    <col min="10255" max="10255" width="27.85546875" style="488"/>
    <col min="10256" max="10256" width="20.7109375" style="488" customWidth="1"/>
    <col min="10257" max="10257" width="14.28515625" style="488" customWidth="1"/>
    <col min="10258" max="10258" width="10.140625" style="488" customWidth="1"/>
    <col min="10259" max="10259" width="15.5703125" style="488" customWidth="1"/>
    <col min="10260" max="10260" width="3.140625" style="488" customWidth="1"/>
    <col min="10261" max="10261" width="2.28515625" style="488" customWidth="1"/>
    <col min="10262" max="10285" width="18.85546875" style="488" customWidth="1"/>
    <col min="10286" max="10286" width="47.42578125" style="488" bestFit="1" customWidth="1"/>
    <col min="10287" max="10287" width="20.42578125" style="488" customWidth="1"/>
    <col min="10288" max="10288" width="18.7109375" style="488" customWidth="1"/>
    <col min="10289" max="10289" width="19.28515625" style="488" customWidth="1"/>
    <col min="10290" max="10290" width="18.7109375" style="488" customWidth="1"/>
    <col min="10291" max="10291" width="3.7109375" style="488" customWidth="1"/>
    <col min="10292" max="10292" width="18.7109375" style="488" customWidth="1"/>
    <col min="10293" max="10293" width="43" style="488" customWidth="1"/>
    <col min="10294" max="10295" width="18.7109375" style="488" customWidth="1"/>
    <col min="10296" max="10296" width="3.7109375" style="488" customWidth="1"/>
    <col min="10297" max="10496" width="27.85546875" style="488"/>
    <col min="10497" max="10497" width="17.28515625" style="488" customWidth="1"/>
    <col min="10498" max="10498" width="2.28515625" style="488" customWidth="1"/>
    <col min="10499" max="10499" width="17.42578125" style="488" customWidth="1"/>
    <col min="10500" max="10500" width="2.28515625" style="488" customWidth="1"/>
    <col min="10501" max="10501" width="15.5703125" style="488" bestFit="1" customWidth="1"/>
    <col min="10502" max="10502" width="2.28515625" style="488" customWidth="1"/>
    <col min="10503" max="10503" width="17.42578125" style="488" bestFit="1" customWidth="1"/>
    <col min="10504" max="10504" width="2.28515625" style="488" customWidth="1"/>
    <col min="10505" max="10505" width="19.42578125" style="488" customWidth="1"/>
    <col min="10506" max="10506" width="4.140625" style="488" customWidth="1"/>
    <col min="10507" max="10507" width="19.42578125" style="488" customWidth="1"/>
    <col min="10508" max="10508" width="4.140625" style="488" customWidth="1"/>
    <col min="10509" max="10509" width="20" style="488" customWidth="1"/>
    <col min="10510" max="10510" width="16.7109375" style="488" customWidth="1"/>
    <col min="10511" max="10511" width="27.85546875" style="488"/>
    <col min="10512" max="10512" width="20.7109375" style="488" customWidth="1"/>
    <col min="10513" max="10513" width="14.28515625" style="488" customWidth="1"/>
    <col min="10514" max="10514" width="10.140625" style="488" customWidth="1"/>
    <col min="10515" max="10515" width="15.5703125" style="488" customWidth="1"/>
    <col min="10516" max="10516" width="3.140625" style="488" customWidth="1"/>
    <col min="10517" max="10517" width="2.28515625" style="488" customWidth="1"/>
    <col min="10518" max="10541" width="18.85546875" style="488" customWidth="1"/>
    <col min="10542" max="10542" width="47.42578125" style="488" bestFit="1" customWidth="1"/>
    <col min="10543" max="10543" width="20.42578125" style="488" customWidth="1"/>
    <col min="10544" max="10544" width="18.7109375" style="488" customWidth="1"/>
    <col min="10545" max="10545" width="19.28515625" style="488" customWidth="1"/>
    <col min="10546" max="10546" width="18.7109375" style="488" customWidth="1"/>
    <col min="10547" max="10547" width="3.7109375" style="488" customWidth="1"/>
    <col min="10548" max="10548" width="18.7109375" style="488" customWidth="1"/>
    <col min="10549" max="10549" width="43" style="488" customWidth="1"/>
    <col min="10550" max="10551" width="18.7109375" style="488" customWidth="1"/>
    <col min="10552" max="10552" width="3.7109375" style="488" customWidth="1"/>
    <col min="10553" max="10752" width="27.85546875" style="488"/>
    <col min="10753" max="10753" width="17.28515625" style="488" customWidth="1"/>
    <col min="10754" max="10754" width="2.28515625" style="488" customWidth="1"/>
    <col min="10755" max="10755" width="17.42578125" style="488" customWidth="1"/>
    <col min="10756" max="10756" width="2.28515625" style="488" customWidth="1"/>
    <col min="10757" max="10757" width="15.5703125" style="488" bestFit="1" customWidth="1"/>
    <col min="10758" max="10758" width="2.28515625" style="488" customWidth="1"/>
    <col min="10759" max="10759" width="17.42578125" style="488" bestFit="1" customWidth="1"/>
    <col min="10760" max="10760" width="2.28515625" style="488" customWidth="1"/>
    <col min="10761" max="10761" width="19.42578125" style="488" customWidth="1"/>
    <col min="10762" max="10762" width="4.140625" style="488" customWidth="1"/>
    <col min="10763" max="10763" width="19.42578125" style="488" customWidth="1"/>
    <col min="10764" max="10764" width="4.140625" style="488" customWidth="1"/>
    <col min="10765" max="10765" width="20" style="488" customWidth="1"/>
    <col min="10766" max="10766" width="16.7109375" style="488" customWidth="1"/>
    <col min="10767" max="10767" width="27.85546875" style="488"/>
    <col min="10768" max="10768" width="20.7109375" style="488" customWidth="1"/>
    <col min="10769" max="10769" width="14.28515625" style="488" customWidth="1"/>
    <col min="10770" max="10770" width="10.140625" style="488" customWidth="1"/>
    <col min="10771" max="10771" width="15.5703125" style="488" customWidth="1"/>
    <col min="10772" max="10772" width="3.140625" style="488" customWidth="1"/>
    <col min="10773" max="10773" width="2.28515625" style="488" customWidth="1"/>
    <col min="10774" max="10797" width="18.85546875" style="488" customWidth="1"/>
    <col min="10798" max="10798" width="47.42578125" style="488" bestFit="1" customWidth="1"/>
    <col min="10799" max="10799" width="20.42578125" style="488" customWidth="1"/>
    <col min="10800" max="10800" width="18.7109375" style="488" customWidth="1"/>
    <col min="10801" max="10801" width="19.28515625" style="488" customWidth="1"/>
    <col min="10802" max="10802" width="18.7109375" style="488" customWidth="1"/>
    <col min="10803" max="10803" width="3.7109375" style="488" customWidth="1"/>
    <col min="10804" max="10804" width="18.7109375" style="488" customWidth="1"/>
    <col min="10805" max="10805" width="43" style="488" customWidth="1"/>
    <col min="10806" max="10807" width="18.7109375" style="488" customWidth="1"/>
    <col min="10808" max="10808" width="3.7109375" style="488" customWidth="1"/>
    <col min="10809" max="11008" width="27.85546875" style="488"/>
    <col min="11009" max="11009" width="17.28515625" style="488" customWidth="1"/>
    <col min="11010" max="11010" width="2.28515625" style="488" customWidth="1"/>
    <col min="11011" max="11011" width="17.42578125" style="488" customWidth="1"/>
    <col min="11012" max="11012" width="2.28515625" style="488" customWidth="1"/>
    <col min="11013" max="11013" width="15.5703125" style="488" bestFit="1" customWidth="1"/>
    <col min="11014" max="11014" width="2.28515625" style="488" customWidth="1"/>
    <col min="11015" max="11015" width="17.42578125" style="488" bestFit="1" customWidth="1"/>
    <col min="11016" max="11016" width="2.28515625" style="488" customWidth="1"/>
    <col min="11017" max="11017" width="19.42578125" style="488" customWidth="1"/>
    <col min="11018" max="11018" width="4.140625" style="488" customWidth="1"/>
    <col min="11019" max="11019" width="19.42578125" style="488" customWidth="1"/>
    <col min="11020" max="11020" width="4.140625" style="488" customWidth="1"/>
    <col min="11021" max="11021" width="20" style="488" customWidth="1"/>
    <col min="11022" max="11022" width="16.7109375" style="488" customWidth="1"/>
    <col min="11023" max="11023" width="27.85546875" style="488"/>
    <col min="11024" max="11024" width="20.7109375" style="488" customWidth="1"/>
    <col min="11025" max="11025" width="14.28515625" style="488" customWidth="1"/>
    <col min="11026" max="11026" width="10.140625" style="488" customWidth="1"/>
    <col min="11027" max="11027" width="15.5703125" style="488" customWidth="1"/>
    <col min="11028" max="11028" width="3.140625" style="488" customWidth="1"/>
    <col min="11029" max="11029" width="2.28515625" style="488" customWidth="1"/>
    <col min="11030" max="11053" width="18.85546875" style="488" customWidth="1"/>
    <col min="11054" max="11054" width="47.42578125" style="488" bestFit="1" customWidth="1"/>
    <col min="11055" max="11055" width="20.42578125" style="488" customWidth="1"/>
    <col min="11056" max="11056" width="18.7109375" style="488" customWidth="1"/>
    <col min="11057" max="11057" width="19.28515625" style="488" customWidth="1"/>
    <col min="11058" max="11058" width="18.7109375" style="488" customWidth="1"/>
    <col min="11059" max="11059" width="3.7109375" style="488" customWidth="1"/>
    <col min="11060" max="11060" width="18.7109375" style="488" customWidth="1"/>
    <col min="11061" max="11061" width="43" style="488" customWidth="1"/>
    <col min="11062" max="11063" width="18.7109375" style="488" customWidth="1"/>
    <col min="11064" max="11064" width="3.7109375" style="488" customWidth="1"/>
    <col min="11065" max="11264" width="27.85546875" style="488"/>
    <col min="11265" max="11265" width="17.28515625" style="488" customWidth="1"/>
    <col min="11266" max="11266" width="2.28515625" style="488" customWidth="1"/>
    <col min="11267" max="11267" width="17.42578125" style="488" customWidth="1"/>
    <col min="11268" max="11268" width="2.28515625" style="488" customWidth="1"/>
    <col min="11269" max="11269" width="15.5703125" style="488" bestFit="1" customWidth="1"/>
    <col min="11270" max="11270" width="2.28515625" style="488" customWidth="1"/>
    <col min="11271" max="11271" width="17.42578125" style="488" bestFit="1" customWidth="1"/>
    <col min="11272" max="11272" width="2.28515625" style="488" customWidth="1"/>
    <col min="11273" max="11273" width="19.42578125" style="488" customWidth="1"/>
    <col min="11274" max="11274" width="4.140625" style="488" customWidth="1"/>
    <col min="11275" max="11275" width="19.42578125" style="488" customWidth="1"/>
    <col min="11276" max="11276" width="4.140625" style="488" customWidth="1"/>
    <col min="11277" max="11277" width="20" style="488" customWidth="1"/>
    <col min="11278" max="11278" width="16.7109375" style="488" customWidth="1"/>
    <col min="11279" max="11279" width="27.85546875" style="488"/>
    <col min="11280" max="11280" width="20.7109375" style="488" customWidth="1"/>
    <col min="11281" max="11281" width="14.28515625" style="488" customWidth="1"/>
    <col min="11282" max="11282" width="10.140625" style="488" customWidth="1"/>
    <col min="11283" max="11283" width="15.5703125" style="488" customWidth="1"/>
    <col min="11284" max="11284" width="3.140625" style="488" customWidth="1"/>
    <col min="11285" max="11285" width="2.28515625" style="488" customWidth="1"/>
    <col min="11286" max="11309" width="18.85546875" style="488" customWidth="1"/>
    <col min="11310" max="11310" width="47.42578125" style="488" bestFit="1" customWidth="1"/>
    <col min="11311" max="11311" width="20.42578125" style="488" customWidth="1"/>
    <col min="11312" max="11312" width="18.7109375" style="488" customWidth="1"/>
    <col min="11313" max="11313" width="19.28515625" style="488" customWidth="1"/>
    <col min="11314" max="11314" width="18.7109375" style="488" customWidth="1"/>
    <col min="11315" max="11315" width="3.7109375" style="488" customWidth="1"/>
    <col min="11316" max="11316" width="18.7109375" style="488" customWidth="1"/>
    <col min="11317" max="11317" width="43" style="488" customWidth="1"/>
    <col min="11318" max="11319" width="18.7109375" style="488" customWidth="1"/>
    <col min="11320" max="11320" width="3.7109375" style="488" customWidth="1"/>
    <col min="11321" max="11520" width="27.85546875" style="488"/>
    <col min="11521" max="11521" width="17.28515625" style="488" customWidth="1"/>
    <col min="11522" max="11522" width="2.28515625" style="488" customWidth="1"/>
    <col min="11523" max="11523" width="17.42578125" style="488" customWidth="1"/>
    <col min="11524" max="11524" width="2.28515625" style="488" customWidth="1"/>
    <col min="11525" max="11525" width="15.5703125" style="488" bestFit="1" customWidth="1"/>
    <col min="11526" max="11526" width="2.28515625" style="488" customWidth="1"/>
    <col min="11527" max="11527" width="17.42578125" style="488" bestFit="1" customWidth="1"/>
    <col min="11528" max="11528" width="2.28515625" style="488" customWidth="1"/>
    <col min="11529" max="11529" width="19.42578125" style="488" customWidth="1"/>
    <col min="11530" max="11530" width="4.140625" style="488" customWidth="1"/>
    <col min="11531" max="11531" width="19.42578125" style="488" customWidth="1"/>
    <col min="11532" max="11532" width="4.140625" style="488" customWidth="1"/>
    <col min="11533" max="11533" width="20" style="488" customWidth="1"/>
    <col min="11534" max="11534" width="16.7109375" style="488" customWidth="1"/>
    <col min="11535" max="11535" width="27.85546875" style="488"/>
    <col min="11536" max="11536" width="20.7109375" style="488" customWidth="1"/>
    <col min="11537" max="11537" width="14.28515625" style="488" customWidth="1"/>
    <col min="11538" max="11538" width="10.140625" style="488" customWidth="1"/>
    <col min="11539" max="11539" width="15.5703125" style="488" customWidth="1"/>
    <col min="11540" max="11540" width="3.140625" style="488" customWidth="1"/>
    <col min="11541" max="11541" width="2.28515625" style="488" customWidth="1"/>
    <col min="11542" max="11565" width="18.85546875" style="488" customWidth="1"/>
    <col min="11566" max="11566" width="47.42578125" style="488" bestFit="1" customWidth="1"/>
    <col min="11567" max="11567" width="20.42578125" style="488" customWidth="1"/>
    <col min="11568" max="11568" width="18.7109375" style="488" customWidth="1"/>
    <col min="11569" max="11569" width="19.28515625" style="488" customWidth="1"/>
    <col min="11570" max="11570" width="18.7109375" style="488" customWidth="1"/>
    <col min="11571" max="11571" width="3.7109375" style="488" customWidth="1"/>
    <col min="11572" max="11572" width="18.7109375" style="488" customWidth="1"/>
    <col min="11573" max="11573" width="43" style="488" customWidth="1"/>
    <col min="11574" max="11575" width="18.7109375" style="488" customWidth="1"/>
    <col min="11576" max="11576" width="3.7109375" style="488" customWidth="1"/>
    <col min="11577" max="11776" width="27.85546875" style="488"/>
    <col min="11777" max="11777" width="17.28515625" style="488" customWidth="1"/>
    <col min="11778" max="11778" width="2.28515625" style="488" customWidth="1"/>
    <col min="11779" max="11779" width="17.42578125" style="488" customWidth="1"/>
    <col min="11780" max="11780" width="2.28515625" style="488" customWidth="1"/>
    <col min="11781" max="11781" width="15.5703125" style="488" bestFit="1" customWidth="1"/>
    <col min="11782" max="11782" width="2.28515625" style="488" customWidth="1"/>
    <col min="11783" max="11783" width="17.42578125" style="488" bestFit="1" customWidth="1"/>
    <col min="11784" max="11784" width="2.28515625" style="488" customWidth="1"/>
    <col min="11785" max="11785" width="19.42578125" style="488" customWidth="1"/>
    <col min="11786" max="11786" width="4.140625" style="488" customWidth="1"/>
    <col min="11787" max="11787" width="19.42578125" style="488" customWidth="1"/>
    <col min="11788" max="11788" width="4.140625" style="488" customWidth="1"/>
    <col min="11789" max="11789" width="20" style="488" customWidth="1"/>
    <col min="11790" max="11790" width="16.7109375" style="488" customWidth="1"/>
    <col min="11791" max="11791" width="27.85546875" style="488"/>
    <col min="11792" max="11792" width="20.7109375" style="488" customWidth="1"/>
    <col min="11793" max="11793" width="14.28515625" style="488" customWidth="1"/>
    <col min="11794" max="11794" width="10.140625" style="488" customWidth="1"/>
    <col min="11795" max="11795" width="15.5703125" style="488" customWidth="1"/>
    <col min="11796" max="11796" width="3.140625" style="488" customWidth="1"/>
    <col min="11797" max="11797" width="2.28515625" style="488" customWidth="1"/>
    <col min="11798" max="11821" width="18.85546875" style="488" customWidth="1"/>
    <col min="11822" max="11822" width="47.42578125" style="488" bestFit="1" customWidth="1"/>
    <col min="11823" max="11823" width="20.42578125" style="488" customWidth="1"/>
    <col min="11824" max="11824" width="18.7109375" style="488" customWidth="1"/>
    <col min="11825" max="11825" width="19.28515625" style="488" customWidth="1"/>
    <col min="11826" max="11826" width="18.7109375" style="488" customWidth="1"/>
    <col min="11827" max="11827" width="3.7109375" style="488" customWidth="1"/>
    <col min="11828" max="11828" width="18.7109375" style="488" customWidth="1"/>
    <col min="11829" max="11829" width="43" style="488" customWidth="1"/>
    <col min="11830" max="11831" width="18.7109375" style="488" customWidth="1"/>
    <col min="11832" max="11832" width="3.7109375" style="488" customWidth="1"/>
    <col min="11833" max="12032" width="27.85546875" style="488"/>
    <col min="12033" max="12033" width="17.28515625" style="488" customWidth="1"/>
    <col min="12034" max="12034" width="2.28515625" style="488" customWidth="1"/>
    <col min="12035" max="12035" width="17.42578125" style="488" customWidth="1"/>
    <col min="12036" max="12036" width="2.28515625" style="488" customWidth="1"/>
    <col min="12037" max="12037" width="15.5703125" style="488" bestFit="1" customWidth="1"/>
    <col min="12038" max="12038" width="2.28515625" style="488" customWidth="1"/>
    <col min="12039" max="12039" width="17.42578125" style="488" bestFit="1" customWidth="1"/>
    <col min="12040" max="12040" width="2.28515625" style="488" customWidth="1"/>
    <col min="12041" max="12041" width="19.42578125" style="488" customWidth="1"/>
    <col min="12042" max="12042" width="4.140625" style="488" customWidth="1"/>
    <col min="12043" max="12043" width="19.42578125" style="488" customWidth="1"/>
    <col min="12044" max="12044" width="4.140625" style="488" customWidth="1"/>
    <col min="12045" max="12045" width="20" style="488" customWidth="1"/>
    <col min="12046" max="12046" width="16.7109375" style="488" customWidth="1"/>
    <col min="12047" max="12047" width="27.85546875" style="488"/>
    <col min="12048" max="12048" width="20.7109375" style="488" customWidth="1"/>
    <col min="12049" max="12049" width="14.28515625" style="488" customWidth="1"/>
    <col min="12050" max="12050" width="10.140625" style="488" customWidth="1"/>
    <col min="12051" max="12051" width="15.5703125" style="488" customWidth="1"/>
    <col min="12052" max="12052" width="3.140625" style="488" customWidth="1"/>
    <col min="12053" max="12053" width="2.28515625" style="488" customWidth="1"/>
    <col min="12054" max="12077" width="18.85546875" style="488" customWidth="1"/>
    <col min="12078" max="12078" width="47.42578125" style="488" bestFit="1" customWidth="1"/>
    <col min="12079" max="12079" width="20.42578125" style="488" customWidth="1"/>
    <col min="12080" max="12080" width="18.7109375" style="488" customWidth="1"/>
    <col min="12081" max="12081" width="19.28515625" style="488" customWidth="1"/>
    <col min="12082" max="12082" width="18.7109375" style="488" customWidth="1"/>
    <col min="12083" max="12083" width="3.7109375" style="488" customWidth="1"/>
    <col min="12084" max="12084" width="18.7109375" style="488" customWidth="1"/>
    <col min="12085" max="12085" width="43" style="488" customWidth="1"/>
    <col min="12086" max="12087" width="18.7109375" style="488" customWidth="1"/>
    <col min="12088" max="12088" width="3.7109375" style="488" customWidth="1"/>
    <col min="12089" max="12288" width="27.85546875" style="488"/>
    <col min="12289" max="12289" width="17.28515625" style="488" customWidth="1"/>
    <col min="12290" max="12290" width="2.28515625" style="488" customWidth="1"/>
    <col min="12291" max="12291" width="17.42578125" style="488" customWidth="1"/>
    <col min="12292" max="12292" width="2.28515625" style="488" customWidth="1"/>
    <col min="12293" max="12293" width="15.5703125" style="488" bestFit="1" customWidth="1"/>
    <col min="12294" max="12294" width="2.28515625" style="488" customWidth="1"/>
    <col min="12295" max="12295" width="17.42578125" style="488" bestFit="1" customWidth="1"/>
    <col min="12296" max="12296" width="2.28515625" style="488" customWidth="1"/>
    <col min="12297" max="12297" width="19.42578125" style="488" customWidth="1"/>
    <col min="12298" max="12298" width="4.140625" style="488" customWidth="1"/>
    <col min="12299" max="12299" width="19.42578125" style="488" customWidth="1"/>
    <col min="12300" max="12300" width="4.140625" style="488" customWidth="1"/>
    <col min="12301" max="12301" width="20" style="488" customWidth="1"/>
    <col min="12302" max="12302" width="16.7109375" style="488" customWidth="1"/>
    <col min="12303" max="12303" width="27.85546875" style="488"/>
    <col min="12304" max="12304" width="20.7109375" style="488" customWidth="1"/>
    <col min="12305" max="12305" width="14.28515625" style="488" customWidth="1"/>
    <col min="12306" max="12306" width="10.140625" style="488" customWidth="1"/>
    <col min="12307" max="12307" width="15.5703125" style="488" customWidth="1"/>
    <col min="12308" max="12308" width="3.140625" style="488" customWidth="1"/>
    <col min="12309" max="12309" width="2.28515625" style="488" customWidth="1"/>
    <col min="12310" max="12333" width="18.85546875" style="488" customWidth="1"/>
    <col min="12334" max="12334" width="47.42578125" style="488" bestFit="1" customWidth="1"/>
    <col min="12335" max="12335" width="20.42578125" style="488" customWidth="1"/>
    <col min="12336" max="12336" width="18.7109375" style="488" customWidth="1"/>
    <col min="12337" max="12337" width="19.28515625" style="488" customWidth="1"/>
    <col min="12338" max="12338" width="18.7109375" style="488" customWidth="1"/>
    <col min="12339" max="12339" width="3.7109375" style="488" customWidth="1"/>
    <col min="12340" max="12340" width="18.7109375" style="488" customWidth="1"/>
    <col min="12341" max="12341" width="43" style="488" customWidth="1"/>
    <col min="12342" max="12343" width="18.7109375" style="488" customWidth="1"/>
    <col min="12344" max="12344" width="3.7109375" style="488" customWidth="1"/>
    <col min="12345" max="12544" width="27.85546875" style="488"/>
    <col min="12545" max="12545" width="17.28515625" style="488" customWidth="1"/>
    <col min="12546" max="12546" width="2.28515625" style="488" customWidth="1"/>
    <col min="12547" max="12547" width="17.42578125" style="488" customWidth="1"/>
    <col min="12548" max="12548" width="2.28515625" style="488" customWidth="1"/>
    <col min="12549" max="12549" width="15.5703125" style="488" bestFit="1" customWidth="1"/>
    <col min="12550" max="12550" width="2.28515625" style="488" customWidth="1"/>
    <col min="12551" max="12551" width="17.42578125" style="488" bestFit="1" customWidth="1"/>
    <col min="12552" max="12552" width="2.28515625" style="488" customWidth="1"/>
    <col min="12553" max="12553" width="19.42578125" style="488" customWidth="1"/>
    <col min="12554" max="12554" width="4.140625" style="488" customWidth="1"/>
    <col min="12555" max="12555" width="19.42578125" style="488" customWidth="1"/>
    <col min="12556" max="12556" width="4.140625" style="488" customWidth="1"/>
    <col min="12557" max="12557" width="20" style="488" customWidth="1"/>
    <col min="12558" max="12558" width="16.7109375" style="488" customWidth="1"/>
    <col min="12559" max="12559" width="27.85546875" style="488"/>
    <col min="12560" max="12560" width="20.7109375" style="488" customWidth="1"/>
    <col min="12561" max="12561" width="14.28515625" style="488" customWidth="1"/>
    <col min="12562" max="12562" width="10.140625" style="488" customWidth="1"/>
    <col min="12563" max="12563" width="15.5703125" style="488" customWidth="1"/>
    <col min="12564" max="12564" width="3.140625" style="488" customWidth="1"/>
    <col min="12565" max="12565" width="2.28515625" style="488" customWidth="1"/>
    <col min="12566" max="12589" width="18.85546875" style="488" customWidth="1"/>
    <col min="12590" max="12590" width="47.42578125" style="488" bestFit="1" customWidth="1"/>
    <col min="12591" max="12591" width="20.42578125" style="488" customWidth="1"/>
    <col min="12592" max="12592" width="18.7109375" style="488" customWidth="1"/>
    <col min="12593" max="12593" width="19.28515625" style="488" customWidth="1"/>
    <col min="12594" max="12594" width="18.7109375" style="488" customWidth="1"/>
    <col min="12595" max="12595" width="3.7109375" style="488" customWidth="1"/>
    <col min="12596" max="12596" width="18.7109375" style="488" customWidth="1"/>
    <col min="12597" max="12597" width="43" style="488" customWidth="1"/>
    <col min="12598" max="12599" width="18.7109375" style="488" customWidth="1"/>
    <col min="12600" max="12600" width="3.7109375" style="488" customWidth="1"/>
    <col min="12601" max="12800" width="27.85546875" style="488"/>
    <col min="12801" max="12801" width="17.28515625" style="488" customWidth="1"/>
    <col min="12802" max="12802" width="2.28515625" style="488" customWidth="1"/>
    <col min="12803" max="12803" width="17.42578125" style="488" customWidth="1"/>
    <col min="12804" max="12804" width="2.28515625" style="488" customWidth="1"/>
    <col min="12805" max="12805" width="15.5703125" style="488" bestFit="1" customWidth="1"/>
    <col min="12806" max="12806" width="2.28515625" style="488" customWidth="1"/>
    <col min="12807" max="12807" width="17.42578125" style="488" bestFit="1" customWidth="1"/>
    <col min="12808" max="12808" width="2.28515625" style="488" customWidth="1"/>
    <col min="12809" max="12809" width="19.42578125" style="488" customWidth="1"/>
    <col min="12810" max="12810" width="4.140625" style="488" customWidth="1"/>
    <col min="12811" max="12811" width="19.42578125" style="488" customWidth="1"/>
    <col min="12812" max="12812" width="4.140625" style="488" customWidth="1"/>
    <col min="12813" max="12813" width="20" style="488" customWidth="1"/>
    <col min="12814" max="12814" width="16.7109375" style="488" customWidth="1"/>
    <col min="12815" max="12815" width="27.85546875" style="488"/>
    <col min="12816" max="12816" width="20.7109375" style="488" customWidth="1"/>
    <col min="12817" max="12817" width="14.28515625" style="488" customWidth="1"/>
    <col min="12818" max="12818" width="10.140625" style="488" customWidth="1"/>
    <col min="12819" max="12819" width="15.5703125" style="488" customWidth="1"/>
    <col min="12820" max="12820" width="3.140625" style="488" customWidth="1"/>
    <col min="12821" max="12821" width="2.28515625" style="488" customWidth="1"/>
    <col min="12822" max="12845" width="18.85546875" style="488" customWidth="1"/>
    <col min="12846" max="12846" width="47.42578125" style="488" bestFit="1" customWidth="1"/>
    <col min="12847" max="12847" width="20.42578125" style="488" customWidth="1"/>
    <col min="12848" max="12848" width="18.7109375" style="488" customWidth="1"/>
    <col min="12849" max="12849" width="19.28515625" style="488" customWidth="1"/>
    <col min="12850" max="12850" width="18.7109375" style="488" customWidth="1"/>
    <col min="12851" max="12851" width="3.7109375" style="488" customWidth="1"/>
    <col min="12852" max="12852" width="18.7109375" style="488" customWidth="1"/>
    <col min="12853" max="12853" width="43" style="488" customWidth="1"/>
    <col min="12854" max="12855" width="18.7109375" style="488" customWidth="1"/>
    <col min="12856" max="12856" width="3.7109375" style="488" customWidth="1"/>
    <col min="12857" max="13056" width="27.85546875" style="488"/>
    <col min="13057" max="13057" width="17.28515625" style="488" customWidth="1"/>
    <col min="13058" max="13058" width="2.28515625" style="488" customWidth="1"/>
    <col min="13059" max="13059" width="17.42578125" style="488" customWidth="1"/>
    <col min="13060" max="13060" width="2.28515625" style="488" customWidth="1"/>
    <col min="13061" max="13061" width="15.5703125" style="488" bestFit="1" customWidth="1"/>
    <col min="13062" max="13062" width="2.28515625" style="488" customWidth="1"/>
    <col min="13063" max="13063" width="17.42578125" style="488" bestFit="1" customWidth="1"/>
    <col min="13064" max="13064" width="2.28515625" style="488" customWidth="1"/>
    <col min="13065" max="13065" width="19.42578125" style="488" customWidth="1"/>
    <col min="13066" max="13066" width="4.140625" style="488" customWidth="1"/>
    <col min="13067" max="13067" width="19.42578125" style="488" customWidth="1"/>
    <col min="13068" max="13068" width="4.140625" style="488" customWidth="1"/>
    <col min="13069" max="13069" width="20" style="488" customWidth="1"/>
    <col min="13070" max="13070" width="16.7109375" style="488" customWidth="1"/>
    <col min="13071" max="13071" width="27.85546875" style="488"/>
    <col min="13072" max="13072" width="20.7109375" style="488" customWidth="1"/>
    <col min="13073" max="13073" width="14.28515625" style="488" customWidth="1"/>
    <col min="13074" max="13074" width="10.140625" style="488" customWidth="1"/>
    <col min="13075" max="13075" width="15.5703125" style="488" customWidth="1"/>
    <col min="13076" max="13076" width="3.140625" style="488" customWidth="1"/>
    <col min="13077" max="13077" width="2.28515625" style="488" customWidth="1"/>
    <col min="13078" max="13101" width="18.85546875" style="488" customWidth="1"/>
    <col min="13102" max="13102" width="47.42578125" style="488" bestFit="1" customWidth="1"/>
    <col min="13103" max="13103" width="20.42578125" style="488" customWidth="1"/>
    <col min="13104" max="13104" width="18.7109375" style="488" customWidth="1"/>
    <col min="13105" max="13105" width="19.28515625" style="488" customWidth="1"/>
    <col min="13106" max="13106" width="18.7109375" style="488" customWidth="1"/>
    <col min="13107" max="13107" width="3.7109375" style="488" customWidth="1"/>
    <col min="13108" max="13108" width="18.7109375" style="488" customWidth="1"/>
    <col min="13109" max="13109" width="43" style="488" customWidth="1"/>
    <col min="13110" max="13111" width="18.7109375" style="488" customWidth="1"/>
    <col min="13112" max="13112" width="3.7109375" style="488" customWidth="1"/>
    <col min="13113" max="13312" width="27.85546875" style="488"/>
    <col min="13313" max="13313" width="17.28515625" style="488" customWidth="1"/>
    <col min="13314" max="13314" width="2.28515625" style="488" customWidth="1"/>
    <col min="13315" max="13315" width="17.42578125" style="488" customWidth="1"/>
    <col min="13316" max="13316" width="2.28515625" style="488" customWidth="1"/>
    <col min="13317" max="13317" width="15.5703125" style="488" bestFit="1" customWidth="1"/>
    <col min="13318" max="13318" width="2.28515625" style="488" customWidth="1"/>
    <col min="13319" max="13319" width="17.42578125" style="488" bestFit="1" customWidth="1"/>
    <col min="13320" max="13320" width="2.28515625" style="488" customWidth="1"/>
    <col min="13321" max="13321" width="19.42578125" style="488" customWidth="1"/>
    <col min="13322" max="13322" width="4.140625" style="488" customWidth="1"/>
    <col min="13323" max="13323" width="19.42578125" style="488" customWidth="1"/>
    <col min="13324" max="13324" width="4.140625" style="488" customWidth="1"/>
    <col min="13325" max="13325" width="20" style="488" customWidth="1"/>
    <col min="13326" max="13326" width="16.7109375" style="488" customWidth="1"/>
    <col min="13327" max="13327" width="27.85546875" style="488"/>
    <col min="13328" max="13328" width="20.7109375" style="488" customWidth="1"/>
    <col min="13329" max="13329" width="14.28515625" style="488" customWidth="1"/>
    <col min="13330" max="13330" width="10.140625" style="488" customWidth="1"/>
    <col min="13331" max="13331" width="15.5703125" style="488" customWidth="1"/>
    <col min="13332" max="13332" width="3.140625" style="488" customWidth="1"/>
    <col min="13333" max="13333" width="2.28515625" style="488" customWidth="1"/>
    <col min="13334" max="13357" width="18.85546875" style="488" customWidth="1"/>
    <col min="13358" max="13358" width="47.42578125" style="488" bestFit="1" customWidth="1"/>
    <col min="13359" max="13359" width="20.42578125" style="488" customWidth="1"/>
    <col min="13360" max="13360" width="18.7109375" style="488" customWidth="1"/>
    <col min="13361" max="13361" width="19.28515625" style="488" customWidth="1"/>
    <col min="13362" max="13362" width="18.7109375" style="488" customWidth="1"/>
    <col min="13363" max="13363" width="3.7109375" style="488" customWidth="1"/>
    <col min="13364" max="13364" width="18.7109375" style="488" customWidth="1"/>
    <col min="13365" max="13365" width="43" style="488" customWidth="1"/>
    <col min="13366" max="13367" width="18.7109375" style="488" customWidth="1"/>
    <col min="13368" max="13368" width="3.7109375" style="488" customWidth="1"/>
    <col min="13369" max="13568" width="27.85546875" style="488"/>
    <col min="13569" max="13569" width="17.28515625" style="488" customWidth="1"/>
    <col min="13570" max="13570" width="2.28515625" style="488" customWidth="1"/>
    <col min="13571" max="13571" width="17.42578125" style="488" customWidth="1"/>
    <col min="13572" max="13572" width="2.28515625" style="488" customWidth="1"/>
    <col min="13573" max="13573" width="15.5703125" style="488" bestFit="1" customWidth="1"/>
    <col min="13574" max="13574" width="2.28515625" style="488" customWidth="1"/>
    <col min="13575" max="13575" width="17.42578125" style="488" bestFit="1" customWidth="1"/>
    <col min="13576" max="13576" width="2.28515625" style="488" customWidth="1"/>
    <col min="13577" max="13577" width="19.42578125" style="488" customWidth="1"/>
    <col min="13578" max="13578" width="4.140625" style="488" customWidth="1"/>
    <col min="13579" max="13579" width="19.42578125" style="488" customWidth="1"/>
    <col min="13580" max="13580" width="4.140625" style="488" customWidth="1"/>
    <col min="13581" max="13581" width="20" style="488" customWidth="1"/>
    <col min="13582" max="13582" width="16.7109375" style="488" customWidth="1"/>
    <col min="13583" max="13583" width="27.85546875" style="488"/>
    <col min="13584" max="13584" width="20.7109375" style="488" customWidth="1"/>
    <col min="13585" max="13585" width="14.28515625" style="488" customWidth="1"/>
    <col min="13586" max="13586" width="10.140625" style="488" customWidth="1"/>
    <col min="13587" max="13587" width="15.5703125" style="488" customWidth="1"/>
    <col min="13588" max="13588" width="3.140625" style="488" customWidth="1"/>
    <col min="13589" max="13589" width="2.28515625" style="488" customWidth="1"/>
    <col min="13590" max="13613" width="18.85546875" style="488" customWidth="1"/>
    <col min="13614" max="13614" width="47.42578125" style="488" bestFit="1" customWidth="1"/>
    <col min="13615" max="13615" width="20.42578125" style="488" customWidth="1"/>
    <col min="13616" max="13616" width="18.7109375" style="488" customWidth="1"/>
    <col min="13617" max="13617" width="19.28515625" style="488" customWidth="1"/>
    <col min="13618" max="13618" width="18.7109375" style="488" customWidth="1"/>
    <col min="13619" max="13619" width="3.7109375" style="488" customWidth="1"/>
    <col min="13620" max="13620" width="18.7109375" style="488" customWidth="1"/>
    <col min="13621" max="13621" width="43" style="488" customWidth="1"/>
    <col min="13622" max="13623" width="18.7109375" style="488" customWidth="1"/>
    <col min="13624" max="13624" width="3.7109375" style="488" customWidth="1"/>
    <col min="13625" max="13824" width="27.85546875" style="488"/>
    <col min="13825" max="13825" width="17.28515625" style="488" customWidth="1"/>
    <col min="13826" max="13826" width="2.28515625" style="488" customWidth="1"/>
    <col min="13827" max="13827" width="17.42578125" style="488" customWidth="1"/>
    <col min="13828" max="13828" width="2.28515625" style="488" customWidth="1"/>
    <col min="13829" max="13829" width="15.5703125" style="488" bestFit="1" customWidth="1"/>
    <col min="13830" max="13830" width="2.28515625" style="488" customWidth="1"/>
    <col min="13831" max="13831" width="17.42578125" style="488" bestFit="1" customWidth="1"/>
    <col min="13832" max="13832" width="2.28515625" style="488" customWidth="1"/>
    <col min="13833" max="13833" width="19.42578125" style="488" customWidth="1"/>
    <col min="13834" max="13834" width="4.140625" style="488" customWidth="1"/>
    <col min="13835" max="13835" width="19.42578125" style="488" customWidth="1"/>
    <col min="13836" max="13836" width="4.140625" style="488" customWidth="1"/>
    <col min="13837" max="13837" width="20" style="488" customWidth="1"/>
    <col min="13838" max="13838" width="16.7109375" style="488" customWidth="1"/>
    <col min="13839" max="13839" width="27.85546875" style="488"/>
    <col min="13840" max="13840" width="20.7109375" style="488" customWidth="1"/>
    <col min="13841" max="13841" width="14.28515625" style="488" customWidth="1"/>
    <col min="13842" max="13842" width="10.140625" style="488" customWidth="1"/>
    <col min="13843" max="13843" width="15.5703125" style="488" customWidth="1"/>
    <col min="13844" max="13844" width="3.140625" style="488" customWidth="1"/>
    <col min="13845" max="13845" width="2.28515625" style="488" customWidth="1"/>
    <col min="13846" max="13869" width="18.85546875" style="488" customWidth="1"/>
    <col min="13870" max="13870" width="47.42578125" style="488" bestFit="1" customWidth="1"/>
    <col min="13871" max="13871" width="20.42578125" style="488" customWidth="1"/>
    <col min="13872" max="13872" width="18.7109375" style="488" customWidth="1"/>
    <col min="13873" max="13873" width="19.28515625" style="488" customWidth="1"/>
    <col min="13874" max="13874" width="18.7109375" style="488" customWidth="1"/>
    <col min="13875" max="13875" width="3.7109375" style="488" customWidth="1"/>
    <col min="13876" max="13876" width="18.7109375" style="488" customWidth="1"/>
    <col min="13877" max="13877" width="43" style="488" customWidth="1"/>
    <col min="13878" max="13879" width="18.7109375" style="488" customWidth="1"/>
    <col min="13880" max="13880" width="3.7109375" style="488" customWidth="1"/>
    <col min="13881" max="14080" width="27.85546875" style="488"/>
    <col min="14081" max="14081" width="17.28515625" style="488" customWidth="1"/>
    <col min="14082" max="14082" width="2.28515625" style="488" customWidth="1"/>
    <col min="14083" max="14083" width="17.42578125" style="488" customWidth="1"/>
    <col min="14084" max="14084" width="2.28515625" style="488" customWidth="1"/>
    <col min="14085" max="14085" width="15.5703125" style="488" bestFit="1" customWidth="1"/>
    <col min="14086" max="14086" width="2.28515625" style="488" customWidth="1"/>
    <col min="14087" max="14087" width="17.42578125" style="488" bestFit="1" customWidth="1"/>
    <col min="14088" max="14088" width="2.28515625" style="488" customWidth="1"/>
    <col min="14089" max="14089" width="19.42578125" style="488" customWidth="1"/>
    <col min="14090" max="14090" width="4.140625" style="488" customWidth="1"/>
    <col min="14091" max="14091" width="19.42578125" style="488" customWidth="1"/>
    <col min="14092" max="14092" width="4.140625" style="488" customWidth="1"/>
    <col min="14093" max="14093" width="20" style="488" customWidth="1"/>
    <col min="14094" max="14094" width="16.7109375" style="488" customWidth="1"/>
    <col min="14095" max="14095" width="27.85546875" style="488"/>
    <col min="14096" max="14096" width="20.7109375" style="488" customWidth="1"/>
    <col min="14097" max="14097" width="14.28515625" style="488" customWidth="1"/>
    <col min="14098" max="14098" width="10.140625" style="488" customWidth="1"/>
    <col min="14099" max="14099" width="15.5703125" style="488" customWidth="1"/>
    <col min="14100" max="14100" width="3.140625" style="488" customWidth="1"/>
    <col min="14101" max="14101" width="2.28515625" style="488" customWidth="1"/>
    <col min="14102" max="14125" width="18.85546875" style="488" customWidth="1"/>
    <col min="14126" max="14126" width="47.42578125" style="488" bestFit="1" customWidth="1"/>
    <col min="14127" max="14127" width="20.42578125" style="488" customWidth="1"/>
    <col min="14128" max="14128" width="18.7109375" style="488" customWidth="1"/>
    <col min="14129" max="14129" width="19.28515625" style="488" customWidth="1"/>
    <col min="14130" max="14130" width="18.7109375" style="488" customWidth="1"/>
    <col min="14131" max="14131" width="3.7109375" style="488" customWidth="1"/>
    <col min="14132" max="14132" width="18.7109375" style="488" customWidth="1"/>
    <col min="14133" max="14133" width="43" style="488" customWidth="1"/>
    <col min="14134" max="14135" width="18.7109375" style="488" customWidth="1"/>
    <col min="14136" max="14136" width="3.7109375" style="488" customWidth="1"/>
    <col min="14137" max="14336" width="27.85546875" style="488"/>
    <col min="14337" max="14337" width="17.28515625" style="488" customWidth="1"/>
    <col min="14338" max="14338" width="2.28515625" style="488" customWidth="1"/>
    <col min="14339" max="14339" width="17.42578125" style="488" customWidth="1"/>
    <col min="14340" max="14340" width="2.28515625" style="488" customWidth="1"/>
    <col min="14341" max="14341" width="15.5703125" style="488" bestFit="1" customWidth="1"/>
    <col min="14342" max="14342" width="2.28515625" style="488" customWidth="1"/>
    <col min="14343" max="14343" width="17.42578125" style="488" bestFit="1" customWidth="1"/>
    <col min="14344" max="14344" width="2.28515625" style="488" customWidth="1"/>
    <col min="14345" max="14345" width="19.42578125" style="488" customWidth="1"/>
    <col min="14346" max="14346" width="4.140625" style="488" customWidth="1"/>
    <col min="14347" max="14347" width="19.42578125" style="488" customWidth="1"/>
    <col min="14348" max="14348" width="4.140625" style="488" customWidth="1"/>
    <col min="14349" max="14349" width="20" style="488" customWidth="1"/>
    <col min="14350" max="14350" width="16.7109375" style="488" customWidth="1"/>
    <col min="14351" max="14351" width="27.85546875" style="488"/>
    <col min="14352" max="14352" width="20.7109375" style="488" customWidth="1"/>
    <col min="14353" max="14353" width="14.28515625" style="488" customWidth="1"/>
    <col min="14354" max="14354" width="10.140625" style="488" customWidth="1"/>
    <col min="14355" max="14355" width="15.5703125" style="488" customWidth="1"/>
    <col min="14356" max="14356" width="3.140625" style="488" customWidth="1"/>
    <col min="14357" max="14357" width="2.28515625" style="488" customWidth="1"/>
    <col min="14358" max="14381" width="18.85546875" style="488" customWidth="1"/>
    <col min="14382" max="14382" width="47.42578125" style="488" bestFit="1" customWidth="1"/>
    <col min="14383" max="14383" width="20.42578125" style="488" customWidth="1"/>
    <col min="14384" max="14384" width="18.7109375" style="488" customWidth="1"/>
    <col min="14385" max="14385" width="19.28515625" style="488" customWidth="1"/>
    <col min="14386" max="14386" width="18.7109375" style="488" customWidth="1"/>
    <col min="14387" max="14387" width="3.7109375" style="488" customWidth="1"/>
    <col min="14388" max="14388" width="18.7109375" style="488" customWidth="1"/>
    <col min="14389" max="14389" width="43" style="488" customWidth="1"/>
    <col min="14390" max="14391" width="18.7109375" style="488" customWidth="1"/>
    <col min="14392" max="14392" width="3.7109375" style="488" customWidth="1"/>
    <col min="14393" max="14592" width="27.85546875" style="488"/>
    <col min="14593" max="14593" width="17.28515625" style="488" customWidth="1"/>
    <col min="14594" max="14594" width="2.28515625" style="488" customWidth="1"/>
    <col min="14595" max="14595" width="17.42578125" style="488" customWidth="1"/>
    <col min="14596" max="14596" width="2.28515625" style="488" customWidth="1"/>
    <col min="14597" max="14597" width="15.5703125" style="488" bestFit="1" customWidth="1"/>
    <col min="14598" max="14598" width="2.28515625" style="488" customWidth="1"/>
    <col min="14599" max="14599" width="17.42578125" style="488" bestFit="1" customWidth="1"/>
    <col min="14600" max="14600" width="2.28515625" style="488" customWidth="1"/>
    <col min="14601" max="14601" width="19.42578125" style="488" customWidth="1"/>
    <col min="14602" max="14602" width="4.140625" style="488" customWidth="1"/>
    <col min="14603" max="14603" width="19.42578125" style="488" customWidth="1"/>
    <col min="14604" max="14604" width="4.140625" style="488" customWidth="1"/>
    <col min="14605" max="14605" width="20" style="488" customWidth="1"/>
    <col min="14606" max="14606" width="16.7109375" style="488" customWidth="1"/>
    <col min="14607" max="14607" width="27.85546875" style="488"/>
    <col min="14608" max="14608" width="20.7109375" style="488" customWidth="1"/>
    <col min="14609" max="14609" width="14.28515625" style="488" customWidth="1"/>
    <col min="14610" max="14610" width="10.140625" style="488" customWidth="1"/>
    <col min="14611" max="14611" width="15.5703125" style="488" customWidth="1"/>
    <col min="14612" max="14612" width="3.140625" style="488" customWidth="1"/>
    <col min="14613" max="14613" width="2.28515625" style="488" customWidth="1"/>
    <col min="14614" max="14637" width="18.85546875" style="488" customWidth="1"/>
    <col min="14638" max="14638" width="47.42578125" style="488" bestFit="1" customWidth="1"/>
    <col min="14639" max="14639" width="20.42578125" style="488" customWidth="1"/>
    <col min="14640" max="14640" width="18.7109375" style="488" customWidth="1"/>
    <col min="14641" max="14641" width="19.28515625" style="488" customWidth="1"/>
    <col min="14642" max="14642" width="18.7109375" style="488" customWidth="1"/>
    <col min="14643" max="14643" width="3.7109375" style="488" customWidth="1"/>
    <col min="14644" max="14644" width="18.7109375" style="488" customWidth="1"/>
    <col min="14645" max="14645" width="43" style="488" customWidth="1"/>
    <col min="14646" max="14647" width="18.7109375" style="488" customWidth="1"/>
    <col min="14648" max="14648" width="3.7109375" style="488" customWidth="1"/>
    <col min="14649" max="14848" width="27.85546875" style="488"/>
    <col min="14849" max="14849" width="17.28515625" style="488" customWidth="1"/>
    <col min="14850" max="14850" width="2.28515625" style="488" customWidth="1"/>
    <col min="14851" max="14851" width="17.42578125" style="488" customWidth="1"/>
    <col min="14852" max="14852" width="2.28515625" style="488" customWidth="1"/>
    <col min="14853" max="14853" width="15.5703125" style="488" bestFit="1" customWidth="1"/>
    <col min="14854" max="14854" width="2.28515625" style="488" customWidth="1"/>
    <col min="14855" max="14855" width="17.42578125" style="488" bestFit="1" customWidth="1"/>
    <col min="14856" max="14856" width="2.28515625" style="488" customWidth="1"/>
    <col min="14857" max="14857" width="19.42578125" style="488" customWidth="1"/>
    <col min="14858" max="14858" width="4.140625" style="488" customWidth="1"/>
    <col min="14859" max="14859" width="19.42578125" style="488" customWidth="1"/>
    <col min="14860" max="14860" width="4.140625" style="488" customWidth="1"/>
    <col min="14861" max="14861" width="20" style="488" customWidth="1"/>
    <col min="14862" max="14862" width="16.7109375" style="488" customWidth="1"/>
    <col min="14863" max="14863" width="27.85546875" style="488"/>
    <col min="14864" max="14864" width="20.7109375" style="488" customWidth="1"/>
    <col min="14865" max="14865" width="14.28515625" style="488" customWidth="1"/>
    <col min="14866" max="14866" width="10.140625" style="488" customWidth="1"/>
    <col min="14867" max="14867" width="15.5703125" style="488" customWidth="1"/>
    <col min="14868" max="14868" width="3.140625" style="488" customWidth="1"/>
    <col min="14869" max="14869" width="2.28515625" style="488" customWidth="1"/>
    <col min="14870" max="14893" width="18.85546875" style="488" customWidth="1"/>
    <col min="14894" max="14894" width="47.42578125" style="488" bestFit="1" customWidth="1"/>
    <col min="14895" max="14895" width="20.42578125" style="488" customWidth="1"/>
    <col min="14896" max="14896" width="18.7109375" style="488" customWidth="1"/>
    <col min="14897" max="14897" width="19.28515625" style="488" customWidth="1"/>
    <col min="14898" max="14898" width="18.7109375" style="488" customWidth="1"/>
    <col min="14899" max="14899" width="3.7109375" style="488" customWidth="1"/>
    <col min="14900" max="14900" width="18.7109375" style="488" customWidth="1"/>
    <col min="14901" max="14901" width="43" style="488" customWidth="1"/>
    <col min="14902" max="14903" width="18.7109375" style="488" customWidth="1"/>
    <col min="14904" max="14904" width="3.7109375" style="488" customWidth="1"/>
    <col min="14905" max="15104" width="27.85546875" style="488"/>
    <col min="15105" max="15105" width="17.28515625" style="488" customWidth="1"/>
    <col min="15106" max="15106" width="2.28515625" style="488" customWidth="1"/>
    <col min="15107" max="15107" width="17.42578125" style="488" customWidth="1"/>
    <col min="15108" max="15108" width="2.28515625" style="488" customWidth="1"/>
    <col min="15109" max="15109" width="15.5703125" style="488" bestFit="1" customWidth="1"/>
    <col min="15110" max="15110" width="2.28515625" style="488" customWidth="1"/>
    <col min="15111" max="15111" width="17.42578125" style="488" bestFit="1" customWidth="1"/>
    <col min="15112" max="15112" width="2.28515625" style="488" customWidth="1"/>
    <col min="15113" max="15113" width="19.42578125" style="488" customWidth="1"/>
    <col min="15114" max="15114" width="4.140625" style="488" customWidth="1"/>
    <col min="15115" max="15115" width="19.42578125" style="488" customWidth="1"/>
    <col min="15116" max="15116" width="4.140625" style="488" customWidth="1"/>
    <col min="15117" max="15117" width="20" style="488" customWidth="1"/>
    <col min="15118" max="15118" width="16.7109375" style="488" customWidth="1"/>
    <col min="15119" max="15119" width="27.85546875" style="488"/>
    <col min="15120" max="15120" width="20.7109375" style="488" customWidth="1"/>
    <col min="15121" max="15121" width="14.28515625" style="488" customWidth="1"/>
    <col min="15122" max="15122" width="10.140625" style="488" customWidth="1"/>
    <col min="15123" max="15123" width="15.5703125" style="488" customWidth="1"/>
    <col min="15124" max="15124" width="3.140625" style="488" customWidth="1"/>
    <col min="15125" max="15125" width="2.28515625" style="488" customWidth="1"/>
    <col min="15126" max="15149" width="18.85546875" style="488" customWidth="1"/>
    <col min="15150" max="15150" width="47.42578125" style="488" bestFit="1" customWidth="1"/>
    <col min="15151" max="15151" width="20.42578125" style="488" customWidth="1"/>
    <col min="15152" max="15152" width="18.7109375" style="488" customWidth="1"/>
    <col min="15153" max="15153" width="19.28515625" style="488" customWidth="1"/>
    <col min="15154" max="15154" width="18.7109375" style="488" customWidth="1"/>
    <col min="15155" max="15155" width="3.7109375" style="488" customWidth="1"/>
    <col min="15156" max="15156" width="18.7109375" style="488" customWidth="1"/>
    <col min="15157" max="15157" width="43" style="488" customWidth="1"/>
    <col min="15158" max="15159" width="18.7109375" style="488" customWidth="1"/>
    <col min="15160" max="15160" width="3.7109375" style="488" customWidth="1"/>
    <col min="15161" max="15360" width="27.85546875" style="488"/>
    <col min="15361" max="15361" width="17.28515625" style="488" customWidth="1"/>
    <col min="15362" max="15362" width="2.28515625" style="488" customWidth="1"/>
    <col min="15363" max="15363" width="17.42578125" style="488" customWidth="1"/>
    <col min="15364" max="15364" width="2.28515625" style="488" customWidth="1"/>
    <col min="15365" max="15365" width="15.5703125" style="488" bestFit="1" customWidth="1"/>
    <col min="15366" max="15366" width="2.28515625" style="488" customWidth="1"/>
    <col min="15367" max="15367" width="17.42578125" style="488" bestFit="1" customWidth="1"/>
    <col min="15368" max="15368" width="2.28515625" style="488" customWidth="1"/>
    <col min="15369" max="15369" width="19.42578125" style="488" customWidth="1"/>
    <col min="15370" max="15370" width="4.140625" style="488" customWidth="1"/>
    <col min="15371" max="15371" width="19.42578125" style="488" customWidth="1"/>
    <col min="15372" max="15372" width="4.140625" style="488" customWidth="1"/>
    <col min="15373" max="15373" width="20" style="488" customWidth="1"/>
    <col min="15374" max="15374" width="16.7109375" style="488" customWidth="1"/>
    <col min="15375" max="15375" width="27.85546875" style="488"/>
    <col min="15376" max="15376" width="20.7109375" style="488" customWidth="1"/>
    <col min="15377" max="15377" width="14.28515625" style="488" customWidth="1"/>
    <col min="15378" max="15378" width="10.140625" style="488" customWidth="1"/>
    <col min="15379" max="15379" width="15.5703125" style="488" customWidth="1"/>
    <col min="15380" max="15380" width="3.140625" style="488" customWidth="1"/>
    <col min="15381" max="15381" width="2.28515625" style="488" customWidth="1"/>
    <col min="15382" max="15405" width="18.85546875" style="488" customWidth="1"/>
    <col min="15406" max="15406" width="47.42578125" style="488" bestFit="1" customWidth="1"/>
    <col min="15407" max="15407" width="20.42578125" style="488" customWidth="1"/>
    <col min="15408" max="15408" width="18.7109375" style="488" customWidth="1"/>
    <col min="15409" max="15409" width="19.28515625" style="488" customWidth="1"/>
    <col min="15410" max="15410" width="18.7109375" style="488" customWidth="1"/>
    <col min="15411" max="15411" width="3.7109375" style="488" customWidth="1"/>
    <col min="15412" max="15412" width="18.7109375" style="488" customWidth="1"/>
    <col min="15413" max="15413" width="43" style="488" customWidth="1"/>
    <col min="15414" max="15415" width="18.7109375" style="488" customWidth="1"/>
    <col min="15416" max="15416" width="3.7109375" style="488" customWidth="1"/>
    <col min="15417" max="15616" width="27.85546875" style="488"/>
    <col min="15617" max="15617" width="17.28515625" style="488" customWidth="1"/>
    <col min="15618" max="15618" width="2.28515625" style="488" customWidth="1"/>
    <col min="15619" max="15619" width="17.42578125" style="488" customWidth="1"/>
    <col min="15620" max="15620" width="2.28515625" style="488" customWidth="1"/>
    <col min="15621" max="15621" width="15.5703125" style="488" bestFit="1" customWidth="1"/>
    <col min="15622" max="15622" width="2.28515625" style="488" customWidth="1"/>
    <col min="15623" max="15623" width="17.42578125" style="488" bestFit="1" customWidth="1"/>
    <col min="15624" max="15624" width="2.28515625" style="488" customWidth="1"/>
    <col min="15625" max="15625" width="19.42578125" style="488" customWidth="1"/>
    <col min="15626" max="15626" width="4.140625" style="488" customWidth="1"/>
    <col min="15627" max="15627" width="19.42578125" style="488" customWidth="1"/>
    <col min="15628" max="15628" width="4.140625" style="488" customWidth="1"/>
    <col min="15629" max="15629" width="20" style="488" customWidth="1"/>
    <col min="15630" max="15630" width="16.7109375" style="488" customWidth="1"/>
    <col min="15631" max="15631" width="27.85546875" style="488"/>
    <col min="15632" max="15632" width="20.7109375" style="488" customWidth="1"/>
    <col min="15633" max="15633" width="14.28515625" style="488" customWidth="1"/>
    <col min="15634" max="15634" width="10.140625" style="488" customWidth="1"/>
    <col min="15635" max="15635" width="15.5703125" style="488" customWidth="1"/>
    <col min="15636" max="15636" width="3.140625" style="488" customWidth="1"/>
    <col min="15637" max="15637" width="2.28515625" style="488" customWidth="1"/>
    <col min="15638" max="15661" width="18.85546875" style="488" customWidth="1"/>
    <col min="15662" max="15662" width="47.42578125" style="488" bestFit="1" customWidth="1"/>
    <col min="15663" max="15663" width="20.42578125" style="488" customWidth="1"/>
    <col min="15664" max="15664" width="18.7109375" style="488" customWidth="1"/>
    <col min="15665" max="15665" width="19.28515625" style="488" customWidth="1"/>
    <col min="15666" max="15666" width="18.7109375" style="488" customWidth="1"/>
    <col min="15667" max="15667" width="3.7109375" style="488" customWidth="1"/>
    <col min="15668" max="15668" width="18.7109375" style="488" customWidth="1"/>
    <col min="15669" max="15669" width="43" style="488" customWidth="1"/>
    <col min="15670" max="15671" width="18.7109375" style="488" customWidth="1"/>
    <col min="15672" max="15672" width="3.7109375" style="488" customWidth="1"/>
    <col min="15673" max="15872" width="27.85546875" style="488"/>
    <col min="15873" max="15873" width="17.28515625" style="488" customWidth="1"/>
    <col min="15874" max="15874" width="2.28515625" style="488" customWidth="1"/>
    <col min="15875" max="15875" width="17.42578125" style="488" customWidth="1"/>
    <col min="15876" max="15876" width="2.28515625" style="488" customWidth="1"/>
    <col min="15877" max="15877" width="15.5703125" style="488" bestFit="1" customWidth="1"/>
    <col min="15878" max="15878" width="2.28515625" style="488" customWidth="1"/>
    <col min="15879" max="15879" width="17.42578125" style="488" bestFit="1" customWidth="1"/>
    <col min="15880" max="15880" width="2.28515625" style="488" customWidth="1"/>
    <col min="15881" max="15881" width="19.42578125" style="488" customWidth="1"/>
    <col min="15882" max="15882" width="4.140625" style="488" customWidth="1"/>
    <col min="15883" max="15883" width="19.42578125" style="488" customWidth="1"/>
    <col min="15884" max="15884" width="4.140625" style="488" customWidth="1"/>
    <col min="15885" max="15885" width="20" style="488" customWidth="1"/>
    <col min="15886" max="15886" width="16.7109375" style="488" customWidth="1"/>
    <col min="15887" max="15887" width="27.85546875" style="488"/>
    <col min="15888" max="15888" width="20.7109375" style="488" customWidth="1"/>
    <col min="15889" max="15889" width="14.28515625" style="488" customWidth="1"/>
    <col min="15890" max="15890" width="10.140625" style="488" customWidth="1"/>
    <col min="15891" max="15891" width="15.5703125" style="488" customWidth="1"/>
    <col min="15892" max="15892" width="3.140625" style="488" customWidth="1"/>
    <col min="15893" max="15893" width="2.28515625" style="488" customWidth="1"/>
    <col min="15894" max="15917" width="18.85546875" style="488" customWidth="1"/>
    <col min="15918" max="15918" width="47.42578125" style="488" bestFit="1" customWidth="1"/>
    <col min="15919" max="15919" width="20.42578125" style="488" customWidth="1"/>
    <col min="15920" max="15920" width="18.7109375" style="488" customWidth="1"/>
    <col min="15921" max="15921" width="19.28515625" style="488" customWidth="1"/>
    <col min="15922" max="15922" width="18.7109375" style="488" customWidth="1"/>
    <col min="15923" max="15923" width="3.7109375" style="488" customWidth="1"/>
    <col min="15924" max="15924" width="18.7109375" style="488" customWidth="1"/>
    <col min="15925" max="15925" width="43" style="488" customWidth="1"/>
    <col min="15926" max="15927" width="18.7109375" style="488" customWidth="1"/>
    <col min="15928" max="15928" width="3.7109375" style="488" customWidth="1"/>
    <col min="15929" max="16128" width="27.85546875" style="488"/>
    <col min="16129" max="16129" width="17.28515625" style="488" customWidth="1"/>
    <col min="16130" max="16130" width="2.28515625" style="488" customWidth="1"/>
    <col min="16131" max="16131" width="17.42578125" style="488" customWidth="1"/>
    <col min="16132" max="16132" width="2.28515625" style="488" customWidth="1"/>
    <col min="16133" max="16133" width="15.5703125" style="488" bestFit="1" customWidth="1"/>
    <col min="16134" max="16134" width="2.28515625" style="488" customWidth="1"/>
    <col min="16135" max="16135" width="17.42578125" style="488" bestFit="1" customWidth="1"/>
    <col min="16136" max="16136" width="2.28515625" style="488" customWidth="1"/>
    <col min="16137" max="16137" width="19.42578125" style="488" customWidth="1"/>
    <col min="16138" max="16138" width="4.140625" style="488" customWidth="1"/>
    <col min="16139" max="16139" width="19.42578125" style="488" customWidth="1"/>
    <col min="16140" max="16140" width="4.140625" style="488" customWidth="1"/>
    <col min="16141" max="16141" width="20" style="488" customWidth="1"/>
    <col min="16142" max="16142" width="16.7109375" style="488" customWidth="1"/>
    <col min="16143" max="16143" width="27.85546875" style="488"/>
    <col min="16144" max="16144" width="20.7109375" style="488" customWidth="1"/>
    <col min="16145" max="16145" width="14.28515625" style="488" customWidth="1"/>
    <col min="16146" max="16146" width="10.140625" style="488" customWidth="1"/>
    <col min="16147" max="16147" width="15.5703125" style="488" customWidth="1"/>
    <col min="16148" max="16148" width="3.140625" style="488" customWidth="1"/>
    <col min="16149" max="16149" width="2.28515625" style="488" customWidth="1"/>
    <col min="16150" max="16173" width="18.85546875" style="488" customWidth="1"/>
    <col min="16174" max="16174" width="47.42578125" style="488" bestFit="1" customWidth="1"/>
    <col min="16175" max="16175" width="20.42578125" style="488" customWidth="1"/>
    <col min="16176" max="16176" width="18.7109375" style="488" customWidth="1"/>
    <col min="16177" max="16177" width="19.28515625" style="488" customWidth="1"/>
    <col min="16178" max="16178" width="18.7109375" style="488" customWidth="1"/>
    <col min="16179" max="16179" width="3.7109375" style="488" customWidth="1"/>
    <col min="16180" max="16180" width="18.7109375" style="488" customWidth="1"/>
    <col min="16181" max="16181" width="43" style="488" customWidth="1"/>
    <col min="16182" max="16183" width="18.7109375" style="488" customWidth="1"/>
    <col min="16184" max="16184" width="3.7109375" style="488" customWidth="1"/>
    <col min="16185" max="16384" width="27.85546875" style="488"/>
  </cols>
  <sheetData>
    <row r="1" spans="1:18" ht="18" customHeight="1">
      <c r="A1" s="1130" t="s">
        <v>1009</v>
      </c>
      <c r="B1" s="1130"/>
      <c r="C1" s="1130"/>
      <c r="D1" s="1130"/>
      <c r="E1" s="1130"/>
      <c r="F1" s="1130"/>
      <c r="G1" s="1130"/>
      <c r="H1" s="508"/>
      <c r="I1" s="508"/>
    </row>
    <row r="2" spans="1:18" ht="18" customHeight="1">
      <c r="A2" s="1130" t="s">
        <v>1037</v>
      </c>
      <c r="B2" s="1130"/>
      <c r="C2" s="1130"/>
      <c r="D2" s="1130"/>
      <c r="E2" s="1130"/>
      <c r="F2" s="1130"/>
      <c r="G2" s="1130"/>
      <c r="H2" s="508"/>
      <c r="I2" s="508"/>
    </row>
    <row r="3" spans="1:18" ht="18" customHeight="1">
      <c r="A3" s="1130" t="s">
        <v>1038</v>
      </c>
      <c r="B3" s="1130"/>
      <c r="C3" s="1130"/>
      <c r="D3" s="1130"/>
      <c r="E3" s="1130"/>
      <c r="F3" s="1130"/>
      <c r="G3" s="1130"/>
      <c r="H3" s="508"/>
      <c r="I3" s="508"/>
    </row>
    <row r="4" spans="1:18" ht="18" customHeight="1">
      <c r="A4" s="1130" t="str">
        <f>+Input!A4</f>
        <v>December 2024</v>
      </c>
      <c r="B4" s="1130"/>
      <c r="C4" s="1130"/>
      <c r="D4" s="1130"/>
      <c r="E4" s="1130"/>
      <c r="F4" s="1130"/>
      <c r="G4" s="1130"/>
      <c r="H4" s="1130"/>
      <c r="I4" s="1130"/>
    </row>
    <row r="5" spans="1:18" ht="18" customHeight="1">
      <c r="A5" s="490"/>
      <c r="B5" s="491"/>
      <c r="C5" s="491"/>
      <c r="D5" s="491"/>
      <c r="E5" s="491"/>
      <c r="F5" s="491"/>
      <c r="G5" s="510" t="s">
        <v>1039</v>
      </c>
    </row>
    <row r="6" spans="1:18" ht="18" customHeight="1">
      <c r="A6" s="490"/>
      <c r="B6" s="491"/>
      <c r="C6" s="491"/>
      <c r="D6" s="491"/>
      <c r="E6" s="491"/>
      <c r="F6" s="491"/>
      <c r="G6" s="510"/>
      <c r="H6" s="510"/>
      <c r="I6" s="510"/>
    </row>
    <row r="7" spans="1:18" ht="18" customHeight="1">
      <c r="A7" s="490"/>
      <c r="B7" s="491"/>
      <c r="C7" s="491"/>
      <c r="D7" s="491"/>
      <c r="E7" s="491"/>
      <c r="F7" s="491"/>
      <c r="G7" s="510"/>
      <c r="H7" s="510"/>
      <c r="I7" s="510"/>
    </row>
    <row r="8" spans="1:18" ht="18" customHeight="1">
      <c r="A8" s="494"/>
      <c r="B8" s="494"/>
      <c r="C8" s="494" t="s">
        <v>41</v>
      </c>
      <c r="D8" s="494"/>
      <c r="E8" s="494" t="s">
        <v>1040</v>
      </c>
      <c r="F8" s="494"/>
      <c r="G8" s="494" t="s">
        <v>1041</v>
      </c>
      <c r="I8" s="494"/>
    </row>
    <row r="9" spans="1:18" ht="18" customHeight="1">
      <c r="A9" s="496" t="s">
        <v>1042</v>
      </c>
      <c r="B9" s="494"/>
      <c r="C9" s="496" t="s">
        <v>1043</v>
      </c>
      <c r="D9" s="494"/>
      <c r="E9" s="496" t="s">
        <v>41</v>
      </c>
      <c r="F9" s="494"/>
      <c r="G9" s="496" t="s">
        <v>41</v>
      </c>
      <c r="I9" s="494"/>
    </row>
    <row r="10" spans="1:18" ht="18" customHeight="1"/>
    <row r="11" spans="1:18" ht="18" customHeight="1">
      <c r="A11" s="528" t="s">
        <v>236</v>
      </c>
      <c r="C11" s="529">
        <v>1</v>
      </c>
      <c r="E11" s="530">
        <f ca="1">((1+'AFUDC Sch A '!I24)^(1/12))-1</f>
        <v>5.4895211046772641E-3</v>
      </c>
      <c r="G11" s="511">
        <f ca="1">E11</f>
        <v>5.4895211046772641E-3</v>
      </c>
      <c r="I11" s="511"/>
      <c r="R11" s="531"/>
    </row>
    <row r="12" spans="1:18" ht="18" customHeight="1">
      <c r="A12" s="532" t="s">
        <v>237</v>
      </c>
      <c r="C12" s="529">
        <f ca="1">1+G11</f>
        <v>1.0054895211046773</v>
      </c>
      <c r="E12" s="511">
        <f ca="1">E11*(1+E$11)</f>
        <v>5.5196559466359615E-3</v>
      </c>
      <c r="G12" s="511">
        <f ca="1">G11+E12</f>
        <v>1.1009177051313226E-2</v>
      </c>
      <c r="I12" s="511"/>
      <c r="R12" s="531"/>
    </row>
    <row r="13" spans="1:18" ht="18" customHeight="1">
      <c r="A13" s="528" t="s">
        <v>238</v>
      </c>
      <c r="C13" s="529">
        <f t="shared" ref="C13:C22" ca="1" si="0">1+G12</f>
        <v>1.0110091770513132</v>
      </c>
      <c r="E13" s="511">
        <f ca="1">E12*(1+E$11)</f>
        <v>5.5499562144455767E-3</v>
      </c>
      <c r="G13" s="511">
        <f t="shared" ref="G13:G22" ca="1" si="1">G12+E13</f>
        <v>1.6559133265758804E-2</v>
      </c>
      <c r="I13" s="511"/>
    </row>
    <row r="14" spans="1:18" ht="18" customHeight="1">
      <c r="A14" s="532" t="s">
        <v>239</v>
      </c>
      <c r="C14" s="529">
        <f t="shared" ca="1" si="0"/>
        <v>1.0165591332657589</v>
      </c>
      <c r="E14" s="511">
        <f t="shared" ref="E14:E22" ca="1" si="2">E13*(1+E$11)</f>
        <v>5.5804228162148108E-3</v>
      </c>
      <c r="G14" s="511">
        <f t="shared" ca="1" si="1"/>
        <v>2.2139556081973613E-2</v>
      </c>
      <c r="I14" s="511"/>
      <c r="J14" s="527"/>
    </row>
    <row r="15" spans="1:18" ht="18" customHeight="1">
      <c r="A15" s="528" t="s">
        <v>240</v>
      </c>
      <c r="C15" s="529">
        <f t="shared" ca="1" si="0"/>
        <v>1.0221395560819737</v>
      </c>
      <c r="E15" s="511">
        <f t="shared" ca="1" si="2"/>
        <v>5.6110566650374449E-3</v>
      </c>
      <c r="G15" s="511">
        <f t="shared" ca="1" si="1"/>
        <v>2.7750612747011058E-2</v>
      </c>
      <c r="I15" s="511"/>
      <c r="Q15" s="494"/>
    </row>
    <row r="16" spans="1:18" ht="18" customHeight="1">
      <c r="A16" s="532" t="s">
        <v>241</v>
      </c>
      <c r="C16" s="529">
        <f t="shared" ca="1" si="0"/>
        <v>1.0277506127470111</v>
      </c>
      <c r="E16" s="511">
        <f t="shared" ca="1" si="2"/>
        <v>5.6418586790197081E-3</v>
      </c>
      <c r="G16" s="511">
        <f t="shared" ca="1" si="1"/>
        <v>3.3392471426030766E-2</v>
      </c>
      <c r="I16" s="511"/>
      <c r="O16" s="527"/>
      <c r="Q16" s="527"/>
    </row>
    <row r="17" spans="1:17" ht="18" customHeight="1">
      <c r="A17" s="528" t="s">
        <v>242</v>
      </c>
      <c r="C17" s="529">
        <f t="shared" ca="1" si="0"/>
        <v>1.0333924714260307</v>
      </c>
      <c r="E17" s="511">
        <f t="shared" ca="1" si="2"/>
        <v>5.6728297813077935E-3</v>
      </c>
      <c r="G17" s="511">
        <f t="shared" ca="1" si="1"/>
        <v>3.906530120733856E-2</v>
      </c>
      <c r="I17" s="511"/>
    </row>
    <row r="18" spans="1:17" ht="18" customHeight="1">
      <c r="A18" s="532" t="s">
        <v>243</v>
      </c>
      <c r="C18" s="529">
        <f t="shared" ca="1" si="0"/>
        <v>1.0390653012073385</v>
      </c>
      <c r="E18" s="511">
        <f t="shared" ca="1" si="2"/>
        <v>5.7039709001155247E-3</v>
      </c>
      <c r="G18" s="511">
        <f t="shared" ca="1" si="1"/>
        <v>4.4769272107454086E-2</v>
      </c>
      <c r="I18" s="511"/>
    </row>
    <row r="19" spans="1:17" ht="18" customHeight="1">
      <c r="A19" s="528" t="s">
        <v>244</v>
      </c>
      <c r="C19" s="529">
        <f t="shared" ca="1" si="0"/>
        <v>1.0447692721074542</v>
      </c>
      <c r="E19" s="511">
        <f t="shared" ca="1" si="2"/>
        <v>5.7352829687521735E-3</v>
      </c>
      <c r="G19" s="511">
        <f t="shared" ca="1" si="1"/>
        <v>5.0504555076206256E-2</v>
      </c>
      <c r="I19" s="511"/>
    </row>
    <row r="20" spans="1:17" ht="18" customHeight="1">
      <c r="A20" s="532" t="s">
        <v>245</v>
      </c>
      <c r="C20" s="529">
        <f t="shared" ca="1" si="0"/>
        <v>1.0505045550762062</v>
      </c>
      <c r="E20" s="511">
        <f t="shared" ca="1" si="2"/>
        <v>5.7667669256504343E-3</v>
      </c>
      <c r="G20" s="511">
        <f t="shared" ca="1" si="1"/>
        <v>5.6271322001856694E-2</v>
      </c>
      <c r="I20" s="511"/>
    </row>
    <row r="21" spans="1:17" ht="18" customHeight="1">
      <c r="A21" s="528" t="s">
        <v>246</v>
      </c>
      <c r="C21" s="529">
        <f t="shared" ca="1" si="0"/>
        <v>1.0562713220018567</v>
      </c>
      <c r="E21" s="511">
        <f t="shared" ca="1" si="2"/>
        <v>5.7984237143945475E-3</v>
      </c>
      <c r="G21" s="511">
        <f t="shared" ca="1" si="1"/>
        <v>6.2069745716251241E-2</v>
      </c>
      <c r="I21" s="511"/>
    </row>
    <row r="22" spans="1:17" ht="18" customHeight="1">
      <c r="A22" s="532" t="s">
        <v>235</v>
      </c>
      <c r="C22" s="529">
        <f t="shared" ca="1" si="0"/>
        <v>1.0620697457162513</v>
      </c>
      <c r="E22" s="511">
        <f t="shared" ca="1" si="2"/>
        <v>5.8302542837485776E-3</v>
      </c>
      <c r="G22" s="511">
        <f t="shared" ca="1" si="1"/>
        <v>6.7899999999999822E-2</v>
      </c>
      <c r="I22" s="511"/>
    </row>
    <row r="23" spans="1:17" ht="18" customHeight="1">
      <c r="I23" s="511"/>
    </row>
    <row r="24" spans="1:17">
      <c r="A24" s="488" t="s">
        <v>1044</v>
      </c>
    </row>
    <row r="25" spans="1:17">
      <c r="A25" s="488" t="s">
        <v>1045</v>
      </c>
    </row>
    <row r="30" spans="1:17">
      <c r="O30" s="527"/>
      <c r="Q30" s="527"/>
    </row>
    <row r="31" spans="1:17">
      <c r="A31" s="901">
        <f ca="1">+((1+C31)^(1/12))-1</f>
        <v>5.4895211046772641E-3</v>
      </c>
      <c r="C31" s="902">
        <f ca="1">+G22</f>
        <v>6.7899999999999822E-2</v>
      </c>
    </row>
    <row r="32" spans="1:17">
      <c r="Q32" s="527"/>
    </row>
    <row r="33" spans="1:5">
      <c r="A33" s="513"/>
    </row>
    <row r="34" spans="1:5">
      <c r="A34" s="513"/>
      <c r="E34" s="514"/>
    </row>
    <row r="35" spans="1:5">
      <c r="A35" s="513"/>
      <c r="E35" s="514"/>
    </row>
    <row r="93" spans="13:13">
      <c r="M93" s="510"/>
    </row>
    <row r="94" spans="13:13">
      <c r="M94" s="510"/>
    </row>
    <row r="95" spans="13:13">
      <c r="M95" s="527"/>
    </row>
    <row r="100" spans="13:13">
      <c r="M100" s="510"/>
    </row>
    <row r="102" spans="13:13">
      <c r="M102" s="510"/>
    </row>
    <row r="103" spans="13:13">
      <c r="M103" s="510"/>
    </row>
    <row r="105" spans="13:13">
      <c r="M105" s="510"/>
    </row>
    <row r="107" spans="13:13">
      <c r="M107" s="510"/>
    </row>
  </sheetData>
  <mergeCells count="5">
    <mergeCell ref="A1:G1"/>
    <mergeCell ref="A2:G2"/>
    <mergeCell ref="A3:G3"/>
    <mergeCell ref="A4:G4"/>
    <mergeCell ref="H4:I4"/>
  </mergeCells>
  <printOptions horizontalCentered="1"/>
  <pageMargins left="0.7" right="0.7" top="0.75" bottom="0.75" header="0.3" footer="0.3"/>
  <pageSetup scale="4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1:T64"/>
  <sheetViews>
    <sheetView workbookViewId="0">
      <selection activeCell="O26" sqref="O26"/>
    </sheetView>
  </sheetViews>
  <sheetFormatPr defaultColWidth="9.140625" defaultRowHeight="15"/>
  <cols>
    <col min="1" max="1" width="47" style="43" bestFit="1" customWidth="1"/>
    <col min="2" max="2" width="21.28515625" style="43" bestFit="1" customWidth="1"/>
    <col min="3" max="3" width="1.85546875" style="43" bestFit="1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3" width="9.140625" style="43"/>
    <col min="14" max="14" width="1.7109375" style="43" customWidth="1"/>
    <col min="15" max="15" width="11.5703125" style="43" bestFit="1" customWidth="1"/>
    <col min="16" max="16" width="13" style="43" customWidth="1"/>
    <col min="17" max="17" width="1.7109375" style="43" customWidth="1"/>
    <col min="18" max="18" width="9.140625" style="43"/>
    <col min="19" max="19" width="1.42578125" style="43" customWidth="1"/>
    <col min="20" max="20" width="8.7109375" style="47" customWidth="1"/>
    <col min="21" max="21" width="6.85546875" style="43" customWidth="1"/>
    <col min="22" max="22" width="6.28515625" style="43" customWidth="1"/>
    <col min="23" max="16384" width="9.140625" style="43"/>
  </cols>
  <sheetData>
    <row r="1" spans="1:20" ht="18">
      <c r="A1" s="45" t="s">
        <v>1046</v>
      </c>
      <c r="B1" s="76"/>
      <c r="C1" s="76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972"/>
    </row>
    <row r="2" spans="1:20" ht="18">
      <c r="A2" s="45" t="s">
        <v>1047</v>
      </c>
      <c r="B2" s="76"/>
      <c r="C2" s="76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972"/>
    </row>
    <row r="3" spans="1:20" ht="18">
      <c r="A3" s="48" t="s">
        <v>1048</v>
      </c>
      <c r="B3" s="76"/>
      <c r="C3" s="76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972"/>
    </row>
    <row r="4" spans="1:20" ht="15.75" customHeight="1">
      <c r="A4" s="48"/>
      <c r="B4" s="49"/>
      <c r="C4" s="76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972"/>
    </row>
    <row r="5" spans="1:20" ht="15.75" customHeight="1">
      <c r="A5" s="375"/>
      <c r="B5" s="297"/>
      <c r="C5" s="186"/>
      <c r="D5" s="185"/>
      <c r="E5" s="980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972"/>
    </row>
    <row r="6" spans="1:20" s="52" customFormat="1" ht="15.75">
      <c r="A6" s="51" t="s">
        <v>1049</v>
      </c>
      <c r="B6" s="430" t="s">
        <v>1190</v>
      </c>
      <c r="C6" s="76"/>
      <c r="D6" s="257" t="s">
        <v>1231</v>
      </c>
      <c r="H6" s="53" t="s">
        <v>1051</v>
      </c>
      <c r="T6" s="54"/>
    </row>
    <row r="7" spans="1:20" s="52" customFormat="1" ht="15.75">
      <c r="A7" s="55" t="s">
        <v>1052</v>
      </c>
      <c r="B7" s="431" t="s">
        <v>1232</v>
      </c>
      <c r="C7" s="44"/>
      <c r="D7" s="342" t="s">
        <v>3</v>
      </c>
      <c r="F7" s="56" t="s">
        <v>1054</v>
      </c>
      <c r="G7" s="55"/>
      <c r="H7" s="57" t="s">
        <v>1055</v>
      </c>
      <c r="K7" s="303"/>
      <c r="T7" s="54"/>
    </row>
    <row r="8" spans="1:20" ht="15.75">
      <c r="A8" s="52" t="s">
        <v>1108</v>
      </c>
      <c r="B8" s="76"/>
      <c r="C8" s="76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972"/>
    </row>
    <row r="9" spans="1:20">
      <c r="A9" s="76" t="s">
        <v>472</v>
      </c>
      <c r="B9" s="432">
        <v>2025400.3374843115</v>
      </c>
      <c r="C9" s="76"/>
      <c r="D9" s="432">
        <f ca="1">Report!J92</f>
        <v>2370525.9425286599</v>
      </c>
      <c r="E9" s="76"/>
      <c r="F9" s="303">
        <f ca="1">D9-B9</f>
        <v>345125.6050443484</v>
      </c>
      <c r="G9" s="303"/>
      <c r="H9" s="316">
        <f ca="1">ROUND((((B17/(D9+D10+D11+D13))-B20)/B23)-(((B17/(B9+D10+D11+D13))-B20)/B23),4)*10000</f>
        <v>-170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972"/>
    </row>
    <row r="10" spans="1:20">
      <c r="A10" s="76" t="s">
        <v>190</v>
      </c>
      <c r="B10" s="303">
        <v>26412.458933076909</v>
      </c>
      <c r="C10" s="76"/>
      <c r="D10" s="303">
        <f ca="1">Report!N92</f>
        <v>24309.450432307684</v>
      </c>
      <c r="E10" s="76"/>
      <c r="F10" s="303">
        <f ca="1">D10-B10</f>
        <v>-2103.0085007692251</v>
      </c>
      <c r="G10" s="303"/>
      <c r="H10" s="316">
        <f ca="1">ROUND((((B17/(D9+D11+D13+D10))-B20)/B23)-(((B17/(B10+D9+D11+D13))-B20)/B23),4)*10000</f>
        <v>1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972"/>
    </row>
    <row r="11" spans="1:20">
      <c r="A11" s="76" t="s">
        <v>1057</v>
      </c>
      <c r="B11" s="303">
        <v>0</v>
      </c>
      <c r="C11" s="76"/>
      <c r="D11" s="303">
        <f ca="1">Report!L92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972"/>
    </row>
    <row r="12" spans="1:20">
      <c r="A12" s="76" t="s">
        <v>478</v>
      </c>
      <c r="B12" s="303">
        <v>1184.5254784615386</v>
      </c>
      <c r="C12" s="76"/>
      <c r="D12" s="303">
        <f ca="1">Reconcil!C73</f>
        <v>1000</v>
      </c>
      <c r="E12" s="76"/>
      <c r="F12" s="303">
        <f ca="1">D12-B12</f>
        <v>-184.52547846153857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972"/>
    </row>
    <row r="13" spans="1:20" ht="15.75">
      <c r="A13" s="76" t="s">
        <v>1058</v>
      </c>
      <c r="B13" s="191">
        <v>-28928.49196727424</v>
      </c>
      <c r="C13" s="190"/>
      <c r="D13" s="315">
        <f ca="1">Report!R92-D12</f>
        <v>-29047.373783918258</v>
      </c>
      <c r="E13" s="76"/>
      <c r="F13" s="303">
        <f ca="1">D13-B13</f>
        <v>-118.88181664401782</v>
      </c>
      <c r="G13" s="190"/>
      <c r="H13" s="316">
        <f ca="1">ROUND((((B17/(D9+D10+D11+D12+D13))-B20)/B23)-(((B17/(B13+D9+D10+D11+D12))-B20)/B23),4)*10000</f>
        <v>0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972"/>
    </row>
    <row r="14" spans="1:20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972"/>
    </row>
    <row r="15" spans="1:20" ht="15.75">
      <c r="A15" s="52" t="s">
        <v>727</v>
      </c>
      <c r="B15" s="61">
        <v>2024068.8299</v>
      </c>
      <c r="C15" s="52"/>
      <c r="D15" s="61">
        <f ca="1">ROUND(SUM(D9:D13),4)</f>
        <v>2366788.0192</v>
      </c>
      <c r="E15" s="52"/>
      <c r="F15" s="50">
        <f ca="1">D15-B15</f>
        <v>342719.18929999997</v>
      </c>
      <c r="G15" s="50"/>
      <c r="H15" s="53">
        <f ca="1">ROUND((((B17/D15)-B20)/B23)-(((B17/B15)-B20)/B23),4)*10000</f>
        <v>-168</v>
      </c>
      <c r="I15" s="53">
        <f ca="1">SUM(H9:H13)</f>
        <v>-169</v>
      </c>
      <c r="J15" s="316"/>
      <c r="K15" s="53">
        <f ca="1">H15-I15</f>
        <v>1</v>
      </c>
      <c r="L15" s="76"/>
      <c r="M15" s="76"/>
      <c r="N15" s="76"/>
      <c r="O15" s="973">
        <f ca="1">-F15/H15</f>
        <v>2039.9951744047617</v>
      </c>
      <c r="P15" s="76"/>
      <c r="Q15" s="76"/>
      <c r="R15" s="76"/>
      <c r="S15" s="76"/>
      <c r="T15" s="972"/>
    </row>
    <row r="16" spans="1:20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972"/>
    </row>
    <row r="17" spans="1:20" s="52" customFormat="1" ht="15.75">
      <c r="A17" s="52" t="s">
        <v>1059</v>
      </c>
      <c r="B17" s="62">
        <v>111661.9446</v>
      </c>
      <c r="D17" s="62">
        <f ca="1">ROUND(Report!V141,4)</f>
        <v>72338.710999999996</v>
      </c>
      <c r="F17" s="50">
        <f ca="1">D17-B17</f>
        <v>-39323.233600000007</v>
      </c>
      <c r="G17" s="63"/>
      <c r="H17" s="64">
        <f ca="1">ROUND((((D17/B15)-B20)/B23)-(((B17/B15)-B20)/B23),4)*10000</f>
        <v>-409</v>
      </c>
      <c r="I17" s="53"/>
      <c r="J17" s="53"/>
      <c r="K17" s="53"/>
      <c r="L17" s="64"/>
      <c r="O17" s="973">
        <f ca="1">-F17/H17</f>
        <v>-96.144825427872874</v>
      </c>
      <c r="T17" s="54"/>
    </row>
    <row r="18" spans="1:20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972"/>
    </row>
    <row r="19" spans="1:20" ht="15.75">
      <c r="A19" s="76" t="s">
        <v>1060</v>
      </c>
      <c r="B19" s="298">
        <v>5.5199999999999999E-2</v>
      </c>
      <c r="C19" s="76"/>
      <c r="D19" s="298">
        <f ca="1">(ROUND((D17/D15),4))</f>
        <v>3.0599999999999999E-2</v>
      </c>
      <c r="E19" s="76"/>
      <c r="F19" s="298">
        <f ca="1">D19-B19</f>
        <v>-2.46E-2</v>
      </c>
      <c r="G19" s="298"/>
      <c r="H19" s="316">
        <f ca="1">ROUND((F19/$B$23)*10000,0)</f>
        <v>-518</v>
      </c>
      <c r="I19" s="53">
        <f ca="1">H15+H17</f>
        <v>-577</v>
      </c>
      <c r="J19" s="316"/>
      <c r="K19" s="53">
        <f ca="1">H19-I19</f>
        <v>59</v>
      </c>
      <c r="L19" s="76"/>
      <c r="M19" s="76"/>
      <c r="N19" s="76"/>
      <c r="O19" s="76"/>
      <c r="P19" s="76"/>
      <c r="Q19" s="76"/>
      <c r="R19" s="76"/>
      <c r="S19" s="76"/>
      <c r="T19" s="972"/>
    </row>
    <row r="20" spans="1:20" ht="15.75">
      <c r="A20" s="76" t="s">
        <v>1061</v>
      </c>
      <c r="B20" s="299">
        <v>1.7999999999999999E-2</v>
      </c>
      <c r="C20" s="76"/>
      <c r="D20" s="299">
        <f ca="1">ROUND(-Report!$H$223/100,4)</f>
        <v>2.18E-2</v>
      </c>
      <c r="E20" s="76"/>
      <c r="F20" s="298">
        <f ca="1">D20-B20</f>
        <v>3.8000000000000013E-3</v>
      </c>
      <c r="G20" s="298"/>
      <c r="H20" s="316">
        <f ca="1">-ROUND((F20/$B$23)*10000,0)</f>
        <v>-80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972"/>
    </row>
    <row r="21" spans="1:20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972"/>
    </row>
    <row r="22" spans="1:20" ht="15.75">
      <c r="A22" s="76" t="s">
        <v>1062</v>
      </c>
      <c r="B22" s="298">
        <v>3.7199999999999997E-2</v>
      </c>
      <c r="C22" s="76"/>
      <c r="D22" s="298">
        <f ca="1">ROUND(D19-D20,4)</f>
        <v>8.8000000000000005E-3</v>
      </c>
      <c r="E22" s="76"/>
      <c r="F22" s="298">
        <f ca="1">D22-B22</f>
        <v>-2.8399999999999995E-2</v>
      </c>
      <c r="G22" s="298"/>
      <c r="H22" s="316">
        <f ca="1">ROUND((F22/$B$23)*10000,0)</f>
        <v>-598</v>
      </c>
      <c r="I22" s="53">
        <f ca="1">H19+H20</f>
        <v>-598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972"/>
    </row>
    <row r="23" spans="1:20" ht="15.75">
      <c r="A23" s="76" t="s">
        <v>1063</v>
      </c>
      <c r="B23" s="299">
        <v>0.47470000000000001</v>
      </c>
      <c r="C23" s="76"/>
      <c r="D23" s="299">
        <f ca="1">ROUND(Report!J166,4)</f>
        <v>0.47489999999999999</v>
      </c>
      <c r="E23" s="76"/>
      <c r="F23" s="298">
        <f ca="1">D23-B23</f>
        <v>1.9999999999997797E-4</v>
      </c>
      <c r="G23" s="298"/>
      <c r="H23" s="316">
        <f ca="1">ROUND((B22/D23)-(B22/B23),4)*10000</f>
        <v>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972"/>
    </row>
    <row r="24" spans="1:20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972"/>
    </row>
    <row r="25" spans="1:20" s="52" customFormat="1" ht="15.75">
      <c r="A25" s="52" t="s">
        <v>1064</v>
      </c>
      <c r="B25" s="65">
        <v>7.8299999999999995E-2</v>
      </c>
      <c r="D25" s="189">
        <f ca="1">ROUND((D22/D23),4)-0.0001</f>
        <v>1.84E-2</v>
      </c>
      <c r="F25" s="65">
        <f ca="1">D25-B25</f>
        <v>-5.9899999999999995E-2</v>
      </c>
      <c r="G25" s="65"/>
      <c r="H25" s="53">
        <f ca="1">(D25-B25)*10000</f>
        <v>-599</v>
      </c>
      <c r="I25" s="53">
        <f ca="1">H22+H23</f>
        <v>-598</v>
      </c>
      <c r="J25" s="53"/>
      <c r="K25" s="53">
        <f ca="1">H25-I25</f>
        <v>-1</v>
      </c>
      <c r="L25" s="65"/>
      <c r="O25" s="52">
        <v>1.82</v>
      </c>
      <c r="T25" s="54"/>
    </row>
    <row r="26" spans="1:20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974"/>
    </row>
    <row r="27" spans="1:20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972"/>
    </row>
    <row r="28" spans="1:20">
      <c r="A28" s="76" t="s">
        <v>1065</v>
      </c>
      <c r="B28" s="433">
        <v>140330.69999999992</v>
      </c>
      <c r="C28" s="76"/>
      <c r="D28" s="975">
        <f ca="1">Report!B106-SUM(Report!D106:J106)-Report!R106</f>
        <v>76241.100000000006</v>
      </c>
      <c r="E28" s="190"/>
      <c r="F28" s="303">
        <f ca="1">D28-B28</f>
        <v>-64089.599999999919</v>
      </c>
      <c r="G28" s="303"/>
      <c r="H28" s="325">
        <f ca="1">ROUND((((D28/B15)-B20)/B23)-(((B28/B15)-B20)/B23),4)*10000</f>
        <v>-667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972"/>
    </row>
    <row r="29" spans="1:20">
      <c r="A29" s="76" t="s">
        <v>1066</v>
      </c>
      <c r="B29" s="434">
        <v>25697.056047458987</v>
      </c>
      <c r="C29" s="190"/>
      <c r="D29" s="434">
        <f ca="1">Report!L106+Report!N106+Report!P106</f>
        <v>6057.0999999999985</v>
      </c>
      <c r="E29" s="190"/>
      <c r="F29" s="303">
        <f ca="1">D29-B29</f>
        <v>-19639.956047458989</v>
      </c>
      <c r="G29" s="303"/>
      <c r="H29" s="325">
        <f ca="1">-ROUND((((D29/B15)-B20)/B23)-(((B29/B15)-B20)/B23),4)*10000</f>
        <v>204.00000000000003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972"/>
    </row>
    <row r="30" spans="1:20" ht="15.75">
      <c r="A30" s="976" t="s">
        <v>1067</v>
      </c>
      <c r="B30" s="191">
        <v>0</v>
      </c>
      <c r="C30" s="190"/>
      <c r="D30" s="191"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972"/>
    </row>
    <row r="31" spans="1:20" ht="15.75">
      <c r="A31" s="300" t="s">
        <v>1068</v>
      </c>
      <c r="B31" s="191">
        <v>25697.056047458987</v>
      </c>
      <c r="C31" s="76"/>
      <c r="D31" s="191">
        <f ca="1">SUM(D29:D30)</f>
        <v>6057.0999999999985</v>
      </c>
      <c r="E31" s="190"/>
      <c r="F31" s="303">
        <f ca="1">D31-B31</f>
        <v>-19639.956047458989</v>
      </c>
      <c r="G31" s="190"/>
      <c r="H31" s="325">
        <f ca="1">-ROUND((((D31/B15)-B20)/B23)-(((B31/B15)-B20)/B23),4)*10000</f>
        <v>204.00000000000003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972"/>
    </row>
    <row r="32" spans="1:20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972"/>
    </row>
    <row r="33" spans="1:20" ht="15.75">
      <c r="A33" s="76" t="s">
        <v>1069</v>
      </c>
      <c r="B33" s="191">
        <v>114633.64395254094</v>
      </c>
      <c r="C33" s="76"/>
      <c r="D33" s="191">
        <f ca="1">D28-D31</f>
        <v>70184</v>
      </c>
      <c r="E33" s="190"/>
      <c r="F33" s="303">
        <f ca="1">D33-B33</f>
        <v>-44449.643952540937</v>
      </c>
      <c r="G33" s="303"/>
      <c r="H33" s="325">
        <f ca="1">ROUND((((D33/B15)-B20)/B23)-(((B33/B15)-B20)/B23),4)*10000</f>
        <v>-463</v>
      </c>
      <c r="I33" s="316">
        <f ca="1">H28+H29+H30</f>
        <v>-463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972"/>
    </row>
    <row r="34" spans="1:20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972"/>
    </row>
    <row r="35" spans="1:20" ht="15.75">
      <c r="A35" s="76" t="s">
        <v>1070</v>
      </c>
      <c r="B35" s="190">
        <v>0</v>
      </c>
      <c r="C35" s="76"/>
      <c r="D35" s="190">
        <f>Report!V139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972"/>
    </row>
    <row r="36" spans="1:20" ht="15.75">
      <c r="A36" s="976" t="s">
        <v>1071</v>
      </c>
      <c r="B36" s="191">
        <v>-2971.6993391378674</v>
      </c>
      <c r="C36" s="76"/>
      <c r="D36" s="191">
        <f ca="1">D58</f>
        <v>2154.711039144227</v>
      </c>
      <c r="E36" s="190"/>
      <c r="F36" s="303">
        <f ca="1">D36-B36</f>
        <v>5126.4103782820948</v>
      </c>
      <c r="G36" s="76"/>
      <c r="H36" s="325">
        <f ca="1">ROUND((((D36/B15)-B20)/B23)-(((B36/B15)-B20)/B23),4)*10000</f>
        <v>53</v>
      </c>
      <c r="I36" s="316">
        <f ca="1">H36</f>
        <v>53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972"/>
    </row>
    <row r="37" spans="1:20" s="52" customFormat="1" ht="15.75">
      <c r="A37" s="52" t="s">
        <v>1059</v>
      </c>
      <c r="B37" s="62">
        <v>111661.94461340307</v>
      </c>
      <c r="D37" s="67">
        <f ca="1">D33+SUM(D35:D36)</f>
        <v>72338.711039144226</v>
      </c>
      <c r="E37" s="68"/>
      <c r="F37" s="50">
        <f ca="1">D37-B37</f>
        <v>-39323.233574258848</v>
      </c>
      <c r="G37" s="63"/>
      <c r="H37" s="326">
        <f ca="1">ROUND((((D37/B15)-B20)/B23)-(((B37/B15)-B20)/B23),4)*10000</f>
        <v>-409</v>
      </c>
      <c r="I37" s="53">
        <f ca="1">H33+H36</f>
        <v>-410</v>
      </c>
      <c r="K37" s="53">
        <f ca="1">H37-I37</f>
        <v>1</v>
      </c>
      <c r="T37" s="54"/>
    </row>
    <row r="38" spans="1:20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974"/>
    </row>
    <row r="39" spans="1:20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972"/>
    </row>
    <row r="40" spans="1:20" ht="15.75">
      <c r="A40" s="55" t="s">
        <v>1073</v>
      </c>
      <c r="B40" s="302"/>
      <c r="C40" s="302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972"/>
    </row>
    <row r="41" spans="1:20">
      <c r="A41" s="76" t="s">
        <v>1074</v>
      </c>
      <c r="B41" s="192">
        <v>0</v>
      </c>
      <c r="C41" s="76"/>
      <c r="D41" s="192">
        <f ca="1">Report!V109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972"/>
    </row>
    <row r="42" spans="1:20">
      <c r="A42" s="76" t="s">
        <v>1075</v>
      </c>
      <c r="B42" s="192">
        <v>38.475712791654381</v>
      </c>
      <c r="C42" s="76"/>
      <c r="D42" s="192">
        <f ca="1">Report!V110</f>
        <v>32.303351541452763</v>
      </c>
      <c r="E42" s="190"/>
      <c r="F42" s="303">
        <f ca="1">D42-B42</f>
        <v>-6.1723612502016181</v>
      </c>
      <c r="G42" s="298"/>
      <c r="H42" s="325">
        <f ca="1">ROUND((((D42/$B$15)-$B$20)/$B$23)-(((B42/$B$15)-$B$20)/$B$23),4)*10000</f>
        <v>0</v>
      </c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972"/>
    </row>
    <row r="43" spans="1:20">
      <c r="A43" s="76" t="s">
        <v>1076</v>
      </c>
      <c r="B43" s="192">
        <v>-451.34100075752974</v>
      </c>
      <c r="C43" s="76"/>
      <c r="D43" s="192">
        <f ca="1">Report!V111</f>
        <v>-325.33788507723699</v>
      </c>
      <c r="E43" s="190"/>
      <c r="F43" s="303">
        <f t="shared" ref="F43:F58" ca="1" si="0">D43-B43</f>
        <v>126.00311568029275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972"/>
    </row>
    <row r="44" spans="1:20">
      <c r="A44" s="76" t="s">
        <v>1077</v>
      </c>
      <c r="B44" s="192">
        <v>2099</v>
      </c>
      <c r="C44" s="76"/>
      <c r="D44" s="192">
        <f>Report!V112</f>
        <v>3084</v>
      </c>
      <c r="E44" s="190"/>
      <c r="F44" s="303">
        <f t="shared" si="0"/>
        <v>985</v>
      </c>
      <c r="G44" s="298"/>
      <c r="H44" s="325">
        <f t="shared" si="1"/>
        <v>10</v>
      </c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972"/>
    </row>
    <row r="45" spans="1:20">
      <c r="A45" s="76" t="s">
        <v>1078</v>
      </c>
      <c r="B45" s="192">
        <v>0</v>
      </c>
      <c r="C45" s="76"/>
      <c r="D45" s="192">
        <f ca="1">Report!V113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972"/>
    </row>
    <row r="46" spans="1:20">
      <c r="A46" s="76" t="s">
        <v>1079</v>
      </c>
      <c r="B46" s="192">
        <v>13.437899999999999</v>
      </c>
      <c r="C46" s="76"/>
      <c r="D46" s="192">
        <f ca="1">Report!V114</f>
        <v>13.751451000000001</v>
      </c>
      <c r="E46" s="190"/>
      <c r="F46" s="303">
        <f t="shared" ca="1" si="0"/>
        <v>0.31355100000000213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972"/>
    </row>
    <row r="47" spans="1:20">
      <c r="A47" s="76" t="s">
        <v>1080</v>
      </c>
      <c r="B47" s="192">
        <v>59.108476990500002</v>
      </c>
      <c r="C47" s="76"/>
      <c r="D47" s="192">
        <f ca="1">Report!V115</f>
        <v>59.108476990500002</v>
      </c>
      <c r="E47" s="190"/>
      <c r="F47" s="303">
        <f t="shared" ca="1" si="0"/>
        <v>0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972"/>
    </row>
    <row r="48" spans="1:20">
      <c r="A48" s="76" t="s">
        <v>1081</v>
      </c>
      <c r="B48" s="192">
        <v>-89.06341500000417</v>
      </c>
      <c r="C48" s="76"/>
      <c r="D48" s="192">
        <f ca="1">Report!V116</f>
        <v>0</v>
      </c>
      <c r="E48" s="190"/>
      <c r="F48" s="303">
        <f t="shared" ca="1" si="0"/>
        <v>89.06341500000417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972"/>
    </row>
    <row r="49" spans="1:13">
      <c r="A49" s="76" t="s">
        <v>1082</v>
      </c>
      <c r="B49" s="192">
        <v>28.703727937785594</v>
      </c>
      <c r="C49" s="76"/>
      <c r="D49" s="192">
        <f ca="1">Report!V117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  <c r="L49" s="76"/>
      <c r="M49" s="76"/>
    </row>
    <row r="50" spans="1:13">
      <c r="A50" s="76" t="s">
        <v>1083</v>
      </c>
      <c r="B50" s="192">
        <v>4.4270182972260006</v>
      </c>
      <c r="C50" s="76"/>
      <c r="D50" s="192">
        <f ca="1">Report!V118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  <c r="L50" s="76"/>
      <c r="M50" s="76"/>
    </row>
    <row r="51" spans="1:13">
      <c r="A51" s="76" t="s">
        <v>1084</v>
      </c>
      <c r="B51" s="192">
        <v>0</v>
      </c>
      <c r="C51" s="76"/>
      <c r="D51" s="192">
        <f>Report!V119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  <c r="L51" s="76"/>
      <c r="M51" s="76"/>
    </row>
    <row r="52" spans="1:13">
      <c r="A52" s="76" t="s">
        <v>1085</v>
      </c>
      <c r="B52" s="192">
        <v>0</v>
      </c>
      <c r="C52" s="76"/>
      <c r="D52" s="192">
        <f>Report!V120</f>
        <v>0</v>
      </c>
      <c r="E52" s="190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  <c r="L52" s="76"/>
      <c r="M52" s="76"/>
    </row>
    <row r="53" spans="1:13">
      <c r="A53" s="200" t="s">
        <v>65</v>
      </c>
      <c r="B53" s="192">
        <v>-87.940603800000005</v>
      </c>
      <c r="C53" s="76"/>
      <c r="D53" s="192">
        <f ca="1">Report!V121</f>
        <v>-87.940603800000005</v>
      </c>
      <c r="E53" s="190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  <c r="L53" s="76"/>
      <c r="M53" s="76"/>
    </row>
    <row r="54" spans="1:13">
      <c r="A54" s="76" t="s">
        <v>1086</v>
      </c>
      <c r="B54" s="192">
        <v>0</v>
      </c>
      <c r="C54" s="76"/>
      <c r="D54" s="192">
        <f>Report!V122</f>
        <v>0</v>
      </c>
      <c r="E54" s="190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  <c r="L54" s="76"/>
      <c r="M54" s="76"/>
    </row>
    <row r="55" spans="1:13">
      <c r="A55" s="76" t="s">
        <v>66</v>
      </c>
      <c r="B55" s="192">
        <v>-3.3594749993426376E-4</v>
      </c>
      <c r="C55" s="76"/>
      <c r="D55" s="192">
        <f ca="1">Report!V123</f>
        <v>2.9115449990513298E-4</v>
      </c>
      <c r="E55" s="190"/>
      <c r="F55" s="303">
        <f t="shared" ca="1" si="0"/>
        <v>6.2710199983939674E-4</v>
      </c>
      <c r="G55" s="298"/>
      <c r="H55" s="325">
        <f t="shared" ca="1" si="1"/>
        <v>0</v>
      </c>
      <c r="I55" s="76"/>
      <c r="J55" s="76"/>
      <c r="K55" s="76"/>
      <c r="L55" s="76"/>
      <c r="M55" s="76"/>
    </row>
    <row r="56" spans="1:13">
      <c r="A56" s="76" t="s">
        <v>67</v>
      </c>
      <c r="B56" s="192">
        <v>-4586.5068196499997</v>
      </c>
      <c r="C56" s="76"/>
      <c r="D56" s="192">
        <f ca="1">Report!V124</f>
        <v>-654.30478889999995</v>
      </c>
      <c r="E56" s="190"/>
      <c r="F56" s="303">
        <f t="shared" ca="1" si="0"/>
        <v>3932.2020307499997</v>
      </c>
      <c r="G56" s="298"/>
      <c r="H56" s="325">
        <f t="shared" ca="1" si="1"/>
        <v>41</v>
      </c>
      <c r="I56" s="76"/>
      <c r="J56" s="76"/>
      <c r="K56" s="76"/>
      <c r="L56" s="76"/>
      <c r="M56" s="76"/>
    </row>
    <row r="57" spans="1:13" ht="15.2" customHeight="1">
      <c r="A57" s="76" t="s">
        <v>1087</v>
      </c>
      <c r="B57" s="191">
        <v>0</v>
      </c>
      <c r="C57" s="76"/>
      <c r="D57" s="191">
        <f>Report!V125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  <c r="L57" s="76"/>
      <c r="M57" s="76"/>
    </row>
    <row r="58" spans="1:13" ht="15.2" customHeight="1">
      <c r="A58" s="76" t="s">
        <v>1088</v>
      </c>
      <c r="B58" s="190">
        <v>-2971.6993391378674</v>
      </c>
      <c r="C58" s="76"/>
      <c r="D58" s="190">
        <f ca="1">SUM(D41:D57)</f>
        <v>2154.711039144227</v>
      </c>
      <c r="E58" s="190"/>
      <c r="F58" s="303">
        <f t="shared" ca="1" si="0"/>
        <v>5126.4103782820948</v>
      </c>
      <c r="G58" s="76"/>
      <c r="H58" s="325">
        <f t="shared" ca="1" si="1"/>
        <v>53</v>
      </c>
      <c r="I58" s="76"/>
      <c r="J58" s="76"/>
      <c r="K58" s="76"/>
      <c r="L58" s="76"/>
      <c r="M58" s="76"/>
    </row>
    <row r="59" spans="1:13" ht="15.75">
      <c r="A59" s="52"/>
      <c r="B59" s="76"/>
      <c r="C59" s="76"/>
      <c r="D59" s="76"/>
      <c r="E59" s="76"/>
      <c r="F59" s="50"/>
      <c r="G59" s="76"/>
      <c r="H59" s="316"/>
      <c r="I59" s="76"/>
      <c r="J59" s="76"/>
      <c r="K59" s="76"/>
      <c r="L59" s="76"/>
      <c r="M59" s="76"/>
    </row>
    <row r="60" spans="1:13">
      <c r="A60" s="76"/>
      <c r="B60" s="977"/>
      <c r="C60" s="76"/>
      <c r="D60" s="977"/>
      <c r="E60" s="76"/>
      <c r="F60" s="303"/>
      <c r="G60" s="76"/>
      <c r="H60" s="74"/>
      <c r="I60" s="76"/>
      <c r="J60" s="76"/>
      <c r="K60" s="76"/>
      <c r="L60" s="76"/>
      <c r="M60" s="76"/>
    </row>
    <row r="61" spans="1:13">
      <c r="A61" s="76"/>
      <c r="B61" s="977"/>
      <c r="C61" s="76"/>
      <c r="D61" s="977"/>
      <c r="E61" s="76"/>
      <c r="F61" s="303"/>
      <c r="G61" s="76"/>
      <c r="H61" s="74"/>
      <c r="I61" s="76"/>
      <c r="J61" s="76"/>
      <c r="K61" s="76"/>
      <c r="L61" s="76"/>
      <c r="M61" s="76"/>
    </row>
    <row r="62" spans="1:13">
      <c r="A62" s="300"/>
      <c r="B62" s="303"/>
      <c r="C62" s="303"/>
      <c r="D62" s="303"/>
      <c r="E62" s="303"/>
      <c r="F62" s="76"/>
      <c r="G62" s="76"/>
      <c r="H62" s="316"/>
      <c r="I62" s="76"/>
      <c r="J62" s="76"/>
      <c r="K62" s="76"/>
      <c r="L62" s="76"/>
      <c r="M62" s="76"/>
    </row>
    <row r="63" spans="1:13">
      <c r="A63" s="76"/>
      <c r="B63" s="76"/>
      <c r="C63" s="76"/>
      <c r="D63" s="76"/>
      <c r="E63" s="76"/>
      <c r="F63" s="76"/>
      <c r="G63" s="76"/>
      <c r="H63" s="316"/>
      <c r="I63" s="76"/>
      <c r="J63" s="76"/>
      <c r="K63" s="76"/>
      <c r="L63" s="76"/>
      <c r="M63" s="76"/>
    </row>
    <row r="64" spans="1:13">
      <c r="A64" s="76"/>
      <c r="B64" s="76"/>
      <c r="C64" s="76"/>
      <c r="D64" s="76"/>
      <c r="E64" s="76"/>
      <c r="F64" s="76"/>
      <c r="G64" s="76"/>
      <c r="H64" s="316"/>
      <c r="I64" s="76"/>
      <c r="J64" s="76"/>
      <c r="K64" s="76"/>
      <c r="L64" s="76"/>
      <c r="M64" s="76"/>
    </row>
  </sheetData>
  <conditionalFormatting sqref="K31:K37 K15:K25">
    <cfRule type="cellIs" dxfId="25" priority="1" stopIfTrue="1" operator="equal">
      <formula>0</formula>
    </cfRule>
    <cfRule type="cellIs" dxfId="24" priority="2" stopIfTrue="1" operator="notEqual">
      <formula>0</formula>
    </cfRule>
  </conditionalFormatting>
  <printOptions horizontalCentered="1"/>
  <pageMargins left="0.5" right="0.5" top="0.5" bottom="0.5" header="0.5" footer="0.25"/>
  <pageSetup scale="82" orientation="portrait" r:id="rId1"/>
  <headerFooter>
    <oddFooter>&amp;Z&amp;F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X64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257" t="s">
        <v>1089</v>
      </c>
      <c r="C6" s="51"/>
      <c r="D6" s="257" t="str">
        <f>+'COMP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187" t="s">
        <v>1090</v>
      </c>
      <c r="C7" s="55"/>
      <c r="D7" s="342" t="s">
        <v>1091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688482.74965200468</v>
      </c>
      <c r="C9" s="76"/>
      <c r="D9" s="432">
        <v>685766.60682471667</v>
      </c>
      <c r="E9" s="76"/>
      <c r="F9" s="303">
        <f>D9-B9</f>
        <v>-2716.1428272880148</v>
      </c>
      <c r="G9" s="303"/>
      <c r="H9" s="316">
        <f>ROUND((((B17/(D9+D10+D11+D13))-B20)/B23)-(((B17/(B9+D10+D11+D13))-B20)/B23),4)*10000</f>
        <v>5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28097.368307692308</v>
      </c>
      <c r="C10" s="76"/>
      <c r="D10" s="303">
        <v>30384.686166923078</v>
      </c>
      <c r="E10" s="76"/>
      <c r="F10" s="303">
        <f>D10-B10</f>
        <v>2287.3178592307704</v>
      </c>
      <c r="G10" s="303"/>
      <c r="H10" s="316">
        <f>ROUND((((B17/(D9+D11+D13+D10))-B20)/B23)-(((B17/(B10+D9+D11+D13))-B20)/B23),4)*10000</f>
        <v>-5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v>0</v>
      </c>
      <c r="E11" s="76"/>
      <c r="F11" s="303">
        <f>D11-B11</f>
        <v>0</v>
      </c>
      <c r="G11" s="190"/>
      <c r="H11" s="316">
        <f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13626</v>
      </c>
      <c r="C12" s="76"/>
      <c r="D12" s="303">
        <v>12447</v>
      </c>
      <c r="E12" s="76"/>
      <c r="F12" s="303">
        <f>D12-B12</f>
        <v>-1179</v>
      </c>
      <c r="G12" s="190"/>
      <c r="H12" s="316">
        <f>ROUND((((B17/(D9+D10+D11+D12+D13))-B20)/B23)-(((B17/(B12+D9+D10+D11+D13))-B20)/B23),4)*10000</f>
        <v>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14136.715384615385</v>
      </c>
      <c r="C13" s="76"/>
      <c r="D13" s="315">
        <v>15024.053846153845</v>
      </c>
      <c r="E13" s="76"/>
      <c r="F13" s="303">
        <f>D13-B13</f>
        <v>887.33846153846025</v>
      </c>
      <c r="G13" s="190"/>
      <c r="H13" s="316">
        <f>ROUND((((B17/(D9+D10+D11+D12+D13))-B20)/B23)-(((B17/(B13+D9+D10+D11+D12))-B20)/B23),4)*10000</f>
        <v>-2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744342.83330000006</v>
      </c>
      <c r="C15" s="52"/>
      <c r="D15" s="61">
        <v>743622.34680000006</v>
      </c>
      <c r="E15" s="52"/>
      <c r="F15" s="50">
        <f>D15-B15</f>
        <v>-720.48649999999907</v>
      </c>
      <c r="G15" s="50"/>
      <c r="H15" s="53">
        <f>ROUND((((B17/D15)-B20)/B23)-(((B17/B15)-B20)/B23),4)*10000</f>
        <v>1</v>
      </c>
      <c r="I15" s="53">
        <f>SUM(H9:H13)</f>
        <v>0</v>
      </c>
      <c r="J15" s="316"/>
      <c r="K15" s="53">
        <f>H15-I15</f>
        <v>1</v>
      </c>
      <c r="L15" s="76"/>
      <c r="M15" s="76"/>
      <c r="N15" s="76"/>
      <c r="O15" s="973"/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45512.261200000001</v>
      </c>
      <c r="D17" s="62">
        <v>43643.950299999997</v>
      </c>
      <c r="F17" s="50">
        <f>D17-B17</f>
        <v>-1868.310900000004</v>
      </c>
      <c r="G17" s="63"/>
      <c r="H17" s="64">
        <f>ROUND((((D17/B15)-B20)/B23)-(((B17/B15)-B20)/B23),4)*10000</f>
        <v>-59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6.1100000000000002E-2</v>
      </c>
      <c r="C19" s="76"/>
      <c r="D19" s="298">
        <v>5.8700000000000002E-2</v>
      </c>
      <c r="E19" s="76"/>
      <c r="F19" s="298">
        <f>D19-B19</f>
        <v>-2.3999999999999994E-3</v>
      </c>
      <c r="G19" s="298"/>
      <c r="H19" s="316">
        <f>ROUND((F19/$B$23)*10000,0)</f>
        <v>-56</v>
      </c>
      <c r="I19" s="53">
        <f>H15+H17</f>
        <v>-58</v>
      </c>
      <c r="J19" s="316"/>
      <c r="K19" s="53">
        <f>H19-I19</f>
        <v>2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1.8700000000000001E-2</v>
      </c>
      <c r="C20" s="76"/>
      <c r="D20" s="299">
        <v>1.8599999999999998E-2</v>
      </c>
      <c r="E20" s="76"/>
      <c r="F20" s="298">
        <f>D20-B20</f>
        <v>-1.0000000000000286E-4</v>
      </c>
      <c r="G20" s="298"/>
      <c r="H20" s="316">
        <f>-ROUND((F20/$B$23)*10000,0)</f>
        <v>2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4.24E-2</v>
      </c>
      <c r="C22" s="76"/>
      <c r="D22" s="298">
        <v>4.0099999999999997E-2</v>
      </c>
      <c r="E22" s="76"/>
      <c r="F22" s="298">
        <f>D22-B22</f>
        <v>-2.3000000000000034E-3</v>
      </c>
      <c r="G22" s="298"/>
      <c r="H22" s="316">
        <f>ROUND((F22/$B$23)*10000,0)</f>
        <v>-54</v>
      </c>
      <c r="I22" s="53">
        <f>H19+H20</f>
        <v>-54</v>
      </c>
      <c r="J22" s="316"/>
      <c r="K22" s="53">
        <f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0.42780000000000001</v>
      </c>
      <c r="C23" s="76"/>
      <c r="D23" s="299">
        <v>0.42749999999999999</v>
      </c>
      <c r="E23" s="76"/>
      <c r="F23" s="298">
        <f>D23-B23</f>
        <v>-3.0000000000002247E-4</v>
      </c>
      <c r="G23" s="298"/>
      <c r="H23" s="316">
        <f>ROUND((B22/D23)-(B22/B23),4)*10000</f>
        <v>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9.9199999999999997E-2</v>
      </c>
      <c r="D25" s="189">
        <v>9.3799999999999994E-2</v>
      </c>
      <c r="F25" s="65">
        <f>D25-B25</f>
        <v>-5.400000000000002E-3</v>
      </c>
      <c r="G25" s="65"/>
      <c r="H25" s="53">
        <f>(D25-B25)*10000</f>
        <v>-54.000000000000021</v>
      </c>
      <c r="I25" s="53">
        <f>H22+H23</f>
        <v>-53</v>
      </c>
      <c r="J25" s="53"/>
      <c r="K25" s="53">
        <f>H25-I25</f>
        <v>-1.0000000000000213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979">
        <v>68200.37248999998</v>
      </c>
      <c r="C28" s="76"/>
      <c r="D28" s="975">
        <v>65041.159560000058</v>
      </c>
      <c r="E28" s="190"/>
      <c r="F28" s="303">
        <f>D28-B28</f>
        <v>-3159.2129299999215</v>
      </c>
      <c r="G28" s="303"/>
      <c r="H28" s="325">
        <f>ROUND((((D28/B15)-B20)/B23)-(((B28/B15)-B20)/B23),4)*10000</f>
        <v>-99.000000000000014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20518.937209999996</v>
      </c>
      <c r="C29" s="76"/>
      <c r="D29" s="434">
        <v>19267.41584473665</v>
      </c>
      <c r="E29" s="190"/>
      <c r="F29" s="303">
        <f>D29-B29</f>
        <v>-1251.5213652633465</v>
      </c>
      <c r="G29" s="303"/>
      <c r="H29" s="325">
        <f>-ROUND((((D29/B15)-B20)/B23)-(((B29/B15)-B20)/B23),4)*10000</f>
        <v>39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20518.937209999996</v>
      </c>
      <c r="C31" s="300"/>
      <c r="D31" s="191">
        <v>19267.41584473665</v>
      </c>
      <c r="E31" s="190"/>
      <c r="F31" s="303">
        <f>D31-B31</f>
        <v>-1251.5213652633465</v>
      </c>
      <c r="G31" s="190"/>
      <c r="H31" s="325">
        <f>-ROUND((((D31/B15)-B20)/B23)-(((B31/B15)-B20)/B23),4)*10000</f>
        <v>39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47681.435279999983</v>
      </c>
      <c r="C33" s="76"/>
      <c r="D33" s="191">
        <v>45773.743715263408</v>
      </c>
      <c r="E33" s="190"/>
      <c r="F33" s="303">
        <f>D33-B33</f>
        <v>-1907.6915647365749</v>
      </c>
      <c r="G33" s="303"/>
      <c r="H33" s="325">
        <f>ROUND((((D33/B15)-B20)/B23)-(((B33/B15)-B20)/B23),4)*10000</f>
        <v>-60</v>
      </c>
      <c r="I33" s="316">
        <f>H28+H29+H30</f>
        <v>-60.000000000000014</v>
      </c>
      <c r="J33" s="76"/>
      <c r="K33" s="53">
        <f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-2169.1740978951329</v>
      </c>
      <c r="C36" s="976"/>
      <c r="D36" s="191">
        <v>-2129.793427064028</v>
      </c>
      <c r="E36" s="190"/>
      <c r="F36" s="303">
        <f>D36-B36</f>
        <v>39.380670831104908</v>
      </c>
      <c r="G36" s="76"/>
      <c r="H36" s="325">
        <f>ROUND((((D36/B15)-B20)/B23)-(((B36/B15)-B20)/B23),4)*10000</f>
        <v>1</v>
      </c>
      <c r="I36" s="316">
        <f>H36</f>
        <v>1</v>
      </c>
      <c r="J36" s="76"/>
      <c r="K36" s="53">
        <f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7">
        <v>45512.261182104849</v>
      </c>
      <c r="D37" s="67">
        <v>43643.950288199383</v>
      </c>
      <c r="E37" s="68"/>
      <c r="F37" s="50">
        <f>D37-B37</f>
        <v>-1868.3108939054655</v>
      </c>
      <c r="G37" s="63"/>
      <c r="H37" s="326">
        <f>ROUND((((D37/B15)-B20)/B23)-(((B37/B15)-B20)/B23),4)*10000</f>
        <v>-59</v>
      </c>
      <c r="I37" s="53">
        <f>H33+H36</f>
        <v>-59</v>
      </c>
      <c r="K37" s="53">
        <f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>D37-D17</f>
        <v>-1.1800613719969988E-5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v>0</v>
      </c>
      <c r="E41" s="190"/>
      <c r="F41" s="303">
        <f>D41-B41</f>
        <v>0</v>
      </c>
      <c r="G41" s="298"/>
      <c r="H41" s="325">
        <f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10.079000424867271</v>
      </c>
      <c r="C42" s="76"/>
      <c r="D42" s="192">
        <v>10.079459159971712</v>
      </c>
      <c r="E42" s="190"/>
      <c r="F42" s="303">
        <f>D42-B42</f>
        <v>4.5873510444138788E-4</v>
      </c>
      <c r="G42" s="298"/>
      <c r="H42" s="325">
        <f>ROUND((((D42/$B$15)-$B$20)/$B$23)-(((B42/$B$15)-$B$20)/$B$23),4)*10000</f>
        <v>0</v>
      </c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-364</v>
      </c>
      <c r="C43" s="76"/>
      <c r="D43" s="192">
        <v>-362</v>
      </c>
      <c r="E43" s="190"/>
      <c r="F43" s="303">
        <f t="shared" ref="F43:F60" si="0">D43-B43</f>
        <v>2</v>
      </c>
      <c r="G43" s="298"/>
      <c r="H43" s="325">
        <f t="shared" ref="H43:H60" si="1">ROUND((((D43/$B$15)-$B$20)/$B$23)-(((B43/$B$15)-$B$20)/$B$23),4)*10000</f>
        <v>0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0</v>
      </c>
      <c r="C44" s="76"/>
      <c r="D44" s="192">
        <v>0</v>
      </c>
      <c r="E44" s="190"/>
      <c r="F44" s="303">
        <f t="shared" si="0"/>
        <v>0</v>
      </c>
      <c r="G44" s="298"/>
      <c r="H44" s="325">
        <f t="shared" si="1"/>
        <v>0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v>0</v>
      </c>
      <c r="E45" s="190"/>
      <c r="F45" s="303">
        <f t="shared" si="0"/>
        <v>0</v>
      </c>
      <c r="G45" s="298"/>
      <c r="H45" s="325">
        <f t="shared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10.122600000000002</v>
      </c>
      <c r="C46" s="76"/>
      <c r="D46" s="192">
        <v>9.1975999999999996</v>
      </c>
      <c r="E46" s="190"/>
      <c r="F46" s="303">
        <f t="shared" si="0"/>
        <v>-0.92500000000000249</v>
      </c>
      <c r="G46" s="298"/>
      <c r="H46" s="325">
        <f t="shared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19.619209999999999</v>
      </c>
      <c r="C47" s="76"/>
      <c r="D47" s="192">
        <v>28.062779999999997</v>
      </c>
      <c r="E47" s="190"/>
      <c r="F47" s="303">
        <f t="shared" si="0"/>
        <v>8.4435699999999976</v>
      </c>
      <c r="G47" s="298"/>
      <c r="H47" s="325">
        <f t="shared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4.9020000000000001</v>
      </c>
      <c r="C48" s="76"/>
      <c r="D48" s="192">
        <v>4.9020000000000001</v>
      </c>
      <c r="E48" s="190"/>
      <c r="F48" s="303">
        <f t="shared" si="0"/>
        <v>0</v>
      </c>
      <c r="G48" s="298"/>
      <c r="H48" s="325">
        <f t="shared" si="1"/>
        <v>0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23.342261679999993</v>
      </c>
      <c r="C49" s="76"/>
      <c r="D49" s="192">
        <v>23.673573775999998</v>
      </c>
      <c r="E49" s="190"/>
      <c r="F49" s="303">
        <f t="shared" si="0"/>
        <v>0.33131209600000489</v>
      </c>
      <c r="G49" s="298"/>
      <c r="H49" s="325">
        <f t="shared" si="1"/>
        <v>0</v>
      </c>
      <c r="I49" s="76"/>
      <c r="J49" s="76"/>
      <c r="K49" s="76"/>
    </row>
    <row r="50" spans="1:11">
      <c r="A50" s="76" t="s">
        <v>1083</v>
      </c>
      <c r="B50" s="192">
        <v>6.5239999999999991</v>
      </c>
      <c r="C50" s="76"/>
      <c r="D50" s="192">
        <v>6.5239999999999991</v>
      </c>
      <c r="E50" s="190"/>
      <c r="F50" s="303">
        <f t="shared" si="0"/>
        <v>0</v>
      </c>
      <c r="G50" s="298"/>
      <c r="H50" s="325">
        <f t="shared" si="1"/>
        <v>0</v>
      </c>
      <c r="I50" s="76"/>
      <c r="J50" s="76"/>
      <c r="K50" s="76"/>
    </row>
    <row r="51" spans="1:11">
      <c r="A51" s="76" t="s">
        <v>1092</v>
      </c>
      <c r="B51" s="192">
        <v>34.016829999999999</v>
      </c>
      <c r="C51" s="76"/>
      <c r="D51" s="192">
        <v>28.403840000000002</v>
      </c>
      <c r="E51" s="190"/>
      <c r="F51" s="303">
        <f t="shared" si="0"/>
        <v>-5.6129899999999964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1093</v>
      </c>
      <c r="B52" s="192">
        <v>0</v>
      </c>
      <c r="C52" s="76"/>
      <c r="D52" s="192">
        <v>0</v>
      </c>
      <c r="E52" s="190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76" t="s">
        <v>1084</v>
      </c>
      <c r="B53" s="192">
        <v>49</v>
      </c>
      <c r="C53" s="76"/>
      <c r="D53" s="192">
        <v>49</v>
      </c>
      <c r="E53" s="190"/>
      <c r="F53" s="303">
        <f t="shared" si="0"/>
        <v>0</v>
      </c>
      <c r="G53" s="298"/>
      <c r="H53" s="325">
        <f t="shared" si="1"/>
        <v>0</v>
      </c>
      <c r="I53" s="76"/>
      <c r="J53" s="76"/>
      <c r="K53" s="76"/>
    </row>
    <row r="54" spans="1:11">
      <c r="A54" s="76" t="s">
        <v>1085</v>
      </c>
      <c r="B54" s="192">
        <v>0</v>
      </c>
      <c r="C54" s="76"/>
      <c r="D54" s="192"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200" t="s">
        <v>65</v>
      </c>
      <c r="B55" s="192">
        <v>-83</v>
      </c>
      <c r="C55" s="200"/>
      <c r="D55" s="192">
        <v>-83</v>
      </c>
      <c r="E55" s="76"/>
      <c r="F55" s="303">
        <f>D55-B55</f>
        <v>0</v>
      </c>
      <c r="G55" s="298"/>
      <c r="H55" s="325">
        <f>ROUND((((D55/$B$15)-$B$20)/$B$23)-(((B55/$B$15)-$B$20)/$B$23),4)*10000</f>
        <v>0</v>
      </c>
      <c r="I55" s="76"/>
      <c r="J55" s="76"/>
      <c r="K55" s="76"/>
    </row>
    <row r="56" spans="1:11">
      <c r="A56" s="76" t="s">
        <v>1086</v>
      </c>
      <c r="B56" s="192">
        <v>0</v>
      </c>
      <c r="C56" s="76"/>
      <c r="D56" s="192">
        <v>0</v>
      </c>
      <c r="E56" s="76"/>
      <c r="F56" s="303">
        <f t="shared" si="0"/>
        <v>0</v>
      </c>
      <c r="G56" s="298"/>
      <c r="H56" s="325">
        <f t="shared" si="1"/>
        <v>0</v>
      </c>
      <c r="I56" s="76"/>
      <c r="J56" s="76"/>
      <c r="K56" s="76"/>
    </row>
    <row r="57" spans="1:11">
      <c r="A57" s="76" t="s">
        <v>66</v>
      </c>
      <c r="B57" s="192">
        <v>0</v>
      </c>
      <c r="C57" s="76"/>
      <c r="D57" s="192">
        <v>-1.6799999993963866E-3</v>
      </c>
      <c r="E57" s="190"/>
      <c r="F57" s="303">
        <f t="shared" si="0"/>
        <v>-1.6799999993963866E-3</v>
      </c>
      <c r="G57" s="298"/>
      <c r="H57" s="325">
        <f t="shared" si="1"/>
        <v>0</v>
      </c>
      <c r="I57" s="76"/>
      <c r="J57" s="76"/>
      <c r="K57" s="76"/>
    </row>
    <row r="58" spans="1:11">
      <c r="A58" s="76" t="s">
        <v>67</v>
      </c>
      <c r="B58" s="192">
        <v>-1879.7800000000002</v>
      </c>
      <c r="C58" s="76"/>
      <c r="D58" s="192">
        <v>-1844.6350000000002</v>
      </c>
      <c r="E58" s="190"/>
      <c r="F58" s="303">
        <f t="shared" si="0"/>
        <v>35.144999999999982</v>
      </c>
      <c r="G58" s="298"/>
      <c r="H58" s="325">
        <f t="shared" si="1"/>
        <v>1</v>
      </c>
      <c r="I58" s="76"/>
      <c r="J58" s="76"/>
      <c r="K58" s="76"/>
    </row>
    <row r="59" spans="1:11" ht="15.2" customHeight="1">
      <c r="A59" s="76" t="s">
        <v>1087</v>
      </c>
      <c r="B59" s="191">
        <v>0</v>
      </c>
      <c r="C59" s="76"/>
      <c r="D59" s="191">
        <v>0</v>
      </c>
      <c r="E59" s="190"/>
      <c r="F59" s="329">
        <f t="shared" si="0"/>
        <v>0</v>
      </c>
      <c r="G59" s="76"/>
      <c r="H59" s="325">
        <f t="shared" si="1"/>
        <v>0</v>
      </c>
      <c r="I59" s="76"/>
      <c r="J59" s="76"/>
      <c r="K59" s="76"/>
    </row>
    <row r="60" spans="1:11" ht="15.2" customHeight="1">
      <c r="A60" s="76" t="s">
        <v>1088</v>
      </c>
      <c r="B60" s="190">
        <v>-2169.1740978951329</v>
      </c>
      <c r="C60" s="76"/>
      <c r="D60" s="190">
        <v>-2129.793427064028</v>
      </c>
      <c r="E60" s="190"/>
      <c r="F60" s="303">
        <f t="shared" si="0"/>
        <v>39.380670831104908</v>
      </c>
      <c r="G60" s="76"/>
      <c r="H60" s="325">
        <f t="shared" si="1"/>
        <v>1</v>
      </c>
      <c r="I60" s="76"/>
      <c r="J60" s="76"/>
      <c r="K60" s="76"/>
    </row>
    <row r="61" spans="1:11" ht="15.75">
      <c r="A61" s="52"/>
      <c r="B61" s="52"/>
      <c r="C61" s="52"/>
      <c r="D61" s="76"/>
      <c r="E61" s="76"/>
      <c r="F61" s="50"/>
      <c r="G61" s="76"/>
      <c r="H61" s="316"/>
      <c r="I61" s="76"/>
      <c r="J61" s="76"/>
      <c r="K61" s="76"/>
    </row>
    <row r="62" spans="1:11" hidden="1">
      <c r="A62" s="76" t="s">
        <v>1094</v>
      </c>
      <c r="B62" s="76"/>
      <c r="C62" s="76"/>
      <c r="D62" s="977" t="e">
        <v>#REF!</v>
      </c>
      <c r="E62" s="76"/>
      <c r="F62" s="303" t="e">
        <f>D62-#REF!</f>
        <v>#REF!</v>
      </c>
      <c r="G62" s="76"/>
      <c r="H62" s="74"/>
      <c r="I62" s="76"/>
      <c r="J62" s="76"/>
      <c r="K62" s="76"/>
    </row>
    <row r="63" spans="1:11" hidden="1">
      <c r="A63" s="76" t="s">
        <v>1095</v>
      </c>
      <c r="B63" s="76"/>
      <c r="C63" s="76"/>
      <c r="D63" s="977" t="e">
        <v>#REF!</v>
      </c>
      <c r="E63" s="76"/>
      <c r="F63" s="303" t="e">
        <f>D63-#REF!</f>
        <v>#REF!</v>
      </c>
      <c r="G63" s="76"/>
      <c r="H63" s="74"/>
      <c r="I63" s="76"/>
      <c r="J63" s="76"/>
      <c r="K63" s="76"/>
    </row>
    <row r="64" spans="1:11">
      <c r="A64" s="300"/>
      <c r="B64" s="300"/>
      <c r="C64" s="300"/>
      <c r="D64" s="303"/>
      <c r="E64" s="303"/>
      <c r="F64" s="76"/>
      <c r="G64" s="76"/>
      <c r="H64" s="316"/>
      <c r="I64" s="76"/>
      <c r="J64" s="76"/>
      <c r="K64" s="76"/>
    </row>
  </sheetData>
  <conditionalFormatting sqref="K31:K37 K15:K25">
    <cfRule type="cellIs" dxfId="23" priority="1" stopIfTrue="1" operator="equal">
      <formula>0</formula>
    </cfRule>
    <cfRule type="cellIs" dxfId="2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tabColor rgb="FF00B0F0"/>
    <pageSetUpPr fitToPage="1"/>
  </sheetPr>
  <dimension ref="A1:X62"/>
  <sheetViews>
    <sheetView workbookViewId="0">
      <selection activeCell="O17" sqref="O17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B6" s="430" t="s">
        <v>1205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1227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2024569.5878616774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345956.35466698254</v>
      </c>
      <c r="G9" s="303"/>
      <c r="H9" s="316">
        <f ca="1">ROUND((((B17/(D9+D10+D11+D13))-B20)/B23)-(((B17/(B9+D10+D11+D13))-B20)/B23),4)*10000</f>
        <v>-168.99999999999997</v>
      </c>
      <c r="I9" s="316">
        <f ca="1">ROUND((((B17/(D9+D10+D11+D13))-B20)/B23)-(((B17/(B9+D10+D11+D13))-B20)/B23),4)*10000</f>
        <v>-168.99999999999997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17286.934380000021</v>
      </c>
      <c r="C10" s="76"/>
      <c r="D10" s="303">
        <f ca="1">+'COMP Act to Prior'!D10</f>
        <v>24309.450432307684</v>
      </c>
      <c r="E10" s="76"/>
      <c r="F10" s="303">
        <f ca="1">D10-B10</f>
        <v>7022.5160523076629</v>
      </c>
      <c r="G10" s="303"/>
      <c r="H10" s="316">
        <f ca="1">ROUND((((B17/(D9+D11+D13+D10))-B20)/B23)-(((B17/(B10+D9+D11+D13))-B20)/B23),4)*10000</f>
        <v>-2.9999999999999996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1000</v>
      </c>
      <c r="C12" s="76"/>
      <c r="D12" s="303">
        <f ca="1">+'COMP Act to Prior'!D12</f>
        <v>1000</v>
      </c>
      <c r="E12" s="76"/>
      <c r="F12" s="303">
        <f ca="1">D12-B12</f>
        <v>0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-12278.534419277286</v>
      </c>
      <c r="C13" s="76"/>
      <c r="D13" s="315">
        <f ca="1">+'COMP Act to Prior'!D13</f>
        <v>-29047.373783918258</v>
      </c>
      <c r="E13" s="76"/>
      <c r="F13" s="303">
        <f ca="1">D13-B13</f>
        <v>-16768.839364640971</v>
      </c>
      <c r="G13" s="190"/>
      <c r="H13" s="316">
        <f ca="1">ROUND((((B17/(D9+D10+D11+D12+D13))-B20)/B23)-(((B17/(B13+D9+D10+D11+D12))-B20)/B23),4)*10000</f>
        <v>7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2030577.9878</v>
      </c>
      <c r="C15" s="52"/>
      <c r="D15" s="61">
        <f ca="1">+'COMP Act to Prior'!D15</f>
        <v>2366788.0192</v>
      </c>
      <c r="E15" s="52"/>
      <c r="F15" s="50">
        <f ca="1">D15-B15</f>
        <v>336210.03139999998</v>
      </c>
      <c r="G15" s="50"/>
      <c r="H15" s="53">
        <f ca="1">ROUND((((B17/D15)-B20)/B23)-(((B17/B15)-B20)/B23),4)*10000</f>
        <v>-164</v>
      </c>
      <c r="I15" s="53">
        <f ca="1">SUM(H9:H13)</f>
        <v>-164.99999999999997</v>
      </c>
      <c r="J15" s="316"/>
      <c r="K15" s="53">
        <f ca="1">H15-I15</f>
        <v>0.99999999999997158</v>
      </c>
      <c r="L15" s="76"/>
      <c r="M15" s="76"/>
      <c r="N15" s="76"/>
      <c r="O15" s="973">
        <f ca="1">-F15/H15</f>
        <v>2050.0611670731705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111196.103</v>
      </c>
      <c r="D17" s="62">
        <f ca="1">+'COMP Act to Prior'!D17</f>
        <v>72338.710999999996</v>
      </c>
      <c r="F17" s="50">
        <f ca="1">D17-B17</f>
        <v>-38857.392000000007</v>
      </c>
      <c r="G17" s="63"/>
      <c r="H17" s="64">
        <f ca="1">ROUND((((D17/B15)-B20)/B23)-(((B17/B15)-B20)/B23),4)*10000</f>
        <v>-403</v>
      </c>
      <c r="I17" s="53"/>
      <c r="J17" s="53"/>
      <c r="K17" s="53"/>
      <c r="L17" s="64"/>
      <c r="M17" s="76"/>
      <c r="O17" s="973">
        <f ca="1">-F17/H17</f>
        <v>-96.420327543424335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5.4800000000000001E-2</v>
      </c>
      <c r="C19" s="76"/>
      <c r="D19" s="298">
        <f ca="1">+'COMP Act to Prior'!D19</f>
        <v>3.0599999999999999E-2</v>
      </c>
      <c r="E19" s="76"/>
      <c r="F19" s="298">
        <f ca="1">D19-B19</f>
        <v>-2.4200000000000003E-2</v>
      </c>
      <c r="G19" s="298"/>
      <c r="H19" s="316">
        <f ca="1">ROUND((F19/$B$23)*10000,0)</f>
        <v>-509</v>
      </c>
      <c r="I19" s="53">
        <f ca="1">H15+H17</f>
        <v>-567</v>
      </c>
      <c r="J19" s="316"/>
      <c r="K19" s="53">
        <f ca="1">H19-I19</f>
        <v>58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1.72E-2</v>
      </c>
      <c r="C20" s="76"/>
      <c r="D20" s="299">
        <f ca="1">+'COMP Act to Prior'!D20</f>
        <v>2.18E-2</v>
      </c>
      <c r="E20" s="76"/>
      <c r="F20" s="298">
        <f ca="1">D20-B20</f>
        <v>4.5999999999999999E-3</v>
      </c>
      <c r="G20" s="298"/>
      <c r="H20" s="316">
        <f ca="1">-ROUND((F20/$B$23)*10000,0)</f>
        <v>-97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3.7600000000000001E-2</v>
      </c>
      <c r="C22" s="76"/>
      <c r="D22" s="298">
        <f ca="1">+'COMP Act to Prior'!D22</f>
        <v>8.8000000000000005E-3</v>
      </c>
      <c r="E22" s="76"/>
      <c r="F22" s="298">
        <f ca="1">D22-B22</f>
        <v>-2.8799999999999999E-2</v>
      </c>
      <c r="G22" s="298"/>
      <c r="H22" s="316">
        <f ca="1">ROUND((F22/$B$23)*10000,0)</f>
        <v>-606</v>
      </c>
      <c r="I22" s="53">
        <f ca="1">H19+H20</f>
        <v>-606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0.4753</v>
      </c>
      <c r="C23" s="76"/>
      <c r="D23" s="299">
        <f ca="1">+'COMP Act to Prior'!D23</f>
        <v>0.47489999999999999</v>
      </c>
      <c r="E23" s="76"/>
      <c r="F23" s="298">
        <f ca="1">D23-B23</f>
        <v>-4.0000000000001146E-4</v>
      </c>
      <c r="G23" s="298"/>
      <c r="H23" s="316">
        <f ca="1">ROUND((B22/D23)-(B22/B23),4)*10000</f>
        <v>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7.9000000000000001E-2</v>
      </c>
      <c r="D25" s="189">
        <f ca="1">+'COMP Act to Prior'!D25</f>
        <v>1.84E-2</v>
      </c>
      <c r="F25" s="65">
        <f ca="1">D25-B25</f>
        <v>-6.0600000000000001E-2</v>
      </c>
      <c r="G25" s="65"/>
      <c r="H25" s="53">
        <f ca="1">(D25-B25)*10000</f>
        <v>-606</v>
      </c>
      <c r="I25" s="53">
        <f ca="1">H22+H23</f>
        <v>-605</v>
      </c>
      <c r="J25" s="53"/>
      <c r="K25" s="53">
        <f ca="1">H25-I25</f>
        <v>-1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433">
        <v>140064.16215999992</v>
      </c>
      <c r="C28" s="76"/>
      <c r="D28" s="975">
        <f ca="1">+'COMP Act to Prior'!D28</f>
        <v>76241.100000000006</v>
      </c>
      <c r="E28" s="190"/>
      <c r="F28" s="303">
        <f ca="1">D28-B28</f>
        <v>-63823.062159999914</v>
      </c>
      <c r="G28" s="303"/>
      <c r="H28" s="325">
        <f ca="1">ROUND((((D28/B15)-B20)/B23)-(((B28/B15)-B20)/B23),4)*10000</f>
        <v>-661.00000000000011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26053.514030524002</v>
      </c>
      <c r="C29" s="76"/>
      <c r="D29" s="434">
        <f ca="1">+'COMP Act to Prior'!D29</f>
        <v>6057.0999999999985</v>
      </c>
      <c r="E29" s="190"/>
      <c r="F29" s="303">
        <f ca="1">D29-B29</f>
        <v>-19996.414030524003</v>
      </c>
      <c r="G29" s="303"/>
      <c r="H29" s="325">
        <f ca="1">-ROUND((((D29/B15)-B20)/B23)-(((B29/B15)-B20)/B23),4)*10000</f>
        <v>207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26053.514030524002</v>
      </c>
      <c r="C31" s="300"/>
      <c r="D31" s="191">
        <f ca="1">+'COMP Act to Prior'!D31</f>
        <v>6057.0999999999985</v>
      </c>
      <c r="E31" s="190"/>
      <c r="F31" s="303">
        <f ca="1">D31-B31</f>
        <v>-19996.414030524003</v>
      </c>
      <c r="G31" s="190"/>
      <c r="H31" s="325">
        <f ca="1">-ROUND((((D31/B15)-B20)/B23)-(((B31/B15)-B20)/B23),4)*10000</f>
        <v>207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114010.64812947591</v>
      </c>
      <c r="C33" s="76"/>
      <c r="D33" s="191">
        <f ca="1">+'COMP Act to Prior'!D33</f>
        <v>70184</v>
      </c>
      <c r="E33" s="190"/>
      <c r="F33" s="303">
        <f ca="1">D33-B33</f>
        <v>-43826.648129475914</v>
      </c>
      <c r="G33" s="303"/>
      <c r="H33" s="325">
        <f ca="1">ROUND((((D33/B15)-B20)/B23)-(((B33/B15)-B20)/B23),4)*10000</f>
        <v>-454.00000000000006</v>
      </c>
      <c r="I33" s="316">
        <f ca="1">H28+H29+H30</f>
        <v>-454.00000000000011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-2814.5450987047816</v>
      </c>
      <c r="C36" s="976"/>
      <c r="D36" s="191">
        <f ca="1">+'COMP Act to Prior'!D36</f>
        <v>2154.711039144227</v>
      </c>
      <c r="E36" s="190"/>
      <c r="F36" s="303">
        <f ca="1">D36-B36</f>
        <v>4969.2561378490082</v>
      </c>
      <c r="G36" s="76"/>
      <c r="H36" s="325">
        <f ca="1">ROUND((((D36/B15)-B20)/B23)-(((B36/B15)-B20)/B23),4)*10000</f>
        <v>51.000000000000007</v>
      </c>
      <c r="I36" s="316">
        <f ca="1">H36</f>
        <v>51.000000000000007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2">
        <v>111196.10303077113</v>
      </c>
      <c r="D37" s="67">
        <f ca="1">+'COMP Act to Prior'!D37</f>
        <v>72338.711039144226</v>
      </c>
      <c r="E37" s="68"/>
      <c r="F37" s="50">
        <f ca="1">D37-B37</f>
        <v>-38857.391991626908</v>
      </c>
      <c r="G37" s="63"/>
      <c r="H37" s="326">
        <f ca="1">ROUND((((D37/B15)-B20)/B23)-(((B37/B15)-B20)/B23),4)*10000</f>
        <v>-403</v>
      </c>
      <c r="I37" s="53">
        <f ca="1">H33+H36</f>
        <v>-403.00000000000006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35.898645635905254</v>
      </c>
      <c r="C42" s="76"/>
      <c r="D42" s="192">
        <f ca="1">+'COMP Act to Prior'!D42</f>
        <v>32.303351541452763</v>
      </c>
      <c r="E42" s="190"/>
      <c r="F42" s="303">
        <f ca="1">D42-B42</f>
        <v>-3.5952940944524912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-392.27123274519482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66.933347667957833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10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13.437899999999999</v>
      </c>
      <c r="C46" s="76"/>
      <c r="D46" s="192">
        <f ca="1">+'COMP Act to Prior'!D46</f>
        <v>13.751451000000001</v>
      </c>
      <c r="E46" s="190"/>
      <c r="F46" s="303">
        <f t="shared" ca="1" si="0"/>
        <v>0.31355100000000213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-89.06341500000417</v>
      </c>
      <c r="C48" s="76"/>
      <c r="D48" s="192">
        <f ca="1">+'COMP Act to Prior'!D48</f>
        <v>0</v>
      </c>
      <c r="E48" s="190"/>
      <c r="F48" s="303">
        <f t="shared" ca="1" si="0"/>
        <v>89.06341500000417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5.8230900094713434E-4</v>
      </c>
      <c r="C55" s="76"/>
      <c r="D55" s="192">
        <f ca="1">+'COMP Act to Prior'!D55</f>
        <v>2.9115449990513298E-4</v>
      </c>
      <c r="E55" s="190"/>
      <c r="F55" s="303">
        <f t="shared" ca="1" si="0"/>
        <v>-2.9115450104200136E-4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-4486.4825575499999</v>
      </c>
      <c r="C56" s="76"/>
      <c r="D56" s="192">
        <f ca="1">+'COMP Act to Prior'!D56</f>
        <v>-654.30478889999995</v>
      </c>
      <c r="E56" s="190"/>
      <c r="F56" s="303">
        <f t="shared" ca="1" si="0"/>
        <v>3832.17776865</v>
      </c>
      <c r="G56" s="298"/>
      <c r="H56" s="325">
        <f t="shared" ca="1" si="1"/>
        <v>40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-2814.5450987047816</v>
      </c>
      <c r="C58" s="76"/>
      <c r="D58" s="190">
        <f ca="1">+'COMP Act to Prior'!D58</f>
        <v>2154.711039144227</v>
      </c>
      <c r="E58" s="190"/>
      <c r="F58" s="303">
        <f t="shared" ca="1" si="0"/>
        <v>4969.2561378490082</v>
      </c>
      <c r="G58" s="76"/>
      <c r="H58" s="325">
        <f t="shared" ca="1" si="1"/>
        <v>51.000000000000007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21" priority="1" stopIfTrue="1" operator="equal">
      <formula>0</formula>
    </cfRule>
    <cfRule type="cellIs" dxfId="20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  <pageSetUpPr fitToPage="1"/>
  </sheetPr>
  <dimension ref="A1:JB123"/>
  <sheetViews>
    <sheetView workbookViewId="0">
      <selection activeCell="T35" activeCellId="1" sqref="T54 T35"/>
    </sheetView>
  </sheetViews>
  <sheetFormatPr defaultColWidth="9.140625" defaultRowHeight="12.75"/>
  <cols>
    <col min="1" max="1" width="5.85546875" style="375" customWidth="1"/>
    <col min="2" max="2" width="42.85546875" style="375" customWidth="1"/>
    <col min="3" max="3" width="11.7109375" style="375" hidden="1" customWidth="1"/>
    <col min="4" max="7" width="14.85546875" style="375" hidden="1" customWidth="1"/>
    <col min="8" max="8" width="11.7109375" style="375" hidden="1" customWidth="1"/>
    <col min="9" max="12" width="14.85546875" style="375" hidden="1" customWidth="1"/>
    <col min="13" max="13" width="11.7109375" style="375" hidden="1" customWidth="1"/>
    <col min="14" max="14" width="14.85546875" style="375" hidden="1" customWidth="1"/>
    <col min="15" max="17" width="12.28515625" style="375" hidden="1" customWidth="1"/>
    <col min="18" max="18" width="14.7109375" style="375" bestFit="1" customWidth="1"/>
    <col min="19" max="19" width="15.5703125" style="375" bestFit="1" customWidth="1"/>
    <col min="20" max="20" width="17.5703125" style="375" bestFit="1" customWidth="1"/>
    <col min="21" max="22" width="12.28515625" style="375" customWidth="1"/>
    <col min="23" max="23" width="11" style="375" customWidth="1"/>
    <col min="24" max="24" width="9.140625" style="375"/>
    <col min="25" max="25" width="12.42578125" style="375" bestFit="1" customWidth="1"/>
    <col min="26" max="28" width="9.140625" style="375"/>
    <col min="29" max="29" width="21.85546875" style="375" customWidth="1"/>
    <col min="30" max="262" width="9.140625" style="375"/>
    <col min="263" max="263" width="4.7109375" style="375" customWidth="1"/>
    <col min="264" max="264" width="40.140625" style="375" bestFit="1" customWidth="1"/>
    <col min="265" max="265" width="11.28515625" style="375" customWidth="1"/>
    <col min="266" max="266" width="11.85546875" style="375" customWidth="1"/>
    <col min="267" max="267" width="5.42578125" style="375" customWidth="1"/>
    <col min="268" max="268" width="11.28515625" style="375" customWidth="1"/>
    <col min="269" max="269" width="11.85546875" style="375" customWidth="1"/>
    <col min="270" max="270" width="7.140625" style="375" customWidth="1"/>
    <col min="271" max="271" width="11.28515625" style="375" bestFit="1" customWidth="1"/>
    <col min="272" max="272" width="12.28515625" style="375" bestFit="1" customWidth="1"/>
    <col min="273" max="273" width="5.5703125" style="375" customWidth="1"/>
    <col min="274" max="274" width="11.28515625" style="375" bestFit="1" customWidth="1"/>
    <col min="275" max="275" width="14.85546875" style="375" bestFit="1" customWidth="1"/>
    <col min="276" max="276" width="12.85546875" style="375" bestFit="1" customWidth="1"/>
    <col min="277" max="277" width="11" style="375" customWidth="1"/>
    <col min="278" max="278" width="12.28515625" style="375" bestFit="1" customWidth="1"/>
    <col min="279" max="279" width="11" style="375" customWidth="1"/>
    <col min="280" max="284" width="9.140625" style="375"/>
    <col min="285" max="285" width="21.85546875" style="375" customWidth="1"/>
    <col min="286" max="518" width="9.140625" style="375"/>
    <col min="519" max="519" width="4.7109375" style="375" customWidth="1"/>
    <col min="520" max="520" width="40.140625" style="375" bestFit="1" customWidth="1"/>
    <col min="521" max="521" width="11.28515625" style="375" customWidth="1"/>
    <col min="522" max="522" width="11.85546875" style="375" customWidth="1"/>
    <col min="523" max="523" width="5.42578125" style="375" customWidth="1"/>
    <col min="524" max="524" width="11.28515625" style="375" customWidth="1"/>
    <col min="525" max="525" width="11.85546875" style="375" customWidth="1"/>
    <col min="526" max="526" width="7.140625" style="375" customWidth="1"/>
    <col min="527" max="527" width="11.28515625" style="375" bestFit="1" customWidth="1"/>
    <col min="528" max="528" width="12.28515625" style="375" bestFit="1" customWidth="1"/>
    <col min="529" max="529" width="5.5703125" style="375" customWidth="1"/>
    <col min="530" max="530" width="11.28515625" style="375" bestFit="1" customWidth="1"/>
    <col min="531" max="531" width="14.85546875" style="375" bestFit="1" customWidth="1"/>
    <col min="532" max="532" width="12.85546875" style="375" bestFit="1" customWidth="1"/>
    <col min="533" max="533" width="11" style="375" customWidth="1"/>
    <col min="534" max="534" width="12.28515625" style="375" bestFit="1" customWidth="1"/>
    <col min="535" max="535" width="11" style="375" customWidth="1"/>
    <col min="536" max="540" width="9.140625" style="375"/>
    <col min="541" max="541" width="21.85546875" style="375" customWidth="1"/>
    <col min="542" max="774" width="9.140625" style="375"/>
    <col min="775" max="775" width="4.7109375" style="375" customWidth="1"/>
    <col min="776" max="776" width="40.140625" style="375" bestFit="1" customWidth="1"/>
    <col min="777" max="777" width="11.28515625" style="375" customWidth="1"/>
    <col min="778" max="778" width="11.85546875" style="375" customWidth="1"/>
    <col min="779" max="779" width="5.42578125" style="375" customWidth="1"/>
    <col min="780" max="780" width="11.28515625" style="375" customWidth="1"/>
    <col min="781" max="781" width="11.85546875" style="375" customWidth="1"/>
    <col min="782" max="782" width="7.140625" style="375" customWidth="1"/>
    <col min="783" max="783" width="11.28515625" style="375" bestFit="1" customWidth="1"/>
    <col min="784" max="784" width="12.28515625" style="375" bestFit="1" customWidth="1"/>
    <col min="785" max="785" width="5.5703125" style="375" customWidth="1"/>
    <col min="786" max="786" width="11.28515625" style="375" bestFit="1" customWidth="1"/>
    <col min="787" max="787" width="14.85546875" style="375" bestFit="1" customWidth="1"/>
    <col min="788" max="788" width="12.85546875" style="375" bestFit="1" customWidth="1"/>
    <col min="789" max="789" width="11" style="375" customWidth="1"/>
    <col min="790" max="790" width="12.28515625" style="375" bestFit="1" customWidth="1"/>
    <col min="791" max="791" width="11" style="375" customWidth="1"/>
    <col min="792" max="796" width="9.140625" style="375"/>
    <col min="797" max="797" width="21.85546875" style="375" customWidth="1"/>
    <col min="798" max="1030" width="9.140625" style="375"/>
    <col min="1031" max="1031" width="4.7109375" style="375" customWidth="1"/>
    <col min="1032" max="1032" width="40.140625" style="375" bestFit="1" customWidth="1"/>
    <col min="1033" max="1033" width="11.28515625" style="375" customWidth="1"/>
    <col min="1034" max="1034" width="11.85546875" style="375" customWidth="1"/>
    <col min="1035" max="1035" width="5.42578125" style="375" customWidth="1"/>
    <col min="1036" max="1036" width="11.28515625" style="375" customWidth="1"/>
    <col min="1037" max="1037" width="11.85546875" style="375" customWidth="1"/>
    <col min="1038" max="1038" width="7.140625" style="375" customWidth="1"/>
    <col min="1039" max="1039" width="11.28515625" style="375" bestFit="1" customWidth="1"/>
    <col min="1040" max="1040" width="12.28515625" style="375" bestFit="1" customWidth="1"/>
    <col min="1041" max="1041" width="5.5703125" style="375" customWidth="1"/>
    <col min="1042" max="1042" width="11.28515625" style="375" bestFit="1" customWidth="1"/>
    <col min="1043" max="1043" width="14.85546875" style="375" bestFit="1" customWidth="1"/>
    <col min="1044" max="1044" width="12.85546875" style="375" bestFit="1" customWidth="1"/>
    <col min="1045" max="1045" width="11" style="375" customWidth="1"/>
    <col min="1046" max="1046" width="12.28515625" style="375" bestFit="1" customWidth="1"/>
    <col min="1047" max="1047" width="11" style="375" customWidth="1"/>
    <col min="1048" max="1052" width="9.140625" style="375"/>
    <col min="1053" max="1053" width="21.85546875" style="375" customWidth="1"/>
    <col min="1054" max="1286" width="9.140625" style="375"/>
    <col min="1287" max="1287" width="4.7109375" style="375" customWidth="1"/>
    <col min="1288" max="1288" width="40.140625" style="375" bestFit="1" customWidth="1"/>
    <col min="1289" max="1289" width="11.28515625" style="375" customWidth="1"/>
    <col min="1290" max="1290" width="11.85546875" style="375" customWidth="1"/>
    <col min="1291" max="1291" width="5.42578125" style="375" customWidth="1"/>
    <col min="1292" max="1292" width="11.28515625" style="375" customWidth="1"/>
    <col min="1293" max="1293" width="11.85546875" style="375" customWidth="1"/>
    <col min="1294" max="1294" width="7.140625" style="375" customWidth="1"/>
    <col min="1295" max="1295" width="11.28515625" style="375" bestFit="1" customWidth="1"/>
    <col min="1296" max="1296" width="12.28515625" style="375" bestFit="1" customWidth="1"/>
    <col min="1297" max="1297" width="5.5703125" style="375" customWidth="1"/>
    <col min="1298" max="1298" width="11.28515625" style="375" bestFit="1" customWidth="1"/>
    <col min="1299" max="1299" width="14.85546875" style="375" bestFit="1" customWidth="1"/>
    <col min="1300" max="1300" width="12.85546875" style="375" bestFit="1" customWidth="1"/>
    <col min="1301" max="1301" width="11" style="375" customWidth="1"/>
    <col min="1302" max="1302" width="12.28515625" style="375" bestFit="1" customWidth="1"/>
    <col min="1303" max="1303" width="11" style="375" customWidth="1"/>
    <col min="1304" max="1308" width="9.140625" style="375"/>
    <col min="1309" max="1309" width="21.85546875" style="375" customWidth="1"/>
    <col min="1310" max="1542" width="9.140625" style="375"/>
    <col min="1543" max="1543" width="4.7109375" style="375" customWidth="1"/>
    <col min="1544" max="1544" width="40.140625" style="375" bestFit="1" customWidth="1"/>
    <col min="1545" max="1545" width="11.28515625" style="375" customWidth="1"/>
    <col min="1546" max="1546" width="11.85546875" style="375" customWidth="1"/>
    <col min="1547" max="1547" width="5.42578125" style="375" customWidth="1"/>
    <col min="1548" max="1548" width="11.28515625" style="375" customWidth="1"/>
    <col min="1549" max="1549" width="11.85546875" style="375" customWidth="1"/>
    <col min="1550" max="1550" width="7.140625" style="375" customWidth="1"/>
    <col min="1551" max="1551" width="11.28515625" style="375" bestFit="1" customWidth="1"/>
    <col min="1552" max="1552" width="12.28515625" style="375" bestFit="1" customWidth="1"/>
    <col min="1553" max="1553" width="5.5703125" style="375" customWidth="1"/>
    <col min="1554" max="1554" width="11.28515625" style="375" bestFit="1" customWidth="1"/>
    <col min="1555" max="1555" width="14.85546875" style="375" bestFit="1" customWidth="1"/>
    <col min="1556" max="1556" width="12.85546875" style="375" bestFit="1" customWidth="1"/>
    <col min="1557" max="1557" width="11" style="375" customWidth="1"/>
    <col min="1558" max="1558" width="12.28515625" style="375" bestFit="1" customWidth="1"/>
    <col min="1559" max="1559" width="11" style="375" customWidth="1"/>
    <col min="1560" max="1564" width="9.140625" style="375"/>
    <col min="1565" max="1565" width="21.85546875" style="375" customWidth="1"/>
    <col min="1566" max="1798" width="9.140625" style="375"/>
    <col min="1799" max="1799" width="4.7109375" style="375" customWidth="1"/>
    <col min="1800" max="1800" width="40.140625" style="375" bestFit="1" customWidth="1"/>
    <col min="1801" max="1801" width="11.28515625" style="375" customWidth="1"/>
    <col min="1802" max="1802" width="11.85546875" style="375" customWidth="1"/>
    <col min="1803" max="1803" width="5.42578125" style="375" customWidth="1"/>
    <col min="1804" max="1804" width="11.28515625" style="375" customWidth="1"/>
    <col min="1805" max="1805" width="11.85546875" style="375" customWidth="1"/>
    <col min="1806" max="1806" width="7.140625" style="375" customWidth="1"/>
    <col min="1807" max="1807" width="11.28515625" style="375" bestFit="1" customWidth="1"/>
    <col min="1808" max="1808" width="12.28515625" style="375" bestFit="1" customWidth="1"/>
    <col min="1809" max="1809" width="5.5703125" style="375" customWidth="1"/>
    <col min="1810" max="1810" width="11.28515625" style="375" bestFit="1" customWidth="1"/>
    <col min="1811" max="1811" width="14.85546875" style="375" bestFit="1" customWidth="1"/>
    <col min="1812" max="1812" width="12.85546875" style="375" bestFit="1" customWidth="1"/>
    <col min="1813" max="1813" width="11" style="375" customWidth="1"/>
    <col min="1814" max="1814" width="12.28515625" style="375" bestFit="1" customWidth="1"/>
    <col min="1815" max="1815" width="11" style="375" customWidth="1"/>
    <col min="1816" max="1820" width="9.140625" style="375"/>
    <col min="1821" max="1821" width="21.85546875" style="375" customWidth="1"/>
    <col min="1822" max="2054" width="9.140625" style="375"/>
    <col min="2055" max="2055" width="4.7109375" style="375" customWidth="1"/>
    <col min="2056" max="2056" width="40.140625" style="375" bestFit="1" customWidth="1"/>
    <col min="2057" max="2057" width="11.28515625" style="375" customWidth="1"/>
    <col min="2058" max="2058" width="11.85546875" style="375" customWidth="1"/>
    <col min="2059" max="2059" width="5.42578125" style="375" customWidth="1"/>
    <col min="2060" max="2060" width="11.28515625" style="375" customWidth="1"/>
    <col min="2061" max="2061" width="11.85546875" style="375" customWidth="1"/>
    <col min="2062" max="2062" width="7.140625" style="375" customWidth="1"/>
    <col min="2063" max="2063" width="11.28515625" style="375" bestFit="1" customWidth="1"/>
    <col min="2064" max="2064" width="12.28515625" style="375" bestFit="1" customWidth="1"/>
    <col min="2065" max="2065" width="5.5703125" style="375" customWidth="1"/>
    <col min="2066" max="2066" width="11.28515625" style="375" bestFit="1" customWidth="1"/>
    <col min="2067" max="2067" width="14.85546875" style="375" bestFit="1" customWidth="1"/>
    <col min="2068" max="2068" width="12.85546875" style="375" bestFit="1" customWidth="1"/>
    <col min="2069" max="2069" width="11" style="375" customWidth="1"/>
    <col min="2070" max="2070" width="12.28515625" style="375" bestFit="1" customWidth="1"/>
    <col min="2071" max="2071" width="11" style="375" customWidth="1"/>
    <col min="2072" max="2076" width="9.140625" style="375"/>
    <col min="2077" max="2077" width="21.85546875" style="375" customWidth="1"/>
    <col min="2078" max="2310" width="9.140625" style="375"/>
    <col min="2311" max="2311" width="4.7109375" style="375" customWidth="1"/>
    <col min="2312" max="2312" width="40.140625" style="375" bestFit="1" customWidth="1"/>
    <col min="2313" max="2313" width="11.28515625" style="375" customWidth="1"/>
    <col min="2314" max="2314" width="11.85546875" style="375" customWidth="1"/>
    <col min="2315" max="2315" width="5.42578125" style="375" customWidth="1"/>
    <col min="2316" max="2316" width="11.28515625" style="375" customWidth="1"/>
    <col min="2317" max="2317" width="11.85546875" style="375" customWidth="1"/>
    <col min="2318" max="2318" width="7.140625" style="375" customWidth="1"/>
    <col min="2319" max="2319" width="11.28515625" style="375" bestFit="1" customWidth="1"/>
    <col min="2320" max="2320" width="12.28515625" style="375" bestFit="1" customWidth="1"/>
    <col min="2321" max="2321" width="5.5703125" style="375" customWidth="1"/>
    <col min="2322" max="2322" width="11.28515625" style="375" bestFit="1" customWidth="1"/>
    <col min="2323" max="2323" width="14.85546875" style="375" bestFit="1" customWidth="1"/>
    <col min="2324" max="2324" width="12.85546875" style="375" bestFit="1" customWidth="1"/>
    <col min="2325" max="2325" width="11" style="375" customWidth="1"/>
    <col min="2326" max="2326" width="12.28515625" style="375" bestFit="1" customWidth="1"/>
    <col min="2327" max="2327" width="11" style="375" customWidth="1"/>
    <col min="2328" max="2332" width="9.140625" style="375"/>
    <col min="2333" max="2333" width="21.85546875" style="375" customWidth="1"/>
    <col min="2334" max="2566" width="9.140625" style="375"/>
    <col min="2567" max="2567" width="4.7109375" style="375" customWidth="1"/>
    <col min="2568" max="2568" width="40.140625" style="375" bestFit="1" customWidth="1"/>
    <col min="2569" max="2569" width="11.28515625" style="375" customWidth="1"/>
    <col min="2570" max="2570" width="11.85546875" style="375" customWidth="1"/>
    <col min="2571" max="2571" width="5.42578125" style="375" customWidth="1"/>
    <col min="2572" max="2572" width="11.28515625" style="375" customWidth="1"/>
    <col min="2573" max="2573" width="11.85546875" style="375" customWidth="1"/>
    <col min="2574" max="2574" width="7.140625" style="375" customWidth="1"/>
    <col min="2575" max="2575" width="11.28515625" style="375" bestFit="1" customWidth="1"/>
    <col min="2576" max="2576" width="12.28515625" style="375" bestFit="1" customWidth="1"/>
    <col min="2577" max="2577" width="5.5703125" style="375" customWidth="1"/>
    <col min="2578" max="2578" width="11.28515625" style="375" bestFit="1" customWidth="1"/>
    <col min="2579" max="2579" width="14.85546875" style="375" bestFit="1" customWidth="1"/>
    <col min="2580" max="2580" width="12.85546875" style="375" bestFit="1" customWidth="1"/>
    <col min="2581" max="2581" width="11" style="375" customWidth="1"/>
    <col min="2582" max="2582" width="12.28515625" style="375" bestFit="1" customWidth="1"/>
    <col min="2583" max="2583" width="11" style="375" customWidth="1"/>
    <col min="2584" max="2588" width="9.140625" style="375"/>
    <col min="2589" max="2589" width="21.85546875" style="375" customWidth="1"/>
    <col min="2590" max="2822" width="9.140625" style="375"/>
    <col min="2823" max="2823" width="4.7109375" style="375" customWidth="1"/>
    <col min="2824" max="2824" width="40.140625" style="375" bestFit="1" customWidth="1"/>
    <col min="2825" max="2825" width="11.28515625" style="375" customWidth="1"/>
    <col min="2826" max="2826" width="11.85546875" style="375" customWidth="1"/>
    <col min="2827" max="2827" width="5.42578125" style="375" customWidth="1"/>
    <col min="2828" max="2828" width="11.28515625" style="375" customWidth="1"/>
    <col min="2829" max="2829" width="11.85546875" style="375" customWidth="1"/>
    <col min="2830" max="2830" width="7.140625" style="375" customWidth="1"/>
    <col min="2831" max="2831" width="11.28515625" style="375" bestFit="1" customWidth="1"/>
    <col min="2832" max="2832" width="12.28515625" style="375" bestFit="1" customWidth="1"/>
    <col min="2833" max="2833" width="5.5703125" style="375" customWidth="1"/>
    <col min="2834" max="2834" width="11.28515625" style="375" bestFit="1" customWidth="1"/>
    <col min="2835" max="2835" width="14.85546875" style="375" bestFit="1" customWidth="1"/>
    <col min="2836" max="2836" width="12.85546875" style="375" bestFit="1" customWidth="1"/>
    <col min="2837" max="2837" width="11" style="375" customWidth="1"/>
    <col min="2838" max="2838" width="12.28515625" style="375" bestFit="1" customWidth="1"/>
    <col min="2839" max="2839" width="11" style="375" customWidth="1"/>
    <col min="2840" max="2844" width="9.140625" style="375"/>
    <col min="2845" max="2845" width="21.85546875" style="375" customWidth="1"/>
    <col min="2846" max="3078" width="9.140625" style="375"/>
    <col min="3079" max="3079" width="4.7109375" style="375" customWidth="1"/>
    <col min="3080" max="3080" width="40.140625" style="375" bestFit="1" customWidth="1"/>
    <col min="3081" max="3081" width="11.28515625" style="375" customWidth="1"/>
    <col min="3082" max="3082" width="11.85546875" style="375" customWidth="1"/>
    <col min="3083" max="3083" width="5.42578125" style="375" customWidth="1"/>
    <col min="3084" max="3084" width="11.28515625" style="375" customWidth="1"/>
    <col min="3085" max="3085" width="11.85546875" style="375" customWidth="1"/>
    <col min="3086" max="3086" width="7.140625" style="375" customWidth="1"/>
    <col min="3087" max="3087" width="11.28515625" style="375" bestFit="1" customWidth="1"/>
    <col min="3088" max="3088" width="12.28515625" style="375" bestFit="1" customWidth="1"/>
    <col min="3089" max="3089" width="5.5703125" style="375" customWidth="1"/>
    <col min="3090" max="3090" width="11.28515625" style="375" bestFit="1" customWidth="1"/>
    <col min="3091" max="3091" width="14.85546875" style="375" bestFit="1" customWidth="1"/>
    <col min="3092" max="3092" width="12.85546875" style="375" bestFit="1" customWidth="1"/>
    <col min="3093" max="3093" width="11" style="375" customWidth="1"/>
    <col min="3094" max="3094" width="12.28515625" style="375" bestFit="1" customWidth="1"/>
    <col min="3095" max="3095" width="11" style="375" customWidth="1"/>
    <col min="3096" max="3100" width="9.140625" style="375"/>
    <col min="3101" max="3101" width="21.85546875" style="375" customWidth="1"/>
    <col min="3102" max="3334" width="9.140625" style="375"/>
    <col min="3335" max="3335" width="4.7109375" style="375" customWidth="1"/>
    <col min="3336" max="3336" width="40.140625" style="375" bestFit="1" customWidth="1"/>
    <col min="3337" max="3337" width="11.28515625" style="375" customWidth="1"/>
    <col min="3338" max="3338" width="11.85546875" style="375" customWidth="1"/>
    <col min="3339" max="3339" width="5.42578125" style="375" customWidth="1"/>
    <col min="3340" max="3340" width="11.28515625" style="375" customWidth="1"/>
    <col min="3341" max="3341" width="11.85546875" style="375" customWidth="1"/>
    <col min="3342" max="3342" width="7.140625" style="375" customWidth="1"/>
    <col min="3343" max="3343" width="11.28515625" style="375" bestFit="1" customWidth="1"/>
    <col min="3344" max="3344" width="12.28515625" style="375" bestFit="1" customWidth="1"/>
    <col min="3345" max="3345" width="5.5703125" style="375" customWidth="1"/>
    <col min="3346" max="3346" width="11.28515625" style="375" bestFit="1" customWidth="1"/>
    <col min="3347" max="3347" width="14.85546875" style="375" bestFit="1" customWidth="1"/>
    <col min="3348" max="3348" width="12.85546875" style="375" bestFit="1" customWidth="1"/>
    <col min="3349" max="3349" width="11" style="375" customWidth="1"/>
    <col min="3350" max="3350" width="12.28515625" style="375" bestFit="1" customWidth="1"/>
    <col min="3351" max="3351" width="11" style="375" customWidth="1"/>
    <col min="3352" max="3356" width="9.140625" style="375"/>
    <col min="3357" max="3357" width="21.85546875" style="375" customWidth="1"/>
    <col min="3358" max="3590" width="9.140625" style="375"/>
    <col min="3591" max="3591" width="4.7109375" style="375" customWidth="1"/>
    <col min="3592" max="3592" width="40.140625" style="375" bestFit="1" customWidth="1"/>
    <col min="3593" max="3593" width="11.28515625" style="375" customWidth="1"/>
    <col min="3594" max="3594" width="11.85546875" style="375" customWidth="1"/>
    <col min="3595" max="3595" width="5.42578125" style="375" customWidth="1"/>
    <col min="3596" max="3596" width="11.28515625" style="375" customWidth="1"/>
    <col min="3597" max="3597" width="11.85546875" style="375" customWidth="1"/>
    <col min="3598" max="3598" width="7.140625" style="375" customWidth="1"/>
    <col min="3599" max="3599" width="11.28515625" style="375" bestFit="1" customWidth="1"/>
    <col min="3600" max="3600" width="12.28515625" style="375" bestFit="1" customWidth="1"/>
    <col min="3601" max="3601" width="5.5703125" style="375" customWidth="1"/>
    <col min="3602" max="3602" width="11.28515625" style="375" bestFit="1" customWidth="1"/>
    <col min="3603" max="3603" width="14.85546875" style="375" bestFit="1" customWidth="1"/>
    <col min="3604" max="3604" width="12.85546875" style="375" bestFit="1" customWidth="1"/>
    <col min="3605" max="3605" width="11" style="375" customWidth="1"/>
    <col min="3606" max="3606" width="12.28515625" style="375" bestFit="1" customWidth="1"/>
    <col min="3607" max="3607" width="11" style="375" customWidth="1"/>
    <col min="3608" max="3612" width="9.140625" style="375"/>
    <col min="3613" max="3613" width="21.85546875" style="375" customWidth="1"/>
    <col min="3614" max="3846" width="9.140625" style="375"/>
    <col min="3847" max="3847" width="4.7109375" style="375" customWidth="1"/>
    <col min="3848" max="3848" width="40.140625" style="375" bestFit="1" customWidth="1"/>
    <col min="3849" max="3849" width="11.28515625" style="375" customWidth="1"/>
    <col min="3850" max="3850" width="11.85546875" style="375" customWidth="1"/>
    <col min="3851" max="3851" width="5.42578125" style="375" customWidth="1"/>
    <col min="3852" max="3852" width="11.28515625" style="375" customWidth="1"/>
    <col min="3853" max="3853" width="11.85546875" style="375" customWidth="1"/>
    <col min="3854" max="3854" width="7.140625" style="375" customWidth="1"/>
    <col min="3855" max="3855" width="11.28515625" style="375" bestFit="1" customWidth="1"/>
    <col min="3856" max="3856" width="12.28515625" style="375" bestFit="1" customWidth="1"/>
    <col min="3857" max="3857" width="5.5703125" style="375" customWidth="1"/>
    <col min="3858" max="3858" width="11.28515625" style="375" bestFit="1" customWidth="1"/>
    <col min="3859" max="3859" width="14.85546875" style="375" bestFit="1" customWidth="1"/>
    <col min="3860" max="3860" width="12.85546875" style="375" bestFit="1" customWidth="1"/>
    <col min="3861" max="3861" width="11" style="375" customWidth="1"/>
    <col min="3862" max="3862" width="12.28515625" style="375" bestFit="1" customWidth="1"/>
    <col min="3863" max="3863" width="11" style="375" customWidth="1"/>
    <col min="3864" max="3868" width="9.140625" style="375"/>
    <col min="3869" max="3869" width="21.85546875" style="375" customWidth="1"/>
    <col min="3870" max="4102" width="9.140625" style="375"/>
    <col min="4103" max="4103" width="4.7109375" style="375" customWidth="1"/>
    <col min="4104" max="4104" width="40.140625" style="375" bestFit="1" customWidth="1"/>
    <col min="4105" max="4105" width="11.28515625" style="375" customWidth="1"/>
    <col min="4106" max="4106" width="11.85546875" style="375" customWidth="1"/>
    <col min="4107" max="4107" width="5.42578125" style="375" customWidth="1"/>
    <col min="4108" max="4108" width="11.28515625" style="375" customWidth="1"/>
    <col min="4109" max="4109" width="11.85546875" style="375" customWidth="1"/>
    <col min="4110" max="4110" width="7.140625" style="375" customWidth="1"/>
    <col min="4111" max="4111" width="11.28515625" style="375" bestFit="1" customWidth="1"/>
    <col min="4112" max="4112" width="12.28515625" style="375" bestFit="1" customWidth="1"/>
    <col min="4113" max="4113" width="5.5703125" style="375" customWidth="1"/>
    <col min="4114" max="4114" width="11.28515625" style="375" bestFit="1" customWidth="1"/>
    <col min="4115" max="4115" width="14.85546875" style="375" bestFit="1" customWidth="1"/>
    <col min="4116" max="4116" width="12.85546875" style="375" bestFit="1" customWidth="1"/>
    <col min="4117" max="4117" width="11" style="375" customWidth="1"/>
    <col min="4118" max="4118" width="12.28515625" style="375" bestFit="1" customWidth="1"/>
    <col min="4119" max="4119" width="11" style="375" customWidth="1"/>
    <col min="4120" max="4124" width="9.140625" style="375"/>
    <col min="4125" max="4125" width="21.85546875" style="375" customWidth="1"/>
    <col min="4126" max="4358" width="9.140625" style="375"/>
    <col min="4359" max="4359" width="4.7109375" style="375" customWidth="1"/>
    <col min="4360" max="4360" width="40.140625" style="375" bestFit="1" customWidth="1"/>
    <col min="4361" max="4361" width="11.28515625" style="375" customWidth="1"/>
    <col min="4362" max="4362" width="11.85546875" style="375" customWidth="1"/>
    <col min="4363" max="4363" width="5.42578125" style="375" customWidth="1"/>
    <col min="4364" max="4364" width="11.28515625" style="375" customWidth="1"/>
    <col min="4365" max="4365" width="11.85546875" style="375" customWidth="1"/>
    <col min="4366" max="4366" width="7.140625" style="375" customWidth="1"/>
    <col min="4367" max="4367" width="11.28515625" style="375" bestFit="1" customWidth="1"/>
    <col min="4368" max="4368" width="12.28515625" style="375" bestFit="1" customWidth="1"/>
    <col min="4369" max="4369" width="5.5703125" style="375" customWidth="1"/>
    <col min="4370" max="4370" width="11.28515625" style="375" bestFit="1" customWidth="1"/>
    <col min="4371" max="4371" width="14.85546875" style="375" bestFit="1" customWidth="1"/>
    <col min="4372" max="4372" width="12.85546875" style="375" bestFit="1" customWidth="1"/>
    <col min="4373" max="4373" width="11" style="375" customWidth="1"/>
    <col min="4374" max="4374" width="12.28515625" style="375" bestFit="1" customWidth="1"/>
    <col min="4375" max="4375" width="11" style="375" customWidth="1"/>
    <col min="4376" max="4380" width="9.140625" style="375"/>
    <col min="4381" max="4381" width="21.85546875" style="375" customWidth="1"/>
    <col min="4382" max="4614" width="9.140625" style="375"/>
    <col min="4615" max="4615" width="4.7109375" style="375" customWidth="1"/>
    <col min="4616" max="4616" width="40.140625" style="375" bestFit="1" customWidth="1"/>
    <col min="4617" max="4617" width="11.28515625" style="375" customWidth="1"/>
    <col min="4618" max="4618" width="11.85546875" style="375" customWidth="1"/>
    <col min="4619" max="4619" width="5.42578125" style="375" customWidth="1"/>
    <col min="4620" max="4620" width="11.28515625" style="375" customWidth="1"/>
    <col min="4621" max="4621" width="11.85546875" style="375" customWidth="1"/>
    <col min="4622" max="4622" width="7.140625" style="375" customWidth="1"/>
    <col min="4623" max="4623" width="11.28515625" style="375" bestFit="1" customWidth="1"/>
    <col min="4624" max="4624" width="12.28515625" style="375" bestFit="1" customWidth="1"/>
    <col min="4625" max="4625" width="5.5703125" style="375" customWidth="1"/>
    <col min="4626" max="4626" width="11.28515625" style="375" bestFit="1" customWidth="1"/>
    <col min="4627" max="4627" width="14.85546875" style="375" bestFit="1" customWidth="1"/>
    <col min="4628" max="4628" width="12.85546875" style="375" bestFit="1" customWidth="1"/>
    <col min="4629" max="4629" width="11" style="375" customWidth="1"/>
    <col min="4630" max="4630" width="12.28515625" style="375" bestFit="1" customWidth="1"/>
    <col min="4631" max="4631" width="11" style="375" customWidth="1"/>
    <col min="4632" max="4636" width="9.140625" style="375"/>
    <col min="4637" max="4637" width="21.85546875" style="375" customWidth="1"/>
    <col min="4638" max="4870" width="9.140625" style="375"/>
    <col min="4871" max="4871" width="4.7109375" style="375" customWidth="1"/>
    <col min="4872" max="4872" width="40.140625" style="375" bestFit="1" customWidth="1"/>
    <col min="4873" max="4873" width="11.28515625" style="375" customWidth="1"/>
    <col min="4874" max="4874" width="11.85546875" style="375" customWidth="1"/>
    <col min="4875" max="4875" width="5.42578125" style="375" customWidth="1"/>
    <col min="4876" max="4876" width="11.28515625" style="375" customWidth="1"/>
    <col min="4877" max="4877" width="11.85546875" style="375" customWidth="1"/>
    <col min="4878" max="4878" width="7.140625" style="375" customWidth="1"/>
    <col min="4879" max="4879" width="11.28515625" style="375" bestFit="1" customWidth="1"/>
    <col min="4880" max="4880" width="12.28515625" style="375" bestFit="1" customWidth="1"/>
    <col min="4881" max="4881" width="5.5703125" style="375" customWidth="1"/>
    <col min="4882" max="4882" width="11.28515625" style="375" bestFit="1" customWidth="1"/>
    <col min="4883" max="4883" width="14.85546875" style="375" bestFit="1" customWidth="1"/>
    <col min="4884" max="4884" width="12.85546875" style="375" bestFit="1" customWidth="1"/>
    <col min="4885" max="4885" width="11" style="375" customWidth="1"/>
    <col min="4886" max="4886" width="12.28515625" style="375" bestFit="1" customWidth="1"/>
    <col min="4887" max="4887" width="11" style="375" customWidth="1"/>
    <col min="4888" max="4892" width="9.140625" style="375"/>
    <col min="4893" max="4893" width="21.85546875" style="375" customWidth="1"/>
    <col min="4894" max="5126" width="9.140625" style="375"/>
    <col min="5127" max="5127" width="4.7109375" style="375" customWidth="1"/>
    <col min="5128" max="5128" width="40.140625" style="375" bestFit="1" customWidth="1"/>
    <col min="5129" max="5129" width="11.28515625" style="375" customWidth="1"/>
    <col min="5130" max="5130" width="11.85546875" style="375" customWidth="1"/>
    <col min="5131" max="5131" width="5.42578125" style="375" customWidth="1"/>
    <col min="5132" max="5132" width="11.28515625" style="375" customWidth="1"/>
    <col min="5133" max="5133" width="11.85546875" style="375" customWidth="1"/>
    <col min="5134" max="5134" width="7.140625" style="375" customWidth="1"/>
    <col min="5135" max="5135" width="11.28515625" style="375" bestFit="1" customWidth="1"/>
    <col min="5136" max="5136" width="12.28515625" style="375" bestFit="1" customWidth="1"/>
    <col min="5137" max="5137" width="5.5703125" style="375" customWidth="1"/>
    <col min="5138" max="5138" width="11.28515625" style="375" bestFit="1" customWidth="1"/>
    <col min="5139" max="5139" width="14.85546875" style="375" bestFit="1" customWidth="1"/>
    <col min="5140" max="5140" width="12.85546875" style="375" bestFit="1" customWidth="1"/>
    <col min="5141" max="5141" width="11" style="375" customWidth="1"/>
    <col min="5142" max="5142" width="12.28515625" style="375" bestFit="1" customWidth="1"/>
    <col min="5143" max="5143" width="11" style="375" customWidth="1"/>
    <col min="5144" max="5148" width="9.140625" style="375"/>
    <col min="5149" max="5149" width="21.85546875" style="375" customWidth="1"/>
    <col min="5150" max="5382" width="9.140625" style="375"/>
    <col min="5383" max="5383" width="4.7109375" style="375" customWidth="1"/>
    <col min="5384" max="5384" width="40.140625" style="375" bestFit="1" customWidth="1"/>
    <col min="5385" max="5385" width="11.28515625" style="375" customWidth="1"/>
    <col min="5386" max="5386" width="11.85546875" style="375" customWidth="1"/>
    <col min="5387" max="5387" width="5.42578125" style="375" customWidth="1"/>
    <col min="5388" max="5388" width="11.28515625" style="375" customWidth="1"/>
    <col min="5389" max="5389" width="11.85546875" style="375" customWidth="1"/>
    <col min="5390" max="5390" width="7.140625" style="375" customWidth="1"/>
    <col min="5391" max="5391" width="11.28515625" style="375" bestFit="1" customWidth="1"/>
    <col min="5392" max="5392" width="12.28515625" style="375" bestFit="1" customWidth="1"/>
    <col min="5393" max="5393" width="5.5703125" style="375" customWidth="1"/>
    <col min="5394" max="5394" width="11.28515625" style="375" bestFit="1" customWidth="1"/>
    <col min="5395" max="5395" width="14.85546875" style="375" bestFit="1" customWidth="1"/>
    <col min="5396" max="5396" width="12.85546875" style="375" bestFit="1" customWidth="1"/>
    <col min="5397" max="5397" width="11" style="375" customWidth="1"/>
    <col min="5398" max="5398" width="12.28515625" style="375" bestFit="1" customWidth="1"/>
    <col min="5399" max="5399" width="11" style="375" customWidth="1"/>
    <col min="5400" max="5404" width="9.140625" style="375"/>
    <col min="5405" max="5405" width="21.85546875" style="375" customWidth="1"/>
    <col min="5406" max="5638" width="9.140625" style="375"/>
    <col min="5639" max="5639" width="4.7109375" style="375" customWidth="1"/>
    <col min="5640" max="5640" width="40.140625" style="375" bestFit="1" customWidth="1"/>
    <col min="5641" max="5641" width="11.28515625" style="375" customWidth="1"/>
    <col min="5642" max="5642" width="11.85546875" style="375" customWidth="1"/>
    <col min="5643" max="5643" width="5.42578125" style="375" customWidth="1"/>
    <col min="5644" max="5644" width="11.28515625" style="375" customWidth="1"/>
    <col min="5645" max="5645" width="11.85546875" style="375" customWidth="1"/>
    <col min="5646" max="5646" width="7.140625" style="375" customWidth="1"/>
    <col min="5647" max="5647" width="11.28515625" style="375" bestFit="1" customWidth="1"/>
    <col min="5648" max="5648" width="12.28515625" style="375" bestFit="1" customWidth="1"/>
    <col min="5649" max="5649" width="5.5703125" style="375" customWidth="1"/>
    <col min="5650" max="5650" width="11.28515625" style="375" bestFit="1" customWidth="1"/>
    <col min="5651" max="5651" width="14.85546875" style="375" bestFit="1" customWidth="1"/>
    <col min="5652" max="5652" width="12.85546875" style="375" bestFit="1" customWidth="1"/>
    <col min="5653" max="5653" width="11" style="375" customWidth="1"/>
    <col min="5654" max="5654" width="12.28515625" style="375" bestFit="1" customWidth="1"/>
    <col min="5655" max="5655" width="11" style="375" customWidth="1"/>
    <col min="5656" max="5660" width="9.140625" style="375"/>
    <col min="5661" max="5661" width="21.85546875" style="375" customWidth="1"/>
    <col min="5662" max="5894" width="9.140625" style="375"/>
    <col min="5895" max="5895" width="4.7109375" style="375" customWidth="1"/>
    <col min="5896" max="5896" width="40.140625" style="375" bestFit="1" customWidth="1"/>
    <col min="5897" max="5897" width="11.28515625" style="375" customWidth="1"/>
    <col min="5898" max="5898" width="11.85546875" style="375" customWidth="1"/>
    <col min="5899" max="5899" width="5.42578125" style="375" customWidth="1"/>
    <col min="5900" max="5900" width="11.28515625" style="375" customWidth="1"/>
    <col min="5901" max="5901" width="11.85546875" style="375" customWidth="1"/>
    <col min="5902" max="5902" width="7.140625" style="375" customWidth="1"/>
    <col min="5903" max="5903" width="11.28515625" style="375" bestFit="1" customWidth="1"/>
    <col min="5904" max="5904" width="12.28515625" style="375" bestFit="1" customWidth="1"/>
    <col min="5905" max="5905" width="5.5703125" style="375" customWidth="1"/>
    <col min="5906" max="5906" width="11.28515625" style="375" bestFit="1" customWidth="1"/>
    <col min="5907" max="5907" width="14.85546875" style="375" bestFit="1" customWidth="1"/>
    <col min="5908" max="5908" width="12.85546875" style="375" bestFit="1" customWidth="1"/>
    <col min="5909" max="5909" width="11" style="375" customWidth="1"/>
    <col min="5910" max="5910" width="12.28515625" style="375" bestFit="1" customWidth="1"/>
    <col min="5911" max="5911" width="11" style="375" customWidth="1"/>
    <col min="5912" max="5916" width="9.140625" style="375"/>
    <col min="5917" max="5917" width="21.85546875" style="375" customWidth="1"/>
    <col min="5918" max="6150" width="9.140625" style="375"/>
    <col min="6151" max="6151" width="4.7109375" style="375" customWidth="1"/>
    <col min="6152" max="6152" width="40.140625" style="375" bestFit="1" customWidth="1"/>
    <col min="6153" max="6153" width="11.28515625" style="375" customWidth="1"/>
    <col min="6154" max="6154" width="11.85546875" style="375" customWidth="1"/>
    <col min="6155" max="6155" width="5.42578125" style="375" customWidth="1"/>
    <col min="6156" max="6156" width="11.28515625" style="375" customWidth="1"/>
    <col min="6157" max="6157" width="11.85546875" style="375" customWidth="1"/>
    <col min="6158" max="6158" width="7.140625" style="375" customWidth="1"/>
    <col min="6159" max="6159" width="11.28515625" style="375" bestFit="1" customWidth="1"/>
    <col min="6160" max="6160" width="12.28515625" style="375" bestFit="1" customWidth="1"/>
    <col min="6161" max="6161" width="5.5703125" style="375" customWidth="1"/>
    <col min="6162" max="6162" width="11.28515625" style="375" bestFit="1" customWidth="1"/>
    <col min="6163" max="6163" width="14.85546875" style="375" bestFit="1" customWidth="1"/>
    <col min="6164" max="6164" width="12.85546875" style="375" bestFit="1" customWidth="1"/>
    <col min="6165" max="6165" width="11" style="375" customWidth="1"/>
    <col min="6166" max="6166" width="12.28515625" style="375" bestFit="1" customWidth="1"/>
    <col min="6167" max="6167" width="11" style="375" customWidth="1"/>
    <col min="6168" max="6172" width="9.140625" style="375"/>
    <col min="6173" max="6173" width="21.85546875" style="375" customWidth="1"/>
    <col min="6174" max="6406" width="9.140625" style="375"/>
    <col min="6407" max="6407" width="4.7109375" style="375" customWidth="1"/>
    <col min="6408" max="6408" width="40.140625" style="375" bestFit="1" customWidth="1"/>
    <col min="6409" max="6409" width="11.28515625" style="375" customWidth="1"/>
    <col min="6410" max="6410" width="11.85546875" style="375" customWidth="1"/>
    <col min="6411" max="6411" width="5.42578125" style="375" customWidth="1"/>
    <col min="6412" max="6412" width="11.28515625" style="375" customWidth="1"/>
    <col min="6413" max="6413" width="11.85546875" style="375" customWidth="1"/>
    <col min="6414" max="6414" width="7.140625" style="375" customWidth="1"/>
    <col min="6415" max="6415" width="11.28515625" style="375" bestFit="1" customWidth="1"/>
    <col min="6416" max="6416" width="12.28515625" style="375" bestFit="1" customWidth="1"/>
    <col min="6417" max="6417" width="5.5703125" style="375" customWidth="1"/>
    <col min="6418" max="6418" width="11.28515625" style="375" bestFit="1" customWidth="1"/>
    <col min="6419" max="6419" width="14.85546875" style="375" bestFit="1" customWidth="1"/>
    <col min="6420" max="6420" width="12.85546875" style="375" bestFit="1" customWidth="1"/>
    <col min="6421" max="6421" width="11" style="375" customWidth="1"/>
    <col min="6422" max="6422" width="12.28515625" style="375" bestFit="1" customWidth="1"/>
    <col min="6423" max="6423" width="11" style="375" customWidth="1"/>
    <col min="6424" max="6428" width="9.140625" style="375"/>
    <col min="6429" max="6429" width="21.85546875" style="375" customWidth="1"/>
    <col min="6430" max="6662" width="9.140625" style="375"/>
    <col min="6663" max="6663" width="4.7109375" style="375" customWidth="1"/>
    <col min="6664" max="6664" width="40.140625" style="375" bestFit="1" customWidth="1"/>
    <col min="6665" max="6665" width="11.28515625" style="375" customWidth="1"/>
    <col min="6666" max="6666" width="11.85546875" style="375" customWidth="1"/>
    <col min="6667" max="6667" width="5.42578125" style="375" customWidth="1"/>
    <col min="6668" max="6668" width="11.28515625" style="375" customWidth="1"/>
    <col min="6669" max="6669" width="11.85546875" style="375" customWidth="1"/>
    <col min="6670" max="6670" width="7.140625" style="375" customWidth="1"/>
    <col min="6671" max="6671" width="11.28515625" style="375" bestFit="1" customWidth="1"/>
    <col min="6672" max="6672" width="12.28515625" style="375" bestFit="1" customWidth="1"/>
    <col min="6673" max="6673" width="5.5703125" style="375" customWidth="1"/>
    <col min="6674" max="6674" width="11.28515625" style="375" bestFit="1" customWidth="1"/>
    <col min="6675" max="6675" width="14.85546875" style="375" bestFit="1" customWidth="1"/>
    <col min="6676" max="6676" width="12.85546875" style="375" bestFit="1" customWidth="1"/>
    <col min="6677" max="6677" width="11" style="375" customWidth="1"/>
    <col min="6678" max="6678" width="12.28515625" style="375" bestFit="1" customWidth="1"/>
    <col min="6679" max="6679" width="11" style="375" customWidth="1"/>
    <col min="6680" max="6684" width="9.140625" style="375"/>
    <col min="6685" max="6685" width="21.85546875" style="375" customWidth="1"/>
    <col min="6686" max="6918" width="9.140625" style="375"/>
    <col min="6919" max="6919" width="4.7109375" style="375" customWidth="1"/>
    <col min="6920" max="6920" width="40.140625" style="375" bestFit="1" customWidth="1"/>
    <col min="6921" max="6921" width="11.28515625" style="375" customWidth="1"/>
    <col min="6922" max="6922" width="11.85546875" style="375" customWidth="1"/>
    <col min="6923" max="6923" width="5.42578125" style="375" customWidth="1"/>
    <col min="6924" max="6924" width="11.28515625" style="375" customWidth="1"/>
    <col min="6925" max="6925" width="11.85546875" style="375" customWidth="1"/>
    <col min="6926" max="6926" width="7.140625" style="375" customWidth="1"/>
    <col min="6927" max="6927" width="11.28515625" style="375" bestFit="1" customWidth="1"/>
    <col min="6928" max="6928" width="12.28515625" style="375" bestFit="1" customWidth="1"/>
    <col min="6929" max="6929" width="5.5703125" style="375" customWidth="1"/>
    <col min="6930" max="6930" width="11.28515625" style="375" bestFit="1" customWidth="1"/>
    <col min="6931" max="6931" width="14.85546875" style="375" bestFit="1" customWidth="1"/>
    <col min="6932" max="6932" width="12.85546875" style="375" bestFit="1" customWidth="1"/>
    <col min="6933" max="6933" width="11" style="375" customWidth="1"/>
    <col min="6934" max="6934" width="12.28515625" style="375" bestFit="1" customWidth="1"/>
    <col min="6935" max="6935" width="11" style="375" customWidth="1"/>
    <col min="6936" max="6940" width="9.140625" style="375"/>
    <col min="6941" max="6941" width="21.85546875" style="375" customWidth="1"/>
    <col min="6942" max="7174" width="9.140625" style="375"/>
    <col min="7175" max="7175" width="4.7109375" style="375" customWidth="1"/>
    <col min="7176" max="7176" width="40.140625" style="375" bestFit="1" customWidth="1"/>
    <col min="7177" max="7177" width="11.28515625" style="375" customWidth="1"/>
    <col min="7178" max="7178" width="11.85546875" style="375" customWidth="1"/>
    <col min="7179" max="7179" width="5.42578125" style="375" customWidth="1"/>
    <col min="7180" max="7180" width="11.28515625" style="375" customWidth="1"/>
    <col min="7181" max="7181" width="11.85546875" style="375" customWidth="1"/>
    <col min="7182" max="7182" width="7.140625" style="375" customWidth="1"/>
    <col min="7183" max="7183" width="11.28515625" style="375" bestFit="1" customWidth="1"/>
    <col min="7184" max="7184" width="12.28515625" style="375" bestFit="1" customWidth="1"/>
    <col min="7185" max="7185" width="5.5703125" style="375" customWidth="1"/>
    <col min="7186" max="7186" width="11.28515625" style="375" bestFit="1" customWidth="1"/>
    <col min="7187" max="7187" width="14.85546875" style="375" bestFit="1" customWidth="1"/>
    <col min="7188" max="7188" width="12.85546875" style="375" bestFit="1" customWidth="1"/>
    <col min="7189" max="7189" width="11" style="375" customWidth="1"/>
    <col min="7190" max="7190" width="12.28515625" style="375" bestFit="1" customWidth="1"/>
    <col min="7191" max="7191" width="11" style="375" customWidth="1"/>
    <col min="7192" max="7196" width="9.140625" style="375"/>
    <col min="7197" max="7197" width="21.85546875" style="375" customWidth="1"/>
    <col min="7198" max="7430" width="9.140625" style="375"/>
    <col min="7431" max="7431" width="4.7109375" style="375" customWidth="1"/>
    <col min="7432" max="7432" width="40.140625" style="375" bestFit="1" customWidth="1"/>
    <col min="7433" max="7433" width="11.28515625" style="375" customWidth="1"/>
    <col min="7434" max="7434" width="11.85546875" style="375" customWidth="1"/>
    <col min="7435" max="7435" width="5.42578125" style="375" customWidth="1"/>
    <col min="7436" max="7436" width="11.28515625" style="375" customWidth="1"/>
    <col min="7437" max="7437" width="11.85546875" style="375" customWidth="1"/>
    <col min="7438" max="7438" width="7.140625" style="375" customWidth="1"/>
    <col min="7439" max="7439" width="11.28515625" style="375" bestFit="1" customWidth="1"/>
    <col min="7440" max="7440" width="12.28515625" style="375" bestFit="1" customWidth="1"/>
    <col min="7441" max="7441" width="5.5703125" style="375" customWidth="1"/>
    <col min="7442" max="7442" width="11.28515625" style="375" bestFit="1" customWidth="1"/>
    <col min="7443" max="7443" width="14.85546875" style="375" bestFit="1" customWidth="1"/>
    <col min="7444" max="7444" width="12.85546875" style="375" bestFit="1" customWidth="1"/>
    <col min="7445" max="7445" width="11" style="375" customWidth="1"/>
    <col min="7446" max="7446" width="12.28515625" style="375" bestFit="1" customWidth="1"/>
    <col min="7447" max="7447" width="11" style="375" customWidth="1"/>
    <col min="7448" max="7452" width="9.140625" style="375"/>
    <col min="7453" max="7453" width="21.85546875" style="375" customWidth="1"/>
    <col min="7454" max="7686" width="9.140625" style="375"/>
    <col min="7687" max="7687" width="4.7109375" style="375" customWidth="1"/>
    <col min="7688" max="7688" width="40.140625" style="375" bestFit="1" customWidth="1"/>
    <col min="7689" max="7689" width="11.28515625" style="375" customWidth="1"/>
    <col min="7690" max="7690" width="11.85546875" style="375" customWidth="1"/>
    <col min="7691" max="7691" width="5.42578125" style="375" customWidth="1"/>
    <col min="7692" max="7692" width="11.28515625" style="375" customWidth="1"/>
    <col min="7693" max="7693" width="11.85546875" style="375" customWidth="1"/>
    <col min="7694" max="7694" width="7.140625" style="375" customWidth="1"/>
    <col min="7695" max="7695" width="11.28515625" style="375" bestFit="1" customWidth="1"/>
    <col min="7696" max="7696" width="12.28515625" style="375" bestFit="1" customWidth="1"/>
    <col min="7697" max="7697" width="5.5703125" style="375" customWidth="1"/>
    <col min="7698" max="7698" width="11.28515625" style="375" bestFit="1" customWidth="1"/>
    <col min="7699" max="7699" width="14.85546875" style="375" bestFit="1" customWidth="1"/>
    <col min="7700" max="7700" width="12.85546875" style="375" bestFit="1" customWidth="1"/>
    <col min="7701" max="7701" width="11" style="375" customWidth="1"/>
    <col min="7702" max="7702" width="12.28515625" style="375" bestFit="1" customWidth="1"/>
    <col min="7703" max="7703" width="11" style="375" customWidth="1"/>
    <col min="7704" max="7708" width="9.140625" style="375"/>
    <col min="7709" max="7709" width="21.85546875" style="375" customWidth="1"/>
    <col min="7710" max="7942" width="9.140625" style="375"/>
    <col min="7943" max="7943" width="4.7109375" style="375" customWidth="1"/>
    <col min="7944" max="7944" width="40.140625" style="375" bestFit="1" customWidth="1"/>
    <col min="7945" max="7945" width="11.28515625" style="375" customWidth="1"/>
    <col min="7946" max="7946" width="11.85546875" style="375" customWidth="1"/>
    <col min="7947" max="7947" width="5.42578125" style="375" customWidth="1"/>
    <col min="7948" max="7948" width="11.28515625" style="375" customWidth="1"/>
    <col min="7949" max="7949" width="11.85546875" style="375" customWidth="1"/>
    <col min="7950" max="7950" width="7.140625" style="375" customWidth="1"/>
    <col min="7951" max="7951" width="11.28515625" style="375" bestFit="1" customWidth="1"/>
    <col min="7952" max="7952" width="12.28515625" style="375" bestFit="1" customWidth="1"/>
    <col min="7953" max="7953" width="5.5703125" style="375" customWidth="1"/>
    <col min="7954" max="7954" width="11.28515625" style="375" bestFit="1" customWidth="1"/>
    <col min="7955" max="7955" width="14.85546875" style="375" bestFit="1" customWidth="1"/>
    <col min="7956" max="7956" width="12.85546875" style="375" bestFit="1" customWidth="1"/>
    <col min="7957" max="7957" width="11" style="375" customWidth="1"/>
    <col min="7958" max="7958" width="12.28515625" style="375" bestFit="1" customWidth="1"/>
    <col min="7959" max="7959" width="11" style="375" customWidth="1"/>
    <col min="7960" max="7964" width="9.140625" style="375"/>
    <col min="7965" max="7965" width="21.85546875" style="375" customWidth="1"/>
    <col min="7966" max="8198" width="9.140625" style="375"/>
    <col min="8199" max="8199" width="4.7109375" style="375" customWidth="1"/>
    <col min="8200" max="8200" width="40.140625" style="375" bestFit="1" customWidth="1"/>
    <col min="8201" max="8201" width="11.28515625" style="375" customWidth="1"/>
    <col min="8202" max="8202" width="11.85546875" style="375" customWidth="1"/>
    <col min="8203" max="8203" width="5.42578125" style="375" customWidth="1"/>
    <col min="8204" max="8204" width="11.28515625" style="375" customWidth="1"/>
    <col min="8205" max="8205" width="11.85546875" style="375" customWidth="1"/>
    <col min="8206" max="8206" width="7.140625" style="375" customWidth="1"/>
    <col min="8207" max="8207" width="11.28515625" style="375" bestFit="1" customWidth="1"/>
    <col min="8208" max="8208" width="12.28515625" style="375" bestFit="1" customWidth="1"/>
    <col min="8209" max="8209" width="5.5703125" style="375" customWidth="1"/>
    <col min="8210" max="8210" width="11.28515625" style="375" bestFit="1" customWidth="1"/>
    <col min="8211" max="8211" width="14.85546875" style="375" bestFit="1" customWidth="1"/>
    <col min="8212" max="8212" width="12.85546875" style="375" bestFit="1" customWidth="1"/>
    <col min="8213" max="8213" width="11" style="375" customWidth="1"/>
    <col min="8214" max="8214" width="12.28515625" style="375" bestFit="1" customWidth="1"/>
    <col min="8215" max="8215" width="11" style="375" customWidth="1"/>
    <col min="8216" max="8220" width="9.140625" style="375"/>
    <col min="8221" max="8221" width="21.85546875" style="375" customWidth="1"/>
    <col min="8222" max="8454" width="9.140625" style="375"/>
    <col min="8455" max="8455" width="4.7109375" style="375" customWidth="1"/>
    <col min="8456" max="8456" width="40.140625" style="375" bestFit="1" customWidth="1"/>
    <col min="8457" max="8457" width="11.28515625" style="375" customWidth="1"/>
    <col min="8458" max="8458" width="11.85546875" style="375" customWidth="1"/>
    <col min="8459" max="8459" width="5.42578125" style="375" customWidth="1"/>
    <col min="8460" max="8460" width="11.28515625" style="375" customWidth="1"/>
    <col min="8461" max="8461" width="11.85546875" style="375" customWidth="1"/>
    <col min="8462" max="8462" width="7.140625" style="375" customWidth="1"/>
    <col min="8463" max="8463" width="11.28515625" style="375" bestFit="1" customWidth="1"/>
    <col min="8464" max="8464" width="12.28515625" style="375" bestFit="1" customWidth="1"/>
    <col min="8465" max="8465" width="5.5703125" style="375" customWidth="1"/>
    <col min="8466" max="8466" width="11.28515625" style="375" bestFit="1" customWidth="1"/>
    <col min="8467" max="8467" width="14.85546875" style="375" bestFit="1" customWidth="1"/>
    <col min="8468" max="8468" width="12.85546875" style="375" bestFit="1" customWidth="1"/>
    <col min="8469" max="8469" width="11" style="375" customWidth="1"/>
    <col min="8470" max="8470" width="12.28515625" style="375" bestFit="1" customWidth="1"/>
    <col min="8471" max="8471" width="11" style="375" customWidth="1"/>
    <col min="8472" max="8476" width="9.140625" style="375"/>
    <col min="8477" max="8477" width="21.85546875" style="375" customWidth="1"/>
    <col min="8478" max="8710" width="9.140625" style="375"/>
    <col min="8711" max="8711" width="4.7109375" style="375" customWidth="1"/>
    <col min="8712" max="8712" width="40.140625" style="375" bestFit="1" customWidth="1"/>
    <col min="8713" max="8713" width="11.28515625" style="375" customWidth="1"/>
    <col min="8714" max="8714" width="11.85546875" style="375" customWidth="1"/>
    <col min="8715" max="8715" width="5.42578125" style="375" customWidth="1"/>
    <col min="8716" max="8716" width="11.28515625" style="375" customWidth="1"/>
    <col min="8717" max="8717" width="11.85546875" style="375" customWidth="1"/>
    <col min="8718" max="8718" width="7.140625" style="375" customWidth="1"/>
    <col min="8719" max="8719" width="11.28515625" style="375" bestFit="1" customWidth="1"/>
    <col min="8720" max="8720" width="12.28515625" style="375" bestFit="1" customWidth="1"/>
    <col min="8721" max="8721" width="5.5703125" style="375" customWidth="1"/>
    <col min="8722" max="8722" width="11.28515625" style="375" bestFit="1" customWidth="1"/>
    <col min="8723" max="8723" width="14.85546875" style="375" bestFit="1" customWidth="1"/>
    <col min="8724" max="8724" width="12.85546875" style="375" bestFit="1" customWidth="1"/>
    <col min="8725" max="8725" width="11" style="375" customWidth="1"/>
    <col min="8726" max="8726" width="12.28515625" style="375" bestFit="1" customWidth="1"/>
    <col min="8727" max="8727" width="11" style="375" customWidth="1"/>
    <col min="8728" max="8732" width="9.140625" style="375"/>
    <col min="8733" max="8733" width="21.85546875" style="375" customWidth="1"/>
    <col min="8734" max="8966" width="9.140625" style="375"/>
    <col min="8967" max="8967" width="4.7109375" style="375" customWidth="1"/>
    <col min="8968" max="8968" width="40.140625" style="375" bestFit="1" customWidth="1"/>
    <col min="8969" max="8969" width="11.28515625" style="375" customWidth="1"/>
    <col min="8970" max="8970" width="11.85546875" style="375" customWidth="1"/>
    <col min="8971" max="8971" width="5.42578125" style="375" customWidth="1"/>
    <col min="8972" max="8972" width="11.28515625" style="375" customWidth="1"/>
    <col min="8973" max="8973" width="11.85546875" style="375" customWidth="1"/>
    <col min="8974" max="8974" width="7.140625" style="375" customWidth="1"/>
    <col min="8975" max="8975" width="11.28515625" style="375" bestFit="1" customWidth="1"/>
    <col min="8976" max="8976" width="12.28515625" style="375" bestFit="1" customWidth="1"/>
    <col min="8977" max="8977" width="5.5703125" style="375" customWidth="1"/>
    <col min="8978" max="8978" width="11.28515625" style="375" bestFit="1" customWidth="1"/>
    <col min="8979" max="8979" width="14.85546875" style="375" bestFit="1" customWidth="1"/>
    <col min="8980" max="8980" width="12.85546875" style="375" bestFit="1" customWidth="1"/>
    <col min="8981" max="8981" width="11" style="375" customWidth="1"/>
    <col min="8982" max="8982" width="12.28515625" style="375" bestFit="1" customWidth="1"/>
    <col min="8983" max="8983" width="11" style="375" customWidth="1"/>
    <col min="8984" max="8988" width="9.140625" style="375"/>
    <col min="8989" max="8989" width="21.85546875" style="375" customWidth="1"/>
    <col min="8990" max="9222" width="9.140625" style="375"/>
    <col min="9223" max="9223" width="4.7109375" style="375" customWidth="1"/>
    <col min="9224" max="9224" width="40.140625" style="375" bestFit="1" customWidth="1"/>
    <col min="9225" max="9225" width="11.28515625" style="375" customWidth="1"/>
    <col min="9226" max="9226" width="11.85546875" style="375" customWidth="1"/>
    <col min="9227" max="9227" width="5.42578125" style="375" customWidth="1"/>
    <col min="9228" max="9228" width="11.28515625" style="375" customWidth="1"/>
    <col min="9229" max="9229" width="11.85546875" style="375" customWidth="1"/>
    <col min="9230" max="9230" width="7.140625" style="375" customWidth="1"/>
    <col min="9231" max="9231" width="11.28515625" style="375" bestFit="1" customWidth="1"/>
    <col min="9232" max="9232" width="12.28515625" style="375" bestFit="1" customWidth="1"/>
    <col min="9233" max="9233" width="5.5703125" style="375" customWidth="1"/>
    <col min="9234" max="9234" width="11.28515625" style="375" bestFit="1" customWidth="1"/>
    <col min="9235" max="9235" width="14.85546875" style="375" bestFit="1" customWidth="1"/>
    <col min="9236" max="9236" width="12.85546875" style="375" bestFit="1" customWidth="1"/>
    <col min="9237" max="9237" width="11" style="375" customWidth="1"/>
    <col min="9238" max="9238" width="12.28515625" style="375" bestFit="1" customWidth="1"/>
    <col min="9239" max="9239" width="11" style="375" customWidth="1"/>
    <col min="9240" max="9244" width="9.140625" style="375"/>
    <col min="9245" max="9245" width="21.85546875" style="375" customWidth="1"/>
    <col min="9246" max="9478" width="9.140625" style="375"/>
    <col min="9479" max="9479" width="4.7109375" style="375" customWidth="1"/>
    <col min="9480" max="9480" width="40.140625" style="375" bestFit="1" customWidth="1"/>
    <col min="9481" max="9481" width="11.28515625" style="375" customWidth="1"/>
    <col min="9482" max="9482" width="11.85546875" style="375" customWidth="1"/>
    <col min="9483" max="9483" width="5.42578125" style="375" customWidth="1"/>
    <col min="9484" max="9484" width="11.28515625" style="375" customWidth="1"/>
    <col min="9485" max="9485" width="11.85546875" style="375" customWidth="1"/>
    <col min="9486" max="9486" width="7.140625" style="375" customWidth="1"/>
    <col min="9487" max="9487" width="11.28515625" style="375" bestFit="1" customWidth="1"/>
    <col min="9488" max="9488" width="12.28515625" style="375" bestFit="1" customWidth="1"/>
    <col min="9489" max="9489" width="5.5703125" style="375" customWidth="1"/>
    <col min="9490" max="9490" width="11.28515625" style="375" bestFit="1" customWidth="1"/>
    <col min="9491" max="9491" width="14.85546875" style="375" bestFit="1" customWidth="1"/>
    <col min="9492" max="9492" width="12.85546875" style="375" bestFit="1" customWidth="1"/>
    <col min="9493" max="9493" width="11" style="375" customWidth="1"/>
    <col min="9494" max="9494" width="12.28515625" style="375" bestFit="1" customWidth="1"/>
    <col min="9495" max="9495" width="11" style="375" customWidth="1"/>
    <col min="9496" max="9500" width="9.140625" style="375"/>
    <col min="9501" max="9501" width="21.85546875" style="375" customWidth="1"/>
    <col min="9502" max="9734" width="9.140625" style="375"/>
    <col min="9735" max="9735" width="4.7109375" style="375" customWidth="1"/>
    <col min="9736" max="9736" width="40.140625" style="375" bestFit="1" customWidth="1"/>
    <col min="9737" max="9737" width="11.28515625" style="375" customWidth="1"/>
    <col min="9738" max="9738" width="11.85546875" style="375" customWidth="1"/>
    <col min="9739" max="9739" width="5.42578125" style="375" customWidth="1"/>
    <col min="9740" max="9740" width="11.28515625" style="375" customWidth="1"/>
    <col min="9741" max="9741" width="11.85546875" style="375" customWidth="1"/>
    <col min="9742" max="9742" width="7.140625" style="375" customWidth="1"/>
    <col min="9743" max="9743" width="11.28515625" style="375" bestFit="1" customWidth="1"/>
    <col min="9744" max="9744" width="12.28515625" style="375" bestFit="1" customWidth="1"/>
    <col min="9745" max="9745" width="5.5703125" style="375" customWidth="1"/>
    <col min="9746" max="9746" width="11.28515625" style="375" bestFit="1" customWidth="1"/>
    <col min="9747" max="9747" width="14.85546875" style="375" bestFit="1" customWidth="1"/>
    <col min="9748" max="9748" width="12.85546875" style="375" bestFit="1" customWidth="1"/>
    <col min="9749" max="9749" width="11" style="375" customWidth="1"/>
    <col min="9750" max="9750" width="12.28515625" style="375" bestFit="1" customWidth="1"/>
    <col min="9751" max="9751" width="11" style="375" customWidth="1"/>
    <col min="9752" max="9756" width="9.140625" style="375"/>
    <col min="9757" max="9757" width="21.85546875" style="375" customWidth="1"/>
    <col min="9758" max="9990" width="9.140625" style="375"/>
    <col min="9991" max="9991" width="4.7109375" style="375" customWidth="1"/>
    <col min="9992" max="9992" width="40.140625" style="375" bestFit="1" customWidth="1"/>
    <col min="9993" max="9993" width="11.28515625" style="375" customWidth="1"/>
    <col min="9994" max="9994" width="11.85546875" style="375" customWidth="1"/>
    <col min="9995" max="9995" width="5.42578125" style="375" customWidth="1"/>
    <col min="9996" max="9996" width="11.28515625" style="375" customWidth="1"/>
    <col min="9997" max="9997" width="11.85546875" style="375" customWidth="1"/>
    <col min="9998" max="9998" width="7.140625" style="375" customWidth="1"/>
    <col min="9999" max="9999" width="11.28515625" style="375" bestFit="1" customWidth="1"/>
    <col min="10000" max="10000" width="12.28515625" style="375" bestFit="1" customWidth="1"/>
    <col min="10001" max="10001" width="5.5703125" style="375" customWidth="1"/>
    <col min="10002" max="10002" width="11.28515625" style="375" bestFit="1" customWidth="1"/>
    <col min="10003" max="10003" width="14.85546875" style="375" bestFit="1" customWidth="1"/>
    <col min="10004" max="10004" width="12.85546875" style="375" bestFit="1" customWidth="1"/>
    <col min="10005" max="10005" width="11" style="375" customWidth="1"/>
    <col min="10006" max="10006" width="12.28515625" style="375" bestFit="1" customWidth="1"/>
    <col min="10007" max="10007" width="11" style="375" customWidth="1"/>
    <col min="10008" max="10012" width="9.140625" style="375"/>
    <col min="10013" max="10013" width="21.85546875" style="375" customWidth="1"/>
    <col min="10014" max="10246" width="9.140625" style="375"/>
    <col min="10247" max="10247" width="4.7109375" style="375" customWidth="1"/>
    <col min="10248" max="10248" width="40.140625" style="375" bestFit="1" customWidth="1"/>
    <col min="10249" max="10249" width="11.28515625" style="375" customWidth="1"/>
    <col min="10250" max="10250" width="11.85546875" style="375" customWidth="1"/>
    <col min="10251" max="10251" width="5.42578125" style="375" customWidth="1"/>
    <col min="10252" max="10252" width="11.28515625" style="375" customWidth="1"/>
    <col min="10253" max="10253" width="11.85546875" style="375" customWidth="1"/>
    <col min="10254" max="10254" width="7.140625" style="375" customWidth="1"/>
    <col min="10255" max="10255" width="11.28515625" style="375" bestFit="1" customWidth="1"/>
    <col min="10256" max="10256" width="12.28515625" style="375" bestFit="1" customWidth="1"/>
    <col min="10257" max="10257" width="5.5703125" style="375" customWidth="1"/>
    <col min="10258" max="10258" width="11.28515625" style="375" bestFit="1" customWidth="1"/>
    <col min="10259" max="10259" width="14.85546875" style="375" bestFit="1" customWidth="1"/>
    <col min="10260" max="10260" width="12.85546875" style="375" bestFit="1" customWidth="1"/>
    <col min="10261" max="10261" width="11" style="375" customWidth="1"/>
    <col min="10262" max="10262" width="12.28515625" style="375" bestFit="1" customWidth="1"/>
    <col min="10263" max="10263" width="11" style="375" customWidth="1"/>
    <col min="10264" max="10268" width="9.140625" style="375"/>
    <col min="10269" max="10269" width="21.85546875" style="375" customWidth="1"/>
    <col min="10270" max="10502" width="9.140625" style="375"/>
    <col min="10503" max="10503" width="4.7109375" style="375" customWidth="1"/>
    <col min="10504" max="10504" width="40.140625" style="375" bestFit="1" customWidth="1"/>
    <col min="10505" max="10505" width="11.28515625" style="375" customWidth="1"/>
    <col min="10506" max="10506" width="11.85546875" style="375" customWidth="1"/>
    <col min="10507" max="10507" width="5.42578125" style="375" customWidth="1"/>
    <col min="10508" max="10508" width="11.28515625" style="375" customWidth="1"/>
    <col min="10509" max="10509" width="11.85546875" style="375" customWidth="1"/>
    <col min="10510" max="10510" width="7.140625" style="375" customWidth="1"/>
    <col min="10511" max="10511" width="11.28515625" style="375" bestFit="1" customWidth="1"/>
    <col min="10512" max="10512" width="12.28515625" style="375" bestFit="1" customWidth="1"/>
    <col min="10513" max="10513" width="5.5703125" style="375" customWidth="1"/>
    <col min="10514" max="10514" width="11.28515625" style="375" bestFit="1" customWidth="1"/>
    <col min="10515" max="10515" width="14.85546875" style="375" bestFit="1" customWidth="1"/>
    <col min="10516" max="10516" width="12.85546875" style="375" bestFit="1" customWidth="1"/>
    <col min="10517" max="10517" width="11" style="375" customWidth="1"/>
    <col min="10518" max="10518" width="12.28515625" style="375" bestFit="1" customWidth="1"/>
    <col min="10519" max="10519" width="11" style="375" customWidth="1"/>
    <col min="10520" max="10524" width="9.140625" style="375"/>
    <col min="10525" max="10525" width="21.85546875" style="375" customWidth="1"/>
    <col min="10526" max="10758" width="9.140625" style="375"/>
    <col min="10759" max="10759" width="4.7109375" style="375" customWidth="1"/>
    <col min="10760" max="10760" width="40.140625" style="375" bestFit="1" customWidth="1"/>
    <col min="10761" max="10761" width="11.28515625" style="375" customWidth="1"/>
    <col min="10762" max="10762" width="11.85546875" style="375" customWidth="1"/>
    <col min="10763" max="10763" width="5.42578125" style="375" customWidth="1"/>
    <col min="10764" max="10764" width="11.28515625" style="375" customWidth="1"/>
    <col min="10765" max="10765" width="11.85546875" style="375" customWidth="1"/>
    <col min="10766" max="10766" width="7.140625" style="375" customWidth="1"/>
    <col min="10767" max="10767" width="11.28515625" style="375" bestFit="1" customWidth="1"/>
    <col min="10768" max="10768" width="12.28515625" style="375" bestFit="1" customWidth="1"/>
    <col min="10769" max="10769" width="5.5703125" style="375" customWidth="1"/>
    <col min="10770" max="10770" width="11.28515625" style="375" bestFit="1" customWidth="1"/>
    <col min="10771" max="10771" width="14.85546875" style="375" bestFit="1" customWidth="1"/>
    <col min="10772" max="10772" width="12.85546875" style="375" bestFit="1" customWidth="1"/>
    <col min="10773" max="10773" width="11" style="375" customWidth="1"/>
    <col min="10774" max="10774" width="12.28515625" style="375" bestFit="1" customWidth="1"/>
    <col min="10775" max="10775" width="11" style="375" customWidth="1"/>
    <col min="10776" max="10780" width="9.140625" style="375"/>
    <col min="10781" max="10781" width="21.85546875" style="375" customWidth="1"/>
    <col min="10782" max="11014" width="9.140625" style="375"/>
    <col min="11015" max="11015" width="4.7109375" style="375" customWidth="1"/>
    <col min="11016" max="11016" width="40.140625" style="375" bestFit="1" customWidth="1"/>
    <col min="11017" max="11017" width="11.28515625" style="375" customWidth="1"/>
    <col min="11018" max="11018" width="11.85546875" style="375" customWidth="1"/>
    <col min="11019" max="11019" width="5.42578125" style="375" customWidth="1"/>
    <col min="11020" max="11020" width="11.28515625" style="375" customWidth="1"/>
    <col min="11021" max="11021" width="11.85546875" style="375" customWidth="1"/>
    <col min="11022" max="11022" width="7.140625" style="375" customWidth="1"/>
    <col min="11023" max="11023" width="11.28515625" style="375" bestFit="1" customWidth="1"/>
    <col min="11024" max="11024" width="12.28515625" style="375" bestFit="1" customWidth="1"/>
    <col min="11025" max="11025" width="5.5703125" style="375" customWidth="1"/>
    <col min="11026" max="11026" width="11.28515625" style="375" bestFit="1" customWidth="1"/>
    <col min="11027" max="11027" width="14.85546875" style="375" bestFit="1" customWidth="1"/>
    <col min="11028" max="11028" width="12.85546875" style="375" bestFit="1" customWidth="1"/>
    <col min="11029" max="11029" width="11" style="375" customWidth="1"/>
    <col min="11030" max="11030" width="12.28515625" style="375" bestFit="1" customWidth="1"/>
    <col min="11031" max="11031" width="11" style="375" customWidth="1"/>
    <col min="11032" max="11036" width="9.140625" style="375"/>
    <col min="11037" max="11037" width="21.85546875" style="375" customWidth="1"/>
    <col min="11038" max="11270" width="9.140625" style="375"/>
    <col min="11271" max="11271" width="4.7109375" style="375" customWidth="1"/>
    <col min="11272" max="11272" width="40.140625" style="375" bestFit="1" customWidth="1"/>
    <col min="11273" max="11273" width="11.28515625" style="375" customWidth="1"/>
    <col min="11274" max="11274" width="11.85546875" style="375" customWidth="1"/>
    <col min="11275" max="11275" width="5.42578125" style="375" customWidth="1"/>
    <col min="11276" max="11276" width="11.28515625" style="375" customWidth="1"/>
    <col min="11277" max="11277" width="11.85546875" style="375" customWidth="1"/>
    <col min="11278" max="11278" width="7.140625" style="375" customWidth="1"/>
    <col min="11279" max="11279" width="11.28515625" style="375" bestFit="1" customWidth="1"/>
    <col min="11280" max="11280" width="12.28515625" style="375" bestFit="1" customWidth="1"/>
    <col min="11281" max="11281" width="5.5703125" style="375" customWidth="1"/>
    <col min="11282" max="11282" width="11.28515625" style="375" bestFit="1" customWidth="1"/>
    <col min="11283" max="11283" width="14.85546875" style="375" bestFit="1" customWidth="1"/>
    <col min="11284" max="11284" width="12.85546875" style="375" bestFit="1" customWidth="1"/>
    <col min="11285" max="11285" width="11" style="375" customWidth="1"/>
    <col min="11286" max="11286" width="12.28515625" style="375" bestFit="1" customWidth="1"/>
    <col min="11287" max="11287" width="11" style="375" customWidth="1"/>
    <col min="11288" max="11292" width="9.140625" style="375"/>
    <col min="11293" max="11293" width="21.85546875" style="375" customWidth="1"/>
    <col min="11294" max="11526" width="9.140625" style="375"/>
    <col min="11527" max="11527" width="4.7109375" style="375" customWidth="1"/>
    <col min="11528" max="11528" width="40.140625" style="375" bestFit="1" customWidth="1"/>
    <col min="11529" max="11529" width="11.28515625" style="375" customWidth="1"/>
    <col min="11530" max="11530" width="11.85546875" style="375" customWidth="1"/>
    <col min="11531" max="11531" width="5.42578125" style="375" customWidth="1"/>
    <col min="11532" max="11532" width="11.28515625" style="375" customWidth="1"/>
    <col min="11533" max="11533" width="11.85546875" style="375" customWidth="1"/>
    <col min="11534" max="11534" width="7.140625" style="375" customWidth="1"/>
    <col min="11535" max="11535" width="11.28515625" style="375" bestFit="1" customWidth="1"/>
    <col min="11536" max="11536" width="12.28515625" style="375" bestFit="1" customWidth="1"/>
    <col min="11537" max="11537" width="5.5703125" style="375" customWidth="1"/>
    <col min="11538" max="11538" width="11.28515625" style="375" bestFit="1" customWidth="1"/>
    <col min="11539" max="11539" width="14.85546875" style="375" bestFit="1" customWidth="1"/>
    <col min="11540" max="11540" width="12.85546875" style="375" bestFit="1" customWidth="1"/>
    <col min="11541" max="11541" width="11" style="375" customWidth="1"/>
    <col min="11542" max="11542" width="12.28515625" style="375" bestFit="1" customWidth="1"/>
    <col min="11543" max="11543" width="11" style="375" customWidth="1"/>
    <col min="11544" max="11548" width="9.140625" style="375"/>
    <col min="11549" max="11549" width="21.85546875" style="375" customWidth="1"/>
    <col min="11550" max="11782" width="9.140625" style="375"/>
    <col min="11783" max="11783" width="4.7109375" style="375" customWidth="1"/>
    <col min="11784" max="11784" width="40.140625" style="375" bestFit="1" customWidth="1"/>
    <col min="11785" max="11785" width="11.28515625" style="375" customWidth="1"/>
    <col min="11786" max="11786" width="11.85546875" style="375" customWidth="1"/>
    <col min="11787" max="11787" width="5.42578125" style="375" customWidth="1"/>
    <col min="11788" max="11788" width="11.28515625" style="375" customWidth="1"/>
    <col min="11789" max="11789" width="11.85546875" style="375" customWidth="1"/>
    <col min="11790" max="11790" width="7.140625" style="375" customWidth="1"/>
    <col min="11791" max="11791" width="11.28515625" style="375" bestFit="1" customWidth="1"/>
    <col min="11792" max="11792" width="12.28515625" style="375" bestFit="1" customWidth="1"/>
    <col min="11793" max="11793" width="5.5703125" style="375" customWidth="1"/>
    <col min="11794" max="11794" width="11.28515625" style="375" bestFit="1" customWidth="1"/>
    <col min="11795" max="11795" width="14.85546875" style="375" bestFit="1" customWidth="1"/>
    <col min="11796" max="11796" width="12.85546875" style="375" bestFit="1" customWidth="1"/>
    <col min="11797" max="11797" width="11" style="375" customWidth="1"/>
    <col min="11798" max="11798" width="12.28515625" style="375" bestFit="1" customWidth="1"/>
    <col min="11799" max="11799" width="11" style="375" customWidth="1"/>
    <col min="11800" max="11804" width="9.140625" style="375"/>
    <col min="11805" max="11805" width="21.85546875" style="375" customWidth="1"/>
    <col min="11806" max="12038" width="9.140625" style="375"/>
    <col min="12039" max="12039" width="4.7109375" style="375" customWidth="1"/>
    <col min="12040" max="12040" width="40.140625" style="375" bestFit="1" customWidth="1"/>
    <col min="12041" max="12041" width="11.28515625" style="375" customWidth="1"/>
    <col min="12042" max="12042" width="11.85546875" style="375" customWidth="1"/>
    <col min="12043" max="12043" width="5.42578125" style="375" customWidth="1"/>
    <col min="12044" max="12044" width="11.28515625" style="375" customWidth="1"/>
    <col min="12045" max="12045" width="11.85546875" style="375" customWidth="1"/>
    <col min="12046" max="12046" width="7.140625" style="375" customWidth="1"/>
    <col min="12047" max="12047" width="11.28515625" style="375" bestFit="1" customWidth="1"/>
    <col min="12048" max="12048" width="12.28515625" style="375" bestFit="1" customWidth="1"/>
    <col min="12049" max="12049" width="5.5703125" style="375" customWidth="1"/>
    <col min="12050" max="12050" width="11.28515625" style="375" bestFit="1" customWidth="1"/>
    <col min="12051" max="12051" width="14.85546875" style="375" bestFit="1" customWidth="1"/>
    <col min="12052" max="12052" width="12.85546875" style="375" bestFit="1" customWidth="1"/>
    <col min="12053" max="12053" width="11" style="375" customWidth="1"/>
    <col min="12054" max="12054" width="12.28515625" style="375" bestFit="1" customWidth="1"/>
    <col min="12055" max="12055" width="11" style="375" customWidth="1"/>
    <col min="12056" max="12060" width="9.140625" style="375"/>
    <col min="12061" max="12061" width="21.85546875" style="375" customWidth="1"/>
    <col min="12062" max="12294" width="9.140625" style="375"/>
    <col min="12295" max="12295" width="4.7109375" style="375" customWidth="1"/>
    <col min="12296" max="12296" width="40.140625" style="375" bestFit="1" customWidth="1"/>
    <col min="12297" max="12297" width="11.28515625" style="375" customWidth="1"/>
    <col min="12298" max="12298" width="11.85546875" style="375" customWidth="1"/>
    <col min="12299" max="12299" width="5.42578125" style="375" customWidth="1"/>
    <col min="12300" max="12300" width="11.28515625" style="375" customWidth="1"/>
    <col min="12301" max="12301" width="11.85546875" style="375" customWidth="1"/>
    <col min="12302" max="12302" width="7.140625" style="375" customWidth="1"/>
    <col min="12303" max="12303" width="11.28515625" style="375" bestFit="1" customWidth="1"/>
    <col min="12304" max="12304" width="12.28515625" style="375" bestFit="1" customWidth="1"/>
    <col min="12305" max="12305" width="5.5703125" style="375" customWidth="1"/>
    <col min="12306" max="12306" width="11.28515625" style="375" bestFit="1" customWidth="1"/>
    <col min="12307" max="12307" width="14.85546875" style="375" bestFit="1" customWidth="1"/>
    <col min="12308" max="12308" width="12.85546875" style="375" bestFit="1" customWidth="1"/>
    <col min="12309" max="12309" width="11" style="375" customWidth="1"/>
    <col min="12310" max="12310" width="12.28515625" style="375" bestFit="1" customWidth="1"/>
    <col min="12311" max="12311" width="11" style="375" customWidth="1"/>
    <col min="12312" max="12316" width="9.140625" style="375"/>
    <col min="12317" max="12317" width="21.85546875" style="375" customWidth="1"/>
    <col min="12318" max="12550" width="9.140625" style="375"/>
    <col min="12551" max="12551" width="4.7109375" style="375" customWidth="1"/>
    <col min="12552" max="12552" width="40.140625" style="375" bestFit="1" customWidth="1"/>
    <col min="12553" max="12553" width="11.28515625" style="375" customWidth="1"/>
    <col min="12554" max="12554" width="11.85546875" style="375" customWidth="1"/>
    <col min="12555" max="12555" width="5.42578125" style="375" customWidth="1"/>
    <col min="12556" max="12556" width="11.28515625" style="375" customWidth="1"/>
    <col min="12557" max="12557" width="11.85546875" style="375" customWidth="1"/>
    <col min="12558" max="12558" width="7.140625" style="375" customWidth="1"/>
    <col min="12559" max="12559" width="11.28515625" style="375" bestFit="1" customWidth="1"/>
    <col min="12560" max="12560" width="12.28515625" style="375" bestFit="1" customWidth="1"/>
    <col min="12561" max="12561" width="5.5703125" style="375" customWidth="1"/>
    <col min="12562" max="12562" width="11.28515625" style="375" bestFit="1" customWidth="1"/>
    <col min="12563" max="12563" width="14.85546875" style="375" bestFit="1" customWidth="1"/>
    <col min="12564" max="12564" width="12.85546875" style="375" bestFit="1" customWidth="1"/>
    <col min="12565" max="12565" width="11" style="375" customWidth="1"/>
    <col min="12566" max="12566" width="12.28515625" style="375" bestFit="1" customWidth="1"/>
    <col min="12567" max="12567" width="11" style="375" customWidth="1"/>
    <col min="12568" max="12572" width="9.140625" style="375"/>
    <col min="12573" max="12573" width="21.85546875" style="375" customWidth="1"/>
    <col min="12574" max="12806" width="9.140625" style="375"/>
    <col min="12807" max="12807" width="4.7109375" style="375" customWidth="1"/>
    <col min="12808" max="12808" width="40.140625" style="375" bestFit="1" customWidth="1"/>
    <col min="12809" max="12809" width="11.28515625" style="375" customWidth="1"/>
    <col min="12810" max="12810" width="11.85546875" style="375" customWidth="1"/>
    <col min="12811" max="12811" width="5.42578125" style="375" customWidth="1"/>
    <col min="12812" max="12812" width="11.28515625" style="375" customWidth="1"/>
    <col min="12813" max="12813" width="11.85546875" style="375" customWidth="1"/>
    <col min="12814" max="12814" width="7.140625" style="375" customWidth="1"/>
    <col min="12815" max="12815" width="11.28515625" style="375" bestFit="1" customWidth="1"/>
    <col min="12816" max="12816" width="12.28515625" style="375" bestFit="1" customWidth="1"/>
    <col min="12817" max="12817" width="5.5703125" style="375" customWidth="1"/>
    <col min="12818" max="12818" width="11.28515625" style="375" bestFit="1" customWidth="1"/>
    <col min="12819" max="12819" width="14.85546875" style="375" bestFit="1" customWidth="1"/>
    <col min="12820" max="12820" width="12.85546875" style="375" bestFit="1" customWidth="1"/>
    <col min="12821" max="12821" width="11" style="375" customWidth="1"/>
    <col min="12822" max="12822" width="12.28515625" style="375" bestFit="1" customWidth="1"/>
    <col min="12823" max="12823" width="11" style="375" customWidth="1"/>
    <col min="12824" max="12828" width="9.140625" style="375"/>
    <col min="12829" max="12829" width="21.85546875" style="375" customWidth="1"/>
    <col min="12830" max="13062" width="9.140625" style="375"/>
    <col min="13063" max="13063" width="4.7109375" style="375" customWidth="1"/>
    <col min="13064" max="13064" width="40.140625" style="375" bestFit="1" customWidth="1"/>
    <col min="13065" max="13065" width="11.28515625" style="375" customWidth="1"/>
    <col min="13066" max="13066" width="11.85546875" style="375" customWidth="1"/>
    <col min="13067" max="13067" width="5.42578125" style="375" customWidth="1"/>
    <col min="13068" max="13068" width="11.28515625" style="375" customWidth="1"/>
    <col min="13069" max="13069" width="11.85546875" style="375" customWidth="1"/>
    <col min="13070" max="13070" width="7.140625" style="375" customWidth="1"/>
    <col min="13071" max="13071" width="11.28515625" style="375" bestFit="1" customWidth="1"/>
    <col min="13072" max="13072" width="12.28515625" style="375" bestFit="1" customWidth="1"/>
    <col min="13073" max="13073" width="5.5703125" style="375" customWidth="1"/>
    <col min="13074" max="13074" width="11.28515625" style="375" bestFit="1" customWidth="1"/>
    <col min="13075" max="13075" width="14.85546875" style="375" bestFit="1" customWidth="1"/>
    <col min="13076" max="13076" width="12.85546875" style="375" bestFit="1" customWidth="1"/>
    <col min="13077" max="13077" width="11" style="375" customWidth="1"/>
    <col min="13078" max="13078" width="12.28515625" style="375" bestFit="1" customWidth="1"/>
    <col min="13079" max="13079" width="11" style="375" customWidth="1"/>
    <col min="13080" max="13084" width="9.140625" style="375"/>
    <col min="13085" max="13085" width="21.85546875" style="375" customWidth="1"/>
    <col min="13086" max="13318" width="9.140625" style="375"/>
    <col min="13319" max="13319" width="4.7109375" style="375" customWidth="1"/>
    <col min="13320" max="13320" width="40.140625" style="375" bestFit="1" customWidth="1"/>
    <col min="13321" max="13321" width="11.28515625" style="375" customWidth="1"/>
    <col min="13322" max="13322" width="11.85546875" style="375" customWidth="1"/>
    <col min="13323" max="13323" width="5.42578125" style="375" customWidth="1"/>
    <col min="13324" max="13324" width="11.28515625" style="375" customWidth="1"/>
    <col min="13325" max="13325" width="11.85546875" style="375" customWidth="1"/>
    <col min="13326" max="13326" width="7.140625" style="375" customWidth="1"/>
    <col min="13327" max="13327" width="11.28515625" style="375" bestFit="1" customWidth="1"/>
    <col min="13328" max="13328" width="12.28515625" style="375" bestFit="1" customWidth="1"/>
    <col min="13329" max="13329" width="5.5703125" style="375" customWidth="1"/>
    <col min="13330" max="13330" width="11.28515625" style="375" bestFit="1" customWidth="1"/>
    <col min="13331" max="13331" width="14.85546875" style="375" bestFit="1" customWidth="1"/>
    <col min="13332" max="13332" width="12.85546875" style="375" bestFit="1" customWidth="1"/>
    <col min="13333" max="13333" width="11" style="375" customWidth="1"/>
    <col min="13334" max="13334" width="12.28515625" style="375" bestFit="1" customWidth="1"/>
    <col min="13335" max="13335" width="11" style="375" customWidth="1"/>
    <col min="13336" max="13340" width="9.140625" style="375"/>
    <col min="13341" max="13341" width="21.85546875" style="375" customWidth="1"/>
    <col min="13342" max="13574" width="9.140625" style="375"/>
    <col min="13575" max="13575" width="4.7109375" style="375" customWidth="1"/>
    <col min="13576" max="13576" width="40.140625" style="375" bestFit="1" customWidth="1"/>
    <col min="13577" max="13577" width="11.28515625" style="375" customWidth="1"/>
    <col min="13578" max="13578" width="11.85546875" style="375" customWidth="1"/>
    <col min="13579" max="13579" width="5.42578125" style="375" customWidth="1"/>
    <col min="13580" max="13580" width="11.28515625" style="375" customWidth="1"/>
    <col min="13581" max="13581" width="11.85546875" style="375" customWidth="1"/>
    <col min="13582" max="13582" width="7.140625" style="375" customWidth="1"/>
    <col min="13583" max="13583" width="11.28515625" style="375" bestFit="1" customWidth="1"/>
    <col min="13584" max="13584" width="12.28515625" style="375" bestFit="1" customWidth="1"/>
    <col min="13585" max="13585" width="5.5703125" style="375" customWidth="1"/>
    <col min="13586" max="13586" width="11.28515625" style="375" bestFit="1" customWidth="1"/>
    <col min="13587" max="13587" width="14.85546875" style="375" bestFit="1" customWidth="1"/>
    <col min="13588" max="13588" width="12.85546875" style="375" bestFit="1" customWidth="1"/>
    <col min="13589" max="13589" width="11" style="375" customWidth="1"/>
    <col min="13590" max="13590" width="12.28515625" style="375" bestFit="1" customWidth="1"/>
    <col min="13591" max="13591" width="11" style="375" customWidth="1"/>
    <col min="13592" max="13596" width="9.140625" style="375"/>
    <col min="13597" max="13597" width="21.85546875" style="375" customWidth="1"/>
    <col min="13598" max="13830" width="9.140625" style="375"/>
    <col min="13831" max="13831" width="4.7109375" style="375" customWidth="1"/>
    <col min="13832" max="13832" width="40.140625" style="375" bestFit="1" customWidth="1"/>
    <col min="13833" max="13833" width="11.28515625" style="375" customWidth="1"/>
    <col min="13834" max="13834" width="11.85546875" style="375" customWidth="1"/>
    <col min="13835" max="13835" width="5.42578125" style="375" customWidth="1"/>
    <col min="13836" max="13836" width="11.28515625" style="375" customWidth="1"/>
    <col min="13837" max="13837" width="11.85546875" style="375" customWidth="1"/>
    <col min="13838" max="13838" width="7.140625" style="375" customWidth="1"/>
    <col min="13839" max="13839" width="11.28515625" style="375" bestFit="1" customWidth="1"/>
    <col min="13840" max="13840" width="12.28515625" style="375" bestFit="1" customWidth="1"/>
    <col min="13841" max="13841" width="5.5703125" style="375" customWidth="1"/>
    <col min="13842" max="13842" width="11.28515625" style="375" bestFit="1" customWidth="1"/>
    <col min="13843" max="13843" width="14.85546875" style="375" bestFit="1" customWidth="1"/>
    <col min="13844" max="13844" width="12.85546875" style="375" bestFit="1" customWidth="1"/>
    <col min="13845" max="13845" width="11" style="375" customWidth="1"/>
    <col min="13846" max="13846" width="12.28515625" style="375" bestFit="1" customWidth="1"/>
    <col min="13847" max="13847" width="11" style="375" customWidth="1"/>
    <col min="13848" max="13852" width="9.140625" style="375"/>
    <col min="13853" max="13853" width="21.85546875" style="375" customWidth="1"/>
    <col min="13854" max="14086" width="9.140625" style="375"/>
    <col min="14087" max="14087" width="4.7109375" style="375" customWidth="1"/>
    <col min="14088" max="14088" width="40.140625" style="375" bestFit="1" customWidth="1"/>
    <col min="14089" max="14089" width="11.28515625" style="375" customWidth="1"/>
    <col min="14090" max="14090" width="11.85546875" style="375" customWidth="1"/>
    <col min="14091" max="14091" width="5.42578125" style="375" customWidth="1"/>
    <col min="14092" max="14092" width="11.28515625" style="375" customWidth="1"/>
    <col min="14093" max="14093" width="11.85546875" style="375" customWidth="1"/>
    <col min="14094" max="14094" width="7.140625" style="375" customWidth="1"/>
    <col min="14095" max="14095" width="11.28515625" style="375" bestFit="1" customWidth="1"/>
    <col min="14096" max="14096" width="12.28515625" style="375" bestFit="1" customWidth="1"/>
    <col min="14097" max="14097" width="5.5703125" style="375" customWidth="1"/>
    <col min="14098" max="14098" width="11.28515625" style="375" bestFit="1" customWidth="1"/>
    <col min="14099" max="14099" width="14.85546875" style="375" bestFit="1" customWidth="1"/>
    <col min="14100" max="14100" width="12.85546875" style="375" bestFit="1" customWidth="1"/>
    <col min="14101" max="14101" width="11" style="375" customWidth="1"/>
    <col min="14102" max="14102" width="12.28515625" style="375" bestFit="1" customWidth="1"/>
    <col min="14103" max="14103" width="11" style="375" customWidth="1"/>
    <col min="14104" max="14108" width="9.140625" style="375"/>
    <col min="14109" max="14109" width="21.85546875" style="375" customWidth="1"/>
    <col min="14110" max="14342" width="9.140625" style="375"/>
    <col min="14343" max="14343" width="4.7109375" style="375" customWidth="1"/>
    <col min="14344" max="14344" width="40.140625" style="375" bestFit="1" customWidth="1"/>
    <col min="14345" max="14345" width="11.28515625" style="375" customWidth="1"/>
    <col min="14346" max="14346" width="11.85546875" style="375" customWidth="1"/>
    <col min="14347" max="14347" width="5.42578125" style="375" customWidth="1"/>
    <col min="14348" max="14348" width="11.28515625" style="375" customWidth="1"/>
    <col min="14349" max="14349" width="11.85546875" style="375" customWidth="1"/>
    <col min="14350" max="14350" width="7.140625" style="375" customWidth="1"/>
    <col min="14351" max="14351" width="11.28515625" style="375" bestFit="1" customWidth="1"/>
    <col min="14352" max="14352" width="12.28515625" style="375" bestFit="1" customWidth="1"/>
    <col min="14353" max="14353" width="5.5703125" style="375" customWidth="1"/>
    <col min="14354" max="14354" width="11.28515625" style="375" bestFit="1" customWidth="1"/>
    <col min="14355" max="14355" width="14.85546875" style="375" bestFit="1" customWidth="1"/>
    <col min="14356" max="14356" width="12.85546875" style="375" bestFit="1" customWidth="1"/>
    <col min="14357" max="14357" width="11" style="375" customWidth="1"/>
    <col min="14358" max="14358" width="12.28515625" style="375" bestFit="1" customWidth="1"/>
    <col min="14359" max="14359" width="11" style="375" customWidth="1"/>
    <col min="14360" max="14364" width="9.140625" style="375"/>
    <col min="14365" max="14365" width="21.85546875" style="375" customWidth="1"/>
    <col min="14366" max="14598" width="9.140625" style="375"/>
    <col min="14599" max="14599" width="4.7109375" style="375" customWidth="1"/>
    <col min="14600" max="14600" width="40.140625" style="375" bestFit="1" customWidth="1"/>
    <col min="14601" max="14601" width="11.28515625" style="375" customWidth="1"/>
    <col min="14602" max="14602" width="11.85546875" style="375" customWidth="1"/>
    <col min="14603" max="14603" width="5.42578125" style="375" customWidth="1"/>
    <col min="14604" max="14604" width="11.28515625" style="375" customWidth="1"/>
    <col min="14605" max="14605" width="11.85546875" style="375" customWidth="1"/>
    <col min="14606" max="14606" width="7.140625" style="375" customWidth="1"/>
    <col min="14607" max="14607" width="11.28515625" style="375" bestFit="1" customWidth="1"/>
    <col min="14608" max="14608" width="12.28515625" style="375" bestFit="1" customWidth="1"/>
    <col min="14609" max="14609" width="5.5703125" style="375" customWidth="1"/>
    <col min="14610" max="14610" width="11.28515625" style="375" bestFit="1" customWidth="1"/>
    <col min="14611" max="14611" width="14.85546875" style="375" bestFit="1" customWidth="1"/>
    <col min="14612" max="14612" width="12.85546875" style="375" bestFit="1" customWidth="1"/>
    <col min="14613" max="14613" width="11" style="375" customWidth="1"/>
    <col min="14614" max="14614" width="12.28515625" style="375" bestFit="1" customWidth="1"/>
    <col min="14615" max="14615" width="11" style="375" customWidth="1"/>
    <col min="14616" max="14620" width="9.140625" style="375"/>
    <col min="14621" max="14621" width="21.85546875" style="375" customWidth="1"/>
    <col min="14622" max="14854" width="9.140625" style="375"/>
    <col min="14855" max="14855" width="4.7109375" style="375" customWidth="1"/>
    <col min="14856" max="14856" width="40.140625" style="375" bestFit="1" customWidth="1"/>
    <col min="14857" max="14857" width="11.28515625" style="375" customWidth="1"/>
    <col min="14858" max="14858" width="11.85546875" style="375" customWidth="1"/>
    <col min="14859" max="14859" width="5.42578125" style="375" customWidth="1"/>
    <col min="14860" max="14860" width="11.28515625" style="375" customWidth="1"/>
    <col min="14861" max="14861" width="11.85546875" style="375" customWidth="1"/>
    <col min="14862" max="14862" width="7.140625" style="375" customWidth="1"/>
    <col min="14863" max="14863" width="11.28515625" style="375" bestFit="1" customWidth="1"/>
    <col min="14864" max="14864" width="12.28515625" style="375" bestFit="1" customWidth="1"/>
    <col min="14865" max="14865" width="5.5703125" style="375" customWidth="1"/>
    <col min="14866" max="14866" width="11.28515625" style="375" bestFit="1" customWidth="1"/>
    <col min="14867" max="14867" width="14.85546875" style="375" bestFit="1" customWidth="1"/>
    <col min="14868" max="14868" width="12.85546875" style="375" bestFit="1" customWidth="1"/>
    <col min="14869" max="14869" width="11" style="375" customWidth="1"/>
    <col min="14870" max="14870" width="12.28515625" style="375" bestFit="1" customWidth="1"/>
    <col min="14871" max="14871" width="11" style="375" customWidth="1"/>
    <col min="14872" max="14876" width="9.140625" style="375"/>
    <col min="14877" max="14877" width="21.85546875" style="375" customWidth="1"/>
    <col min="14878" max="15110" width="9.140625" style="375"/>
    <col min="15111" max="15111" width="4.7109375" style="375" customWidth="1"/>
    <col min="15112" max="15112" width="40.140625" style="375" bestFit="1" customWidth="1"/>
    <col min="15113" max="15113" width="11.28515625" style="375" customWidth="1"/>
    <col min="15114" max="15114" width="11.85546875" style="375" customWidth="1"/>
    <col min="15115" max="15115" width="5.42578125" style="375" customWidth="1"/>
    <col min="15116" max="15116" width="11.28515625" style="375" customWidth="1"/>
    <col min="15117" max="15117" width="11.85546875" style="375" customWidth="1"/>
    <col min="15118" max="15118" width="7.140625" style="375" customWidth="1"/>
    <col min="15119" max="15119" width="11.28515625" style="375" bestFit="1" customWidth="1"/>
    <col min="15120" max="15120" width="12.28515625" style="375" bestFit="1" customWidth="1"/>
    <col min="15121" max="15121" width="5.5703125" style="375" customWidth="1"/>
    <col min="15122" max="15122" width="11.28515625" style="375" bestFit="1" customWidth="1"/>
    <col min="15123" max="15123" width="14.85546875" style="375" bestFit="1" customWidth="1"/>
    <col min="15124" max="15124" width="12.85546875" style="375" bestFit="1" customWidth="1"/>
    <col min="15125" max="15125" width="11" style="375" customWidth="1"/>
    <col min="15126" max="15126" width="12.28515625" style="375" bestFit="1" customWidth="1"/>
    <col min="15127" max="15127" width="11" style="375" customWidth="1"/>
    <col min="15128" max="15132" width="9.140625" style="375"/>
    <col min="15133" max="15133" width="21.85546875" style="375" customWidth="1"/>
    <col min="15134" max="15366" width="9.140625" style="375"/>
    <col min="15367" max="15367" width="4.7109375" style="375" customWidth="1"/>
    <col min="15368" max="15368" width="40.140625" style="375" bestFit="1" customWidth="1"/>
    <col min="15369" max="15369" width="11.28515625" style="375" customWidth="1"/>
    <col min="15370" max="15370" width="11.85546875" style="375" customWidth="1"/>
    <col min="15371" max="15371" width="5.42578125" style="375" customWidth="1"/>
    <col min="15372" max="15372" width="11.28515625" style="375" customWidth="1"/>
    <col min="15373" max="15373" width="11.85546875" style="375" customWidth="1"/>
    <col min="15374" max="15374" width="7.140625" style="375" customWidth="1"/>
    <col min="15375" max="15375" width="11.28515625" style="375" bestFit="1" customWidth="1"/>
    <col min="15376" max="15376" width="12.28515625" style="375" bestFit="1" customWidth="1"/>
    <col min="15377" max="15377" width="5.5703125" style="375" customWidth="1"/>
    <col min="15378" max="15378" width="11.28515625" style="375" bestFit="1" customWidth="1"/>
    <col min="15379" max="15379" width="14.85546875" style="375" bestFit="1" customWidth="1"/>
    <col min="15380" max="15380" width="12.85546875" style="375" bestFit="1" customWidth="1"/>
    <col min="15381" max="15381" width="11" style="375" customWidth="1"/>
    <col min="15382" max="15382" width="12.28515625" style="375" bestFit="1" customWidth="1"/>
    <col min="15383" max="15383" width="11" style="375" customWidth="1"/>
    <col min="15384" max="15388" width="9.140625" style="375"/>
    <col min="15389" max="15389" width="21.85546875" style="375" customWidth="1"/>
    <col min="15390" max="15622" width="9.140625" style="375"/>
    <col min="15623" max="15623" width="4.7109375" style="375" customWidth="1"/>
    <col min="15624" max="15624" width="40.140625" style="375" bestFit="1" customWidth="1"/>
    <col min="15625" max="15625" width="11.28515625" style="375" customWidth="1"/>
    <col min="15626" max="15626" width="11.85546875" style="375" customWidth="1"/>
    <col min="15627" max="15627" width="5.42578125" style="375" customWidth="1"/>
    <col min="15628" max="15628" width="11.28515625" style="375" customWidth="1"/>
    <col min="15629" max="15629" width="11.85546875" style="375" customWidth="1"/>
    <col min="15630" max="15630" width="7.140625" style="375" customWidth="1"/>
    <col min="15631" max="15631" width="11.28515625" style="375" bestFit="1" customWidth="1"/>
    <col min="15632" max="15632" width="12.28515625" style="375" bestFit="1" customWidth="1"/>
    <col min="15633" max="15633" width="5.5703125" style="375" customWidth="1"/>
    <col min="15634" max="15634" width="11.28515625" style="375" bestFit="1" customWidth="1"/>
    <col min="15635" max="15635" width="14.85546875" style="375" bestFit="1" customWidth="1"/>
    <col min="15636" max="15636" width="12.85546875" style="375" bestFit="1" customWidth="1"/>
    <col min="15637" max="15637" width="11" style="375" customWidth="1"/>
    <col min="15638" max="15638" width="12.28515625" style="375" bestFit="1" customWidth="1"/>
    <col min="15639" max="15639" width="11" style="375" customWidth="1"/>
    <col min="15640" max="15644" width="9.140625" style="375"/>
    <col min="15645" max="15645" width="21.85546875" style="375" customWidth="1"/>
    <col min="15646" max="15878" width="9.140625" style="375"/>
    <col min="15879" max="15879" width="4.7109375" style="375" customWidth="1"/>
    <col min="15880" max="15880" width="40.140625" style="375" bestFit="1" customWidth="1"/>
    <col min="15881" max="15881" width="11.28515625" style="375" customWidth="1"/>
    <col min="15882" max="15882" width="11.85546875" style="375" customWidth="1"/>
    <col min="15883" max="15883" width="5.42578125" style="375" customWidth="1"/>
    <col min="15884" max="15884" width="11.28515625" style="375" customWidth="1"/>
    <col min="15885" max="15885" width="11.85546875" style="375" customWidth="1"/>
    <col min="15886" max="15886" width="7.140625" style="375" customWidth="1"/>
    <col min="15887" max="15887" width="11.28515625" style="375" bestFit="1" customWidth="1"/>
    <col min="15888" max="15888" width="12.28515625" style="375" bestFit="1" customWidth="1"/>
    <col min="15889" max="15889" width="5.5703125" style="375" customWidth="1"/>
    <col min="15890" max="15890" width="11.28515625" style="375" bestFit="1" customWidth="1"/>
    <col min="15891" max="15891" width="14.85546875" style="375" bestFit="1" customWidth="1"/>
    <col min="15892" max="15892" width="12.85546875" style="375" bestFit="1" customWidth="1"/>
    <col min="15893" max="15893" width="11" style="375" customWidth="1"/>
    <col min="15894" max="15894" width="12.28515625" style="375" bestFit="1" customWidth="1"/>
    <col min="15895" max="15895" width="11" style="375" customWidth="1"/>
    <col min="15896" max="15900" width="9.140625" style="375"/>
    <col min="15901" max="15901" width="21.85546875" style="375" customWidth="1"/>
    <col min="15902" max="16134" width="9.140625" style="375"/>
    <col min="16135" max="16135" width="4.7109375" style="375" customWidth="1"/>
    <col min="16136" max="16136" width="40.140625" style="375" bestFit="1" customWidth="1"/>
    <col min="16137" max="16137" width="11.28515625" style="375" customWidth="1"/>
    <col min="16138" max="16138" width="11.85546875" style="375" customWidth="1"/>
    <col min="16139" max="16139" width="5.42578125" style="375" customWidth="1"/>
    <col min="16140" max="16140" width="11.28515625" style="375" customWidth="1"/>
    <col min="16141" max="16141" width="11.85546875" style="375" customWidth="1"/>
    <col min="16142" max="16142" width="7.140625" style="375" customWidth="1"/>
    <col min="16143" max="16143" width="11.28515625" style="375" bestFit="1" customWidth="1"/>
    <col min="16144" max="16144" width="12.28515625" style="375" bestFit="1" customWidth="1"/>
    <col min="16145" max="16145" width="5.5703125" style="375" customWidth="1"/>
    <col min="16146" max="16146" width="11.28515625" style="375" bestFit="1" customWidth="1"/>
    <col min="16147" max="16147" width="14.85546875" style="375" bestFit="1" customWidth="1"/>
    <col min="16148" max="16148" width="12.85546875" style="375" bestFit="1" customWidth="1"/>
    <col min="16149" max="16149" width="11" style="375" customWidth="1"/>
    <col min="16150" max="16150" width="12.28515625" style="375" bestFit="1" customWidth="1"/>
    <col min="16151" max="16151" width="11" style="375" customWidth="1"/>
    <col min="16152" max="16156" width="9.140625" style="375"/>
    <col min="16157" max="16157" width="21.85546875" style="375" customWidth="1"/>
    <col min="16158" max="16384" width="9.140625" style="375"/>
  </cols>
  <sheetData>
    <row r="1" spans="1:22" ht="18">
      <c r="A1" s="1138" t="s">
        <v>1109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22" ht="15.75">
      <c r="A2" s="1139" t="s">
        <v>1110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2" ht="15.75">
      <c r="A3" s="29"/>
      <c r="B3" s="824"/>
    </row>
    <row r="4" spans="1:22" ht="15.75">
      <c r="A4" s="29"/>
      <c r="B4" s="824"/>
    </row>
    <row r="5" spans="1:22" ht="15.75">
      <c r="A5" s="29"/>
      <c r="B5" s="824"/>
      <c r="D5" s="376"/>
      <c r="E5" s="376"/>
      <c r="F5" s="376"/>
      <c r="G5" s="376"/>
      <c r="I5" s="376"/>
      <c r="J5" s="376"/>
      <c r="K5" s="376"/>
      <c r="L5" s="376"/>
      <c r="N5" s="376"/>
      <c r="O5" s="376"/>
      <c r="P5" s="376"/>
      <c r="Q5" s="376"/>
      <c r="S5" s="376"/>
    </row>
    <row r="6" spans="1:22" ht="15.75">
      <c r="A6" s="29"/>
      <c r="B6" s="824"/>
      <c r="C6" s="826"/>
      <c r="D6" s="825" t="s">
        <v>210</v>
      </c>
      <c r="E6" s="825"/>
      <c r="F6" s="825"/>
      <c r="G6" s="825"/>
      <c r="H6" s="826"/>
      <c r="I6" s="825" t="s">
        <v>210</v>
      </c>
      <c r="J6" s="825"/>
      <c r="K6" s="825"/>
      <c r="L6" s="825"/>
      <c r="M6" s="826"/>
      <c r="N6" s="825" t="s">
        <v>210</v>
      </c>
      <c r="O6" s="825"/>
      <c r="P6" s="825"/>
      <c r="Q6" s="825"/>
      <c r="R6" s="826"/>
      <c r="S6" s="825" t="s">
        <v>210</v>
      </c>
    </row>
    <row r="7" spans="1:22" ht="15.75">
      <c r="A7" s="76"/>
      <c r="B7" s="76"/>
      <c r="C7" s="826"/>
      <c r="D7" s="825" t="s">
        <v>1111</v>
      </c>
      <c r="E7" s="825"/>
      <c r="F7" s="825"/>
      <c r="G7" s="825"/>
      <c r="H7" s="826"/>
      <c r="I7" s="825" t="s">
        <v>1111</v>
      </c>
      <c r="J7" s="825"/>
      <c r="K7" s="825"/>
      <c r="L7" s="825"/>
      <c r="M7" s="826"/>
      <c r="N7" s="825" t="s">
        <v>1112</v>
      </c>
      <c r="O7" s="825"/>
      <c r="P7" s="825"/>
      <c r="Q7" s="825"/>
      <c r="R7" s="826"/>
      <c r="S7" s="825" t="s">
        <v>3</v>
      </c>
      <c r="T7" s="76"/>
    </row>
    <row r="8" spans="1:22" ht="15.75">
      <c r="A8" s="827" t="s">
        <v>1113</v>
      </c>
      <c r="B8" s="76"/>
      <c r="C8" s="829"/>
      <c r="D8" s="828">
        <v>2019</v>
      </c>
      <c r="E8" s="22" t="s">
        <v>1114</v>
      </c>
      <c r="F8" s="28" t="s">
        <v>1115</v>
      </c>
      <c r="G8" s="28" t="s">
        <v>1063</v>
      </c>
      <c r="H8" s="829"/>
      <c r="I8" s="828">
        <v>2020</v>
      </c>
      <c r="J8" s="22" t="s">
        <v>1114</v>
      </c>
      <c r="K8" s="28" t="s">
        <v>1115</v>
      </c>
      <c r="L8" s="28" t="s">
        <v>1063</v>
      </c>
      <c r="M8" s="829"/>
      <c r="N8" s="828">
        <v>2021</v>
      </c>
      <c r="O8" s="22" t="s">
        <v>1114</v>
      </c>
      <c r="P8" s="28" t="s">
        <v>1115</v>
      </c>
      <c r="Q8" s="28" t="s">
        <v>1063</v>
      </c>
      <c r="S8" s="828">
        <v>2023</v>
      </c>
      <c r="T8" s="22" t="s">
        <v>1114</v>
      </c>
      <c r="U8" s="28" t="s">
        <v>1115</v>
      </c>
      <c r="V8" s="28" t="s">
        <v>1063</v>
      </c>
    </row>
    <row r="9" spans="1:22" ht="14.25">
      <c r="C9" s="826"/>
      <c r="D9" s="826"/>
      <c r="E9" s="854">
        <v>6.2605999999999995E-2</v>
      </c>
      <c r="F9" s="855">
        <v>1.6299999999999999E-2</v>
      </c>
      <c r="G9" s="855">
        <v>0.46310000000000001</v>
      </c>
      <c r="H9" s="826"/>
      <c r="I9" s="826"/>
      <c r="J9" s="854">
        <v>4.8982999999999999E-2</v>
      </c>
      <c r="K9" s="855">
        <v>1.4000000000000002E-2</v>
      </c>
      <c r="L9" s="855">
        <v>0.47460000000000002</v>
      </c>
      <c r="M9" s="826"/>
      <c r="N9" s="826"/>
      <c r="O9" s="854">
        <v>5.9667999999999999E-2</v>
      </c>
      <c r="P9" s="855">
        <v>1.3300000000000001E-2</v>
      </c>
      <c r="Q9" s="855">
        <v>0.4587</v>
      </c>
      <c r="R9" s="826"/>
      <c r="S9" s="826"/>
      <c r="T9" s="854">
        <f ca="1">+Report!H188/100</f>
        <v>3.0564000000000001E-2</v>
      </c>
      <c r="U9" s="855">
        <f ca="1">+-Report!H196/100</f>
        <v>2.1799999999999996E-2</v>
      </c>
      <c r="V9" s="855">
        <f ca="1">+Report!H200/100</f>
        <v>0.47490000000000004</v>
      </c>
    </row>
    <row r="10" spans="1:22" ht="15">
      <c r="B10" s="826" t="s">
        <v>1116</v>
      </c>
      <c r="C10" s="856">
        <v>1101760.6834007693</v>
      </c>
      <c r="D10" s="826"/>
      <c r="E10" s="826"/>
      <c r="F10" s="826"/>
      <c r="G10" s="826"/>
      <c r="H10" s="856">
        <v>1314032.4536923077</v>
      </c>
      <c r="I10" s="826"/>
      <c r="J10" s="826"/>
      <c r="K10" s="826"/>
      <c r="L10" s="826"/>
      <c r="M10" s="856">
        <v>1607778.6104498494</v>
      </c>
      <c r="N10" s="826"/>
      <c r="O10" s="826"/>
      <c r="P10" s="826"/>
      <c r="Q10" s="826"/>
      <c r="R10" s="856">
        <f ca="1">+Report!T55</f>
        <v>2509267.9031391586</v>
      </c>
      <c r="S10" s="826"/>
      <c r="T10" s="830"/>
      <c r="U10" s="830"/>
      <c r="V10" s="28"/>
    </row>
    <row r="11" spans="1:22" ht="15">
      <c r="C11" s="826"/>
      <c r="D11" s="826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56"/>
      <c r="S11" s="1012" t="s">
        <v>1117</v>
      </c>
      <c r="T11" s="1013" t="s">
        <v>1118</v>
      </c>
      <c r="U11" s="830"/>
      <c r="V11" s="28"/>
    </row>
    <row r="12" spans="1:22" ht="14.25">
      <c r="A12" s="826" t="s">
        <v>1119</v>
      </c>
      <c r="C12" s="826"/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26"/>
      <c r="P12" s="826"/>
      <c r="Q12" s="826"/>
      <c r="R12" s="826"/>
      <c r="S12" s="1012" t="s">
        <v>1120</v>
      </c>
      <c r="T12" s="1013" t="s">
        <v>1120</v>
      </c>
      <c r="U12" s="830"/>
      <c r="V12" s="28"/>
    </row>
    <row r="13" spans="1:22">
      <c r="B13" s="375" t="s">
        <v>1121</v>
      </c>
      <c r="D13" s="546">
        <v>54029.133070000011</v>
      </c>
      <c r="E13" s="546">
        <f>+D13</f>
        <v>54029.133070000011</v>
      </c>
      <c r="F13" s="546"/>
      <c r="G13" s="546"/>
      <c r="I13" s="546">
        <v>51915.389260000069</v>
      </c>
      <c r="J13" s="546">
        <f>+I13</f>
        <v>51915.389260000069</v>
      </c>
      <c r="K13" s="546"/>
      <c r="L13" s="546"/>
      <c r="N13" s="546">
        <v>74104.479928044238</v>
      </c>
      <c r="O13" s="546">
        <f>+N13</f>
        <v>74104.479928044238</v>
      </c>
      <c r="P13" s="546"/>
      <c r="Q13" s="546"/>
      <c r="S13" s="546">
        <f ca="1">+IncomeStmt!F43</f>
        <v>25950.959299747698</v>
      </c>
      <c r="T13" s="546">
        <f ca="1">+S13</f>
        <v>25950.959299747698</v>
      </c>
    </row>
    <row r="14" spans="1:22">
      <c r="B14" s="375" t="s">
        <v>1122</v>
      </c>
      <c r="D14" s="831">
        <v>483757.39837999997</v>
      </c>
      <c r="E14" s="831">
        <v>496723.71431769221</v>
      </c>
      <c r="F14" s="546"/>
      <c r="G14" s="546"/>
      <c r="I14" s="831">
        <v>596700.94915500004</v>
      </c>
      <c r="J14" s="831">
        <v>604290.52994769218</v>
      </c>
      <c r="K14" s="546"/>
      <c r="L14" s="546"/>
      <c r="N14" s="831">
        <v>722652.33422646637</v>
      </c>
      <c r="O14" s="831">
        <v>729018.95693082653</v>
      </c>
      <c r="P14" s="546"/>
      <c r="Q14" s="546"/>
      <c r="S14" s="831">
        <f>+('Bal Sheet'!CH63+'Bal Sheet'!CT63)/2</f>
        <v>1193722.9116787859</v>
      </c>
      <c r="T14" s="831">
        <f ca="1">+'Bal Sheet'!B63</f>
        <v>1191009.1383188462</v>
      </c>
      <c r="U14" s="22"/>
    </row>
    <row r="15" spans="1:22" ht="14.25">
      <c r="A15" s="826" t="s">
        <v>230</v>
      </c>
      <c r="B15" s="826"/>
      <c r="C15" s="832"/>
      <c r="D15" s="849">
        <f>+D13/D14</f>
        <v>0.11168642226647493</v>
      </c>
      <c r="E15" s="849">
        <f>+E13/E14</f>
        <v>0.1087709958527253</v>
      </c>
      <c r="F15" s="859"/>
      <c r="G15" s="859"/>
      <c r="H15" s="832"/>
      <c r="I15" s="849">
        <f>+I13/I14</f>
        <v>8.7004033316049639E-2</v>
      </c>
      <c r="J15" s="849">
        <f>+J13/J14</f>
        <v>8.5911307040495738E-2</v>
      </c>
      <c r="K15" s="859"/>
      <c r="L15" s="859"/>
      <c r="M15" s="832"/>
      <c r="N15" s="849">
        <f>+N13/N14</f>
        <v>0.10254513327956845</v>
      </c>
      <c r="O15" s="849">
        <f>+O13/O14</f>
        <v>0.10164959254286675</v>
      </c>
      <c r="P15" s="859"/>
      <c r="Q15" s="859"/>
      <c r="R15" s="832"/>
      <c r="S15" s="881">
        <f ca="1">+S13/S14</f>
        <v>2.1739516805664477E-2</v>
      </c>
      <c r="T15" s="881">
        <f ca="1">+T13/T14</f>
        <v>2.1789051372333248E-2</v>
      </c>
      <c r="U15" s="835"/>
    </row>
    <row r="16" spans="1:22" ht="14.25">
      <c r="B16" s="826"/>
      <c r="C16" s="832"/>
      <c r="D16" s="833"/>
      <c r="E16" s="833"/>
      <c r="F16" s="833"/>
      <c r="G16" s="833"/>
      <c r="H16" s="832"/>
      <c r="I16" s="833"/>
      <c r="J16" s="833"/>
      <c r="K16" s="833"/>
      <c r="L16" s="833"/>
      <c r="M16" s="832"/>
      <c r="N16" s="833"/>
      <c r="O16" s="833"/>
      <c r="P16" s="833"/>
      <c r="Q16" s="833"/>
      <c r="R16" s="832"/>
      <c r="S16" s="833"/>
      <c r="T16" s="826"/>
    </row>
    <row r="17" spans="2:25" ht="14.25">
      <c r="B17" s="869" t="s">
        <v>1123</v>
      </c>
      <c r="C17" s="870"/>
      <c r="D17" s="871">
        <f>ROUND(+((((C18/C19)-E9+F9)/G9)*(C19/C10))*(0-100),2)</f>
        <v>0.01</v>
      </c>
      <c r="E17" s="872"/>
      <c r="F17" s="872"/>
      <c r="G17" s="872"/>
      <c r="H17" s="870"/>
      <c r="I17" s="871">
        <f>ROUND(+((((H18/H19)-J9+K9)/L9)*(H19/H10))*(0-100),2)</f>
        <v>-0.11</v>
      </c>
      <c r="J17" s="872"/>
      <c r="K17" s="872"/>
      <c r="L17" s="872"/>
      <c r="M17" s="870"/>
      <c r="N17" s="871">
        <f>ROUND(+((((M18/M19)-O9+P9)/Q9)*(M19/M10))*(0-100),2)</f>
        <v>0.02</v>
      </c>
      <c r="O17" s="872"/>
      <c r="P17" s="872"/>
      <c r="Q17" s="872"/>
      <c r="R17" s="870"/>
      <c r="S17" s="871">
        <f ca="1">ROUND(+((((R18/R19)-T9+U9)/V9)*(R19/R10))*(0-100),2)</f>
        <v>-0.34</v>
      </c>
      <c r="T17" s="826"/>
      <c r="U17" s="705">
        <f ca="1">+R18/R19</f>
        <v>4.5952908836399797E-2</v>
      </c>
    </row>
    <row r="18" spans="2:25" ht="14.25">
      <c r="B18" s="853" t="s">
        <v>1124</v>
      </c>
      <c r="C18" s="832">
        <v>470.41395</v>
      </c>
      <c r="D18" s="836"/>
      <c r="E18" s="844"/>
      <c r="F18" s="844"/>
      <c r="G18" s="844"/>
      <c r="H18" s="832">
        <v>3121.6035899999997</v>
      </c>
      <c r="I18" s="836"/>
      <c r="J18" s="844"/>
      <c r="K18" s="844"/>
      <c r="L18" s="844"/>
      <c r="M18" s="832">
        <v>3256.3816200000001</v>
      </c>
      <c r="N18" s="836"/>
      <c r="O18" s="844"/>
      <c r="P18" s="844"/>
      <c r="Q18" s="844"/>
      <c r="R18" s="832">
        <f ca="1">+IncomeStmt!F30</f>
        <v>5060.5</v>
      </c>
      <c r="S18" s="836"/>
      <c r="T18" s="826"/>
      <c r="U18" s="868">
        <f ca="1">+T9</f>
        <v>3.0564000000000001E-2</v>
      </c>
    </row>
    <row r="19" spans="2:25" ht="14.25">
      <c r="B19" s="853" t="s">
        <v>1125</v>
      </c>
      <c r="C19" s="832">
        <v>10812.21263582509</v>
      </c>
      <c r="D19" s="836"/>
      <c r="E19" s="844"/>
      <c r="F19" s="844"/>
      <c r="G19" s="844"/>
      <c r="H19" s="832">
        <v>69773.335063846142</v>
      </c>
      <c r="I19" s="836"/>
      <c r="J19" s="844"/>
      <c r="K19" s="844"/>
      <c r="L19" s="844"/>
      <c r="M19" s="832">
        <v>73643.177210769209</v>
      </c>
      <c r="N19" s="836"/>
      <c r="O19" s="844"/>
      <c r="P19" s="844"/>
      <c r="Q19" s="844"/>
      <c r="R19" s="832">
        <f ca="1">+-Report!T75</f>
        <v>110123.60540692307</v>
      </c>
      <c r="S19" s="836"/>
      <c r="T19" s="826"/>
      <c r="U19" s="547">
        <f ca="1">+U17-U18</f>
        <v>1.5388908836399796E-2</v>
      </c>
    </row>
    <row r="20" spans="2:25" ht="14.25">
      <c r="B20" s="826"/>
      <c r="C20" s="832"/>
      <c r="D20" s="836"/>
      <c r="E20" s="833"/>
      <c r="F20" s="833"/>
      <c r="G20" s="833"/>
      <c r="H20" s="832"/>
      <c r="I20" s="836"/>
      <c r="J20" s="833"/>
      <c r="K20" s="833"/>
      <c r="L20" s="833"/>
      <c r="M20" s="832"/>
      <c r="N20" s="836"/>
      <c r="O20" s="833"/>
      <c r="P20" s="833"/>
      <c r="Q20" s="833"/>
      <c r="R20" s="832"/>
      <c r="S20" s="836"/>
      <c r="T20" s="826"/>
      <c r="U20" s="868">
        <f ca="1">+U9</f>
        <v>2.1799999999999996E-2</v>
      </c>
    </row>
    <row r="21" spans="2:25" ht="14.25">
      <c r="B21" s="890" t="s">
        <v>1126</v>
      </c>
      <c r="C21" s="889"/>
      <c r="D21" s="888">
        <f>ROUND(+((((C22/C23)-E9)/G9)*(C23/C10))*(0-100),2)</f>
        <v>0.06</v>
      </c>
      <c r="E21" s="891"/>
      <c r="F21" s="891"/>
      <c r="G21" s="891"/>
      <c r="H21" s="889"/>
      <c r="I21" s="888">
        <f>ROUND(+((((H22/H23)-J9)/L9)*(H23/H10))*(0-100),2)</f>
        <v>-0.33</v>
      </c>
      <c r="J21" s="891"/>
      <c r="K21" s="891"/>
      <c r="L21" s="891"/>
      <c r="M21" s="889"/>
      <c r="N21" s="888">
        <f>ROUND(+((((M22/M23)-O9)/Q9)*(M23/M10))*(0-100),2)</f>
        <v>0</v>
      </c>
      <c r="O21" s="891"/>
      <c r="P21" s="891"/>
      <c r="Q21" s="891"/>
      <c r="R21" s="889"/>
      <c r="S21" s="888">
        <f ca="1">ROUND(+((((R22/R23)-T9)/V9)*(R23/R10))*(0-100),2)</f>
        <v>-0.03</v>
      </c>
      <c r="T21" s="826"/>
      <c r="U21" s="547">
        <f ca="1">+U20+U19</f>
        <v>3.7188908836399789E-2</v>
      </c>
      <c r="V21" s="874">
        <f ca="1">+V9</f>
        <v>0.47490000000000004</v>
      </c>
      <c r="W21" s="874">
        <f ca="1">+U21/V21</f>
        <v>7.8308925745209063E-2</v>
      </c>
      <c r="X21" s="874">
        <f ca="1">+R19/R10</f>
        <v>4.3886746914968952E-2</v>
      </c>
      <c r="Y21" s="547">
        <f ca="1">-(+W21*X21)</f>
        <v>-3.4367240053630867E-3</v>
      </c>
    </row>
    <row r="22" spans="2:25" ht="14.25">
      <c r="B22" s="853" t="s">
        <v>1127</v>
      </c>
      <c r="C22" s="832">
        <v>7800.5030962222008</v>
      </c>
      <c r="D22" s="836"/>
      <c r="E22" s="844"/>
      <c r="F22" s="844"/>
      <c r="G22" s="844"/>
      <c r="H22" s="832">
        <v>10664.6411370648</v>
      </c>
      <c r="I22" s="836"/>
      <c r="J22" s="844"/>
      <c r="K22" s="844"/>
      <c r="L22" s="844"/>
      <c r="M22" s="832">
        <v>928.96128642240001</v>
      </c>
      <c r="N22" s="836"/>
      <c r="O22" s="844"/>
      <c r="P22" s="844"/>
      <c r="Q22" s="844"/>
      <c r="R22" s="832">
        <f ca="1">+-Report!V124</f>
        <v>654.30478889999995</v>
      </c>
      <c r="S22" s="836"/>
      <c r="T22" s="826"/>
      <c r="V22" s="875"/>
      <c r="W22" s="875"/>
      <c r="X22" s="875"/>
      <c r="Y22" s="875"/>
    </row>
    <row r="23" spans="2:25" ht="14.25">
      <c r="B23" s="853" t="s">
        <v>1125</v>
      </c>
      <c r="C23" s="832">
        <v>129571.12699999999</v>
      </c>
      <c r="E23" s="833"/>
      <c r="F23" s="844"/>
      <c r="G23" s="844"/>
      <c r="H23" s="832">
        <v>176018.60003999999</v>
      </c>
      <c r="J23" s="833"/>
      <c r="K23" s="844"/>
      <c r="L23" s="844"/>
      <c r="M23" s="832">
        <v>15884.766186923081</v>
      </c>
      <c r="O23" s="833"/>
      <c r="P23" s="844"/>
      <c r="Q23" s="844"/>
      <c r="R23" s="852">
        <f ca="1">+-Report!T74</f>
        <v>10410.406021538463</v>
      </c>
      <c r="T23" s="833">
        <f ca="1">+R23*0.547</f>
        <v>5694.4920937815396</v>
      </c>
      <c r="U23" s="705">
        <f ca="1">+R22/R23</f>
        <v>6.2851034584653589E-2</v>
      </c>
      <c r="V23" s="875"/>
      <c r="W23" s="875"/>
      <c r="X23" s="875"/>
      <c r="Y23" s="875"/>
    </row>
    <row r="24" spans="2:25" ht="14.25">
      <c r="B24" s="826"/>
      <c r="C24" s="865">
        <f>(((C22/C23)-F9)/G9)/100</f>
        <v>9.4801294190389172E-4</v>
      </c>
      <c r="E24" s="833"/>
      <c r="F24" s="833"/>
      <c r="G24" s="833"/>
      <c r="H24" s="865">
        <f>(((H22/H23)-K9)/L9)/100</f>
        <v>9.8162976897685759E-4</v>
      </c>
      <c r="J24" s="833"/>
      <c r="K24" s="833"/>
      <c r="L24" s="833"/>
      <c r="M24" s="865">
        <f>(((M22/M23)-P9)/Q9)/100</f>
        <v>9.8498515649889161E-4</v>
      </c>
      <c r="O24" s="833"/>
      <c r="P24" s="833"/>
      <c r="Q24" s="833"/>
      <c r="R24" s="865">
        <f ca="1">(((R22/R23)-U9)/V9)</f>
        <v>8.644142890009178E-2</v>
      </c>
      <c r="T24" s="833">
        <f ca="1">+T23*0.099</f>
        <v>563.75471728437242</v>
      </c>
      <c r="U24" s="868">
        <f ca="1">+T9</f>
        <v>3.0564000000000001E-2</v>
      </c>
      <c r="V24" s="875"/>
      <c r="W24" s="875"/>
      <c r="X24" s="875"/>
      <c r="Y24" s="875"/>
    </row>
    <row r="25" spans="2:25" ht="14.25">
      <c r="B25" s="826"/>
      <c r="C25" s="832"/>
      <c r="D25" s="833"/>
      <c r="E25" s="833"/>
      <c r="F25" s="833"/>
      <c r="G25" s="833"/>
      <c r="H25" s="832"/>
      <c r="I25" s="833"/>
      <c r="J25" s="833"/>
      <c r="K25" s="833"/>
      <c r="L25" s="833"/>
      <c r="M25" s="832"/>
      <c r="N25" s="833"/>
      <c r="O25" s="833"/>
      <c r="P25" s="833"/>
      <c r="Q25" s="833"/>
      <c r="R25" s="832"/>
      <c r="S25" s="833"/>
      <c r="T25" s="826"/>
      <c r="U25" s="547">
        <f ca="1">+U23-U24</f>
        <v>3.2287034584653589E-2</v>
      </c>
      <c r="V25" s="874">
        <f ca="1">+V9</f>
        <v>0.47490000000000004</v>
      </c>
      <c r="W25" s="874">
        <f ca="1">+U25/V25</f>
        <v>6.7987017445048606E-2</v>
      </c>
      <c r="X25" s="874">
        <f ca="1">+R23/R10</f>
        <v>4.1487822039706392E-3</v>
      </c>
      <c r="Y25" s="547">
        <f ca="1">-(+W25*X25)</f>
        <v>-2.8206332807705905E-4</v>
      </c>
    </row>
    <row r="26" spans="2:25" ht="14.25">
      <c r="B26" s="883" t="s">
        <v>1128</v>
      </c>
      <c r="C26" s="884">
        <v>3616.8904299999999</v>
      </c>
      <c r="D26" s="886">
        <f>ROUND((-C26)/43/100,2)</f>
        <v>-0.84</v>
      </c>
      <c r="E26" s="885"/>
      <c r="F26" s="885"/>
      <c r="G26" s="885"/>
      <c r="H26" s="884">
        <v>3280.0813499999995</v>
      </c>
      <c r="I26" s="886">
        <f>ROUND((-H26)/50/100,2)</f>
        <v>-0.66</v>
      </c>
      <c r="J26" s="885"/>
      <c r="K26" s="885"/>
      <c r="L26" s="885"/>
      <c r="M26" s="884">
        <v>3731.5337100000002</v>
      </c>
      <c r="N26" s="886">
        <f>ROUND((-M26)/65/100,2)</f>
        <v>-0.56999999999999995</v>
      </c>
      <c r="O26" s="885"/>
      <c r="P26" s="885"/>
      <c r="Q26" s="885"/>
      <c r="R26" s="884">
        <f ca="1">+IncomeStmt!F28</f>
        <v>3864.7</v>
      </c>
      <c r="S26" s="886">
        <f ca="1">ROUND((-R26)/83/100,2)</f>
        <v>-0.47</v>
      </c>
      <c r="T26" s="826"/>
    </row>
    <row r="27" spans="2:25" ht="14.25">
      <c r="B27" s="826"/>
      <c r="C27" s="832"/>
      <c r="D27" s="836"/>
      <c r="E27" s="833"/>
      <c r="F27" s="833"/>
      <c r="G27" s="833"/>
      <c r="H27" s="832"/>
      <c r="I27" s="836"/>
      <c r="J27" s="833"/>
      <c r="K27" s="833"/>
      <c r="L27" s="833"/>
      <c r="M27" s="832"/>
      <c r="N27" s="836"/>
      <c r="O27" s="833"/>
      <c r="P27" s="833"/>
      <c r="Q27" s="833"/>
      <c r="R27" s="832"/>
      <c r="S27" s="836"/>
      <c r="T27" s="826"/>
    </row>
    <row r="28" spans="2:25" ht="14.25" hidden="1">
      <c r="B28" s="826"/>
      <c r="C28" s="832"/>
      <c r="D28" s="833"/>
      <c r="E28" s="833"/>
      <c r="F28" s="833"/>
      <c r="G28" s="833"/>
      <c r="H28" s="832"/>
      <c r="I28" s="833"/>
      <c r="J28" s="833"/>
      <c r="K28" s="833"/>
      <c r="L28" s="833"/>
      <c r="M28" s="832"/>
      <c r="N28" s="833"/>
      <c r="O28" s="833"/>
      <c r="P28" s="833"/>
      <c r="Q28" s="833"/>
      <c r="R28" s="832"/>
      <c r="S28" s="836"/>
      <c r="T28" s="826"/>
      <c r="U28" s="547">
        <f ca="1">+U23</f>
        <v>6.2851034584653589E-2</v>
      </c>
    </row>
    <row r="29" spans="2:25" ht="14.25" hidden="1">
      <c r="B29" s="873" t="s">
        <v>1129</v>
      </c>
      <c r="C29" s="870"/>
      <c r="D29" s="872"/>
      <c r="E29" s="872"/>
      <c r="F29" s="872"/>
      <c r="G29" s="872"/>
      <c r="H29" s="870"/>
      <c r="I29" s="872"/>
      <c r="J29" s="872"/>
      <c r="K29" s="872"/>
      <c r="L29" s="872"/>
      <c r="M29" s="870"/>
      <c r="N29" s="872"/>
      <c r="O29" s="872"/>
      <c r="P29" s="872"/>
      <c r="Q29" s="872"/>
      <c r="R29" s="870">
        <f ca="1">+-(IncomeStmt!F40*'Input Tax Rate'!B37)+IncomeStmt!F30</f>
        <v>6265.207735</v>
      </c>
      <c r="S29" s="871">
        <f ca="1">ROUND((-R29)/83/100,2)*0</f>
        <v>0</v>
      </c>
      <c r="T29" s="826"/>
      <c r="U29" s="882">
        <v>-1.4041E-2</v>
      </c>
    </row>
    <row r="30" spans="2:25" ht="14.25" hidden="1">
      <c r="B30" s="826"/>
      <c r="C30" s="832"/>
      <c r="D30" s="833"/>
      <c r="E30" s="833"/>
      <c r="F30" s="833"/>
      <c r="G30" s="833"/>
      <c r="H30" s="832"/>
      <c r="I30" s="833"/>
      <c r="J30" s="833"/>
      <c r="K30" s="833"/>
      <c r="L30" s="833"/>
      <c r="M30" s="832"/>
      <c r="N30" s="833"/>
      <c r="O30" s="833"/>
      <c r="P30" s="833"/>
      <c r="Q30" s="833"/>
      <c r="R30" s="832"/>
      <c r="S30" s="836"/>
      <c r="T30" s="826"/>
      <c r="U30" s="547">
        <f ca="1">+U28+U29</f>
        <v>4.8810034584653592E-2</v>
      </c>
      <c r="V30" s="744">
        <f ca="1">+U30/V9</f>
        <v>0.1027796053582935</v>
      </c>
    </row>
    <row r="31" spans="2:25" ht="14.25">
      <c r="B31" s="877" t="s">
        <v>1130</v>
      </c>
      <c r="C31" s="878"/>
      <c r="D31" s="880">
        <f>(+E15-D15)*100</f>
        <v>-0.29154264137496305</v>
      </c>
      <c r="E31" s="879"/>
      <c r="F31" s="879"/>
      <c r="G31" s="879"/>
      <c r="H31" s="878"/>
      <c r="I31" s="880">
        <f>(+J15-I15)*100</f>
        <v>-0.10927262755539013</v>
      </c>
      <c r="J31" s="879"/>
      <c r="K31" s="879"/>
      <c r="L31" s="879"/>
      <c r="M31" s="878"/>
      <c r="N31" s="880">
        <f>(+O15-N15)*100</f>
        <v>-8.9554073670169987E-2</v>
      </c>
      <c r="O31" s="879"/>
      <c r="P31" s="879"/>
      <c r="Q31" s="879"/>
      <c r="R31" s="878"/>
      <c r="S31" s="880">
        <f ca="1">(+T15-S15)*100</f>
        <v>4.9534566668771318E-3</v>
      </c>
      <c r="T31" s="826"/>
    </row>
    <row r="32" spans="2:25" ht="14.25">
      <c r="B32" s="826"/>
      <c r="C32" s="832"/>
      <c r="D32" s="833"/>
      <c r="E32" s="833"/>
      <c r="F32" s="833"/>
      <c r="G32" s="833"/>
      <c r="H32" s="832"/>
      <c r="I32" s="833"/>
      <c r="J32" s="833"/>
      <c r="K32" s="833"/>
      <c r="L32" s="833"/>
      <c r="M32" s="832"/>
      <c r="N32" s="833"/>
      <c r="O32" s="833"/>
      <c r="P32" s="833"/>
      <c r="Q32" s="833"/>
      <c r="R32" s="832"/>
      <c r="S32" s="836"/>
      <c r="T32" s="826"/>
    </row>
    <row r="33" spans="1:24" ht="12.75" customHeight="1">
      <c r="A33" s="826"/>
      <c r="B33" s="826"/>
      <c r="C33" s="832"/>
      <c r="D33" s="836"/>
      <c r="E33" s="836"/>
      <c r="F33" s="836"/>
      <c r="G33" s="836"/>
      <c r="H33" s="832"/>
      <c r="I33" s="836"/>
      <c r="J33" s="836"/>
      <c r="K33" s="836"/>
      <c r="L33" s="836"/>
      <c r="M33" s="832"/>
      <c r="N33" s="836"/>
      <c r="O33" s="836"/>
      <c r="P33" s="836"/>
      <c r="Q33" s="836"/>
      <c r="R33" s="832"/>
      <c r="S33" s="836"/>
      <c r="T33" s="826"/>
    </row>
    <row r="34" spans="1:24" ht="15.2" customHeight="1">
      <c r="A34" s="826"/>
      <c r="B34" s="829" t="s">
        <v>1131</v>
      </c>
      <c r="C34" s="832"/>
      <c r="D34" s="836"/>
      <c r="E34" s="836"/>
      <c r="F34" s="836"/>
      <c r="G34" s="836"/>
      <c r="H34" s="832"/>
      <c r="I34" s="836"/>
      <c r="J34" s="836"/>
      <c r="K34" s="836"/>
      <c r="L34" s="836"/>
      <c r="M34" s="832"/>
      <c r="N34" s="836"/>
      <c r="O34" s="836"/>
      <c r="P34" s="836"/>
      <c r="Q34" s="836"/>
      <c r="R34" s="832"/>
      <c r="S34" s="836"/>
      <c r="T34" s="826"/>
    </row>
    <row r="35" spans="1:24" ht="15.2" customHeight="1">
      <c r="B35" s="826" t="s">
        <v>38</v>
      </c>
      <c r="C35" s="832">
        <v>1939.5515500000001</v>
      </c>
      <c r="D35" s="836">
        <f t="shared" ref="D35:D46" si="0">ROUND((C35)/650/100,2)</f>
        <v>0.03</v>
      </c>
      <c r="E35" s="836"/>
      <c r="F35" s="836"/>
      <c r="G35" s="836"/>
      <c r="H35" s="832">
        <v>1939.5515500000001</v>
      </c>
      <c r="I35" s="836">
        <f t="shared" ref="I35:I49" si="1">ROUND((H35)/1000/100,2)</f>
        <v>0.02</v>
      </c>
      <c r="J35" s="836"/>
      <c r="K35" s="836"/>
      <c r="L35" s="836"/>
      <c r="M35" s="832">
        <v>1939.5739115384613</v>
      </c>
      <c r="N35" s="836">
        <f>ROUND((M35)/1200/100,2)</f>
        <v>0.02</v>
      </c>
      <c r="O35" s="836"/>
      <c r="P35" s="836"/>
      <c r="Q35" s="836"/>
      <c r="R35" s="832">
        <f ca="1">+-Report!T58</f>
        <v>1939.5999999999997</v>
      </c>
      <c r="S35" s="836">
        <f t="shared" ref="S35:S46" ca="1" si="2">ROUND((R35)/$X$35/100,2)</f>
        <v>0.01</v>
      </c>
      <c r="T35" s="832"/>
      <c r="U35" s="836"/>
      <c r="W35" s="541" t="s">
        <v>1248</v>
      </c>
      <c r="X35" s="835">
        <f ca="1">'COMP Act to Prior'!O15</f>
        <v>2039.9951744047617</v>
      </c>
    </row>
    <row r="36" spans="1:24" ht="15.2" customHeight="1">
      <c r="B36" s="826" t="s">
        <v>47</v>
      </c>
      <c r="C36" s="832">
        <v>2.95</v>
      </c>
      <c r="D36" s="836">
        <f t="shared" si="0"/>
        <v>0</v>
      </c>
      <c r="E36" s="836"/>
      <c r="F36" s="836"/>
      <c r="G36" s="836"/>
      <c r="H36" s="832">
        <v>2.95</v>
      </c>
      <c r="I36" s="836">
        <f t="shared" si="1"/>
        <v>0</v>
      </c>
      <c r="J36" s="836"/>
      <c r="K36" s="836"/>
      <c r="L36" s="836"/>
      <c r="M36" s="832">
        <v>1.5884615384615384</v>
      </c>
      <c r="N36" s="836">
        <f t="shared" ref="N36:N49" si="3">ROUND((M36)/1200/100,2)</f>
        <v>0</v>
      </c>
      <c r="O36" s="836"/>
      <c r="P36" s="836"/>
      <c r="Q36" s="836"/>
      <c r="R36" s="832">
        <v>0</v>
      </c>
      <c r="S36" s="836">
        <f t="shared" ca="1" si="2"/>
        <v>0</v>
      </c>
      <c r="T36" s="832"/>
      <c r="U36" s="836"/>
      <c r="W36" s="541" t="s">
        <v>1249</v>
      </c>
      <c r="X36" s="835">
        <f ca="1">-'COMP Act to Prior'!O17</f>
        <v>96.144825427872874</v>
      </c>
    </row>
    <row r="37" spans="1:24" ht="15.2" customHeight="1">
      <c r="B37" s="826" t="s">
        <v>48</v>
      </c>
      <c r="C37" s="832">
        <v>0</v>
      </c>
      <c r="D37" s="836">
        <f t="shared" si="0"/>
        <v>0</v>
      </c>
      <c r="E37" s="836"/>
      <c r="F37" s="836"/>
      <c r="G37" s="836"/>
      <c r="H37" s="832">
        <v>1497.4164084615384</v>
      </c>
      <c r="I37" s="836">
        <f t="shared" si="1"/>
        <v>0.01</v>
      </c>
      <c r="J37" s="836"/>
      <c r="K37" s="836"/>
      <c r="L37" s="836"/>
      <c r="M37" s="832">
        <v>9892.5656038461548</v>
      </c>
      <c r="N37" s="836">
        <f t="shared" si="3"/>
        <v>0.08</v>
      </c>
      <c r="O37" s="836"/>
      <c r="P37" s="836"/>
      <c r="Q37" s="836"/>
      <c r="R37" s="832">
        <f ca="1">+-Report!T61</f>
        <v>10135.300000000001</v>
      </c>
      <c r="S37" s="836">
        <f t="shared" ca="1" si="2"/>
        <v>0.05</v>
      </c>
      <c r="T37" s="832"/>
      <c r="U37" s="836"/>
      <c r="V37" s="832"/>
    </row>
    <row r="38" spans="1:24" ht="15.2" customHeight="1">
      <c r="B38" s="826" t="s">
        <v>49</v>
      </c>
      <c r="C38" s="832">
        <v>1729.0450830769228</v>
      </c>
      <c r="D38" s="836">
        <f t="shared" si="0"/>
        <v>0.03</v>
      </c>
      <c r="E38" s="836"/>
      <c r="F38" s="836"/>
      <c r="G38" s="836"/>
      <c r="H38" s="832">
        <v>1254.8316684615384</v>
      </c>
      <c r="I38" s="836">
        <f t="shared" si="1"/>
        <v>0.01</v>
      </c>
      <c r="J38" s="836"/>
      <c r="K38" s="836"/>
      <c r="L38" s="836"/>
      <c r="M38" s="832">
        <v>333.55803769230766</v>
      </c>
      <c r="N38" s="836">
        <f t="shared" si="3"/>
        <v>0</v>
      </c>
      <c r="O38" s="836"/>
      <c r="P38" s="836"/>
      <c r="Q38" s="836"/>
      <c r="R38" s="832">
        <f ca="1">+-Report!T62</f>
        <v>737.36153846153843</v>
      </c>
      <c r="S38" s="836">
        <f t="shared" ca="1" si="2"/>
        <v>0</v>
      </c>
      <c r="T38" s="832"/>
      <c r="U38" s="837"/>
      <c r="W38" s="832"/>
    </row>
    <row r="39" spans="1:24" ht="15.2" customHeight="1">
      <c r="B39" s="826" t="s">
        <v>27</v>
      </c>
      <c r="C39" s="832">
        <v>833.73576730000036</v>
      </c>
      <c r="D39" s="836">
        <f t="shared" si="0"/>
        <v>0.01</v>
      </c>
      <c r="E39" s="836"/>
      <c r="F39" s="836"/>
      <c r="G39" s="836"/>
      <c r="H39" s="832">
        <v>836.91173436282634</v>
      </c>
      <c r="I39" s="836">
        <f t="shared" si="1"/>
        <v>0.01</v>
      </c>
      <c r="J39" s="836"/>
      <c r="K39" s="836"/>
      <c r="L39" s="836"/>
      <c r="M39" s="832">
        <v>896.68184759603946</v>
      </c>
      <c r="N39" s="836">
        <f t="shared" si="3"/>
        <v>0.01</v>
      </c>
      <c r="O39" s="836"/>
      <c r="P39" s="836"/>
      <c r="Q39" s="836"/>
      <c r="R39" s="832">
        <f ca="1">+-Report!T63</f>
        <v>1060.1648413400801</v>
      </c>
      <c r="S39" s="836">
        <f t="shared" ca="1" si="2"/>
        <v>0.01</v>
      </c>
      <c r="T39" s="832"/>
      <c r="U39" s="837"/>
      <c r="W39" s="832"/>
    </row>
    <row r="40" spans="1:24" ht="15.2" customHeight="1">
      <c r="B40" s="826" t="s">
        <v>50</v>
      </c>
      <c r="C40" s="832">
        <v>2113.2950315384614</v>
      </c>
      <c r="D40" s="836">
        <f t="shared" si="0"/>
        <v>0.03</v>
      </c>
      <c r="E40" s="836"/>
      <c r="F40" s="836"/>
      <c r="G40" s="836"/>
      <c r="H40" s="832">
        <v>2188.1319815384613</v>
      </c>
      <c r="I40" s="836">
        <f t="shared" si="1"/>
        <v>0.02</v>
      </c>
      <c r="J40" s="836"/>
      <c r="K40" s="836"/>
      <c r="L40" s="836"/>
      <c r="M40" s="832">
        <v>3900.5374723076925</v>
      </c>
      <c r="N40" s="836">
        <f t="shared" si="3"/>
        <v>0.03</v>
      </c>
      <c r="O40" s="836"/>
      <c r="P40" s="836"/>
      <c r="Q40" s="836"/>
      <c r="R40" s="832">
        <f ca="1">+-Report!T64</f>
        <v>0</v>
      </c>
      <c r="S40" s="836">
        <f t="shared" ca="1" si="2"/>
        <v>0</v>
      </c>
      <c r="T40" s="832"/>
      <c r="U40" s="837"/>
      <c r="W40" s="832"/>
    </row>
    <row r="41" spans="1:24" ht="15.2" customHeight="1">
      <c r="B41" s="826" t="s">
        <v>51</v>
      </c>
      <c r="C41" s="832">
        <v>0</v>
      </c>
      <c r="D41" s="836">
        <f t="shared" si="0"/>
        <v>0</v>
      </c>
      <c r="E41" s="836"/>
      <c r="F41" s="836"/>
      <c r="G41" s="836"/>
      <c r="H41" s="832">
        <v>0</v>
      </c>
      <c r="I41" s="836">
        <f t="shared" si="1"/>
        <v>0</v>
      </c>
      <c r="J41" s="836"/>
      <c r="K41" s="836"/>
      <c r="L41" s="836"/>
      <c r="M41" s="832">
        <v>0</v>
      </c>
      <c r="N41" s="836">
        <f t="shared" si="3"/>
        <v>0</v>
      </c>
      <c r="O41" s="836"/>
      <c r="P41" s="836"/>
      <c r="Q41" s="836"/>
      <c r="R41" s="832">
        <f ca="1">+-Report!T65</f>
        <v>0.10769230768626305</v>
      </c>
      <c r="S41" s="836">
        <f t="shared" ca="1" si="2"/>
        <v>0</v>
      </c>
      <c r="T41" s="832"/>
      <c r="U41" s="837"/>
      <c r="W41" s="832"/>
    </row>
    <row r="42" spans="1:24" ht="15.2" customHeight="1">
      <c r="B42" s="826" t="s">
        <v>52</v>
      </c>
      <c r="C42" s="832">
        <v>0</v>
      </c>
      <c r="D42" s="836">
        <f t="shared" si="0"/>
        <v>0</v>
      </c>
      <c r="E42" s="836"/>
      <c r="F42" s="836"/>
      <c r="G42" s="836"/>
      <c r="H42" s="832">
        <v>0</v>
      </c>
      <c r="I42" s="836">
        <f t="shared" si="1"/>
        <v>0</v>
      </c>
      <c r="J42" s="836"/>
      <c r="K42" s="836"/>
      <c r="L42" s="836"/>
      <c r="M42" s="832">
        <v>-2084.3020000000001</v>
      </c>
      <c r="N42" s="836">
        <f t="shared" si="3"/>
        <v>-0.02</v>
      </c>
      <c r="O42" s="836"/>
      <c r="P42" s="836"/>
      <c r="Q42" s="836"/>
      <c r="R42" s="832">
        <v>0</v>
      </c>
      <c r="S42" s="836">
        <f t="shared" ca="1" si="2"/>
        <v>0</v>
      </c>
      <c r="T42" s="832"/>
      <c r="U42" s="837"/>
      <c r="W42" s="832"/>
    </row>
    <row r="43" spans="1:24" ht="15.2" customHeight="1">
      <c r="B43" s="826" t="s">
        <v>53</v>
      </c>
      <c r="C43" s="832">
        <v>2808.9638461538457</v>
      </c>
      <c r="D43" s="836">
        <f t="shared" si="0"/>
        <v>0.04</v>
      </c>
      <c r="E43" s="836"/>
      <c r="F43" s="836"/>
      <c r="G43" s="836"/>
      <c r="H43" s="832">
        <v>1585.1291538461539</v>
      </c>
      <c r="I43" s="836">
        <f t="shared" si="1"/>
        <v>0.02</v>
      </c>
      <c r="J43" s="836"/>
      <c r="K43" s="836"/>
      <c r="L43" s="836"/>
      <c r="M43" s="832">
        <v>480.01299999999992</v>
      </c>
      <c r="N43" s="836">
        <f t="shared" si="3"/>
        <v>0</v>
      </c>
      <c r="O43" s="836"/>
      <c r="P43" s="836"/>
      <c r="Q43" s="836"/>
      <c r="R43" s="832">
        <v>0</v>
      </c>
      <c r="S43" s="836">
        <f t="shared" ca="1" si="2"/>
        <v>0</v>
      </c>
      <c r="T43" s="832"/>
      <c r="U43" s="837"/>
      <c r="W43" s="832"/>
    </row>
    <row r="44" spans="1:24" ht="15.2" customHeight="1">
      <c r="B44" s="826" t="s">
        <v>54</v>
      </c>
      <c r="C44" s="832">
        <v>827.94361538461544</v>
      </c>
      <c r="D44" s="836">
        <f t="shared" si="0"/>
        <v>0.01</v>
      </c>
      <c r="E44" s="836"/>
      <c r="F44" s="836"/>
      <c r="G44" s="836"/>
      <c r="H44" s="832">
        <v>3107.3801538461535</v>
      </c>
      <c r="I44" s="836">
        <f t="shared" si="1"/>
        <v>0.03</v>
      </c>
      <c r="J44" s="836"/>
      <c r="K44" s="836"/>
      <c r="L44" s="836"/>
      <c r="M44" s="832">
        <v>2096.7083846153846</v>
      </c>
      <c r="N44" s="836">
        <f t="shared" si="3"/>
        <v>0.02</v>
      </c>
      <c r="O44" s="836"/>
      <c r="P44" s="836"/>
      <c r="Q44" s="836"/>
      <c r="R44" s="832">
        <v>0</v>
      </c>
      <c r="S44" s="836">
        <f t="shared" ca="1" si="2"/>
        <v>0</v>
      </c>
      <c r="T44" s="832"/>
      <c r="U44" s="837"/>
      <c r="W44" s="832"/>
    </row>
    <row r="45" spans="1:24" ht="15.2" customHeight="1">
      <c r="B45" s="826" t="s">
        <v>55</v>
      </c>
      <c r="C45" s="832">
        <v>2931.2225930769227</v>
      </c>
      <c r="D45" s="836">
        <f t="shared" si="0"/>
        <v>0.05</v>
      </c>
      <c r="E45" s="836"/>
      <c r="F45" s="836"/>
      <c r="G45" s="836"/>
      <c r="H45" s="832">
        <v>3060.7063846153846</v>
      </c>
      <c r="I45" s="836">
        <f t="shared" si="1"/>
        <v>0.03</v>
      </c>
      <c r="J45" s="836"/>
      <c r="K45" s="836"/>
      <c r="L45" s="836"/>
      <c r="M45" s="832">
        <v>3275.3941753846157</v>
      </c>
      <c r="N45" s="836">
        <f t="shared" si="3"/>
        <v>0.03</v>
      </c>
      <c r="O45" s="836"/>
      <c r="P45" s="836"/>
      <c r="Q45" s="836"/>
      <c r="R45" s="832">
        <f ca="1">+-Report!T69</f>
        <v>3407.6923076923076</v>
      </c>
      <c r="S45" s="836">
        <f t="shared" ca="1" si="2"/>
        <v>0.02</v>
      </c>
      <c r="T45" s="832"/>
      <c r="U45" s="837"/>
      <c r="W45" s="832"/>
    </row>
    <row r="46" spans="1:24" ht="15.2" customHeight="1">
      <c r="B46" s="826" t="s">
        <v>56</v>
      </c>
      <c r="C46" s="832">
        <v>0</v>
      </c>
      <c r="D46" s="836">
        <f t="shared" si="0"/>
        <v>0</v>
      </c>
      <c r="E46" s="836"/>
      <c r="F46" s="836"/>
      <c r="G46" s="836"/>
      <c r="H46" s="832">
        <v>31.549970769230768</v>
      </c>
      <c r="I46" s="836">
        <f t="shared" si="1"/>
        <v>0</v>
      </c>
      <c r="J46" s="836"/>
      <c r="K46" s="836"/>
      <c r="L46" s="836"/>
      <c r="M46" s="832">
        <v>1052.9981476923076</v>
      </c>
      <c r="N46" s="836">
        <f t="shared" si="3"/>
        <v>0.01</v>
      </c>
      <c r="O46" s="836"/>
      <c r="P46" s="836"/>
      <c r="Q46" s="836"/>
      <c r="R46" s="832">
        <f ca="1">+-Report!T70</f>
        <v>2653.8076923076924</v>
      </c>
      <c r="S46" s="836">
        <f t="shared" ca="1" si="2"/>
        <v>0.01</v>
      </c>
      <c r="T46" s="832"/>
      <c r="U46" s="837"/>
      <c r="W46" s="832"/>
    </row>
    <row r="47" spans="1:24" ht="15.2" hidden="1" customHeight="1">
      <c r="B47" s="887" t="s">
        <v>28</v>
      </c>
      <c r="C47" s="889">
        <v>129571.12699999999</v>
      </c>
      <c r="D47" s="888">
        <f>ROUND((C47)/650/100,2)*0</f>
        <v>0</v>
      </c>
      <c r="E47" s="888"/>
      <c r="F47" s="888"/>
      <c r="G47" s="888"/>
      <c r="H47" s="889">
        <v>176018.60003999999</v>
      </c>
      <c r="I47" s="888">
        <f>ROUND((H47)/1000/100,2)*0</f>
        <v>0</v>
      </c>
      <c r="J47" s="888"/>
      <c r="K47" s="888"/>
      <c r="L47" s="888"/>
      <c r="M47" s="889">
        <v>15884.766186923081</v>
      </c>
      <c r="N47" s="888">
        <f>ROUND((M47)/1200/100,2)*0</f>
        <v>0</v>
      </c>
      <c r="O47" s="888"/>
      <c r="P47" s="888"/>
      <c r="Q47" s="888"/>
      <c r="R47" s="889">
        <f ca="1">+-Report!T74</f>
        <v>10410.406021538463</v>
      </c>
      <c r="S47" s="888">
        <f ca="1">ROUND((R47)/1375/100,2)*0</f>
        <v>0</v>
      </c>
      <c r="T47" s="832"/>
      <c r="U47" s="837"/>
      <c r="W47" s="832"/>
    </row>
    <row r="48" spans="1:24" ht="15.2" hidden="1" customHeight="1">
      <c r="B48" s="892" t="s">
        <v>733</v>
      </c>
      <c r="C48" s="893">
        <v>10812.21263582509</v>
      </c>
      <c r="D48" s="894">
        <f>ROUND((C48)/650/100,2)*0</f>
        <v>0</v>
      </c>
      <c r="E48" s="894"/>
      <c r="F48" s="894"/>
      <c r="G48" s="894"/>
      <c r="H48" s="893">
        <v>69773.335063846142</v>
      </c>
      <c r="I48" s="894">
        <f>ROUND((H48)/1000/100,2)*0</f>
        <v>0</v>
      </c>
      <c r="J48" s="894"/>
      <c r="K48" s="894"/>
      <c r="L48" s="894"/>
      <c r="M48" s="893">
        <v>73643.177210769209</v>
      </c>
      <c r="N48" s="894">
        <f>ROUND((M48)/1200/100,2)*0</f>
        <v>0</v>
      </c>
      <c r="O48" s="894"/>
      <c r="P48" s="894"/>
      <c r="Q48" s="894"/>
      <c r="R48" s="893">
        <f ca="1">+-Report!T75</f>
        <v>110123.60540692307</v>
      </c>
      <c r="S48" s="894">
        <f ca="1">ROUND((R48)/1375/100,2)*0</f>
        <v>0</v>
      </c>
      <c r="T48" s="832"/>
      <c r="U48" s="837"/>
      <c r="W48" s="832"/>
    </row>
    <row r="49" spans="1:262" ht="15.2" customHeight="1">
      <c r="B49" s="826" t="s">
        <v>57</v>
      </c>
      <c r="C49" s="852">
        <v>1214.1061353846153</v>
      </c>
      <c r="D49" s="836">
        <f>ROUND((C49)/650/100,2)</f>
        <v>0.02</v>
      </c>
      <c r="E49" s="836"/>
      <c r="F49" s="836"/>
      <c r="G49" s="836"/>
      <c r="H49" s="852">
        <v>1068.3906500000003</v>
      </c>
      <c r="I49" s="836">
        <f t="shared" si="1"/>
        <v>0.01</v>
      </c>
      <c r="J49" s="836"/>
      <c r="K49" s="836"/>
      <c r="L49" s="836"/>
      <c r="M49" s="852">
        <v>1155.7747838461537</v>
      </c>
      <c r="N49" s="836">
        <f t="shared" si="3"/>
        <v>0.01</v>
      </c>
      <c r="O49" s="836"/>
      <c r="P49" s="836"/>
      <c r="Q49" s="836"/>
      <c r="R49" s="852">
        <f ca="1">+-Report!T76</f>
        <v>1248.8846153846155</v>
      </c>
      <c r="S49" s="836">
        <f ca="1">ROUND((R49)/$X$35/100,2)</f>
        <v>0.01</v>
      </c>
      <c r="T49" s="832"/>
      <c r="U49" s="837"/>
      <c r="W49" s="832"/>
    </row>
    <row r="50" spans="1:262" ht="15.2" customHeight="1">
      <c r="B50" s="1"/>
      <c r="C50" s="832">
        <f>SUM(C35:C49)</f>
        <v>154784.15325774049</v>
      </c>
      <c r="D50" s="836"/>
      <c r="E50" s="836"/>
      <c r="F50" s="836"/>
      <c r="G50" s="836"/>
      <c r="H50" s="832">
        <f>SUM(H35:H49)</f>
        <v>262364.88475974742</v>
      </c>
      <c r="I50" s="836"/>
      <c r="J50" s="836"/>
      <c r="K50" s="836"/>
      <c r="L50" s="836"/>
      <c r="M50" s="832">
        <f>SUM(M35:M49)</f>
        <v>112469.03522374986</v>
      </c>
      <c r="N50" s="836"/>
      <c r="O50" s="836"/>
      <c r="P50" s="836"/>
      <c r="Q50" s="836"/>
      <c r="R50" s="832">
        <f ca="1">SUM(R35:R49)</f>
        <v>141716.93011595547</v>
      </c>
      <c r="S50" s="836"/>
      <c r="T50" s="832"/>
      <c r="U50" s="837"/>
      <c r="W50" s="832"/>
    </row>
    <row r="51" spans="1:262" ht="15.2" customHeight="1">
      <c r="B51" s="826"/>
      <c r="C51" s="832"/>
      <c r="D51" s="836"/>
      <c r="E51" s="836"/>
      <c r="F51" s="836"/>
      <c r="G51" s="836"/>
      <c r="H51" s="832"/>
      <c r="I51" s="836"/>
      <c r="J51" s="836"/>
      <c r="K51" s="836"/>
      <c r="L51" s="836"/>
      <c r="M51" s="832"/>
      <c r="N51" s="836"/>
      <c r="O51" s="836"/>
      <c r="P51" s="836"/>
      <c r="Q51" s="836"/>
      <c r="R51" s="832"/>
      <c r="S51" s="836"/>
      <c r="T51" s="832"/>
      <c r="U51" s="837"/>
      <c r="W51" s="832"/>
    </row>
    <row r="52" spans="1:262" ht="15.2" customHeight="1">
      <c r="A52" s="826"/>
      <c r="B52" s="838"/>
      <c r="C52" s="832"/>
      <c r="D52" s="836"/>
      <c r="E52" s="836"/>
      <c r="F52" s="836"/>
      <c r="G52" s="836"/>
      <c r="H52" s="832"/>
      <c r="I52" s="836"/>
      <c r="J52" s="836"/>
      <c r="K52" s="836"/>
      <c r="L52" s="836"/>
      <c r="M52" s="832"/>
      <c r="N52" s="836"/>
      <c r="O52" s="836"/>
      <c r="P52" s="836"/>
      <c r="Q52" s="836"/>
      <c r="R52" s="832"/>
      <c r="S52" s="836"/>
      <c r="T52" s="832"/>
      <c r="U52" s="837"/>
      <c r="W52" s="832"/>
    </row>
    <row r="53" spans="1:262" ht="15.2" customHeight="1">
      <c r="A53" s="826"/>
      <c r="B53" s="829" t="s">
        <v>1132</v>
      </c>
      <c r="C53" s="832"/>
      <c r="D53" s="836"/>
      <c r="E53" s="836"/>
      <c r="F53" s="836"/>
      <c r="G53" s="836"/>
      <c r="H53" s="832"/>
      <c r="I53" s="836"/>
      <c r="J53" s="836"/>
      <c r="K53" s="836"/>
      <c r="L53" s="836"/>
      <c r="M53" s="832"/>
      <c r="N53" s="836"/>
      <c r="O53" s="836"/>
      <c r="P53" s="836"/>
      <c r="Q53" s="836"/>
      <c r="R53" s="832"/>
      <c r="S53" s="836"/>
      <c r="T53" s="832"/>
      <c r="U53" s="836"/>
      <c r="V53" s="832"/>
    </row>
    <row r="54" spans="1:262" ht="15.2" customHeight="1">
      <c r="A54" s="826"/>
      <c r="B54" s="826" t="s">
        <v>80</v>
      </c>
      <c r="C54" s="832">
        <v>-28.937878391509397</v>
      </c>
      <c r="D54" s="836">
        <f t="shared" ref="D54:D62" si="4">ROUND((-C54)/43/100,2)</f>
        <v>0.01</v>
      </c>
      <c r="E54" s="836"/>
      <c r="F54" s="836"/>
      <c r="G54" s="836"/>
      <c r="H54" s="832">
        <v>-33.47171611050873</v>
      </c>
      <c r="I54" s="836">
        <f t="shared" ref="I54:I62" si="5">ROUND((-H54)/50/100,2)</f>
        <v>0.01</v>
      </c>
      <c r="J54" s="836"/>
      <c r="K54" s="836"/>
      <c r="L54" s="836"/>
      <c r="M54" s="832">
        <v>-31.254105707519564</v>
      </c>
      <c r="N54" s="836">
        <f>ROUND((-M54)/65/100,2)</f>
        <v>0</v>
      </c>
      <c r="O54" s="836"/>
      <c r="P54" s="836"/>
      <c r="Q54" s="836"/>
      <c r="R54" s="832">
        <f ca="1">+-Report!V110</f>
        <v>-32.303351541452763</v>
      </c>
      <c r="S54" s="836">
        <f t="shared" ref="S54:S62" ca="1" si="6">ROUND((-R54)/$X$36/100,2)</f>
        <v>0</v>
      </c>
      <c r="T54" s="832"/>
      <c r="U54" s="836"/>
      <c r="V54" s="832"/>
    </row>
    <row r="55" spans="1:262" ht="15.2" customHeight="1">
      <c r="A55" s="1"/>
      <c r="B55" s="826" t="s">
        <v>86</v>
      </c>
      <c r="C55" s="832">
        <v>429.53015525091564</v>
      </c>
      <c r="D55" s="836">
        <f t="shared" si="4"/>
        <v>-0.1</v>
      </c>
      <c r="E55" s="836"/>
      <c r="F55" s="836"/>
      <c r="G55" s="836"/>
      <c r="H55" s="832">
        <v>502.80144703905319</v>
      </c>
      <c r="I55" s="836">
        <f t="shared" si="5"/>
        <v>-0.1</v>
      </c>
      <c r="J55" s="836"/>
      <c r="K55" s="836"/>
      <c r="L55" s="836"/>
      <c r="M55" s="832">
        <v>158.29872548497175</v>
      </c>
      <c r="N55" s="836">
        <f t="shared" ref="N55:N62" si="7">ROUND((-M55)/65/100,2)</f>
        <v>-0.02</v>
      </c>
      <c r="O55" s="836"/>
      <c r="P55" s="836"/>
      <c r="Q55" s="836"/>
      <c r="R55" s="832">
        <f ca="1">+-Report!V111</f>
        <v>325.33788507723699</v>
      </c>
      <c r="S55" s="836">
        <f t="shared" ca="1" si="6"/>
        <v>-0.03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ht="15.2" customHeight="1">
      <c r="A56" s="826"/>
      <c r="B56" s="861" t="s">
        <v>87</v>
      </c>
      <c r="C56" s="857">
        <v>0</v>
      </c>
      <c r="D56" s="862">
        <f t="shared" si="4"/>
        <v>0</v>
      </c>
      <c r="E56" s="862"/>
      <c r="F56" s="862"/>
      <c r="G56" s="862"/>
      <c r="H56" s="857">
        <v>0</v>
      </c>
      <c r="I56" s="862">
        <f t="shared" si="5"/>
        <v>0</v>
      </c>
      <c r="J56" s="862"/>
      <c r="K56" s="862"/>
      <c r="L56" s="862"/>
      <c r="M56" s="857">
        <v>-2099</v>
      </c>
      <c r="N56" s="862">
        <f t="shared" si="7"/>
        <v>0.32</v>
      </c>
      <c r="O56" s="862"/>
      <c r="P56" s="862"/>
      <c r="Q56" s="862"/>
      <c r="R56" s="857">
        <f>+-Report!V112</f>
        <v>-3084</v>
      </c>
      <c r="S56" s="862">
        <f t="shared" ca="1" si="6"/>
        <v>0.32</v>
      </c>
      <c r="T56" s="832"/>
      <c r="U56" s="836"/>
    </row>
    <row r="57" spans="1:262" ht="15.2" customHeight="1">
      <c r="A57" s="826"/>
      <c r="B57" s="826" t="s">
        <v>72</v>
      </c>
      <c r="C57" s="832">
        <v>-11.2162820955855</v>
      </c>
      <c r="D57" s="836">
        <f t="shared" si="4"/>
        <v>0</v>
      </c>
      <c r="E57" s="836"/>
      <c r="F57" s="836"/>
      <c r="G57" s="836"/>
      <c r="H57" s="832">
        <v>-13.145924412457202</v>
      </c>
      <c r="I57" s="836">
        <f t="shared" si="5"/>
        <v>0</v>
      </c>
      <c r="J57" s="836"/>
      <c r="K57" s="836"/>
      <c r="L57" s="836"/>
      <c r="M57" s="832">
        <v>-12.244006580537901</v>
      </c>
      <c r="N57" s="836">
        <f t="shared" si="7"/>
        <v>0</v>
      </c>
      <c r="O57" s="836"/>
      <c r="P57" s="836"/>
      <c r="Q57" s="836"/>
      <c r="R57" s="832">
        <f ca="1">+-Report!V114</f>
        <v>-13.751451000000001</v>
      </c>
      <c r="S57" s="836">
        <f t="shared" ca="1" si="6"/>
        <v>0</v>
      </c>
      <c r="T57" s="832"/>
      <c r="U57" s="836"/>
    </row>
    <row r="58" spans="1:262" ht="15.2" customHeight="1">
      <c r="A58" s="826"/>
      <c r="B58" s="826" t="s">
        <v>73</v>
      </c>
      <c r="C58" s="832">
        <v>-65.121056592581994</v>
      </c>
      <c r="D58" s="836">
        <f t="shared" si="4"/>
        <v>0.02</v>
      </c>
      <c r="E58" s="836"/>
      <c r="F58" s="836"/>
      <c r="G58" s="836"/>
      <c r="H58" s="832">
        <v>-53.025617865037987</v>
      </c>
      <c r="I58" s="836">
        <f t="shared" si="5"/>
        <v>0.01</v>
      </c>
      <c r="J58" s="836"/>
      <c r="K58" s="836"/>
      <c r="L58" s="836"/>
      <c r="M58" s="832">
        <v>-51.972319863137997</v>
      </c>
      <c r="N58" s="836">
        <f t="shared" si="7"/>
        <v>0.01</v>
      </c>
      <c r="O58" s="836"/>
      <c r="P58" s="836"/>
      <c r="Q58" s="836"/>
      <c r="R58" s="832">
        <f ca="1">+-Report!V115</f>
        <v>-59.108476990500002</v>
      </c>
      <c r="S58" s="836">
        <f t="shared" ca="1" si="6"/>
        <v>0.01</v>
      </c>
      <c r="T58" s="832"/>
      <c r="U58" s="836"/>
    </row>
    <row r="59" spans="1:262" ht="15.2" customHeight="1">
      <c r="A59" s="826"/>
      <c r="B59" s="826" t="s">
        <v>64</v>
      </c>
      <c r="C59" s="832">
        <v>143.98942207328219</v>
      </c>
      <c r="D59" s="836">
        <f t="shared" si="4"/>
        <v>-0.03</v>
      </c>
      <c r="E59" s="836"/>
      <c r="F59" s="836"/>
      <c r="G59" s="836"/>
      <c r="H59" s="832">
        <v>133.56389279133145</v>
      </c>
      <c r="I59" s="836">
        <f t="shared" si="5"/>
        <v>-0.03</v>
      </c>
      <c r="J59" s="836"/>
      <c r="K59" s="836"/>
      <c r="L59" s="836"/>
      <c r="M59" s="832">
        <v>86.180714202553645</v>
      </c>
      <c r="N59" s="836">
        <f t="shared" si="7"/>
        <v>-0.01</v>
      </c>
      <c r="O59" s="836"/>
      <c r="P59" s="836"/>
      <c r="Q59" s="836"/>
      <c r="R59" s="832">
        <v>0</v>
      </c>
      <c r="S59" s="836">
        <f t="shared" ca="1" si="6"/>
        <v>0</v>
      </c>
      <c r="T59" s="832"/>
      <c r="U59" s="836"/>
    </row>
    <row r="60" spans="1:262" ht="15.2" customHeight="1">
      <c r="A60" s="826"/>
      <c r="B60" s="826" t="s">
        <v>75</v>
      </c>
      <c r="C60" s="832">
        <v>-39.985551914020022</v>
      </c>
      <c r="D60" s="836">
        <f t="shared" si="4"/>
        <v>0.01</v>
      </c>
      <c r="E60" s="836"/>
      <c r="F60" s="836"/>
      <c r="G60" s="836"/>
      <c r="H60" s="832">
        <v>-25.327401659350883</v>
      </c>
      <c r="I60" s="836">
        <f t="shared" si="5"/>
        <v>0.01</v>
      </c>
      <c r="J60" s="836"/>
      <c r="K60" s="836"/>
      <c r="L60" s="836"/>
      <c r="M60" s="832">
        <v>-29.218590406528659</v>
      </c>
      <c r="N60" s="836">
        <f t="shared" si="7"/>
        <v>0</v>
      </c>
      <c r="O60" s="836"/>
      <c r="P60" s="836"/>
      <c r="Q60" s="836"/>
      <c r="R60" s="832">
        <f ca="1">+-Report!V117</f>
        <v>-28.703727937785594</v>
      </c>
      <c r="S60" s="836">
        <f t="shared" ca="1" si="6"/>
        <v>0</v>
      </c>
      <c r="T60" s="832"/>
      <c r="U60" s="836"/>
    </row>
    <row r="61" spans="1:262" ht="15.2" customHeight="1">
      <c r="A61" s="826"/>
      <c r="B61" s="826" t="s">
        <v>76</v>
      </c>
      <c r="C61" s="832">
        <v>-4.8771226545754081</v>
      </c>
      <c r="D61" s="836">
        <f t="shared" si="4"/>
        <v>0</v>
      </c>
      <c r="E61" s="836"/>
      <c r="F61" s="836"/>
      <c r="G61" s="836"/>
      <c r="H61" s="832">
        <v>-3.7075384398766085</v>
      </c>
      <c r="I61" s="836">
        <f t="shared" si="5"/>
        <v>0</v>
      </c>
      <c r="J61" s="836"/>
      <c r="K61" s="836"/>
      <c r="L61" s="836"/>
      <c r="M61" s="832">
        <v>-4.1375112064257902</v>
      </c>
      <c r="N61" s="836">
        <f t="shared" si="7"/>
        <v>0</v>
      </c>
      <c r="O61" s="836"/>
      <c r="P61" s="836"/>
      <c r="Q61" s="836"/>
      <c r="R61" s="832">
        <f ca="1">+-Report!V118</f>
        <v>-4.4270182972260006</v>
      </c>
      <c r="S61" s="836">
        <f t="shared" ca="1" si="6"/>
        <v>0</v>
      </c>
      <c r="T61" s="832"/>
      <c r="U61" s="836"/>
    </row>
    <row r="62" spans="1:262" ht="15.2" customHeight="1">
      <c r="A62" s="826"/>
      <c r="B62" s="826" t="s">
        <v>65</v>
      </c>
      <c r="C62" s="832">
        <v>77.900848430367986</v>
      </c>
      <c r="D62" s="836">
        <f t="shared" si="4"/>
        <v>-0.02</v>
      </c>
      <c r="E62" s="836"/>
      <c r="F62" s="836"/>
      <c r="G62" s="836"/>
      <c r="H62" s="832">
        <v>80.415622883790007</v>
      </c>
      <c r="I62" s="836">
        <f t="shared" si="5"/>
        <v>-0.02</v>
      </c>
      <c r="J62" s="836"/>
      <c r="K62" s="836"/>
      <c r="L62" s="836"/>
      <c r="M62" s="832">
        <v>81.917834909058001</v>
      </c>
      <c r="N62" s="836">
        <f t="shared" si="7"/>
        <v>-0.01</v>
      </c>
      <c r="O62" s="836"/>
      <c r="P62" s="836"/>
      <c r="Q62" s="836"/>
      <c r="R62" s="895">
        <f ca="1">+-Report!V121</f>
        <v>87.940603800000005</v>
      </c>
      <c r="S62" s="836">
        <f t="shared" ca="1" si="6"/>
        <v>-0.01</v>
      </c>
      <c r="T62" s="832"/>
      <c r="U62" s="836"/>
    </row>
    <row r="63" spans="1:262" ht="15.2" hidden="1" customHeight="1">
      <c r="A63" s="826"/>
      <c r="B63" s="887" t="s">
        <v>67</v>
      </c>
      <c r="C63" s="896">
        <v>7800.5030962222008</v>
      </c>
      <c r="D63" s="888">
        <f>ROUND((-C63)/43/100,2)*0</f>
        <v>0</v>
      </c>
      <c r="E63" s="888"/>
      <c r="F63" s="888"/>
      <c r="G63" s="888"/>
      <c r="H63" s="896">
        <v>10664.6411370648</v>
      </c>
      <c r="I63" s="888">
        <f>ROUND((-H63)/50/100,2)*0</f>
        <v>0</v>
      </c>
      <c r="J63" s="888"/>
      <c r="K63" s="888"/>
      <c r="L63" s="888"/>
      <c r="M63" s="896">
        <v>928.96128642240001</v>
      </c>
      <c r="N63" s="888">
        <f>ROUND((-M63)/65/100,2)*0</f>
        <v>0</v>
      </c>
      <c r="O63" s="888"/>
      <c r="P63" s="888"/>
      <c r="Q63" s="888"/>
      <c r="R63" s="896">
        <f ca="1">+-Report!V124</f>
        <v>654.30478889999995</v>
      </c>
      <c r="S63" s="888">
        <f ca="1">ROUND((-R63)/83/100,2)*0</f>
        <v>0</v>
      </c>
      <c r="T63" s="895"/>
      <c r="U63" s="836"/>
    </row>
    <row r="64" spans="1:262" ht="15.2" customHeight="1">
      <c r="A64" s="826"/>
      <c r="B64" s="826" t="s">
        <v>1133</v>
      </c>
      <c r="C64" s="852">
        <v>2140.5855599999995</v>
      </c>
      <c r="D64" s="836">
        <f>ROUND((-C64)/43/100,2)</f>
        <v>-0.5</v>
      </c>
      <c r="E64" s="836"/>
      <c r="F64" s="836"/>
      <c r="G64" s="836"/>
      <c r="H64" s="852">
        <v>1025.53253</v>
      </c>
      <c r="I64" s="836">
        <f>ROUND((-H64)/50/100,2)</f>
        <v>-0.21</v>
      </c>
      <c r="J64" s="836"/>
      <c r="K64" s="836"/>
      <c r="L64" s="836"/>
      <c r="M64" s="852">
        <v>-67.600000000000009</v>
      </c>
      <c r="N64" s="836">
        <f>ROUND((-M64)/65/100,2)</f>
        <v>0.01</v>
      </c>
      <c r="O64" s="836"/>
      <c r="P64" s="836"/>
      <c r="Q64" s="836"/>
      <c r="R64" s="852">
        <f>+-Report!R106</f>
        <v>495.59999999999997</v>
      </c>
      <c r="S64" s="836">
        <f ca="1">ROUND((-R64)/$X$36/100,2)</f>
        <v>-0.05</v>
      </c>
      <c r="T64" s="832"/>
      <c r="U64" s="836"/>
    </row>
    <row r="65" spans="1:21" ht="15.2" customHeight="1">
      <c r="A65" s="826"/>
      <c r="B65" s="826"/>
      <c r="C65" s="832">
        <f>SUM(C54:C64)</f>
        <v>10442.371190328495</v>
      </c>
      <c r="D65" s="836"/>
      <c r="E65" s="836"/>
      <c r="F65" s="836"/>
      <c r="G65" s="836"/>
      <c r="H65" s="832">
        <f>SUM(H54:H64)</f>
        <v>12278.276431291744</v>
      </c>
      <c r="I65" s="836"/>
      <c r="J65" s="836"/>
      <c r="K65" s="836"/>
      <c r="L65" s="836"/>
      <c r="M65" s="832">
        <f>SUM(M54:M64)</f>
        <v>-1040.0679727451663</v>
      </c>
      <c r="N65" s="836"/>
      <c r="O65" s="836"/>
      <c r="P65" s="836"/>
      <c r="Q65" s="836"/>
      <c r="R65" s="832">
        <f ca="1">SUM(R54:R64)</f>
        <v>-1659.1107479897273</v>
      </c>
      <c r="S65" s="836"/>
      <c r="T65" s="832"/>
      <c r="U65" s="836"/>
    </row>
    <row r="66" spans="1:21" ht="15.6" customHeight="1">
      <c r="A66" s="826"/>
      <c r="B66" s="826"/>
      <c r="C66" s="832"/>
      <c r="D66" s="836"/>
      <c r="E66" s="836"/>
      <c r="F66" s="836"/>
      <c r="G66" s="836"/>
      <c r="H66" s="832"/>
      <c r="I66" s="836"/>
      <c r="J66" s="836"/>
      <c r="K66" s="836"/>
      <c r="L66" s="836"/>
      <c r="M66" s="832"/>
      <c r="N66" s="836"/>
      <c r="O66" s="836"/>
      <c r="P66" s="836"/>
      <c r="Q66" s="836"/>
      <c r="R66" s="832"/>
      <c r="S66" s="836"/>
    </row>
    <row r="67" spans="1:21" ht="15.2" customHeight="1">
      <c r="A67" s="826"/>
      <c r="B67" s="826"/>
      <c r="C67" s="832"/>
      <c r="D67" s="836"/>
      <c r="E67" s="836"/>
      <c r="F67" s="836"/>
      <c r="G67" s="836"/>
      <c r="H67" s="832"/>
      <c r="I67" s="836"/>
      <c r="J67" s="836"/>
      <c r="K67" s="836"/>
      <c r="L67" s="836"/>
      <c r="M67" s="832"/>
      <c r="N67" s="836"/>
      <c r="O67" s="836"/>
      <c r="P67" s="836"/>
      <c r="Q67" s="836"/>
      <c r="R67" s="832"/>
      <c r="S67" s="836"/>
      <c r="T67" s="826"/>
    </row>
    <row r="68" spans="1:21" ht="15.2" customHeight="1">
      <c r="A68" s="826"/>
      <c r="B68" s="839" t="s">
        <v>1134</v>
      </c>
      <c r="C68" s="832"/>
      <c r="D68" s="836">
        <f>D70*100-SUM(D17:D64)</f>
        <v>0.28290041472747007</v>
      </c>
      <c r="E68" s="836"/>
      <c r="F68" s="836"/>
      <c r="G68" s="836"/>
      <c r="H68" s="832"/>
      <c r="I68" s="836">
        <f>I70*100-SUM(I17:I64)</f>
        <v>4.8869295950426439E-2</v>
      </c>
      <c r="J68" s="836"/>
      <c r="K68" s="836"/>
      <c r="L68" s="836"/>
      <c r="M68" s="832"/>
      <c r="N68" s="836">
        <f>N70*100-SUM(N17:N64)</f>
        <v>5.0407457133245792E-3</v>
      </c>
      <c r="O68" s="836"/>
      <c r="P68" s="836"/>
      <c r="Q68" s="836"/>
      <c r="R68" s="832"/>
      <c r="S68" s="836">
        <f ca="1">S70*100-SUM(S17:S64)</f>
        <v>0.15109486276667511</v>
      </c>
      <c r="T68" s="840"/>
      <c r="U68" s="835"/>
    </row>
    <row r="69" spans="1:21" ht="14.25">
      <c r="A69" s="826"/>
      <c r="B69" s="826"/>
      <c r="T69" s="826"/>
    </row>
    <row r="70" spans="1:21" ht="14.25">
      <c r="A70" s="826" t="s">
        <v>1135</v>
      </c>
      <c r="B70" s="826"/>
      <c r="D70" s="851">
        <f>+D74-D15</f>
        <v>-1.1686422266474927E-2</v>
      </c>
      <c r="E70" s="860"/>
      <c r="F70" s="860"/>
      <c r="G70" s="860"/>
      <c r="I70" s="851">
        <f>+I74-I15</f>
        <v>-1.3304033316049638E-2</v>
      </c>
      <c r="J70" s="860"/>
      <c r="K70" s="860"/>
      <c r="L70" s="860"/>
      <c r="N70" s="851">
        <f>+N74-N15</f>
        <v>-1.4451332795684529E-3</v>
      </c>
      <c r="O70" s="860"/>
      <c r="P70" s="860"/>
      <c r="Q70" s="860"/>
      <c r="S70" s="851">
        <f ca="1">+S74-S15</f>
        <v>-3.3395168056644768E-3</v>
      </c>
      <c r="T70" s="840"/>
    </row>
    <row r="71" spans="1:21" ht="14.25">
      <c r="A71" s="826"/>
      <c r="B71" s="826"/>
      <c r="D71" s="836"/>
      <c r="E71" s="836"/>
      <c r="F71" s="836"/>
      <c r="G71" s="836"/>
      <c r="I71" s="836"/>
      <c r="J71" s="836"/>
      <c r="K71" s="836"/>
      <c r="L71" s="836"/>
      <c r="N71" s="836"/>
      <c r="O71" s="836"/>
      <c r="P71" s="836"/>
      <c r="Q71" s="836"/>
      <c r="S71" s="836"/>
      <c r="T71" s="826"/>
    </row>
    <row r="72" spans="1:21" ht="14.25">
      <c r="A72" s="826"/>
      <c r="B72" s="826"/>
      <c r="C72" s="832"/>
      <c r="H72" s="832"/>
      <c r="M72" s="832"/>
      <c r="N72" s="547"/>
      <c r="R72" s="832"/>
      <c r="T72" s="826"/>
    </row>
    <row r="73" spans="1:21" ht="14.25">
      <c r="A73" s="826"/>
      <c r="B73" s="826"/>
      <c r="C73" s="832"/>
      <c r="H73" s="832"/>
      <c r="M73" s="832"/>
      <c r="R73" s="832"/>
      <c r="T73" s="826"/>
    </row>
    <row r="74" spans="1:21" ht="15">
      <c r="A74" s="839" t="s">
        <v>1136</v>
      </c>
      <c r="B74" s="839"/>
      <c r="C74" s="28"/>
      <c r="D74" s="849">
        <v>0.1</v>
      </c>
      <c r="E74" s="859"/>
      <c r="F74" s="859"/>
      <c r="G74" s="859"/>
      <c r="H74" s="28"/>
      <c r="I74" s="849">
        <v>7.3700000000000002E-2</v>
      </c>
      <c r="J74" s="859"/>
      <c r="K74" s="859"/>
      <c r="L74" s="859"/>
      <c r="M74" s="28"/>
      <c r="N74" s="849">
        <v>0.1011</v>
      </c>
      <c r="O74" s="859"/>
      <c r="P74" s="859"/>
      <c r="Q74" s="859"/>
      <c r="R74" s="28"/>
      <c r="S74" s="850">
        <f ca="1">+'COMP Act to Prior'!D25</f>
        <v>1.84E-2</v>
      </c>
      <c r="T74" s="867"/>
      <c r="U74" s="841"/>
    </row>
    <row r="75" spans="1:21" s="826" customFormat="1" ht="14.25">
      <c r="C75" s="375"/>
      <c r="D75" s="842" t="s">
        <v>745</v>
      </c>
      <c r="E75" s="842"/>
      <c r="F75" s="842"/>
      <c r="G75" s="842"/>
      <c r="H75" s="375"/>
      <c r="I75" s="842" t="s">
        <v>745</v>
      </c>
      <c r="J75" s="842"/>
      <c r="K75" s="842"/>
      <c r="L75" s="842"/>
      <c r="M75" s="375"/>
      <c r="N75" s="842" t="s">
        <v>745</v>
      </c>
      <c r="O75" s="842"/>
      <c r="P75" s="842"/>
      <c r="Q75" s="842"/>
      <c r="R75" s="375"/>
      <c r="S75" s="842" t="s">
        <v>745</v>
      </c>
    </row>
    <row r="76" spans="1:21" s="826" customFormat="1" ht="14.25">
      <c r="A76" s="843"/>
      <c r="C76" s="832"/>
      <c r="D76" s="866"/>
      <c r="E76" s="836"/>
      <c r="F76" s="836"/>
      <c r="G76" s="836"/>
      <c r="H76" s="832"/>
      <c r="I76" s="866"/>
      <c r="J76" s="836"/>
      <c r="K76" s="836"/>
      <c r="L76" s="836"/>
      <c r="M76" s="832"/>
      <c r="N76" s="866"/>
      <c r="O76" s="836"/>
      <c r="P76" s="836"/>
      <c r="Q76" s="836"/>
      <c r="R76" s="832"/>
      <c r="S76" s="866"/>
      <c r="T76" s="844"/>
    </row>
    <row r="77" spans="1:21" s="826" customFormat="1" ht="14.25">
      <c r="A77" s="843"/>
      <c r="C77" s="832"/>
      <c r="D77" s="836"/>
      <c r="E77" s="836"/>
      <c r="F77" s="836"/>
      <c r="G77" s="836"/>
      <c r="H77" s="832"/>
      <c r="I77" s="836"/>
      <c r="J77" s="836"/>
      <c r="K77" s="836"/>
      <c r="L77" s="836"/>
      <c r="M77" s="832"/>
      <c r="N77" s="836"/>
      <c r="O77" s="836"/>
      <c r="P77" s="836"/>
      <c r="Q77" s="836"/>
      <c r="R77" s="832"/>
      <c r="S77" s="836"/>
      <c r="T77" s="844"/>
    </row>
    <row r="78" spans="1:21" s="826" customFormat="1" ht="14.25">
      <c r="A78" s="843"/>
      <c r="C78" s="832"/>
      <c r="D78" s="836"/>
      <c r="E78" s="836"/>
      <c r="F78" s="836"/>
      <c r="G78" s="836"/>
      <c r="H78" s="832"/>
      <c r="I78" s="836"/>
      <c r="J78" s="836"/>
      <c r="K78" s="836"/>
      <c r="L78" s="836"/>
      <c r="M78" s="832"/>
      <c r="N78" s="836"/>
      <c r="O78" s="836"/>
      <c r="P78" s="836"/>
      <c r="Q78" s="836"/>
      <c r="R78" s="832"/>
      <c r="S78" s="836"/>
      <c r="T78" s="844"/>
    </row>
    <row r="79" spans="1:21">
      <c r="C79" s="845"/>
      <c r="D79" s="846"/>
      <c r="E79" s="846"/>
      <c r="F79" s="846"/>
      <c r="G79" s="846"/>
      <c r="H79" s="845"/>
      <c r="I79" s="846"/>
      <c r="J79" s="846"/>
      <c r="K79" s="846"/>
      <c r="L79" s="846"/>
      <c r="M79" s="845"/>
      <c r="N79" s="846"/>
      <c r="O79" s="846"/>
      <c r="P79" s="846"/>
      <c r="Q79" s="846"/>
      <c r="R79" s="845"/>
      <c r="S79" s="846"/>
    </row>
    <row r="80" spans="1:21" ht="14.25">
      <c r="A80" s="826" t="s">
        <v>1137</v>
      </c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36"/>
    </row>
    <row r="81" spans="1:20" ht="14.25">
      <c r="A81" s="826" t="s">
        <v>1138</v>
      </c>
      <c r="B81" s="826"/>
      <c r="C81" s="847"/>
      <c r="D81" s="847"/>
      <c r="E81" s="847"/>
      <c r="F81" s="847"/>
      <c r="G81" s="847"/>
      <c r="H81" s="847"/>
      <c r="I81" s="847"/>
      <c r="J81" s="847"/>
      <c r="K81" s="847"/>
      <c r="L81" s="847"/>
      <c r="M81" s="847"/>
      <c r="N81" s="847"/>
      <c r="O81" s="847"/>
      <c r="P81" s="847"/>
      <c r="Q81" s="847"/>
      <c r="R81" s="847"/>
      <c r="S81" s="847"/>
      <c r="T81" s="836"/>
    </row>
    <row r="82" spans="1:20" ht="15">
      <c r="A82" s="826" t="s">
        <v>1139</v>
      </c>
      <c r="B82" s="829"/>
      <c r="C82" s="847"/>
      <c r="D82" s="847"/>
      <c r="E82" s="847"/>
      <c r="F82" s="847"/>
      <c r="G82" s="847"/>
      <c r="H82" s="847"/>
      <c r="I82" s="847"/>
      <c r="J82" s="847"/>
      <c r="K82" s="847"/>
      <c r="L82" s="847"/>
      <c r="M82" s="847"/>
      <c r="N82" s="847"/>
      <c r="O82" s="847"/>
      <c r="P82" s="847"/>
      <c r="Q82" s="847"/>
      <c r="R82" s="847"/>
      <c r="S82" s="847"/>
      <c r="T82" s="836"/>
    </row>
    <row r="83" spans="1:20" ht="14.25">
      <c r="B83" s="826"/>
      <c r="C83" s="845"/>
      <c r="D83" s="846"/>
      <c r="E83" s="846"/>
      <c r="F83" s="846"/>
      <c r="G83" s="846"/>
      <c r="H83" s="845"/>
      <c r="I83" s="846"/>
      <c r="J83" s="846"/>
      <c r="K83" s="846"/>
      <c r="L83" s="846"/>
      <c r="M83" s="845"/>
      <c r="N83" s="846"/>
      <c r="O83" s="846"/>
      <c r="P83" s="846"/>
      <c r="Q83" s="846"/>
      <c r="R83" s="845"/>
      <c r="S83" s="846"/>
    </row>
    <row r="85" spans="1:20" ht="14.25">
      <c r="B85" s="826"/>
    </row>
    <row r="90" spans="1:20" ht="14.25">
      <c r="A90" s="826"/>
      <c r="B90" s="826"/>
      <c r="C90" s="847"/>
      <c r="H90" s="847"/>
      <c r="M90" s="847"/>
      <c r="R90" s="847"/>
    </row>
    <row r="91" spans="1:20" ht="15">
      <c r="A91" s="826"/>
      <c r="B91" s="829"/>
      <c r="C91" s="847"/>
      <c r="H91" s="847"/>
      <c r="M91" s="847"/>
      <c r="R91" s="847"/>
    </row>
    <row r="111" spans="3:18">
      <c r="C111" s="848"/>
      <c r="H111" s="848"/>
      <c r="M111" s="848"/>
      <c r="R111" s="848"/>
    </row>
    <row r="118" spans="1:1">
      <c r="A118" s="598"/>
    </row>
    <row r="119" spans="1:1">
      <c r="A119" s="598"/>
    </row>
    <row r="121" spans="1:1">
      <c r="A121" s="598"/>
    </row>
    <row r="123" spans="1:1">
      <c r="A123" s="598"/>
    </row>
  </sheetData>
  <mergeCells count="2">
    <mergeCell ref="A1:S1"/>
    <mergeCell ref="A2:S2"/>
  </mergeCells>
  <hyperlinks>
    <hyperlink ref="IY65514" location="'SURV REPORT'!GV33" display="'SURV REPORT'!GV33"/>
    <hyperlink ref="IY65513" location="'SURV REPORT'!GV33" display="'SURV REPORT'!GV33"/>
    <hyperlink ref="IY65512" location="WC!c333" display="WC!c333"/>
    <hyperlink ref="IV65514:JB65514" location="'SURV REPORT'!GV33" display="'SURV REPORT'!GV33"/>
    <hyperlink ref="IV65513:JB65513" location="'SURV REPORT'!GV33" display="'SURV REPORT'!GV33"/>
    <hyperlink ref="IV65512:JB65512" location="WC!c333" display="WC!c333"/>
    <hyperlink ref="IY65515" location="'SURV REPORT'!GV33" display="'SURV REPORT'!GV33"/>
    <hyperlink ref="IV65514" location="'SURV REPORT'!GV33" display="'SURV REPORT'!GV33"/>
    <hyperlink ref="IV65513" location="'SURV REPORT'!GV33" display="'SURV REPORT'!GV33"/>
    <hyperlink ref="B65515" location="WC!c333" display="WC!c333"/>
    <hyperlink ref="B65514" location="'SURV REPORT'!GV33" display="'SURV REPORT'!GV33"/>
    <hyperlink ref="IV65512" location="WC!c333" display="WC!c333"/>
    <hyperlink ref="B65513" location="WC!c333" display="WC!c333"/>
    <hyperlink ref="IS65514:IV65514" location="'SURV REPORT'!GV33" display="'SURV REPORT'!GV33"/>
    <hyperlink ref="IS65513:IV65513" location="'SURV REPORT'!GV33" display="'SURV REPORT'!GV33"/>
    <hyperlink ref="IS65512:IV65512" location="WC!c333" display="WC!c333"/>
    <hyperlink ref="B65516" location="'SURV REPORT'!GV33" display="'SURV REPORT'!GV33"/>
    <hyperlink ref="IS65514" location="'SURV REPORT'!GV33" display="'SURV REPORT'!GV33"/>
    <hyperlink ref="IS65513" location="'SURV REPORT'!GV33" display="'SURV REPORT'!GV33"/>
    <hyperlink ref="IS65512" location="WC!c333" display="WC!c333"/>
    <hyperlink ref="IP65514:IS65514" location="'SURV REPORT'!GV33" display="'SURV REPORT'!GV33"/>
    <hyperlink ref="IP65513:IS65513" location="'SURV REPORT'!GV33" display="'SURV REPORT'!GV33"/>
    <hyperlink ref="IP65512:IS65512" location="WC!c333" display="WC!c333"/>
  </hyperlinks>
  <printOptions horizontalCentered="1"/>
  <pageMargins left="0.5" right="0.5" top="0.5" bottom="0.5" header="0.5" footer="0.25"/>
  <pageSetup scale="65" orientation="portrait" r:id="rId1"/>
  <headerFooter>
    <oddFooter>&amp;Z&amp;F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2.75"/>
  <sheetData/>
  <pageMargins left="0.7" right="0.7" top="0.75" bottom="0.75" header="0.3" footer="0.3"/>
  <pageSetup orientation="portrait" horizontalDpi="4294967293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</sheetPr>
  <dimension ref="A1"/>
  <sheetViews>
    <sheetView workbookViewId="0"/>
  </sheetViews>
  <sheetFormatPr defaultRowHeight="12.75"/>
  <sheetData>
    <row r="1" spans="1:1">
      <c r="A1" s="28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0070C0"/>
    <pageSetUpPr fitToPage="1"/>
  </sheetPr>
  <dimension ref="A1:S7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X38" sqref="X38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0.7109375" style="43" customWidth="1"/>
    <col min="5" max="5" width="1.7109375" style="43" customWidth="1"/>
    <col min="6" max="6" width="20.7109375" style="43" customWidth="1"/>
    <col min="7" max="7" width="1.7109375" style="43" customWidth="1"/>
    <col min="8" max="8" width="20.7109375" style="43" customWidth="1"/>
    <col min="9" max="10" width="9.140625" style="43" hidden="1" customWidth="1"/>
    <col min="11" max="11" width="20.7109375" style="43" hidden="1" customWidth="1"/>
    <col min="12" max="12" width="1.7109375" style="43" hidden="1" customWidth="1"/>
    <col min="13" max="13" width="20.7109375" style="43" hidden="1" customWidth="1"/>
    <col min="14" max="14" width="1.7109375" style="43" hidden="1" customWidth="1"/>
    <col min="15" max="15" width="20.7109375" style="43" hidden="1" customWidth="1"/>
    <col min="16" max="16" width="1.7109375" style="43" hidden="1" customWidth="1"/>
    <col min="17" max="17" width="20.85546875" style="43" hidden="1" customWidth="1"/>
    <col min="18" max="19" width="9.140625" style="43" hidden="1" customWidth="1"/>
    <col min="20" max="20" width="0" style="43" hidden="1" customWidth="1"/>
    <col min="21" max="16384" width="9.140625" style="43"/>
  </cols>
  <sheetData>
    <row r="1" spans="1:17" ht="18">
      <c r="A1" s="45" t="s">
        <v>1046</v>
      </c>
      <c r="B1" s="45"/>
      <c r="C1" s="45"/>
      <c r="D1" s="45"/>
      <c r="E1" s="76"/>
      <c r="F1" s="45"/>
      <c r="G1" s="76"/>
      <c r="H1" s="45"/>
      <c r="L1" s="76"/>
      <c r="N1" s="76"/>
      <c r="P1" s="76"/>
    </row>
    <row r="2" spans="1:17" ht="18">
      <c r="A2" s="45" t="s">
        <v>1096</v>
      </c>
      <c r="B2" s="45"/>
      <c r="C2" s="45"/>
      <c r="D2" s="45"/>
      <c r="E2" s="76"/>
      <c r="F2" s="45"/>
      <c r="G2" s="76"/>
      <c r="H2" s="45"/>
      <c r="L2" s="76"/>
      <c r="N2" s="76"/>
      <c r="P2" s="76"/>
    </row>
    <row r="3" spans="1:17" ht="18">
      <c r="A3" s="48" t="s">
        <v>1048</v>
      </c>
      <c r="B3" s="48"/>
      <c r="C3" s="48"/>
      <c r="D3" s="48"/>
      <c r="E3" s="76"/>
      <c r="F3" s="48"/>
      <c r="G3" s="76"/>
      <c r="H3" s="48"/>
      <c r="L3" s="76"/>
      <c r="N3" s="76"/>
      <c r="P3" s="76"/>
    </row>
    <row r="4" spans="1:17" ht="15.75" customHeight="1">
      <c r="A4" s="48"/>
      <c r="B4" s="48"/>
      <c r="C4" s="48"/>
      <c r="D4" s="48"/>
      <c r="E4" s="76"/>
      <c r="F4" s="48"/>
      <c r="G4" s="76"/>
      <c r="H4" s="48"/>
      <c r="L4" s="76"/>
      <c r="N4" s="76"/>
      <c r="P4" s="76"/>
    </row>
    <row r="5" spans="1:17" ht="15.75" customHeight="1">
      <c r="A5" s="375"/>
      <c r="B5" s="257"/>
      <c r="C5" s="375"/>
      <c r="D5" s="257"/>
      <c r="E5" s="76"/>
      <c r="F5" s="257"/>
      <c r="G5" s="76"/>
      <c r="H5" s="257"/>
      <c r="L5" s="76"/>
      <c r="N5" s="76"/>
      <c r="P5" s="76"/>
    </row>
    <row r="6" spans="1:17" s="52" customFormat="1" ht="15.75">
      <c r="A6" s="51" t="s">
        <v>1049</v>
      </c>
      <c r="B6" s="257" t="s">
        <v>3</v>
      </c>
      <c r="C6" s="51"/>
      <c r="D6" s="257" t="s">
        <v>3</v>
      </c>
      <c r="F6" s="257" t="s">
        <v>3</v>
      </c>
      <c r="H6" s="257" t="s">
        <v>3</v>
      </c>
      <c r="K6" s="257" t="s">
        <v>3</v>
      </c>
      <c r="M6" s="257" t="s">
        <v>3</v>
      </c>
      <c r="O6" s="257" t="s">
        <v>3</v>
      </c>
      <c r="Q6" s="257" t="s">
        <v>3</v>
      </c>
    </row>
    <row r="7" spans="1:17" s="52" customFormat="1" ht="15.75">
      <c r="A7" s="55" t="s">
        <v>1052</v>
      </c>
      <c r="B7" s="187" t="s">
        <v>1225</v>
      </c>
      <c r="C7" s="55"/>
      <c r="D7" s="187" t="s">
        <v>1222</v>
      </c>
      <c r="F7" s="187" t="s">
        <v>1223</v>
      </c>
      <c r="G7" s="55"/>
      <c r="H7" s="187" t="s">
        <v>1224</v>
      </c>
      <c r="K7" s="187" t="s">
        <v>1225</v>
      </c>
      <c r="L7" s="55"/>
      <c r="M7" s="187" t="s">
        <v>1222</v>
      </c>
      <c r="N7" s="55"/>
      <c r="O7" s="187" t="s">
        <v>1223</v>
      </c>
      <c r="P7" s="55"/>
      <c r="Q7" s="187" t="s">
        <v>1224</v>
      </c>
    </row>
    <row r="8" spans="1:17" ht="15.75">
      <c r="A8" s="52" t="s">
        <v>1056</v>
      </c>
      <c r="B8" s="76"/>
      <c r="C8" s="52"/>
      <c r="D8" s="76"/>
      <c r="E8" s="76"/>
      <c r="F8" s="76"/>
      <c r="G8" s="76"/>
      <c r="H8" s="76"/>
      <c r="K8" s="76"/>
      <c r="L8" s="76"/>
      <c r="M8" s="76"/>
      <c r="N8" s="76"/>
      <c r="O8" s="76"/>
      <c r="P8" s="76"/>
      <c r="Q8" s="76"/>
    </row>
    <row r="9" spans="1:17">
      <c r="A9" s="76" t="s">
        <v>472</v>
      </c>
      <c r="B9" s="432">
        <v>1785890.9104191966</v>
      </c>
      <c r="C9" s="76"/>
      <c r="D9" s="432">
        <v>1870735.7130179643</v>
      </c>
      <c r="E9" s="76"/>
      <c r="F9" s="432">
        <v>1960061.5063344715</v>
      </c>
      <c r="G9" s="303"/>
      <c r="H9" s="432">
        <f ca="1">+'COMP Act to Prior'!D9</f>
        <v>2370525.9425286599</v>
      </c>
      <c r="K9" s="432">
        <v>1785890.9104191966</v>
      </c>
      <c r="L9" s="303"/>
      <c r="M9" s="432">
        <v>1870735.7130179643</v>
      </c>
      <c r="N9" s="303"/>
      <c r="O9" s="432">
        <v>1960061.5063344715</v>
      </c>
      <c r="P9" s="303"/>
      <c r="Q9" s="432">
        <v>2024569.5878616774</v>
      </c>
    </row>
    <row r="10" spans="1:17">
      <c r="A10" s="76" t="s">
        <v>190</v>
      </c>
      <c r="B10" s="303">
        <v>46373.210476923094</v>
      </c>
      <c r="C10" s="76"/>
      <c r="D10" s="303">
        <v>29593.656555384645</v>
      </c>
      <c r="E10" s="76"/>
      <c r="F10" s="303">
        <v>13040.350106923055</v>
      </c>
      <c r="G10" s="303"/>
      <c r="H10" s="303">
        <f ca="1">+'COMP Act to Prior'!D10</f>
        <v>24309.450432307684</v>
      </c>
      <c r="K10" s="303">
        <v>46373.210476923094</v>
      </c>
      <c r="L10" s="303"/>
      <c r="M10" s="303">
        <v>29593.656555384645</v>
      </c>
      <c r="N10" s="303"/>
      <c r="O10" s="303">
        <v>13040.350106923055</v>
      </c>
      <c r="P10" s="303"/>
      <c r="Q10" s="303">
        <v>17286.934380000021</v>
      </c>
    </row>
    <row r="11" spans="1:17">
      <c r="A11" s="76" t="s">
        <v>1057</v>
      </c>
      <c r="B11" s="303">
        <v>0</v>
      </c>
      <c r="C11" s="76"/>
      <c r="D11" s="303">
        <v>0</v>
      </c>
      <c r="E11" s="76"/>
      <c r="F11" s="303">
        <v>0</v>
      </c>
      <c r="G11" s="190"/>
      <c r="H11" s="303">
        <f ca="1">+'COMP Act to Prior'!D11</f>
        <v>0</v>
      </c>
      <c r="K11" s="303">
        <v>0</v>
      </c>
      <c r="L11" s="190"/>
      <c r="M11" s="303">
        <v>0</v>
      </c>
      <c r="N11" s="190"/>
      <c r="O11" s="303">
        <v>0</v>
      </c>
      <c r="P11" s="190"/>
      <c r="Q11" s="303">
        <v>0</v>
      </c>
    </row>
    <row r="12" spans="1:17">
      <c r="A12" s="76" t="s">
        <v>478</v>
      </c>
      <c r="B12" s="303">
        <v>2030.3262692307692</v>
      </c>
      <c r="C12" s="76"/>
      <c r="D12" s="303">
        <v>1561.2880053846154</v>
      </c>
      <c r="E12" s="76"/>
      <c r="F12" s="303">
        <v>1000</v>
      </c>
      <c r="G12" s="190"/>
      <c r="H12" s="303">
        <f ca="1">+'COMP Act to Prior'!D12</f>
        <v>1000</v>
      </c>
      <c r="K12" s="303">
        <v>2030.3262692307692</v>
      </c>
      <c r="L12" s="190"/>
      <c r="M12" s="303">
        <v>1561.2880053846154</v>
      </c>
      <c r="N12" s="190"/>
      <c r="O12" s="303">
        <v>1000</v>
      </c>
      <c r="P12" s="190"/>
      <c r="Q12" s="303">
        <v>1000</v>
      </c>
    </row>
    <row r="13" spans="1:17">
      <c r="A13" s="76" t="s">
        <v>1058</v>
      </c>
      <c r="B13" s="191">
        <v>-20932.047970797128</v>
      </c>
      <c r="C13" s="76"/>
      <c r="D13" s="191">
        <v>-18947.117027738874</v>
      </c>
      <c r="E13" s="76"/>
      <c r="F13" s="191">
        <v>-16602.634419277274</v>
      </c>
      <c r="G13" s="190"/>
      <c r="H13" s="191">
        <f ca="1">+'COMP Act to Prior'!D13</f>
        <v>-29047.373783918258</v>
      </c>
      <c r="K13" s="191">
        <v>-20932.047970797128</v>
      </c>
      <c r="L13" s="190"/>
      <c r="M13" s="191">
        <v>-18947.117027738874</v>
      </c>
      <c r="N13" s="190"/>
      <c r="O13" s="191">
        <v>-16602.634419277274</v>
      </c>
      <c r="P13" s="190"/>
      <c r="Q13" s="191">
        <v>-12278.534419277286</v>
      </c>
    </row>
    <row r="14" spans="1:17" ht="8.1" customHeight="1">
      <c r="A14" s="76"/>
      <c r="B14" s="300"/>
      <c r="C14" s="76"/>
      <c r="D14" s="300"/>
      <c r="E14" s="76"/>
      <c r="F14" s="300"/>
      <c r="G14" s="76"/>
      <c r="H14" s="300"/>
      <c r="K14" s="300"/>
      <c r="L14" s="76"/>
      <c r="M14" s="300"/>
      <c r="N14" s="76"/>
      <c r="O14" s="300"/>
      <c r="P14" s="76"/>
      <c r="Q14" s="300"/>
    </row>
    <row r="15" spans="1:17" ht="15.75">
      <c r="A15" s="475" t="s">
        <v>727</v>
      </c>
      <c r="B15" s="61">
        <v>1813362.3992000001</v>
      </c>
      <c r="C15" s="52"/>
      <c r="D15" s="61">
        <v>1882943.5405999999</v>
      </c>
      <c r="E15" s="52"/>
      <c r="F15" s="61">
        <v>1957499.2220000001</v>
      </c>
      <c r="G15" s="50"/>
      <c r="H15" s="61">
        <f ca="1">+'COMP Act to Prior'!D15</f>
        <v>2366788.0192</v>
      </c>
      <c r="K15" s="61">
        <v>1813362.3992000001</v>
      </c>
      <c r="L15" s="50"/>
      <c r="M15" s="61">
        <v>1882943.5405999999</v>
      </c>
      <c r="N15" s="50"/>
      <c r="O15" s="61">
        <v>1957499.2220000001</v>
      </c>
      <c r="P15" s="50"/>
      <c r="Q15" s="61">
        <v>2030577.9878</v>
      </c>
    </row>
    <row r="16" spans="1:17" ht="8.1" customHeight="1">
      <c r="A16" s="76"/>
      <c r="B16" s="76"/>
      <c r="C16" s="76"/>
      <c r="D16" s="76"/>
      <c r="E16" s="76"/>
      <c r="F16" s="76"/>
      <c r="G16" s="76"/>
      <c r="H16" s="76"/>
      <c r="K16" s="76"/>
      <c r="L16" s="76"/>
      <c r="M16" s="76"/>
      <c r="N16" s="76"/>
      <c r="O16" s="76"/>
      <c r="P16" s="76"/>
      <c r="Q16" s="76"/>
    </row>
    <row r="17" spans="1:17" s="52" customFormat="1" ht="15.75">
      <c r="A17" s="475" t="s">
        <v>1059</v>
      </c>
      <c r="B17" s="62">
        <v>100144.9038</v>
      </c>
      <c r="D17" s="62">
        <v>100530.30560000001</v>
      </c>
      <c r="F17" s="62">
        <v>101397.5085</v>
      </c>
      <c r="G17" s="63"/>
      <c r="H17" s="62">
        <f ca="1">+'COMP Act to Prior'!D17</f>
        <v>72338.710999999996</v>
      </c>
      <c r="K17" s="62">
        <v>100141.6911</v>
      </c>
      <c r="L17" s="63"/>
      <c r="M17" s="62">
        <v>100529.8174</v>
      </c>
      <c r="N17" s="63"/>
      <c r="O17" s="62">
        <v>101398.1635</v>
      </c>
      <c r="P17" s="63"/>
      <c r="Q17" s="62">
        <v>104961.26609999999</v>
      </c>
    </row>
    <row r="18" spans="1:17" ht="8.1" customHeight="1">
      <c r="A18" s="76"/>
      <c r="B18" s="76"/>
      <c r="C18" s="76"/>
      <c r="D18" s="76"/>
      <c r="E18" s="76"/>
      <c r="F18" s="76"/>
      <c r="G18" s="76"/>
      <c r="H18" s="76"/>
      <c r="K18" s="76"/>
      <c r="L18" s="76"/>
      <c r="M18" s="76"/>
      <c r="N18" s="76"/>
      <c r="O18" s="76"/>
      <c r="P18" s="76"/>
      <c r="Q18" s="76"/>
    </row>
    <row r="19" spans="1:17">
      <c r="A19" s="76" t="s">
        <v>1060</v>
      </c>
      <c r="B19" s="298">
        <v>5.5199999999999999E-2</v>
      </c>
      <c r="C19" s="76"/>
      <c r="D19" s="298">
        <v>5.3400000000000003E-2</v>
      </c>
      <c r="E19" s="76"/>
      <c r="F19" s="298">
        <v>5.1799999999999999E-2</v>
      </c>
      <c r="G19" s="298"/>
      <c r="H19" s="298">
        <f ca="1">+'COMP Act to Prior'!D19</f>
        <v>3.0599999999999999E-2</v>
      </c>
      <c r="K19" s="298">
        <v>5.5199999999999999E-2</v>
      </c>
      <c r="L19" s="298"/>
      <c r="M19" s="298">
        <v>5.3400000000000003E-2</v>
      </c>
      <c r="N19" s="298"/>
      <c r="O19" s="298">
        <v>5.1799999999999999E-2</v>
      </c>
      <c r="P19" s="298"/>
      <c r="Q19" s="298">
        <v>5.1700000000000003E-2</v>
      </c>
    </row>
    <row r="20" spans="1:17">
      <c r="A20" s="76" t="s">
        <v>1061</v>
      </c>
      <c r="B20" s="299">
        <v>1.5100000000000001E-2</v>
      </c>
      <c r="C20" s="76"/>
      <c r="D20" s="299">
        <v>1.5800000000000002E-2</v>
      </c>
      <c r="E20" s="76"/>
      <c r="F20" s="299">
        <v>1.66E-2</v>
      </c>
      <c r="G20" s="298"/>
      <c r="H20" s="299">
        <f ca="1">+'COMP Act to Prior'!D20</f>
        <v>2.18E-2</v>
      </c>
      <c r="K20" s="299">
        <v>1.5100000000000001E-2</v>
      </c>
      <c r="L20" s="298"/>
      <c r="M20" s="299">
        <v>1.5800000000000002E-2</v>
      </c>
      <c r="N20" s="298"/>
      <c r="O20" s="299">
        <v>1.66E-2</v>
      </c>
      <c r="P20" s="298"/>
      <c r="Q20" s="299">
        <v>1.7299999999999999E-2</v>
      </c>
    </row>
    <row r="21" spans="1:17" ht="8.1" customHeight="1">
      <c r="A21" s="76"/>
      <c r="B21" s="300"/>
      <c r="C21" s="76"/>
      <c r="D21" s="300"/>
      <c r="E21" s="76"/>
      <c r="F21" s="300"/>
      <c r="G21" s="298"/>
      <c r="H21" s="300"/>
      <c r="K21" s="300"/>
      <c r="L21" s="298"/>
      <c r="M21" s="300"/>
      <c r="N21" s="298"/>
      <c r="O21" s="300"/>
      <c r="P21" s="298"/>
      <c r="Q21" s="300"/>
    </row>
    <row r="22" spans="1:17">
      <c r="A22" s="76" t="s">
        <v>1062</v>
      </c>
      <c r="B22" s="298">
        <v>4.0099999999999997E-2</v>
      </c>
      <c r="C22" s="76"/>
      <c r="D22" s="298">
        <v>3.7600000000000001E-2</v>
      </c>
      <c r="E22" s="76"/>
      <c r="F22" s="298">
        <v>3.5200000000000002E-2</v>
      </c>
      <c r="G22" s="298"/>
      <c r="H22" s="298">
        <f ca="1">+'COMP Act to Prior'!D22</f>
        <v>8.8000000000000005E-3</v>
      </c>
      <c r="K22" s="298">
        <v>4.0099999999999997E-2</v>
      </c>
      <c r="L22" s="298"/>
      <c r="M22" s="298">
        <v>3.7600000000000001E-2</v>
      </c>
      <c r="N22" s="298"/>
      <c r="O22" s="298">
        <v>3.5200000000000002E-2</v>
      </c>
      <c r="P22" s="298"/>
      <c r="Q22" s="298">
        <v>3.44E-2</v>
      </c>
    </row>
    <row r="23" spans="1:17">
      <c r="A23" s="981" t="s">
        <v>1063</v>
      </c>
      <c r="B23" s="299">
        <v>0.47120000000000001</v>
      </c>
      <c r="C23" s="76"/>
      <c r="D23" s="299">
        <v>0.47270000000000001</v>
      </c>
      <c r="E23" s="76"/>
      <c r="F23" s="299">
        <v>0.47410000000000002</v>
      </c>
      <c r="G23" s="298"/>
      <c r="H23" s="299">
        <f ca="1">+'COMP Act to Prior'!D23</f>
        <v>0.47489999999999999</v>
      </c>
      <c r="K23" s="299">
        <v>0.47120000000000001</v>
      </c>
      <c r="L23" s="298"/>
      <c r="M23" s="299">
        <v>0.47270000000000001</v>
      </c>
      <c r="N23" s="298"/>
      <c r="O23" s="299">
        <v>0.47410000000000002</v>
      </c>
      <c r="P23" s="298"/>
      <c r="Q23" s="299">
        <v>0.4753</v>
      </c>
    </row>
    <row r="24" spans="1:17">
      <c r="A24" s="76"/>
      <c r="B24" s="300"/>
      <c r="C24" s="76"/>
      <c r="D24" s="300"/>
      <c r="E24" s="76"/>
      <c r="F24" s="300"/>
      <c r="G24" s="298"/>
      <c r="H24" s="300"/>
      <c r="K24" s="300"/>
      <c r="L24" s="298"/>
      <c r="M24" s="300"/>
      <c r="N24" s="298"/>
      <c r="O24" s="300"/>
      <c r="P24" s="298"/>
      <c r="Q24" s="300"/>
    </row>
    <row r="25" spans="1:17" s="52" customFormat="1" ht="15.75">
      <c r="A25" s="475" t="s">
        <v>1064</v>
      </c>
      <c r="B25" s="65">
        <v>8.5199999999999998E-2</v>
      </c>
      <c r="D25" s="65">
        <v>7.9500000000000001E-2</v>
      </c>
      <c r="F25" s="65">
        <v>7.4200000000000002E-2</v>
      </c>
      <c r="G25" s="65"/>
      <c r="H25" s="65">
        <f ca="1">+'COMP Act to Prior'!D25</f>
        <v>1.84E-2</v>
      </c>
      <c r="K25" s="65">
        <v>8.5099999999999995E-2</v>
      </c>
      <c r="L25" s="65"/>
      <c r="M25" s="65">
        <v>7.9500000000000001E-2</v>
      </c>
      <c r="N25" s="65"/>
      <c r="O25" s="65">
        <v>7.4200000000000002E-2</v>
      </c>
      <c r="P25" s="65"/>
      <c r="Q25" s="65">
        <v>7.2400000000000006E-2</v>
      </c>
    </row>
    <row r="26" spans="1:17" s="66" customFormat="1" ht="4.5" customHeight="1">
      <c r="A26" s="322"/>
      <c r="B26" s="301"/>
      <c r="C26" s="322"/>
      <c r="D26" s="301"/>
      <c r="E26" s="322"/>
      <c r="F26" s="301"/>
      <c r="G26" s="322"/>
      <c r="H26" s="301"/>
      <c r="K26" s="301"/>
      <c r="L26" s="322"/>
      <c r="M26" s="301"/>
      <c r="N26" s="322"/>
      <c r="O26" s="301"/>
      <c r="P26" s="322"/>
      <c r="Q26" s="301"/>
    </row>
    <row r="27" spans="1:17" ht="4.5" customHeight="1">
      <c r="A27" s="76"/>
      <c r="B27" s="76"/>
      <c r="C27" s="76"/>
      <c r="D27" s="76"/>
      <c r="E27" s="76"/>
      <c r="F27" s="76"/>
      <c r="G27" s="76"/>
      <c r="H27" s="76"/>
      <c r="K27" s="76"/>
      <c r="L27" s="76"/>
      <c r="M27" s="76"/>
      <c r="N27" s="76"/>
      <c r="O27" s="76"/>
      <c r="P27" s="76"/>
      <c r="Q27" s="76"/>
    </row>
    <row r="28" spans="1:17">
      <c r="A28" s="76" t="s">
        <v>1065</v>
      </c>
      <c r="B28" s="433">
        <v>126496.92737999995</v>
      </c>
      <c r="C28" s="76"/>
      <c r="D28" s="433">
        <v>126960.53380000003</v>
      </c>
      <c r="E28" s="190"/>
      <c r="F28" s="433">
        <v>127522.93514999999</v>
      </c>
      <c r="G28" s="303"/>
      <c r="H28" s="433">
        <f ca="1">+'COMP Act to Prior'!D28</f>
        <v>76241.100000000006</v>
      </c>
      <c r="K28" s="433">
        <v>126496.92737999995</v>
      </c>
      <c r="L28" s="303"/>
      <c r="M28" s="433">
        <v>126960.53380000003</v>
      </c>
      <c r="N28" s="303"/>
      <c r="O28" s="433">
        <v>127522.93514999999</v>
      </c>
      <c r="P28" s="303"/>
      <c r="Q28" s="433">
        <v>131712.16215999992</v>
      </c>
    </row>
    <row r="29" spans="1:17">
      <c r="A29" s="76" t="s">
        <v>1066</v>
      </c>
      <c r="B29" s="982">
        <v>24694.894260000001</v>
      </c>
      <c r="C29" s="76"/>
      <c r="D29" s="982">
        <v>24366.5</v>
      </c>
      <c r="E29" s="190"/>
      <c r="F29" s="434">
        <v>23665.399999999998</v>
      </c>
      <c r="G29" s="303"/>
      <c r="H29" s="434">
        <f ca="1">+'COMP Act to Prior'!D29</f>
        <v>6057.0999999999985</v>
      </c>
      <c r="K29" s="1029">
        <v>24694.894260000001</v>
      </c>
      <c r="L29" s="303"/>
      <c r="M29" s="1029">
        <v>24366.5</v>
      </c>
      <c r="N29" s="303"/>
      <c r="O29" s="1030">
        <v>23665.399999999998</v>
      </c>
      <c r="P29" s="303"/>
      <c r="Q29" s="1030">
        <v>23931.4</v>
      </c>
    </row>
    <row r="30" spans="1:17">
      <c r="A30" s="976" t="s">
        <v>1067</v>
      </c>
      <c r="B30" s="191">
        <v>0</v>
      </c>
      <c r="C30" s="976"/>
      <c r="D30" s="191">
        <v>0</v>
      </c>
      <c r="E30" s="190"/>
      <c r="F30" s="191">
        <v>0</v>
      </c>
      <c r="G30" s="190"/>
      <c r="H30" s="191">
        <f>+'COMP Act to Prior'!D30</f>
        <v>0</v>
      </c>
      <c r="K30" s="191">
        <v>0</v>
      </c>
      <c r="L30" s="190"/>
      <c r="M30" s="191">
        <v>0</v>
      </c>
      <c r="N30" s="190"/>
      <c r="O30" s="191">
        <v>0</v>
      </c>
      <c r="P30" s="190"/>
      <c r="Q30" s="191">
        <v>0</v>
      </c>
    </row>
    <row r="31" spans="1:17">
      <c r="A31" s="300" t="s">
        <v>1068</v>
      </c>
      <c r="B31" s="191">
        <v>24694.894260000001</v>
      </c>
      <c r="C31" s="300"/>
      <c r="D31" s="191">
        <v>24366.5</v>
      </c>
      <c r="E31" s="190"/>
      <c r="F31" s="191">
        <v>23665.399999999998</v>
      </c>
      <c r="G31" s="190"/>
      <c r="H31" s="191">
        <f ca="1">+'COMP Act to Prior'!D31</f>
        <v>6057.0999999999985</v>
      </c>
      <c r="K31" s="191">
        <v>24694.894260000001</v>
      </c>
      <c r="L31" s="190"/>
      <c r="M31" s="191">
        <v>24366.5</v>
      </c>
      <c r="N31" s="190"/>
      <c r="O31" s="191">
        <v>23665.399999999998</v>
      </c>
      <c r="P31" s="190"/>
      <c r="Q31" s="191">
        <v>23931.4</v>
      </c>
    </row>
    <row r="32" spans="1:17" ht="8.1" customHeight="1">
      <c r="A32" s="76"/>
      <c r="B32" s="302"/>
      <c r="C32" s="76"/>
      <c r="D32" s="302"/>
      <c r="E32" s="190"/>
      <c r="F32" s="302"/>
      <c r="G32" s="76"/>
      <c r="H32" s="302"/>
      <c r="K32" s="302"/>
      <c r="L32" s="76"/>
      <c r="M32" s="302"/>
      <c r="N32" s="76"/>
      <c r="O32" s="302"/>
      <c r="P32" s="76"/>
      <c r="Q32" s="302"/>
    </row>
    <row r="33" spans="1:17">
      <c r="A33" s="76" t="s">
        <v>1069</v>
      </c>
      <c r="B33" s="191">
        <v>101802.03311999995</v>
      </c>
      <c r="C33" s="76"/>
      <c r="D33" s="191">
        <v>102594.03380000003</v>
      </c>
      <c r="E33" s="190"/>
      <c r="F33" s="191">
        <v>103857.53515</v>
      </c>
      <c r="G33" s="303"/>
      <c r="H33" s="191">
        <f ca="1">+'COMP Act to Prior'!D33</f>
        <v>70184</v>
      </c>
      <c r="K33" s="191">
        <v>101802.03311999995</v>
      </c>
      <c r="L33" s="303"/>
      <c r="M33" s="191">
        <v>102594.03380000003</v>
      </c>
      <c r="N33" s="303"/>
      <c r="O33" s="191">
        <v>103857.53515</v>
      </c>
      <c r="P33" s="303"/>
      <c r="Q33" s="191">
        <v>107780.76215999993</v>
      </c>
    </row>
    <row r="34" spans="1:17">
      <c r="A34" s="76"/>
      <c r="B34" s="190"/>
      <c r="C34" s="76"/>
      <c r="D34" s="190"/>
      <c r="E34" s="190"/>
      <c r="F34" s="190"/>
      <c r="G34" s="303"/>
      <c r="H34" s="190"/>
      <c r="K34" s="190"/>
      <c r="L34" s="303"/>
      <c r="M34" s="190"/>
      <c r="N34" s="303"/>
      <c r="O34" s="190"/>
      <c r="P34" s="303"/>
      <c r="Q34" s="190"/>
    </row>
    <row r="35" spans="1:17">
      <c r="A35" s="76" t="s">
        <v>1070</v>
      </c>
      <c r="B35" s="190">
        <v>0</v>
      </c>
      <c r="C35" s="76"/>
      <c r="D35" s="190">
        <v>0</v>
      </c>
      <c r="E35" s="190"/>
      <c r="F35" s="190">
        <v>0</v>
      </c>
      <c r="G35" s="303"/>
      <c r="H35" s="190">
        <f>+'COMP Act to Prior'!D35</f>
        <v>0</v>
      </c>
      <c r="K35" s="190">
        <v>0</v>
      </c>
      <c r="L35" s="303"/>
      <c r="M35" s="190">
        <v>0</v>
      </c>
      <c r="N35" s="303"/>
      <c r="O35" s="190">
        <v>0</v>
      </c>
      <c r="P35" s="303"/>
      <c r="Q35" s="190">
        <v>0</v>
      </c>
    </row>
    <row r="36" spans="1:17">
      <c r="A36" s="976" t="s">
        <v>1071</v>
      </c>
      <c r="B36" s="191">
        <v>-1657.1293136723011</v>
      </c>
      <c r="C36" s="976"/>
      <c r="D36" s="191">
        <v>-2063.7282056358313</v>
      </c>
      <c r="E36" s="190"/>
      <c r="F36" s="191">
        <v>-2460.0266491654147</v>
      </c>
      <c r="G36" s="76"/>
      <c r="H36" s="191">
        <f ca="1">+'COMP Act to Prior'!D36</f>
        <v>2154.711039144227</v>
      </c>
      <c r="K36" s="191">
        <v>-1660.3419710473886</v>
      </c>
      <c r="L36" s="76"/>
      <c r="M36" s="191">
        <v>-2064.2163914423672</v>
      </c>
      <c r="N36" s="76"/>
      <c r="O36" s="191">
        <v>-2459.3716859134374</v>
      </c>
      <c r="P36" s="76"/>
      <c r="Q36" s="191">
        <v>-2819.4960389463222</v>
      </c>
    </row>
    <row r="37" spans="1:17" s="52" customFormat="1" ht="15.75">
      <c r="A37" s="52" t="s">
        <v>1059</v>
      </c>
      <c r="B37" s="62">
        <v>100144.90380632765</v>
      </c>
      <c r="D37" s="62">
        <v>100530.3055943642</v>
      </c>
      <c r="E37" s="68"/>
      <c r="F37" s="62">
        <v>101397.50850083458</v>
      </c>
      <c r="G37" s="63"/>
      <c r="H37" s="62">
        <f ca="1">+'COMP Act to Prior'!D37</f>
        <v>72338.711039144226</v>
      </c>
      <c r="K37" s="62">
        <v>100141.69114895257</v>
      </c>
      <c r="L37" s="63"/>
      <c r="M37" s="62">
        <v>100529.81740855766</v>
      </c>
      <c r="N37" s="63"/>
      <c r="O37" s="62">
        <v>101398.16346408655</v>
      </c>
      <c r="P37" s="63"/>
      <c r="Q37" s="62">
        <v>104961.2661210536</v>
      </c>
    </row>
    <row r="38" spans="1:17" s="66" customFormat="1" ht="14.1" customHeight="1">
      <c r="A38" s="322"/>
      <c r="B38" s="69"/>
      <c r="C38" s="322"/>
      <c r="D38" s="69"/>
      <c r="E38" s="191"/>
      <c r="F38" s="69"/>
      <c r="G38" s="327"/>
      <c r="H38" s="69"/>
      <c r="K38" s="69"/>
      <c r="L38" s="327"/>
      <c r="M38" s="69"/>
      <c r="N38" s="327"/>
      <c r="O38" s="69"/>
      <c r="P38" s="327"/>
      <c r="Q38" s="69"/>
    </row>
    <row r="39" spans="1:17" ht="4.5" customHeight="1">
      <c r="A39" s="76"/>
      <c r="B39" s="71"/>
      <c r="C39" s="76"/>
      <c r="D39" s="71"/>
      <c r="E39" s="190"/>
      <c r="F39" s="71"/>
      <c r="G39" s="328"/>
      <c r="H39" s="71"/>
      <c r="K39" s="71"/>
      <c r="L39" s="328"/>
      <c r="M39" s="71"/>
      <c r="N39" s="328"/>
      <c r="O39" s="71"/>
      <c r="P39" s="328"/>
      <c r="Q39" s="71"/>
    </row>
    <row r="40" spans="1:17" ht="15.75">
      <c r="A40" s="55" t="s">
        <v>1073</v>
      </c>
      <c r="B40" s="302"/>
      <c r="C40" s="55"/>
      <c r="D40" s="302"/>
      <c r="E40" s="190"/>
      <c r="F40" s="302"/>
      <c r="G40" s="190"/>
      <c r="H40" s="302"/>
      <c r="K40" s="302"/>
      <c r="L40" s="190"/>
      <c r="M40" s="302"/>
      <c r="N40" s="190"/>
      <c r="O40" s="302"/>
      <c r="P40" s="190"/>
      <c r="Q40" s="302"/>
    </row>
    <row r="41" spans="1:17">
      <c r="A41" s="76" t="s">
        <v>1074</v>
      </c>
      <c r="B41" s="192">
        <v>0</v>
      </c>
      <c r="C41" s="76"/>
      <c r="D41" s="192">
        <v>0</v>
      </c>
      <c r="E41" s="190"/>
      <c r="F41" s="192">
        <v>0</v>
      </c>
      <c r="G41" s="298"/>
      <c r="H41" s="192">
        <f ca="1">+'COMP Act to Prior'!D41</f>
        <v>0</v>
      </c>
      <c r="K41" s="192">
        <v>0</v>
      </c>
      <c r="L41" s="298"/>
      <c r="M41" s="192">
        <v>0</v>
      </c>
      <c r="N41" s="298"/>
      <c r="O41" s="192">
        <v>0</v>
      </c>
      <c r="P41" s="298"/>
      <c r="Q41" s="192">
        <v>0</v>
      </c>
    </row>
    <row r="42" spans="1:17">
      <c r="A42" s="76" t="s">
        <v>1075</v>
      </c>
      <c r="B42" s="192">
        <v>32.215670683224126</v>
      </c>
      <c r="C42" s="76"/>
      <c r="D42" s="192">
        <v>33.396343508819058</v>
      </c>
      <c r="E42" s="190"/>
      <c r="F42" s="192">
        <v>34.856977137684652</v>
      </c>
      <c r="G42" s="298"/>
      <c r="H42" s="192">
        <f ca="1">+'COMP Act to Prior'!D42</f>
        <v>32.303351541452763</v>
      </c>
      <c r="K42" s="192">
        <v>32.215670683224126</v>
      </c>
      <c r="L42" s="298"/>
      <c r="M42" s="192">
        <v>33.396343508819058</v>
      </c>
      <c r="N42" s="298"/>
      <c r="O42" s="192">
        <v>34.856977137684652</v>
      </c>
      <c r="P42" s="298"/>
      <c r="Q42" s="192">
        <v>35.898645635905254</v>
      </c>
    </row>
    <row r="43" spans="1:17">
      <c r="A43" s="76" t="s">
        <v>1076</v>
      </c>
      <c r="B43" s="192">
        <v>-239.28374569103431</v>
      </c>
      <c r="C43" s="76"/>
      <c r="D43" s="192">
        <v>-322.76923201515973</v>
      </c>
      <c r="E43" s="190"/>
      <c r="F43" s="192">
        <v>-376.66864830860902</v>
      </c>
      <c r="G43" s="298"/>
      <c r="H43" s="192">
        <f ca="1">+'COMP Act to Prior'!D43</f>
        <v>-325.33788507723699</v>
      </c>
      <c r="K43" s="192">
        <v>-239.28374569103431</v>
      </c>
      <c r="L43" s="298"/>
      <c r="M43" s="192">
        <v>-322.76923201515973</v>
      </c>
      <c r="N43" s="298"/>
      <c r="O43" s="192">
        <v>-376.66864830860902</v>
      </c>
      <c r="P43" s="298"/>
      <c r="Q43" s="192">
        <v>-397.22217298673559</v>
      </c>
    </row>
    <row r="44" spans="1:17">
      <c r="A44" s="76" t="s">
        <v>1077</v>
      </c>
      <c r="B44" s="192">
        <v>2099</v>
      </c>
      <c r="C44" s="76"/>
      <c r="D44" s="192">
        <v>2099</v>
      </c>
      <c r="E44" s="190"/>
      <c r="F44" s="192">
        <v>2099</v>
      </c>
      <c r="G44" s="298"/>
      <c r="H44" s="192">
        <f>+'COMP Act to Prior'!D44</f>
        <v>3084</v>
      </c>
      <c r="K44" s="192">
        <v>2099</v>
      </c>
      <c r="L44" s="298"/>
      <c r="M44" s="192">
        <v>2099</v>
      </c>
      <c r="N44" s="298"/>
      <c r="O44" s="192">
        <v>2099</v>
      </c>
      <c r="P44" s="298"/>
      <c r="Q44" s="192">
        <v>2099</v>
      </c>
    </row>
    <row r="45" spans="1:17">
      <c r="A45" s="76" t="s">
        <v>1078</v>
      </c>
      <c r="B45" s="192">
        <v>0</v>
      </c>
      <c r="C45" s="76"/>
      <c r="D45" s="192">
        <v>0</v>
      </c>
      <c r="E45" s="190"/>
      <c r="F45" s="192">
        <v>0</v>
      </c>
      <c r="G45" s="298"/>
      <c r="H45" s="192">
        <f ca="1">+'COMP Act to Prior'!D45</f>
        <v>0</v>
      </c>
      <c r="K45" s="192">
        <v>0</v>
      </c>
      <c r="L45" s="298"/>
      <c r="M45" s="192">
        <v>0</v>
      </c>
      <c r="N45" s="298"/>
      <c r="O45" s="192">
        <v>0</v>
      </c>
      <c r="P45" s="298"/>
      <c r="Q45" s="192">
        <v>0</v>
      </c>
    </row>
    <row r="46" spans="1:17">
      <c r="A46" s="76" t="s">
        <v>1079</v>
      </c>
      <c r="B46" s="192">
        <v>1.3736520000000001</v>
      </c>
      <c r="C46" s="76"/>
      <c r="D46" s="192">
        <v>4.7331269999999996</v>
      </c>
      <c r="E46" s="190"/>
      <c r="F46" s="192">
        <v>7.4655000000000005</v>
      </c>
      <c r="G46" s="298"/>
      <c r="H46" s="192">
        <f ca="1">+'COMP Act to Prior'!D46</f>
        <v>13.751451000000001</v>
      </c>
      <c r="K46" s="192">
        <v>2.4934769999999999</v>
      </c>
      <c r="L46" s="298"/>
      <c r="M46" s="192">
        <v>5.8529520000000002</v>
      </c>
      <c r="N46" s="298"/>
      <c r="O46" s="192">
        <v>8.585325000000001</v>
      </c>
      <c r="P46" s="298"/>
      <c r="Q46" s="192">
        <v>13.437899999999999</v>
      </c>
    </row>
    <row r="47" spans="1:17">
      <c r="A47" s="76" t="s">
        <v>1080</v>
      </c>
      <c r="B47" s="192">
        <v>59.744836210500004</v>
      </c>
      <c r="C47" s="76"/>
      <c r="D47" s="192">
        <v>59.744836210500004</v>
      </c>
      <c r="E47" s="190"/>
      <c r="F47" s="192">
        <v>59.744836210499997</v>
      </c>
      <c r="G47" s="298"/>
      <c r="H47" s="192">
        <f ca="1">+'COMP Act to Prior'!D47</f>
        <v>59.108476990500002</v>
      </c>
      <c r="K47" s="192">
        <v>61.249365891000004</v>
      </c>
      <c r="L47" s="298"/>
      <c r="M47" s="192">
        <v>61.523954446499999</v>
      </c>
      <c r="N47" s="298"/>
      <c r="O47" s="192">
        <v>64.134841364999986</v>
      </c>
      <c r="P47" s="298"/>
      <c r="Q47" s="192">
        <v>59.744836210500004</v>
      </c>
    </row>
    <row r="48" spans="1:17">
      <c r="A48" s="76" t="s">
        <v>1081</v>
      </c>
      <c r="B48" s="192">
        <v>-67.612898367002344</v>
      </c>
      <c r="C48" s="76"/>
      <c r="D48" s="192">
        <v>-63.456750000001193</v>
      </c>
      <c r="E48" s="190"/>
      <c r="F48" s="192">
        <v>-65.995020000002114</v>
      </c>
      <c r="G48" s="298"/>
      <c r="H48" s="192">
        <f ca="1">+'COMP Act to Prior'!D48</f>
        <v>0</v>
      </c>
      <c r="K48" s="192">
        <v>-75.227708366997831</v>
      </c>
      <c r="L48" s="298"/>
      <c r="M48" s="192">
        <v>-69.578459999996994</v>
      </c>
      <c r="N48" s="298"/>
      <c r="O48" s="192">
        <v>-72.863279999997758</v>
      </c>
      <c r="P48" s="298"/>
      <c r="Q48" s="192">
        <v>-89.06341500000417</v>
      </c>
    </row>
    <row r="49" spans="1:17">
      <c r="A49" s="76" t="s">
        <v>1082</v>
      </c>
      <c r="B49" s="192">
        <v>28.703727937785601</v>
      </c>
      <c r="C49" s="76"/>
      <c r="D49" s="192">
        <v>28.703727937785601</v>
      </c>
      <c r="E49" s="190"/>
      <c r="F49" s="192">
        <v>28.703727937785594</v>
      </c>
      <c r="G49" s="298"/>
      <c r="H49" s="192">
        <f ca="1">+'COMP Act to Prior'!D49</f>
        <v>28.703727937785594</v>
      </c>
      <c r="K49" s="192">
        <v>30.2200894921464</v>
      </c>
      <c r="L49" s="298"/>
      <c r="M49" s="192">
        <v>31.092630877476005</v>
      </c>
      <c r="N49" s="298"/>
      <c r="O49" s="192">
        <v>30.333432409307996</v>
      </c>
      <c r="P49" s="298"/>
      <c r="Q49" s="192">
        <v>28.703727937785594</v>
      </c>
    </row>
    <row r="50" spans="1:17">
      <c r="A50" s="76" t="s">
        <v>1083</v>
      </c>
      <c r="B50" s="192">
        <v>4.4270182972260006</v>
      </c>
      <c r="C50" s="76"/>
      <c r="D50" s="192">
        <v>4.4270182972260006</v>
      </c>
      <c r="E50" s="190"/>
      <c r="F50" s="192">
        <v>4.4270182972260006</v>
      </c>
      <c r="G50" s="298"/>
      <c r="H50" s="192">
        <f ca="1">+'COMP Act to Prior'!D50</f>
        <v>4.4270182972260006</v>
      </c>
      <c r="K50" s="192">
        <v>4.6884546872730004</v>
      </c>
      <c r="L50" s="298"/>
      <c r="M50" s="192">
        <v>4.7726963149949997</v>
      </c>
      <c r="N50" s="298"/>
      <c r="O50" s="192">
        <v>4.8107069231760002</v>
      </c>
      <c r="P50" s="298"/>
      <c r="Q50" s="192">
        <v>4.4270182972260006</v>
      </c>
    </row>
    <row r="51" spans="1:17">
      <c r="A51" s="76" t="s">
        <v>1084</v>
      </c>
      <c r="B51" s="192">
        <v>0</v>
      </c>
      <c r="C51" s="76"/>
      <c r="D51" s="192">
        <v>0</v>
      </c>
      <c r="E51" s="190"/>
      <c r="F51" s="192">
        <v>0</v>
      </c>
      <c r="G51" s="298"/>
      <c r="H51" s="192">
        <f>+'COMP Act to Prior'!D51</f>
        <v>0</v>
      </c>
      <c r="K51" s="192">
        <v>0</v>
      </c>
      <c r="L51" s="298"/>
      <c r="M51" s="192">
        <v>0</v>
      </c>
      <c r="N51" s="298"/>
      <c r="O51" s="192">
        <v>0</v>
      </c>
      <c r="P51" s="298"/>
      <c r="Q51" s="192">
        <v>0</v>
      </c>
    </row>
    <row r="52" spans="1:17">
      <c r="A52" s="76" t="s">
        <v>1085</v>
      </c>
      <c r="B52" s="192">
        <v>0</v>
      </c>
      <c r="C52" s="76"/>
      <c r="D52" s="192">
        <v>0</v>
      </c>
      <c r="E52" s="76"/>
      <c r="F52" s="192">
        <v>0</v>
      </c>
      <c r="G52" s="298"/>
      <c r="H52" s="192">
        <f>+'COMP Act to Prior'!D52</f>
        <v>0</v>
      </c>
      <c r="K52" s="192">
        <v>0</v>
      </c>
      <c r="L52" s="298"/>
      <c r="M52" s="192">
        <v>0</v>
      </c>
      <c r="N52" s="298"/>
      <c r="O52" s="192">
        <v>0</v>
      </c>
      <c r="P52" s="298"/>
      <c r="Q52" s="192">
        <v>0</v>
      </c>
    </row>
    <row r="53" spans="1:17">
      <c r="A53" s="200" t="s">
        <v>65</v>
      </c>
      <c r="B53" s="192">
        <v>-87.940603800000005</v>
      </c>
      <c r="C53" s="200"/>
      <c r="D53" s="192">
        <v>-87.940603800000005</v>
      </c>
      <c r="E53" s="76"/>
      <c r="F53" s="192">
        <v>-87.940603800000005</v>
      </c>
      <c r="G53" s="298"/>
      <c r="H53" s="192">
        <f ca="1">+'COMP Act to Prior'!D53</f>
        <v>-87.940603800000005</v>
      </c>
      <c r="K53" s="192">
        <v>-87.940603800000005</v>
      </c>
      <c r="L53" s="298"/>
      <c r="M53" s="192">
        <v>-87.940603800000005</v>
      </c>
      <c r="N53" s="298"/>
      <c r="O53" s="192">
        <v>-87.940603800000005</v>
      </c>
      <c r="P53" s="298"/>
      <c r="Q53" s="192">
        <v>-87.940603800000005</v>
      </c>
    </row>
    <row r="54" spans="1:17">
      <c r="A54" s="76" t="s">
        <v>1086</v>
      </c>
      <c r="B54" s="192">
        <v>0</v>
      </c>
      <c r="C54" s="76"/>
      <c r="D54" s="192">
        <v>0</v>
      </c>
      <c r="E54" s="76"/>
      <c r="F54" s="192">
        <v>0</v>
      </c>
      <c r="G54" s="298"/>
      <c r="H54" s="192">
        <f>+'COMP Act to Prior'!D54</f>
        <v>0</v>
      </c>
      <c r="K54" s="192">
        <v>0</v>
      </c>
      <c r="L54" s="298"/>
      <c r="M54" s="192">
        <v>0</v>
      </c>
      <c r="N54" s="298"/>
      <c r="O54" s="192">
        <v>0</v>
      </c>
      <c r="P54" s="298"/>
      <c r="Q54" s="192">
        <v>0</v>
      </c>
    </row>
    <row r="55" spans="1:17">
      <c r="A55" s="76" t="s">
        <v>66</v>
      </c>
      <c r="B55" s="192">
        <v>-7.913429999462096E-4</v>
      </c>
      <c r="C55" s="76"/>
      <c r="D55" s="192">
        <v>-3.7327500058381702E-4</v>
      </c>
      <c r="E55" s="190"/>
      <c r="F55" s="192">
        <v>8.9586000058261561E-4</v>
      </c>
      <c r="G55" s="298"/>
      <c r="H55" s="192">
        <f ca="1">+'COMP Act to Prior'!D55</f>
        <v>2.9115449990513298E-4</v>
      </c>
      <c r="K55" s="192">
        <v>-7.913429999462096E-4</v>
      </c>
      <c r="L55" s="298"/>
      <c r="M55" s="192">
        <v>-3.7327500058381702E-4</v>
      </c>
      <c r="N55" s="298"/>
      <c r="O55" s="192">
        <v>8.9586000058261561E-4</v>
      </c>
      <c r="P55" s="298"/>
      <c r="Q55" s="192">
        <v>5.8230900094713434E-4</v>
      </c>
    </row>
    <row r="56" spans="1:17">
      <c r="A56" s="76" t="s">
        <v>67</v>
      </c>
      <c r="B56" s="192">
        <v>-3487.7561796</v>
      </c>
      <c r="C56" s="76"/>
      <c r="D56" s="192">
        <v>-3819.5662995000002</v>
      </c>
      <c r="E56" s="190"/>
      <c r="F56" s="192">
        <v>-4163.6213324999999</v>
      </c>
      <c r="G56" s="298"/>
      <c r="H56" s="192">
        <f ca="1">+'COMP Act to Prior'!D56</f>
        <v>-654.30478889999995</v>
      </c>
      <c r="K56" s="192">
        <v>-3487.7561796</v>
      </c>
      <c r="L56" s="298"/>
      <c r="M56" s="192">
        <v>-3819.5662995000002</v>
      </c>
      <c r="N56" s="298"/>
      <c r="O56" s="192">
        <v>-4163.6213324999999</v>
      </c>
      <c r="P56" s="298"/>
      <c r="Q56" s="192">
        <v>-4486.4825575499999</v>
      </c>
    </row>
    <row r="57" spans="1:17" ht="15.2" customHeight="1">
      <c r="A57" s="76" t="s">
        <v>1087</v>
      </c>
      <c r="B57" s="191">
        <v>0</v>
      </c>
      <c r="C57" s="76"/>
      <c r="D57" s="191">
        <v>0</v>
      </c>
      <c r="E57" s="190"/>
      <c r="F57" s="191">
        <v>0</v>
      </c>
      <c r="G57" s="76"/>
      <c r="H57" s="191">
        <f>+'COMP Act to Prior'!D57</f>
        <v>0</v>
      </c>
      <c r="K57" s="191">
        <v>0</v>
      </c>
      <c r="L57" s="76"/>
      <c r="M57" s="191">
        <v>0</v>
      </c>
      <c r="N57" s="76"/>
      <c r="O57" s="191">
        <v>0</v>
      </c>
      <c r="P57" s="76"/>
      <c r="Q57" s="191">
        <v>0</v>
      </c>
    </row>
    <row r="58" spans="1:17" ht="15.2" customHeight="1">
      <c r="A58" s="76" t="s">
        <v>1088</v>
      </c>
      <c r="B58" s="190">
        <v>-1657.1293136723011</v>
      </c>
      <c r="C58" s="76"/>
      <c r="D58" s="190">
        <v>-2063.7282056358313</v>
      </c>
      <c r="E58" s="190"/>
      <c r="F58" s="190">
        <v>-2460.0266491654147</v>
      </c>
      <c r="G58" s="76"/>
      <c r="H58" s="190">
        <f ca="1">+'COMP Act to Prior'!D58</f>
        <v>2154.711039144227</v>
      </c>
      <c r="K58" s="190">
        <v>-1660.3419710473886</v>
      </c>
      <c r="L58" s="76"/>
      <c r="M58" s="190">
        <v>-2064.2163914423672</v>
      </c>
      <c r="N58" s="76"/>
      <c r="O58" s="190">
        <v>-2459.3716859134374</v>
      </c>
      <c r="P58" s="76"/>
      <c r="Q58" s="190">
        <v>-2819.4960389463222</v>
      </c>
    </row>
    <row r="59" spans="1:17" ht="15.75">
      <c r="A59" s="52"/>
      <c r="B59" s="52"/>
      <c r="C59" s="52"/>
      <c r="D59" s="52"/>
      <c r="E59" s="76"/>
      <c r="F59" s="52"/>
      <c r="G59" s="76"/>
      <c r="H59" s="52"/>
      <c r="L59" s="76"/>
      <c r="N59" s="76"/>
      <c r="P59" s="76"/>
    </row>
    <row r="60" spans="1:17" hidden="1">
      <c r="A60" s="76" t="s">
        <v>1094</v>
      </c>
      <c r="B60" s="76">
        <v>-6485.9649200932026</v>
      </c>
      <c r="C60" s="76"/>
      <c r="D60" s="76"/>
      <c r="E60" s="76"/>
      <c r="F60" s="76"/>
      <c r="G60" s="76"/>
      <c r="H60" s="76"/>
      <c r="L60" s="76"/>
      <c r="N60" s="76"/>
      <c r="P60" s="76"/>
    </row>
    <row r="61" spans="1:17" hidden="1">
      <c r="A61" s="76" t="s">
        <v>1095</v>
      </c>
      <c r="B61" s="76"/>
      <c r="C61" s="76"/>
      <c r="D61" s="76"/>
      <c r="E61" s="76"/>
      <c r="F61" s="76"/>
      <c r="G61" s="76"/>
      <c r="H61" s="76"/>
      <c r="L61" s="76"/>
      <c r="N61" s="76"/>
      <c r="P61" s="76"/>
    </row>
    <row r="62" spans="1:17" hidden="1">
      <c r="A62" s="300" t="s">
        <v>1098</v>
      </c>
      <c r="B62" s="192">
        <v>77636.11856458275</v>
      </c>
      <c r="C62" s="192"/>
      <c r="D62" s="192">
        <v>77627.897216492187</v>
      </c>
      <c r="E62" s="192"/>
      <c r="F62" s="192">
        <v>77782.430253523271</v>
      </c>
      <c r="G62" s="192"/>
      <c r="H62" s="192">
        <v>82941.836892171545</v>
      </c>
      <c r="L62" s="192"/>
      <c r="N62" s="192"/>
      <c r="P62" s="192"/>
    </row>
    <row r="63" spans="1:17" hidden="1">
      <c r="A63" s="76" t="s">
        <v>1099</v>
      </c>
      <c r="B63" s="1014">
        <f>('Bal Sheet'!BA63+'Bal Sheet'!BM63)/2</f>
        <v>795278.70818500011</v>
      </c>
      <c r="C63" s="192"/>
      <c r="D63" s="1014">
        <f>+('Bal Sheet'!BD63+'Bal Sheet'!BP63)/2</f>
        <v>811106.81570000004</v>
      </c>
      <c r="E63" s="192"/>
      <c r="F63" s="1014">
        <f>+('Bal Sheet'!BG63+'Bal Sheet'!BS63)/2</f>
        <v>844964.27536999993</v>
      </c>
      <c r="G63" s="192"/>
      <c r="H63" s="1014">
        <f>+('Bal Sheet'!BJ63+'Bal Sheet'!BV63)/2</f>
        <v>888784.40915000008</v>
      </c>
      <c r="L63" s="192"/>
      <c r="N63" s="192"/>
      <c r="P63" s="192"/>
    </row>
    <row r="64" spans="1:17" ht="15.75" hidden="1">
      <c r="A64" s="52" t="s">
        <v>1100</v>
      </c>
      <c r="B64" s="1015">
        <f>+B62/B63</f>
        <v>9.7621271342427041E-2</v>
      </c>
      <c r="C64" s="1016"/>
      <c r="D64" s="1015">
        <f>+D62/D63</f>
        <v>9.5706133537415652E-2</v>
      </c>
      <c r="E64" s="1016"/>
      <c r="F64" s="1015">
        <f>+F62/F63</f>
        <v>9.2054105150733451E-2</v>
      </c>
      <c r="G64" s="1016"/>
      <c r="H64" s="1015">
        <f>+H62/H63</f>
        <v>9.3320535372007699E-2</v>
      </c>
      <c r="L64" s="1016"/>
      <c r="N64" s="1016"/>
      <c r="P64" s="1016"/>
    </row>
    <row r="65" spans="1:16" hidden="1">
      <c r="A65" s="76"/>
      <c r="B65" s="192"/>
      <c r="C65" s="192"/>
      <c r="D65" s="192"/>
      <c r="E65" s="192"/>
      <c r="F65" s="192"/>
      <c r="G65" s="192"/>
      <c r="H65" s="192"/>
      <c r="L65" s="192"/>
      <c r="N65" s="192"/>
      <c r="P65" s="192"/>
    </row>
    <row r="66" spans="1:16" hidden="1">
      <c r="A66" s="76" t="s">
        <v>1101</v>
      </c>
      <c r="B66" s="298">
        <f>+B25-B64</f>
        <v>-1.2421271342427043E-2</v>
      </c>
      <c r="C66" s="76"/>
      <c r="D66" s="298">
        <f>+D25-D64</f>
        <v>-1.6206133537415651E-2</v>
      </c>
      <c r="E66" s="76"/>
      <c r="F66" s="298">
        <f>+F25-F64</f>
        <v>-1.7854105150733449E-2</v>
      </c>
      <c r="G66" s="76"/>
      <c r="H66" s="298">
        <f ca="1">+H25-H64</f>
        <v>-7.4920535372007699E-2</v>
      </c>
      <c r="L66" s="76"/>
      <c r="N66" s="76"/>
      <c r="P66" s="76"/>
    </row>
    <row r="67" spans="1:16" hidden="1">
      <c r="A67" s="76"/>
      <c r="B67" s="192"/>
      <c r="C67" s="192"/>
      <c r="D67" s="192"/>
      <c r="E67" s="192"/>
      <c r="F67" s="192"/>
      <c r="G67" s="192"/>
      <c r="H67" s="192"/>
      <c r="L67" s="192"/>
      <c r="N67" s="192"/>
      <c r="P67" s="192"/>
    </row>
    <row r="68" spans="1:16" hidden="1">
      <c r="A68" s="76" t="s">
        <v>1102</v>
      </c>
      <c r="B68" s="303">
        <f>+B15-'COMP Act to Prior'!B15</f>
        <v>-210706.43069999991</v>
      </c>
      <c r="C68" s="76"/>
      <c r="D68" s="303">
        <f>+D15-B15</f>
        <v>69581.141399999848</v>
      </c>
      <c r="E68" s="76"/>
      <c r="F68" s="303">
        <f>+F15-D15</f>
        <v>74555.681400000118</v>
      </c>
      <c r="G68" s="76"/>
      <c r="H68" s="303">
        <f ca="1">+H15-F15</f>
        <v>409288.79719999991</v>
      </c>
      <c r="L68" s="76"/>
      <c r="N68" s="76"/>
      <c r="P68" s="76"/>
    </row>
    <row r="69" spans="1:16" hidden="1">
      <c r="A69" s="76" t="s">
        <v>1103</v>
      </c>
      <c r="B69" s="191">
        <v>69896.73968729144</v>
      </c>
      <c r="C69" s="76"/>
      <c r="D69" s="191">
        <f>+D63-B63</f>
        <v>15828.107514999923</v>
      </c>
      <c r="E69" s="76"/>
      <c r="F69" s="191">
        <f>+F63-D63</f>
        <v>33857.459669999895</v>
      </c>
      <c r="G69" s="76"/>
      <c r="H69" s="191">
        <f>+H63-F63</f>
        <v>43820.133780000149</v>
      </c>
      <c r="L69" s="76"/>
      <c r="N69" s="76"/>
      <c r="P69" s="76"/>
    </row>
    <row r="70" spans="1:16" hidden="1">
      <c r="A70" s="76"/>
      <c r="B70" s="190">
        <f>+B68-B69</f>
        <v>-280603.17038729135</v>
      </c>
      <c r="C70" s="76"/>
      <c r="D70" s="190">
        <f>+D68-D69</f>
        <v>53753.033884999924</v>
      </c>
      <c r="E70" s="76"/>
      <c r="F70" s="190">
        <f>+F68-F69</f>
        <v>40698.221730000223</v>
      </c>
      <c r="G70" s="76"/>
      <c r="H70" s="190">
        <f ca="1">+H68-H69</f>
        <v>365468.66341999976</v>
      </c>
      <c r="L70" s="76"/>
      <c r="N70" s="76"/>
      <c r="P70" s="76"/>
    </row>
    <row r="71" spans="1:16" hidden="1"/>
    <row r="72" spans="1:16" hidden="1">
      <c r="A72" s="76" t="s">
        <v>1104</v>
      </c>
      <c r="B72" s="303">
        <f>+B17-'COMP Act to Prior'!B17</f>
        <v>-11517.040800000002</v>
      </c>
      <c r="C72" s="76"/>
      <c r="D72" s="432">
        <f>+D17-B17</f>
        <v>385.40180000000692</v>
      </c>
      <c r="E72" s="76"/>
      <c r="F72" s="432">
        <f>+F17-D17</f>
        <v>867.20289999998931</v>
      </c>
      <c r="G72" s="76"/>
      <c r="H72" s="432">
        <f ca="1">+H17-F17</f>
        <v>-29058.797500000001</v>
      </c>
      <c r="L72" s="76"/>
      <c r="N72" s="76"/>
      <c r="P72" s="76"/>
    </row>
    <row r="73" spans="1:16" hidden="1">
      <c r="A73" s="76" t="s">
        <v>1105</v>
      </c>
      <c r="B73" s="191">
        <v>353.18976458287216</v>
      </c>
      <c r="C73" s="76"/>
      <c r="D73" s="191">
        <f>+D62-B62</f>
        <v>-8.2213480905629694</v>
      </c>
      <c r="E73" s="76"/>
      <c r="F73" s="191">
        <f>+F62-D62</f>
        <v>154.53303703108395</v>
      </c>
      <c r="G73" s="76"/>
      <c r="H73" s="191">
        <f>+H62-F62</f>
        <v>5159.4066386482737</v>
      </c>
      <c r="L73" s="76"/>
      <c r="N73" s="76"/>
      <c r="P73" s="76"/>
    </row>
    <row r="74" spans="1:16" hidden="1">
      <c r="A74" s="76"/>
      <c r="B74" s="190">
        <f>+B72-B73</f>
        <v>-11870.230564582875</v>
      </c>
      <c r="C74" s="76"/>
      <c r="D74" s="190">
        <f>+D72-D73</f>
        <v>393.62314809056988</v>
      </c>
      <c r="E74" s="76"/>
      <c r="F74" s="190">
        <f>+F72-F73</f>
        <v>712.66986296890536</v>
      </c>
      <c r="G74" s="76"/>
      <c r="H74" s="190">
        <f ca="1">+H72-H73</f>
        <v>-34218.204138648274</v>
      </c>
      <c r="L74" s="76"/>
      <c r="N74" s="76"/>
      <c r="P74" s="76"/>
    </row>
    <row r="75" spans="1:16" hidden="1"/>
  </sheetData>
  <printOptions horizontalCentered="1"/>
  <pageMargins left="0.5" right="0.5" top="0.5" bottom="0.5" header="0.5" footer="0.25"/>
  <pageSetup scale="71" orientation="portrait" r:id="rId1"/>
  <headerFooter>
    <oddFooter>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X62"/>
  <sheetViews>
    <sheetView zoomScale="85" zoomScaleNormal="85" workbookViewId="0">
      <selection activeCell="O15" sqref="O15:O1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1053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1722120.6450564822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648405.29747217777</v>
      </c>
      <c r="G9" s="303"/>
      <c r="H9" s="316">
        <f ca="1">ROUND((((B17/(D9+D10+D11+D13))-B20)/B23)-(((B17/(B9+D10+D11+D13))-B20)/B23),4)*10000</f>
        <v>-344</v>
      </c>
      <c r="I9" s="316">
        <f ca="1">ROUND((((B17/(D9+D10+D11+D13))-B20)/B23)-(((B17/(B9+D10+D11+D13))-B20)/B23),4)*10000</f>
        <v>-344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65318.578052307712</v>
      </c>
      <c r="C10" s="76"/>
      <c r="D10" s="303">
        <f ca="1">+'COMP Act to Prior'!D10</f>
        <v>24309.450432307684</v>
      </c>
      <c r="E10" s="76"/>
      <c r="F10" s="303">
        <f ca="1">D10-B10</f>
        <v>-41009.127620000028</v>
      </c>
      <c r="G10" s="303"/>
      <c r="H10" s="316">
        <f ca="1">ROUND((((B17/(D9+D11+D13+D10))-B20)/B23)-(((B17/(B10+D9+D11+D13))-B20)/B23),4)*10000</f>
        <v>16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-5000</v>
      </c>
      <c r="C12" s="76"/>
      <c r="D12" s="303">
        <f ca="1">+'COMP Act to Prior'!D12</f>
        <v>1000</v>
      </c>
      <c r="E12" s="76"/>
      <c r="F12" s="303">
        <f ca="1">D12-B12</f>
        <v>6000</v>
      </c>
      <c r="G12" s="190"/>
      <c r="H12" s="316">
        <f ca="1">ROUND((((B17/(D9+D10+D11+D12+D13))-B20)/B23)-(((B17/(B12+D9+D10+D11+D13))-B20)/B23),4)*10000</f>
        <v>-2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-24626.987594470742</v>
      </c>
      <c r="C13" s="76"/>
      <c r="D13" s="315">
        <f ca="1">+'COMP Act to Prior'!D13</f>
        <v>-29047.373783918258</v>
      </c>
      <c r="E13" s="76"/>
      <c r="F13" s="303">
        <f ca="1">D13-B13</f>
        <v>-4420.3861894475158</v>
      </c>
      <c r="G13" s="190"/>
      <c r="H13" s="316">
        <f ca="1">ROUND((((B17/(D9+D10+D11+D12+D13))-B20)/B23)-(((B17/(B13+D9+D10+D11+D12))-B20)/B23),4)*10000</f>
        <v>2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1757812.2355</v>
      </c>
      <c r="C15" s="52"/>
      <c r="D15" s="61">
        <f ca="1">+'COMP Act to Prior'!D15</f>
        <v>2366788.0192</v>
      </c>
      <c r="E15" s="52"/>
      <c r="F15" s="50">
        <f ca="1">D15-B15</f>
        <v>608975.78370000003</v>
      </c>
      <c r="G15" s="50"/>
      <c r="H15" s="53">
        <f ca="1">ROUND((((B17/D15)-B20)/B23)-(((B17/B15)-B20)/B23),4)*10000</f>
        <v>-315</v>
      </c>
      <c r="I15" s="53">
        <f ca="1">SUM(H9:H13)</f>
        <v>-328</v>
      </c>
      <c r="J15" s="316"/>
      <c r="K15" s="53">
        <f ca="1">H15-I15</f>
        <v>13</v>
      </c>
      <c r="L15" s="76"/>
      <c r="M15" s="76"/>
      <c r="N15" s="76"/>
      <c r="O15" s="973">
        <f ca="1">-F15/H15</f>
        <v>1933.2564561904762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101171.4877</v>
      </c>
      <c r="D17" s="62">
        <f ca="1">+'COMP Act to Prior'!D17</f>
        <v>72338.710999999996</v>
      </c>
      <c r="F17" s="50">
        <f ca="1">D17-B17</f>
        <v>-28832.776700000002</v>
      </c>
      <c r="G17" s="63"/>
      <c r="H17" s="64">
        <f ca="1">ROUND((((D17/B15)-B20)/B23)-(((B17/B15)-B20)/B23),4)*10000</f>
        <v>-349</v>
      </c>
      <c r="I17" s="53"/>
      <c r="J17" s="53"/>
      <c r="K17" s="53"/>
      <c r="L17" s="64"/>
      <c r="M17" s="76"/>
      <c r="N17" s="76"/>
      <c r="O17" s="973">
        <f ca="1">-F17/H17</f>
        <v>-82.615406017191987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5.7599999999999998E-2</v>
      </c>
      <c r="C19" s="76"/>
      <c r="D19" s="298">
        <f ca="1">+'COMP Act to Prior'!D19</f>
        <v>3.0599999999999999E-2</v>
      </c>
      <c r="E19" s="76"/>
      <c r="F19" s="298">
        <f ca="1">D19-B19</f>
        <v>-2.7E-2</v>
      </c>
      <c r="G19" s="298"/>
      <c r="H19" s="316">
        <f ca="1">ROUND((F19/$B$23)*10000,0)</f>
        <v>-575</v>
      </c>
      <c r="I19" s="53">
        <f ca="1">H15+H17</f>
        <v>-664</v>
      </c>
      <c r="J19" s="316"/>
      <c r="K19" s="53">
        <f ca="1">H19-I19</f>
        <v>89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1.38E-2</v>
      </c>
      <c r="C20" s="76"/>
      <c r="D20" s="299">
        <f ca="1">+'COMP Act to Prior'!D20</f>
        <v>2.18E-2</v>
      </c>
      <c r="E20" s="76"/>
      <c r="F20" s="298">
        <f ca="1">D20-B20</f>
        <v>8.0000000000000002E-3</v>
      </c>
      <c r="G20" s="298"/>
      <c r="H20" s="316">
        <f ca="1">-ROUND((F20/$B$23)*10000,0)</f>
        <v>-170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4.3799999999999999E-2</v>
      </c>
      <c r="C22" s="76"/>
      <c r="D22" s="298">
        <f ca="1">+'COMP Act to Prior'!D22</f>
        <v>8.8000000000000005E-3</v>
      </c>
      <c r="E22" s="76"/>
      <c r="F22" s="298">
        <f ca="1">D22-B22</f>
        <v>-3.4999999999999996E-2</v>
      </c>
      <c r="G22" s="298"/>
      <c r="H22" s="316">
        <f ca="1">ROUND((F22/$B$23)*10000,0)</f>
        <v>-745</v>
      </c>
      <c r="I22" s="53">
        <f ca="1">H19+H20</f>
        <v>-745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0.46960000000000002</v>
      </c>
      <c r="C23" s="76"/>
      <c r="D23" s="299">
        <f ca="1">+'COMP Act to Prior'!D23</f>
        <v>0.47489999999999999</v>
      </c>
      <c r="E23" s="76"/>
      <c r="F23" s="298">
        <f ca="1">D23-B23</f>
        <v>5.2999999999999714E-3</v>
      </c>
      <c r="G23" s="298"/>
      <c r="H23" s="316">
        <f ca="1">ROUND((B22/D23)-(B22/B23),4)*10000</f>
        <v>-10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9.3199999999999991E-2</v>
      </c>
      <c r="D25" s="189">
        <f ca="1">+'COMP Act to Prior'!D25</f>
        <v>1.84E-2</v>
      </c>
      <c r="F25" s="65">
        <f ca="1">D25-B25</f>
        <v>-7.4799999999999991E-2</v>
      </c>
      <c r="G25" s="65"/>
      <c r="H25" s="53">
        <f ca="1">(D25-B25)*10000</f>
        <v>-747.99999999999989</v>
      </c>
      <c r="I25" s="53">
        <f ca="1">H22+H23</f>
        <v>-755</v>
      </c>
      <c r="J25" s="53"/>
      <c r="K25" s="53">
        <f ca="1">H25-I25</f>
        <v>7.0000000000001137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433">
        <v>128059.19999999987</v>
      </c>
      <c r="C28" s="76"/>
      <c r="D28" s="975">
        <f ca="1">+'COMP Act to Prior'!D28</f>
        <v>76241.100000000006</v>
      </c>
      <c r="E28" s="190"/>
      <c r="F28" s="303">
        <f ca="1">D28-B28</f>
        <v>-51818.09999999986</v>
      </c>
      <c r="G28" s="303"/>
      <c r="H28" s="325">
        <f ca="1">ROUND((((D28/B15)-B20)/B23)-(((B28/B15)-B20)/B23),4)*10000</f>
        <v>-628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25975</v>
      </c>
      <c r="C29" s="76"/>
      <c r="D29" s="434">
        <f ca="1">+'COMP Act to Prior'!D29</f>
        <v>6057.0999999999985</v>
      </c>
      <c r="E29" s="190"/>
      <c r="F29" s="303">
        <f ca="1">D29-B29</f>
        <v>-19917.900000000001</v>
      </c>
      <c r="G29" s="303"/>
      <c r="H29" s="325">
        <f ca="1">-ROUND((((D29/B15)-B20)/B23)-(((B29/B15)-B20)/B23),4)*10000</f>
        <v>241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25975</v>
      </c>
      <c r="C31" s="300"/>
      <c r="D31" s="191">
        <f ca="1">+'COMP Act to Prior'!D31</f>
        <v>6057.0999999999985</v>
      </c>
      <c r="E31" s="190"/>
      <c r="F31" s="303">
        <f ca="1">D31-B31</f>
        <v>-19917.900000000001</v>
      </c>
      <c r="G31" s="190"/>
      <c r="H31" s="325">
        <f ca="1">-ROUND((((D31/B15)-B20)/B23)-(((B31/B15)-B20)/B23),4)*10000</f>
        <v>241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102084.19999999987</v>
      </c>
      <c r="C33" s="76"/>
      <c r="D33" s="191">
        <f ca="1">+'COMP Act to Prior'!D33</f>
        <v>70184</v>
      </c>
      <c r="E33" s="190"/>
      <c r="F33" s="303">
        <f ca="1">D33-B33</f>
        <v>-31900.199999999866</v>
      </c>
      <c r="G33" s="303"/>
      <c r="H33" s="325">
        <f ca="1">ROUND((((D33/B15)-B20)/B23)-(((B33/B15)-B20)/B23),4)*10000</f>
        <v>-386</v>
      </c>
      <c r="I33" s="316">
        <f ca="1">H28+H29+H30</f>
        <v>-387</v>
      </c>
      <c r="J33" s="76"/>
      <c r="K33" s="53">
        <f ca="1">I33-H33</f>
        <v>-1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-912.7123062110893</v>
      </c>
      <c r="C36" s="976"/>
      <c r="D36" s="191">
        <f ca="1">+'COMP Act to Prior'!D36</f>
        <v>2154.711039144227</v>
      </c>
      <c r="E36" s="190"/>
      <c r="F36" s="303">
        <f ca="1">D36-B36</f>
        <v>3067.4233453553161</v>
      </c>
      <c r="G36" s="76"/>
      <c r="H36" s="325">
        <f ca="1">ROUND((((D36/B15)-B20)/B23)-(((B36/B15)-B20)/B23),4)*10000</f>
        <v>37</v>
      </c>
      <c r="I36" s="316">
        <f ca="1">H36</f>
        <v>37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2">
        <v>101171.48769378877</v>
      </c>
      <c r="D37" s="67">
        <f ca="1">+'COMP Act to Prior'!D37</f>
        <v>72338.711039144226</v>
      </c>
      <c r="E37" s="68"/>
      <c r="F37" s="50">
        <f ca="1">D37-B37</f>
        <v>-28832.776654644549</v>
      </c>
      <c r="G37" s="63"/>
      <c r="H37" s="326">
        <f ca="1">ROUND((((D37/B15)-B20)/B23)-(((B37/B15)-B20)/B23),4)*10000</f>
        <v>-349</v>
      </c>
      <c r="I37" s="53">
        <f ca="1">H33+H36</f>
        <v>-349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37.464298165050174</v>
      </c>
      <c r="C42" s="76"/>
      <c r="D42" s="192">
        <f ca="1">+'COMP Act to Prior'!D42</f>
        <v>32.303351541452763</v>
      </c>
      <c r="E42" s="190"/>
      <c r="F42" s="303">
        <f ca="1">D42-B42</f>
        <v>-5.1609466235974111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-240.32805942218229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-85.009825655054698</v>
      </c>
      <c r="G43" s="298"/>
      <c r="H43" s="325">
        <f t="shared" ref="H43:H58" ca="1" si="1">ROUND((((D43/$B$15)-$B$20)/$B$23)-(((B43/$B$15)-$B$20)/$B$23),4)*10000</f>
        <v>-1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8.0851365000000008</v>
      </c>
      <c r="C46" s="76"/>
      <c r="D46" s="192">
        <f ca="1">+'COMP Act to Prior'!D46</f>
        <v>13.751451000000001</v>
      </c>
      <c r="E46" s="190"/>
      <c r="F46" s="303">
        <f t="shared" ca="1" si="0"/>
        <v>5.6663145000000004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51.405499435500005</v>
      </c>
      <c r="C47" s="76"/>
      <c r="D47" s="192">
        <f ca="1">+'COMP Act to Prior'!D47</f>
        <v>59.108476990500002</v>
      </c>
      <c r="E47" s="190"/>
      <c r="F47" s="303">
        <f t="shared" ca="1" si="0"/>
        <v>7.7029775549999968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0</v>
      </c>
      <c r="C48" s="76"/>
      <c r="D48" s="192">
        <f ca="1">+'COMP Act to Prior'!D48</f>
        <v>0</v>
      </c>
      <c r="E48" s="190"/>
      <c r="F48" s="303">
        <f t="shared" ca="1" si="0"/>
        <v>0</v>
      </c>
      <c r="G48" s="298"/>
      <c r="H48" s="325">
        <f t="shared" ca="1" si="1"/>
        <v>0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28.899926664890394</v>
      </c>
      <c r="C49" s="76"/>
      <c r="D49" s="192">
        <f ca="1">+'COMP Act to Prior'!D49</f>
        <v>28.703727937785594</v>
      </c>
      <c r="E49" s="190"/>
      <c r="F49" s="303">
        <f t="shared" ca="1" si="0"/>
        <v>-0.19619872710480024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4.0923866886524998</v>
      </c>
      <c r="C50" s="76"/>
      <c r="D50" s="192">
        <f ca="1">+'COMP Act to Prior'!D50</f>
        <v>4.4270182972260006</v>
      </c>
      <c r="E50" s="190"/>
      <c r="F50" s="303">
        <f t="shared" ca="1" si="0"/>
        <v>0.33463160857350083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-81.024422755499998</v>
      </c>
      <c r="C53" s="200"/>
      <c r="D53" s="192">
        <f ca="1">+'COMP Act to Prior'!D53</f>
        <v>-87.940603800000005</v>
      </c>
      <c r="E53" s="76"/>
      <c r="F53" s="303">
        <f ca="1">D53-B53</f>
        <v>-6.9161810445000071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-9.3318750032267417E-4</v>
      </c>
      <c r="C55" s="76"/>
      <c r="D55" s="192">
        <f ca="1">+'COMP Act to Prior'!D55</f>
        <v>2.9115449990513298E-4</v>
      </c>
      <c r="E55" s="190"/>
      <c r="F55" s="303">
        <f t="shared" ca="1" si="0"/>
        <v>1.2243420002278071E-3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-2820.3061382999999</v>
      </c>
      <c r="C56" s="76"/>
      <c r="D56" s="192">
        <f ca="1">+'COMP Act to Prior'!D56</f>
        <v>-654.30478889999995</v>
      </c>
      <c r="E56" s="190"/>
      <c r="F56" s="303">
        <f t="shared" ca="1" si="0"/>
        <v>2166.0013494</v>
      </c>
      <c r="G56" s="298"/>
      <c r="H56" s="325">
        <f t="shared" ca="1" si="1"/>
        <v>26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-912.7123062110893</v>
      </c>
      <c r="C58" s="76"/>
      <c r="D58" s="190">
        <f ca="1">+'COMP Act to Prior'!D58</f>
        <v>2154.711039144227</v>
      </c>
      <c r="E58" s="190"/>
      <c r="F58" s="303">
        <f t="shared" ca="1" si="0"/>
        <v>3067.4233453553161</v>
      </c>
      <c r="G58" s="76"/>
      <c r="H58" s="325">
        <f t="shared" ca="1" si="1"/>
        <v>37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9" priority="1" stopIfTrue="1" operator="equal">
      <formula>0</formula>
    </cfRule>
    <cfRule type="cellIs" dxfId="18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X62"/>
  <sheetViews>
    <sheetView zoomScale="85" zoomScaleNormal="85" workbookViewId="0">
      <selection activeCell="O15" sqref="O15:O1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1107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1759241.9133953375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611284.02913332242</v>
      </c>
      <c r="G9" s="303"/>
      <c r="H9" s="316">
        <f ca="1">ROUND((((B17/(D9+D10+D11+D13))-B20)/B23)-(((B17/(B9+D10+D11+D13))-B20)/B23),4)*10000</f>
        <v>-311</v>
      </c>
      <c r="I9" s="316">
        <f ca="1">ROUND((((B17/(D9+D10+D11+D13))-B20)/B23)-(((B17/(B9+D10+D11+D13))-B20)/B23),4)*10000</f>
        <v>-311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32304.096216153834</v>
      </c>
      <c r="C10" s="76"/>
      <c r="D10" s="303">
        <f ca="1">+'COMP Act to Prior'!D10</f>
        <v>24309.450432307684</v>
      </c>
      <c r="E10" s="76"/>
      <c r="F10" s="303">
        <f ca="1">D10-B10</f>
        <v>-7994.6457838461502</v>
      </c>
      <c r="G10" s="303"/>
      <c r="H10" s="316">
        <f ca="1">ROUND((((B17/(D9+D11+D13+D10))-B20)/B23)-(((B17/(B10+D9+D11+D13))-B20)/B23),4)*10000</f>
        <v>2.9999999999999996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-3273.8694546153847</v>
      </c>
      <c r="C12" s="76"/>
      <c r="D12" s="303">
        <f ca="1">+'COMP Act to Prior'!D12</f>
        <v>1000</v>
      </c>
      <c r="E12" s="76"/>
      <c r="F12" s="303">
        <f ca="1">D12-B12</f>
        <v>4273.8694546153847</v>
      </c>
      <c r="G12" s="190"/>
      <c r="H12" s="316">
        <f ca="1">ROUND((((B17/(D9+D10+D11+D12+D13))-B20)/B23)-(((B17/(B12+D9+D10+D11+D13))-B20)/B23),4)*10000</f>
        <v>-2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315">
        <v>-25691.677179063718</v>
      </c>
      <c r="C13" s="76"/>
      <c r="D13" s="315">
        <f ca="1">+'COMP Act to Prior'!D13</f>
        <v>-29047.373783918258</v>
      </c>
      <c r="E13" s="76"/>
      <c r="F13" s="303">
        <f ca="1">D13-B13</f>
        <v>-3355.6966048545401</v>
      </c>
      <c r="G13" s="190"/>
      <c r="H13" s="316">
        <f ca="1">ROUND((((B17/(D9+D10+D11+D12+D13))-B20)/B23)-(((B17/(B13+D9+D10+D11+D12))-B20)/B23),4)*10000</f>
        <v>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1762580.463</v>
      </c>
      <c r="C15" s="52"/>
      <c r="D15" s="61">
        <f ca="1">+'COMP Act to Prior'!D15</f>
        <v>2366788.0192</v>
      </c>
      <c r="E15" s="52"/>
      <c r="F15" s="50">
        <f ca="1">D15-B15</f>
        <v>604207.55619999999</v>
      </c>
      <c r="G15" s="50"/>
      <c r="H15" s="53">
        <f ca="1">ROUND((((B17/D15)-B20)/B23)-(((B17/B15)-B20)/B23),4)*10000</f>
        <v>-306</v>
      </c>
      <c r="I15" s="53">
        <f ca="1">SUM(H9:H13)</f>
        <v>-309</v>
      </c>
      <c r="J15" s="316"/>
      <c r="K15" s="53">
        <f ca="1">H15-I15</f>
        <v>3</v>
      </c>
      <c r="L15" s="76"/>
      <c r="M15" s="76"/>
      <c r="N15" s="76"/>
      <c r="O15" s="973">
        <f ca="1">-F15/H15</f>
        <v>1974.5344973856209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99195.435800000007</v>
      </c>
      <c r="D17" s="62">
        <f ca="1">+'COMP Act to Prior'!D17</f>
        <v>72338.710999999996</v>
      </c>
      <c r="F17" s="50">
        <f ca="1">D17-B17</f>
        <v>-26856.724800000011</v>
      </c>
      <c r="G17" s="63"/>
      <c r="H17" s="64">
        <f ca="1">ROUND((((D17/B15)-B20)/B23)-(((B17/B15)-B20)/B23),4)*10000</f>
        <v>-324</v>
      </c>
      <c r="I17" s="53"/>
      <c r="J17" s="53"/>
      <c r="K17" s="53"/>
      <c r="L17" s="64"/>
      <c r="O17" s="973">
        <f ca="1">-F17/H17</f>
        <v>-82.891125925925962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5.6300000000000003E-2</v>
      </c>
      <c r="C19" s="76"/>
      <c r="D19" s="298">
        <f ca="1">+'COMP Act to Prior'!D19</f>
        <v>3.0599999999999999E-2</v>
      </c>
      <c r="E19" s="76"/>
      <c r="F19" s="298">
        <f ca="1">D19-B19</f>
        <v>-2.5700000000000004E-2</v>
      </c>
      <c r="G19" s="298"/>
      <c r="H19" s="316">
        <f ca="1">ROUND((F19/$B$23)*10000,0)</f>
        <v>-547</v>
      </c>
      <c r="I19" s="53">
        <f ca="1">H15+H17</f>
        <v>-630</v>
      </c>
      <c r="J19" s="316"/>
      <c r="K19" s="53">
        <f ca="1">H19-I19</f>
        <v>83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1.2999999999999999E-2</v>
      </c>
      <c r="C20" s="76"/>
      <c r="D20" s="299">
        <f ca="1">+'COMP Act to Prior'!D20</f>
        <v>2.18E-2</v>
      </c>
      <c r="E20" s="76"/>
      <c r="F20" s="298">
        <f ca="1">D20-B20</f>
        <v>8.8000000000000005E-3</v>
      </c>
      <c r="G20" s="298"/>
      <c r="H20" s="316">
        <f ca="1">-ROUND((F20/$B$23)*10000,0)</f>
        <v>-187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4.3299999999999998E-2</v>
      </c>
      <c r="C22" s="76"/>
      <c r="D22" s="298">
        <f ca="1">+'COMP Act to Prior'!D22</f>
        <v>8.8000000000000005E-3</v>
      </c>
      <c r="E22" s="76"/>
      <c r="F22" s="298">
        <f ca="1">D22-B22</f>
        <v>-3.4499999999999996E-2</v>
      </c>
      <c r="G22" s="298"/>
      <c r="H22" s="316">
        <f ca="1">ROUND((F22/$B$23)*10000,0)</f>
        <v>-734</v>
      </c>
      <c r="I22" s="53">
        <f ca="1">H19+H20</f>
        <v>-734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0.47020000000000001</v>
      </c>
      <c r="C23" s="76"/>
      <c r="D23" s="299">
        <f ca="1">+'COMP Act to Prior'!D23</f>
        <v>0.47489999999999999</v>
      </c>
      <c r="E23" s="76"/>
      <c r="F23" s="298">
        <f ca="1">D23-B23</f>
        <v>4.699999999999982E-3</v>
      </c>
      <c r="G23" s="298"/>
      <c r="H23" s="316">
        <f ca="1">ROUND((B22/D23)-(B22/B23),4)*10000</f>
        <v>-9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189">
        <v>9.1999999999999998E-2</v>
      </c>
      <c r="D25" s="189">
        <f ca="1">+'COMP Act to Prior'!D25</f>
        <v>1.84E-2</v>
      </c>
      <c r="F25" s="65">
        <f ca="1">D25-B25</f>
        <v>-7.3599999999999999E-2</v>
      </c>
      <c r="G25" s="65"/>
      <c r="H25" s="53">
        <f ca="1">(D25-B25)*10000</f>
        <v>-736</v>
      </c>
      <c r="I25" s="53">
        <f ca="1">H22+H23</f>
        <v>-743</v>
      </c>
      <c r="J25" s="53"/>
      <c r="K25" s="53">
        <f ca="1">H25-I25</f>
        <v>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975">
        <v>126510.29999999984</v>
      </c>
      <c r="C28" s="76"/>
      <c r="D28" s="975">
        <f ca="1">+'COMP Act to Prior'!D28</f>
        <v>76241.100000000006</v>
      </c>
      <c r="E28" s="190"/>
      <c r="F28" s="303">
        <f ca="1">D28-B28</f>
        <v>-50269.199999999837</v>
      </c>
      <c r="G28" s="303"/>
      <c r="H28" s="325">
        <f ca="1">ROUND((((D28/B15)-B20)/B23)-(((B28/B15)-B20)/B23),4)*10000</f>
        <v>-607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25932.799999999999</v>
      </c>
      <c r="C29" s="76"/>
      <c r="D29" s="434">
        <f ca="1">+'COMP Act to Prior'!D29</f>
        <v>6057.0999999999985</v>
      </c>
      <c r="E29" s="190"/>
      <c r="F29" s="303">
        <f ca="1">D29-B29</f>
        <v>-19875.7</v>
      </c>
      <c r="G29" s="303"/>
      <c r="H29" s="325">
        <f ca="1">-ROUND((((D29/B15)-B20)/B23)-(((B29/B15)-B20)/B23),4)*10000</f>
        <v>240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25932.799999999999</v>
      </c>
      <c r="C31" s="300"/>
      <c r="D31" s="191">
        <f ca="1">+'COMP Act to Prior'!D31</f>
        <v>6057.0999999999985</v>
      </c>
      <c r="E31" s="190"/>
      <c r="F31" s="303">
        <f ca="1">D31-B31</f>
        <v>-19875.7</v>
      </c>
      <c r="G31" s="190"/>
      <c r="H31" s="325">
        <f ca="1">-ROUND((((D31/B15)-B20)/B23)-(((B31/B15)-B20)/B23),4)*10000</f>
        <v>240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100577.49999999984</v>
      </c>
      <c r="C33" s="76"/>
      <c r="D33" s="191">
        <f ca="1">+'COMP Act to Prior'!D33</f>
        <v>70184</v>
      </c>
      <c r="E33" s="190"/>
      <c r="F33" s="303">
        <f ca="1">D33-B33</f>
        <v>-30393.49999999984</v>
      </c>
      <c r="G33" s="303"/>
      <c r="H33" s="325">
        <f ca="1">ROUND((((D33/B15)-B20)/B23)-(((B33/B15)-B20)/B23),4)*10000</f>
        <v>-367.00000000000006</v>
      </c>
      <c r="I33" s="316">
        <f ca="1">H28+H29+H30</f>
        <v>-367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-1382.0641613223861</v>
      </c>
      <c r="C36" s="976"/>
      <c r="D36" s="191">
        <f ca="1">+'COMP Act to Prior'!D36</f>
        <v>2154.711039144227</v>
      </c>
      <c r="E36" s="190"/>
      <c r="F36" s="303">
        <f ca="1">D36-B36</f>
        <v>3536.7752004666131</v>
      </c>
      <c r="G36" s="76"/>
      <c r="H36" s="325">
        <f ca="1">ROUND((((D36/B15)-B20)/B23)-(((B36/B15)-B20)/B23),4)*10000</f>
        <v>43</v>
      </c>
      <c r="I36" s="316">
        <f ca="1">H36</f>
        <v>43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7">
        <v>99195.435838677455</v>
      </c>
      <c r="D37" s="67">
        <f ca="1">+'COMP Act to Prior'!D37</f>
        <v>72338.711039144226</v>
      </c>
      <c r="E37" s="68"/>
      <c r="F37" s="50">
        <f ca="1">D37-B37</f>
        <v>-26856.724799533229</v>
      </c>
      <c r="G37" s="63"/>
      <c r="H37" s="326">
        <f ca="1">ROUND((((D37/B15)-B20)/B23)-(((B37/B15)-B20)/B23),4)*10000</f>
        <v>-324</v>
      </c>
      <c r="I37" s="53">
        <f ca="1">H33+H36</f>
        <v>-324.00000000000006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33.418249876565937</v>
      </c>
      <c r="C42" s="76"/>
      <c r="D42" s="192">
        <f ca="1">+'COMP Act to Prior'!D42</f>
        <v>32.303351541452763</v>
      </c>
      <c r="E42" s="190"/>
      <c r="F42" s="303">
        <f ca="1">D42-B42</f>
        <v>-1.1148983351131747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-250.02178473946253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-75.316100337774458</v>
      </c>
      <c r="G43" s="298"/>
      <c r="H43" s="325">
        <f t="shared" ref="H43:H58" ca="1" si="1">ROUND((((D43/$B$15)-$B$20)/$B$23)-(((B43/$B$15)-$B$20)/$B$23),4)*10000</f>
        <v>-1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11.41848225</v>
      </c>
      <c r="C46" s="76"/>
      <c r="D46" s="192">
        <f ca="1">+'COMP Act to Prior'!D46</f>
        <v>13.751451000000001</v>
      </c>
      <c r="E46" s="190"/>
      <c r="F46" s="303">
        <f t="shared" ca="1" si="0"/>
        <v>2.3329687500000009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57.874123755000006</v>
      </c>
      <c r="C47" s="76"/>
      <c r="D47" s="192">
        <f ca="1">+'COMP Act to Prior'!D47</f>
        <v>59.108476990500002</v>
      </c>
      <c r="E47" s="190"/>
      <c r="F47" s="303">
        <f t="shared" ca="1" si="0"/>
        <v>1.2343532354999951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-137.58916500000123</v>
      </c>
      <c r="C48" s="76"/>
      <c r="D48" s="192">
        <f ca="1">+'COMP Act to Prior'!D48</f>
        <v>0</v>
      </c>
      <c r="E48" s="190"/>
      <c r="F48" s="303">
        <f t="shared" ca="1" si="0"/>
        <v>137.58916500000123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-81.024422755499998</v>
      </c>
      <c r="C53" s="200"/>
      <c r="D53" s="192">
        <f ca="1">+'COMP Act to Prior'!D53</f>
        <v>-87.940603800000005</v>
      </c>
      <c r="E53" s="76"/>
      <c r="F53" s="303">
        <f ca="1">D53-B53</f>
        <v>-6.9161810445000071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1.1347560002832324E-3</v>
      </c>
      <c r="C55" s="76"/>
      <c r="D55" s="192">
        <f ca="1">+'COMP Act to Prior'!D55</f>
        <v>2.9115449990513298E-4</v>
      </c>
      <c r="E55" s="190"/>
      <c r="F55" s="303">
        <f t="shared" ca="1" si="0"/>
        <v>-8.4360150037809944E-4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-3148.2715257</v>
      </c>
      <c r="C56" s="76"/>
      <c r="D56" s="192">
        <f ca="1">+'COMP Act to Prior'!D56</f>
        <v>-654.30478889999995</v>
      </c>
      <c r="E56" s="190"/>
      <c r="F56" s="303">
        <f t="shared" ca="1" si="0"/>
        <v>2493.9667368</v>
      </c>
      <c r="G56" s="298"/>
      <c r="H56" s="325">
        <f t="shared" ca="1" si="1"/>
        <v>30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-1382.0641613223861</v>
      </c>
      <c r="C58" s="76"/>
      <c r="D58" s="190">
        <f ca="1">+'COMP Act to Prior'!D58</f>
        <v>2154.711039144227</v>
      </c>
      <c r="E58" s="190"/>
      <c r="F58" s="303">
        <f t="shared" ca="1" si="0"/>
        <v>3536.7752004666131</v>
      </c>
      <c r="G58" s="76"/>
      <c r="H58" s="325">
        <f t="shared" ca="1" si="1"/>
        <v>43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7" priority="1" stopIfTrue="1" operator="equal">
      <formula>0</formula>
    </cfRule>
    <cfRule type="cellIs" dxfId="16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B0F0"/>
    <pageSetUpPr fitToPage="1"/>
  </sheetPr>
  <dimension ref="A1:X62"/>
  <sheetViews>
    <sheetView zoomScale="85" zoomScaleNormal="85" workbookViewId="0">
      <selection activeCell="O15" sqref="O15:O1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1172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1736695.8946223597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633830.04790630029</v>
      </c>
      <c r="G9" s="303"/>
      <c r="H9" s="316">
        <f ca="1">ROUND((((B17/(D9+D10+D11+D13))-B20)/B23)-(((B17/(B9+D10+D11+D13))-B20)/B23),4)*10000</f>
        <v>-316.00000000000006</v>
      </c>
      <c r="I9" s="316">
        <f ca="1">ROUND((((B17/(D9+D10+D11+D13))-B20)/B23)-(((B17/(B9+D10+D11+D13))-B20)/B23),4)*10000</f>
        <v>-316.00000000000006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55002.734282307705</v>
      </c>
      <c r="C10" s="76"/>
      <c r="D10" s="303">
        <f ca="1">+'COMP Act to Prior'!D10</f>
        <v>24309.450432307684</v>
      </c>
      <c r="E10" s="76"/>
      <c r="F10" s="303">
        <f ca="1">D10-B10</f>
        <v>-30693.283850000022</v>
      </c>
      <c r="G10" s="303"/>
      <c r="H10" s="316">
        <f ca="1">ROUND((((B17/(D9+D11+D13+D10))-B20)/B23)-(((B17/(B10+D9+D11+D13))-B20)/B23),4)*10000</f>
        <v>11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1810.5488238461539</v>
      </c>
      <c r="C12" s="76"/>
      <c r="D12" s="303">
        <f ca="1">+'COMP Act to Prior'!D12</f>
        <v>1000</v>
      </c>
      <c r="E12" s="76"/>
      <c r="F12" s="303">
        <f ca="1">D12-B12</f>
        <v>-810.54882384615394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315">
        <v>-30826.390850628031</v>
      </c>
      <c r="C13" s="76"/>
      <c r="D13" s="315">
        <f ca="1">+'COMP Act to Prior'!D13</f>
        <v>-29047.373783918258</v>
      </c>
      <c r="E13" s="76"/>
      <c r="F13" s="303">
        <f ca="1">D13-B13</f>
        <v>1779.0170667097736</v>
      </c>
      <c r="G13" s="190"/>
      <c r="H13" s="316">
        <f ca="1">ROUND((((B17/(D9+D10+D11+D12+D13))-B20)/B23)-(((B17/(B13+D9+D10+D11+D12))-B20)/B23),4)*10000</f>
        <v>-1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1762682.7868999999</v>
      </c>
      <c r="C15" s="52"/>
      <c r="D15" s="61">
        <f ca="1">+'COMP Act to Prior'!D15</f>
        <v>2366788.0192</v>
      </c>
      <c r="E15" s="52"/>
      <c r="F15" s="50">
        <f ca="1">D15-B15</f>
        <v>604105.23230000003</v>
      </c>
      <c r="G15" s="50"/>
      <c r="H15" s="53">
        <f ca="1">ROUND((((B17/D15)-B20)/B23)-(((B17/B15)-B20)/B23),4)*10000</f>
        <v>-296</v>
      </c>
      <c r="I15" s="53">
        <f ca="1">SUM(H9:H13)</f>
        <v>-306.00000000000006</v>
      </c>
      <c r="J15" s="316"/>
      <c r="K15" s="53">
        <f ca="1">H15-I15</f>
        <v>10.000000000000057</v>
      </c>
      <c r="L15" s="76"/>
      <c r="M15" s="76"/>
      <c r="N15" s="76"/>
      <c r="O15" s="973">
        <f ca="1">-F15/H15</f>
        <v>2040.8960550675677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95960.05</v>
      </c>
      <c r="D17" s="62">
        <f ca="1">+'COMP Act to Prior'!D17</f>
        <v>72338.710999999996</v>
      </c>
      <c r="F17" s="50">
        <f ca="1">D17-B17</f>
        <v>-23621.339000000007</v>
      </c>
      <c r="G17" s="63"/>
      <c r="H17" s="64">
        <f ca="1">ROUND((((D17/B15)-B20)/B23)-(((B17/B15)-B20)/B23),4)*10000</f>
        <v>-285</v>
      </c>
      <c r="I17" s="53"/>
      <c r="J17" s="53"/>
      <c r="K17" s="53"/>
      <c r="L17" s="64"/>
      <c r="O17" s="973">
        <f ca="1">-F17/H17</f>
        <v>-82.881891228070202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5.4399999999999997E-2</v>
      </c>
      <c r="C19" s="76"/>
      <c r="D19" s="298">
        <f ca="1">+'COMP Act to Prior'!D19</f>
        <v>3.0599999999999999E-2</v>
      </c>
      <c r="E19" s="76"/>
      <c r="F19" s="298">
        <f ca="1">D19-B19</f>
        <v>-2.3799999999999998E-2</v>
      </c>
      <c r="G19" s="298"/>
      <c r="H19" s="316">
        <f ca="1">ROUND((F19/$B$23)*10000,0)</f>
        <v>-506</v>
      </c>
      <c r="I19" s="53">
        <f ca="1">H15+H17</f>
        <v>-581</v>
      </c>
      <c r="J19" s="316"/>
      <c r="K19" s="53">
        <f ca="1">H19-I19</f>
        <v>75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1.3299999999999999E-2</v>
      </c>
      <c r="C20" s="76"/>
      <c r="D20" s="299">
        <f ca="1">+'COMP Act to Prior'!D20</f>
        <v>2.18E-2</v>
      </c>
      <c r="E20" s="76"/>
      <c r="F20" s="298">
        <f ca="1">D20-B20</f>
        <v>8.5000000000000006E-3</v>
      </c>
      <c r="G20" s="298"/>
      <c r="H20" s="316">
        <f ca="1">-ROUND((F20/$B$23)*10000,0)</f>
        <v>-181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4.1099999999999998E-2</v>
      </c>
      <c r="C22" s="76"/>
      <c r="D22" s="298">
        <f ca="1">+'COMP Act to Prior'!D22</f>
        <v>8.8000000000000005E-3</v>
      </c>
      <c r="E22" s="76"/>
      <c r="F22" s="298">
        <f ca="1">D22-B22</f>
        <v>-3.2299999999999995E-2</v>
      </c>
      <c r="G22" s="298"/>
      <c r="H22" s="316">
        <f ca="1">ROUND((F22/$B$23)*10000,0)</f>
        <v>-687</v>
      </c>
      <c r="I22" s="53">
        <f ca="1">H19+H20</f>
        <v>-687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</v>
      </c>
      <c r="C23" s="76"/>
      <c r="D23" s="299">
        <f ca="1">+'COMP Act to Prior'!D23</f>
        <v>0.47489999999999999</v>
      </c>
      <c r="E23" s="76"/>
      <c r="F23" s="298">
        <f ca="1">D23-B23</f>
        <v>4.9000000000000155E-3</v>
      </c>
      <c r="G23" s="298"/>
      <c r="H23" s="316">
        <f ca="1">ROUND((B22/D23)-(B22/B23),4)*10000</f>
        <v>-9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189">
        <v>8.7500000000000008E-2</v>
      </c>
      <c r="D25" s="189">
        <f ca="1">+'COMP Act to Prior'!D25</f>
        <v>1.84E-2</v>
      </c>
      <c r="F25" s="65">
        <f ca="1">D25-B25</f>
        <v>-6.9100000000000009E-2</v>
      </c>
      <c r="G25" s="65"/>
      <c r="H25" s="53">
        <f ca="1">(D25-B25)*10000</f>
        <v>-691.00000000000011</v>
      </c>
      <c r="I25" s="53">
        <f ca="1">H22+H23</f>
        <v>-696</v>
      </c>
      <c r="J25" s="53"/>
      <c r="K25" s="53">
        <f ca="1">H25-I25</f>
        <v>4.9999999999998863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975">
        <v>122023.32184999998</v>
      </c>
      <c r="C28" s="76"/>
      <c r="D28" s="975">
        <f ca="1">+'COMP Act to Prior'!D28</f>
        <v>76241.100000000006</v>
      </c>
      <c r="E28" s="190"/>
      <c r="F28" s="303">
        <f ca="1">D28-B28</f>
        <v>-45782.221849999973</v>
      </c>
      <c r="G28" s="303"/>
      <c r="H28" s="325">
        <f ca="1">ROUND((((D28/B15)-B20)/B23)-(((B28/B15)-B20)/B23),4)*10000</f>
        <v>-553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24401.658975707487</v>
      </c>
      <c r="C29" s="76"/>
      <c r="D29" s="434">
        <f ca="1">+'COMP Act to Prior'!D29</f>
        <v>6057.0999999999985</v>
      </c>
      <c r="E29" s="190"/>
      <c r="F29" s="303">
        <f ca="1">D29-B29</f>
        <v>-18344.558975707489</v>
      </c>
      <c r="G29" s="303"/>
      <c r="H29" s="325">
        <f ca="1">-ROUND((((D29/B15)-B20)/B23)-(((B29/B15)-B20)/B23),4)*10000</f>
        <v>221.00000000000003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24401.658975707487</v>
      </c>
      <c r="C31" s="300"/>
      <c r="D31" s="191">
        <f ca="1">+'COMP Act to Prior'!D31</f>
        <v>6057.0999999999985</v>
      </c>
      <c r="E31" s="190"/>
      <c r="F31" s="303">
        <f ca="1">D31-B31</f>
        <v>-18344.558975707489</v>
      </c>
      <c r="G31" s="190"/>
      <c r="H31" s="325">
        <f ca="1">-ROUND((((D31/B15)-B20)/B23)-(((B31/B15)-B20)/B23),4)*10000</f>
        <v>221.00000000000003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97621.662874292495</v>
      </c>
      <c r="C33" s="76"/>
      <c r="D33" s="191">
        <f ca="1">+'COMP Act to Prior'!D33</f>
        <v>70184</v>
      </c>
      <c r="E33" s="190"/>
      <c r="F33" s="303">
        <f ca="1">D33-B33</f>
        <v>-27437.662874292495</v>
      </c>
      <c r="G33" s="303"/>
      <c r="H33" s="325">
        <f ca="1">ROUND((((D33/B15)-B20)/B23)-(((B33/B15)-B20)/B23),4)*10000</f>
        <v>-331</v>
      </c>
      <c r="I33" s="316">
        <f ca="1">H28+H29+H30</f>
        <v>-332</v>
      </c>
      <c r="J33" s="76"/>
      <c r="K33" s="53">
        <f ca="1">I33-H33</f>
        <v>-1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-1661.6129040314804</v>
      </c>
      <c r="C36" s="976"/>
      <c r="D36" s="191">
        <f ca="1">+'COMP Act to Prior'!D36</f>
        <v>2154.711039144227</v>
      </c>
      <c r="E36" s="190"/>
      <c r="F36" s="303">
        <f ca="1">D36-B36</f>
        <v>3816.3239431757074</v>
      </c>
      <c r="G36" s="76"/>
      <c r="H36" s="325">
        <f ca="1">ROUND((((D36/B15)-B20)/B23)-(((B36/B15)-B20)/B23),4)*10000</f>
        <v>46</v>
      </c>
      <c r="I36" s="316">
        <f ca="1">H36</f>
        <v>46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7">
        <v>95960.04997026101</v>
      </c>
      <c r="D37" s="67">
        <f ca="1">+'COMP Act to Prior'!D37</f>
        <v>72338.711039144226</v>
      </c>
      <c r="E37" s="68"/>
      <c r="F37" s="50">
        <f ca="1">D37-B37</f>
        <v>-23621.338931116785</v>
      </c>
      <c r="G37" s="63"/>
      <c r="H37" s="326">
        <f ca="1">ROUND((((D37/B15)-B20)/B23)-(((B37/B15)-B20)/B23),4)*10000</f>
        <v>-285</v>
      </c>
      <c r="I37" s="53">
        <f ca="1">H33+H36</f>
        <v>-285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32.426977221489281</v>
      </c>
      <c r="C42" s="76"/>
      <c r="D42" s="192">
        <f ca="1">+'COMP Act to Prior'!D42</f>
        <v>32.303351541452763</v>
      </c>
      <c r="E42" s="190"/>
      <c r="F42" s="303">
        <f ca="1">D42-B42</f>
        <v>-0.1236256800365183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-479.62749611440591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154.28961103716892</v>
      </c>
      <c r="G43" s="298"/>
      <c r="H43" s="325">
        <f t="shared" ref="H43:H58" ca="1" si="1">ROUND((((D43/$B$15)-$B$20)/$B$23)-(((B43/$B$15)-$B$20)/$B$23),4)*10000</f>
        <v>2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13.974560080425</v>
      </c>
      <c r="C46" s="76"/>
      <c r="D46" s="192">
        <f ca="1">+'COMP Act to Prior'!D46</f>
        <v>13.751451000000001</v>
      </c>
      <c r="E46" s="190"/>
      <c r="F46" s="303">
        <f t="shared" ca="1" si="0"/>
        <v>-0.22310908042499911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58.879823656500008</v>
      </c>
      <c r="C47" s="76"/>
      <c r="D47" s="192">
        <f ca="1">+'COMP Act to Prior'!D47</f>
        <v>59.108476990500002</v>
      </c>
      <c r="E47" s="190"/>
      <c r="F47" s="303">
        <f t="shared" ca="1" si="0"/>
        <v>0.22865333399999344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-161.86052827350068</v>
      </c>
      <c r="C48" s="76"/>
      <c r="D48" s="192">
        <f ca="1">+'COMP Act to Prior'!D48</f>
        <v>0</v>
      </c>
      <c r="E48" s="190"/>
      <c r="F48" s="303">
        <f t="shared" ca="1" si="0"/>
        <v>161.86052827350068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3.4341299988227547E-4</v>
      </c>
      <c r="C55" s="76"/>
      <c r="D55" s="192">
        <f ca="1">+'COMP Act to Prior'!D55</f>
        <v>2.9115449990513298E-4</v>
      </c>
      <c r="E55" s="190"/>
      <c r="F55" s="303">
        <f t="shared" ca="1" si="0"/>
        <v>-5.2258499977142492E-5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-3169.5967264499996</v>
      </c>
      <c r="C56" s="76"/>
      <c r="D56" s="192">
        <f ca="1">+'COMP Act to Prior'!D56</f>
        <v>-654.30478889999995</v>
      </c>
      <c r="E56" s="190"/>
      <c r="F56" s="303">
        <f t="shared" ca="1" si="0"/>
        <v>2515.2919375499996</v>
      </c>
      <c r="G56" s="298"/>
      <c r="H56" s="325">
        <f t="shared" ca="1" si="1"/>
        <v>30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-1661.6129040314804</v>
      </c>
      <c r="C58" s="76"/>
      <c r="D58" s="190">
        <f ca="1">+'COMP Act to Prior'!D58</f>
        <v>2154.711039144227</v>
      </c>
      <c r="E58" s="190"/>
      <c r="F58" s="303">
        <f t="shared" ca="1" si="0"/>
        <v>3816.3239431757074</v>
      </c>
      <c r="G58" s="76"/>
      <c r="H58" s="325">
        <f t="shared" ca="1" si="1"/>
        <v>46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5" priority="1" stopIfTrue="1" operator="equal">
      <formula>0</formula>
    </cfRule>
    <cfRule type="cellIs" dxfId="14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rgb="FF00B0F0"/>
    <pageSetUpPr fitToPage="1"/>
  </sheetPr>
  <dimension ref="A1:X62"/>
  <sheetViews>
    <sheetView zoomScale="85" zoomScaleNormal="85" workbookViewId="0">
      <selection activeCell="O15" sqref="O15:O1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1173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1713442.4682801662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657083.47424849379</v>
      </c>
      <c r="G9" s="303"/>
      <c r="H9" s="316">
        <f ca="1">ROUND((((B17/(D9+D10+D11+D13))-B20)/B23)-(((B17/(B9+D10+D11+D13))-B20)/B23),4)*10000</f>
        <v>-341</v>
      </c>
      <c r="I9" s="316">
        <f ca="1">ROUND((((B17/(D9+D10+D11+D13))-B20)/B23)-(((B17/(B9+D10+D11+D13))-B20)/B23),4)*10000</f>
        <v>-341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71443.446271538502</v>
      </c>
      <c r="C10" s="76"/>
      <c r="D10" s="303">
        <f ca="1">+'COMP Act to Prior'!D10</f>
        <v>24309.450432307684</v>
      </c>
      <c r="E10" s="76"/>
      <c r="F10" s="303">
        <f ca="1">D10-B10</f>
        <v>-47133.995839230818</v>
      </c>
      <c r="G10" s="303"/>
      <c r="H10" s="316">
        <f ca="1">ROUND((((B17/(D9+D11+D13+D10))-B20)/B23)-(((B17/(B10+D9+D11+D13))-B20)/B23),4)*10000</f>
        <v>17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1978.1300323076925</v>
      </c>
      <c r="C12" s="76"/>
      <c r="D12" s="303">
        <f ca="1">+'COMP Act to Prior'!D12</f>
        <v>1000</v>
      </c>
      <c r="E12" s="76"/>
      <c r="F12" s="303">
        <f ca="1">D12-B12</f>
        <v>-978.13003230769255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315">
        <v>-28799.76815127756</v>
      </c>
      <c r="C13" s="76"/>
      <c r="D13" s="315">
        <f ca="1">+'COMP Act to Prior'!D13</f>
        <v>-29047.373783918258</v>
      </c>
      <c r="E13" s="76"/>
      <c r="F13" s="303">
        <f ca="1">D13-B13</f>
        <v>-247.60563264069788</v>
      </c>
      <c r="G13" s="190"/>
      <c r="H13" s="316">
        <f ca="1">ROUND((((B17/(D9+D10+D11+D12+D13))-B20)/B23)-(((B17/(B13+D9+D10+D11+D12))-B20)/B23),4)*10000</f>
        <v>0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1758064.2764000001</v>
      </c>
      <c r="C15" s="52"/>
      <c r="D15" s="61">
        <f ca="1">+'COMP Act to Prior'!D15</f>
        <v>2366788.0192</v>
      </c>
      <c r="E15" s="52"/>
      <c r="F15" s="50">
        <f ca="1">D15-B15</f>
        <v>608723.74279999989</v>
      </c>
      <c r="G15" s="50"/>
      <c r="H15" s="53">
        <f ca="1">ROUND((((B17/D15)-B20)/B23)-(((B17/B15)-B20)/B23),4)*10000</f>
        <v>-307</v>
      </c>
      <c r="I15" s="53">
        <f ca="1">SUM(H9:H13)</f>
        <v>-324</v>
      </c>
      <c r="J15" s="316"/>
      <c r="K15" s="53">
        <f ca="1">H15-I15</f>
        <v>17</v>
      </c>
      <c r="L15" s="76"/>
      <c r="M15" s="76"/>
      <c r="N15" s="76"/>
      <c r="O15" s="973">
        <f ca="1">-F15/H15</f>
        <v>1982.8134944625403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98678.666100000002</v>
      </c>
      <c r="D17" s="62">
        <f ca="1">+'COMP Act to Prior'!D17</f>
        <v>72338.710999999996</v>
      </c>
      <c r="F17" s="50">
        <f ca="1">D17-B17</f>
        <v>-26339.955100000006</v>
      </c>
      <c r="G17" s="63"/>
      <c r="H17" s="64">
        <f ca="1">ROUND((((D17/B15)-B20)/B23)-(((B17/B15)-B20)/B23),4)*10000</f>
        <v>-319</v>
      </c>
      <c r="I17" s="53"/>
      <c r="J17" s="53"/>
      <c r="K17" s="53"/>
      <c r="L17" s="64"/>
      <c r="O17" s="973">
        <f ca="1">-F17/H17</f>
        <v>-82.57039216300943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5.6099999999999997E-2</v>
      </c>
      <c r="C19" s="76"/>
      <c r="D19" s="298">
        <f ca="1">+'COMP Act to Prior'!D19</f>
        <v>3.0599999999999999E-2</v>
      </c>
      <c r="E19" s="76"/>
      <c r="F19" s="298">
        <f ca="1">D19-B19</f>
        <v>-2.5499999999999998E-2</v>
      </c>
      <c r="G19" s="298"/>
      <c r="H19" s="316">
        <f ca="1">ROUND((F19/$B$23)*10000,0)</f>
        <v>-542</v>
      </c>
      <c r="I19" s="53">
        <f ca="1">H15+H17</f>
        <v>-626</v>
      </c>
      <c r="J19" s="316"/>
      <c r="K19" s="53">
        <f ca="1">H19-I19</f>
        <v>84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1.3299999999999999E-2</v>
      </c>
      <c r="C20" s="76"/>
      <c r="D20" s="299">
        <f ca="1">+'COMP Act to Prior'!D20</f>
        <v>2.18E-2</v>
      </c>
      <c r="E20" s="76"/>
      <c r="F20" s="298">
        <f ca="1">D20-B20</f>
        <v>8.5000000000000006E-3</v>
      </c>
      <c r="G20" s="298"/>
      <c r="H20" s="316">
        <f ca="1">-ROUND((F20/$B$23)*10000,0)</f>
        <v>-181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4.2799999999999998E-2</v>
      </c>
      <c r="C22" s="76"/>
      <c r="D22" s="298">
        <f ca="1">+'COMP Act to Prior'!D22</f>
        <v>8.8000000000000005E-3</v>
      </c>
      <c r="E22" s="76"/>
      <c r="F22" s="298">
        <f ca="1">D22-B22</f>
        <v>-3.3999999999999996E-2</v>
      </c>
      <c r="G22" s="298"/>
      <c r="H22" s="316">
        <f ca="1">ROUND((F22/$B$23)*10000,0)</f>
        <v>-723</v>
      </c>
      <c r="I22" s="53">
        <f ca="1">H19+H20</f>
        <v>-723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0.47010000000000002</v>
      </c>
      <c r="C23" s="76"/>
      <c r="D23" s="299">
        <f ca="1">+'COMP Act to Prior'!D23</f>
        <v>0.47489999999999999</v>
      </c>
      <c r="E23" s="76"/>
      <c r="F23" s="298">
        <f ca="1">D23-B23</f>
        <v>4.799999999999971E-3</v>
      </c>
      <c r="G23" s="298"/>
      <c r="H23" s="316">
        <f ca="1">ROUND((B22/D23)-(B22/B23),4)*10000</f>
        <v>-9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189">
        <v>9.11E-2</v>
      </c>
      <c r="D25" s="189">
        <f ca="1">+'COMP Act to Prior'!D25</f>
        <v>1.84E-2</v>
      </c>
      <c r="F25" s="65">
        <f ca="1">D25-B25</f>
        <v>-7.2700000000000001E-2</v>
      </c>
      <c r="G25" s="65"/>
      <c r="H25" s="53">
        <f ca="1">(D25-B25)*10000</f>
        <v>-727</v>
      </c>
      <c r="I25" s="53">
        <f ca="1">H22+H23</f>
        <v>-732</v>
      </c>
      <c r="J25" s="53"/>
      <c r="K25" s="53">
        <f ca="1">H25-I25</f>
        <v>5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975">
        <v>125487.17368999988</v>
      </c>
      <c r="C28" s="76"/>
      <c r="D28" s="975">
        <f ca="1">+'COMP Act to Prior'!D28</f>
        <v>76241.100000000006</v>
      </c>
      <c r="E28" s="190"/>
      <c r="F28" s="303">
        <f ca="1">D28-B28</f>
        <v>-49246.073689999874</v>
      </c>
      <c r="G28" s="303"/>
      <c r="H28" s="325">
        <f ca="1">ROUND((((D28/B15)-B20)/B23)-(((B28/B15)-B20)/B23),4)*10000</f>
        <v>-596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25229.405132070417</v>
      </c>
      <c r="C29" s="76"/>
      <c r="D29" s="434">
        <f ca="1">+'COMP Act to Prior'!D29</f>
        <v>6057.0999999999985</v>
      </c>
      <c r="E29" s="190"/>
      <c r="F29" s="303">
        <f ca="1">D29-B29</f>
        <v>-19172.305132070418</v>
      </c>
      <c r="G29" s="303"/>
      <c r="H29" s="325">
        <f ca="1">-ROUND((((D29/B15)-B20)/B23)-(((B29/B15)-B20)/B23),4)*10000</f>
        <v>231.99999999999997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25229.405132070417</v>
      </c>
      <c r="C31" s="300"/>
      <c r="D31" s="191">
        <f ca="1">+'COMP Act to Prior'!D31</f>
        <v>6057.0999999999985</v>
      </c>
      <c r="E31" s="190"/>
      <c r="F31" s="303">
        <f ca="1">D31-B31</f>
        <v>-19172.305132070418</v>
      </c>
      <c r="G31" s="190"/>
      <c r="H31" s="325">
        <f ca="1">-ROUND((((D31/B15)-B20)/B23)-(((B31/B15)-B20)/B23),4)*10000</f>
        <v>231.99999999999997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100257.76855792946</v>
      </c>
      <c r="C33" s="76"/>
      <c r="D33" s="191">
        <f ca="1">+'COMP Act to Prior'!D33</f>
        <v>70184</v>
      </c>
      <c r="E33" s="190"/>
      <c r="F33" s="303">
        <f ca="1">D33-B33</f>
        <v>-30073.768557929463</v>
      </c>
      <c r="G33" s="303"/>
      <c r="H33" s="325">
        <f ca="1">ROUND((((D33/B15)-B20)/B23)-(((B33/B15)-B20)/B23),4)*10000</f>
        <v>-364</v>
      </c>
      <c r="I33" s="316">
        <f ca="1">H28+H29+H30</f>
        <v>-364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-1579.1024434278449</v>
      </c>
      <c r="C36" s="976"/>
      <c r="D36" s="191">
        <f ca="1">+'COMP Act to Prior'!D36</f>
        <v>2154.711039144227</v>
      </c>
      <c r="E36" s="190"/>
      <c r="F36" s="303">
        <f ca="1">D36-B36</f>
        <v>3733.8134825720717</v>
      </c>
      <c r="G36" s="76"/>
      <c r="H36" s="325">
        <f ca="1">ROUND((((D36/B15)-B20)/B23)-(((B36/B15)-B20)/B23),4)*10000</f>
        <v>45</v>
      </c>
      <c r="I36" s="316">
        <f ca="1">H36</f>
        <v>45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7">
        <v>98678.666114501611</v>
      </c>
      <c r="D37" s="67">
        <f ca="1">+'COMP Act to Prior'!D37</f>
        <v>72338.711039144226</v>
      </c>
      <c r="E37" s="68"/>
      <c r="F37" s="50">
        <f ca="1">D37-B37</f>
        <v>-26339.955075357386</v>
      </c>
      <c r="G37" s="63"/>
      <c r="H37" s="326">
        <f ca="1">ROUND((((D37/B15)-B20)/B23)-(((B37/B15)-B20)/B23),4)*10000</f>
        <v>-319</v>
      </c>
      <c r="I37" s="53">
        <f ca="1">H33+H36</f>
        <v>-319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31.712574513590784</v>
      </c>
      <c r="C42" s="76"/>
      <c r="D42" s="192">
        <f ca="1">+'COMP Act to Prior'!D42</f>
        <v>32.303351541452763</v>
      </c>
      <c r="E42" s="190"/>
      <c r="F42" s="303">
        <f ca="1">D42-B42</f>
        <v>0.59077702786197861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-414.75145516467154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89.41357008743455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13.573174486724998</v>
      </c>
      <c r="C46" s="76"/>
      <c r="D46" s="192">
        <f ca="1">+'COMP Act to Prior'!D46</f>
        <v>13.751451000000001</v>
      </c>
      <c r="E46" s="190"/>
      <c r="F46" s="303">
        <f t="shared" ca="1" si="0"/>
        <v>0.17827651327500327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60.573140900999988</v>
      </c>
      <c r="C47" s="76"/>
      <c r="D47" s="192">
        <f ca="1">+'COMP Act to Prior'!D47</f>
        <v>59.108476990500002</v>
      </c>
      <c r="E47" s="190"/>
      <c r="F47" s="303">
        <f t="shared" ca="1" si="0"/>
        <v>-1.4646639104999863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-171.39183664050142</v>
      </c>
      <c r="C48" s="76"/>
      <c r="D48" s="192">
        <f ca="1">+'COMP Act to Prior'!D48</f>
        <v>0</v>
      </c>
      <c r="E48" s="190"/>
      <c r="F48" s="303">
        <f t="shared" ca="1" si="0"/>
        <v>171.39183664050142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9.1079100093338639E-4</v>
      </c>
      <c r="C55" s="76"/>
      <c r="D55" s="192">
        <f ca="1">+'COMP Act to Prior'!D55</f>
        <v>2.9115449990513298E-4</v>
      </c>
      <c r="E55" s="190"/>
      <c r="F55" s="303">
        <f t="shared" ca="1" si="0"/>
        <v>-6.1963650102825341E-4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-3143.0090947500003</v>
      </c>
      <c r="C56" s="76"/>
      <c r="D56" s="192">
        <f ca="1">+'COMP Act to Prior'!D56</f>
        <v>-654.30478889999995</v>
      </c>
      <c r="E56" s="190"/>
      <c r="F56" s="303">
        <f t="shared" ca="1" si="0"/>
        <v>2488.7043058500003</v>
      </c>
      <c r="G56" s="298"/>
      <c r="H56" s="325">
        <f t="shared" ca="1" si="1"/>
        <v>30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-1579.1024434278449</v>
      </c>
      <c r="C58" s="76"/>
      <c r="D58" s="190">
        <f ca="1">+'COMP Act to Prior'!D58</f>
        <v>2154.711039144227</v>
      </c>
      <c r="E58" s="190"/>
      <c r="F58" s="303">
        <f t="shared" ca="1" si="0"/>
        <v>3733.8134825720717</v>
      </c>
      <c r="G58" s="76"/>
      <c r="H58" s="325">
        <f t="shared" ca="1" si="1"/>
        <v>45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3" priority="1" stopIfTrue="1" operator="equal">
      <formula>0</formula>
    </cfRule>
    <cfRule type="cellIs" dxfId="1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rgb="FF00B0F0"/>
    <pageSetUpPr fitToPage="1"/>
  </sheetPr>
  <dimension ref="A1:X62"/>
  <sheetViews>
    <sheetView zoomScale="85" zoomScaleNormal="85" workbookViewId="0">
      <selection activeCell="O15" sqref="O15:O17"/>
    </sheetView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342" t="s">
        <v>1186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1705572.5598238807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664953.38270477927</v>
      </c>
      <c r="G9" s="303"/>
      <c r="H9" s="316">
        <f ca="1">ROUND((((B17/(D9+D10+D11+D13))-B20)/B23)-(((B17/(B9+D10+D11+D13))-B20)/B23),4)*10000</f>
        <v>-348</v>
      </c>
      <c r="I9" s="316">
        <f ca="1">ROUND((((B17/(D9+D10+D11+D13))-B20)/B23)-(((B17/(B9+D10+D11+D13))-B20)/B23),4)*10000</f>
        <v>-348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70333.729166153847</v>
      </c>
      <c r="C10" s="76"/>
      <c r="D10" s="303">
        <f ca="1">+'COMP Act to Prior'!D10</f>
        <v>24309.450432307684</v>
      </c>
      <c r="E10" s="76"/>
      <c r="F10" s="303">
        <f ca="1">D10-B10</f>
        <v>-46024.278733846164</v>
      </c>
      <c r="G10" s="303"/>
      <c r="H10" s="316">
        <f ca="1">ROUND((((B17/(D9+D11+D13+D10))-B20)/B23)-(((B17/(B10+D9+D11+D13))-B20)/B23),4)*10000</f>
        <v>17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2172.483878461539</v>
      </c>
      <c r="C12" s="76"/>
      <c r="D12" s="303">
        <f ca="1">+'COMP Act to Prior'!D12</f>
        <v>1000</v>
      </c>
      <c r="E12" s="76"/>
      <c r="F12" s="303">
        <f ca="1">D12-B12</f>
        <v>-1172.483878461539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315">
        <v>-28171.068715939731</v>
      </c>
      <c r="C13" s="76"/>
      <c r="D13" s="315">
        <f ca="1">+'COMP Act to Prior'!D13</f>
        <v>-29047.373783918258</v>
      </c>
      <c r="E13" s="76"/>
      <c r="F13" s="303">
        <f ca="1">D13-B13</f>
        <v>-876.30506797852649</v>
      </c>
      <c r="G13" s="190"/>
      <c r="H13" s="316">
        <f ca="1">ROUND((((B17/(D9+D10+D11+D12+D13))-B20)/B23)-(((B17/(B13+D9+D10+D11+D12))-B20)/B23),4)*10000</f>
        <v>0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1749907.7042</v>
      </c>
      <c r="C15" s="52"/>
      <c r="D15" s="61">
        <f ca="1">+'COMP Act to Prior'!D15</f>
        <v>2366788.0192</v>
      </c>
      <c r="E15" s="52"/>
      <c r="F15" s="50">
        <f ca="1">D15-B15</f>
        <v>616880.31499999994</v>
      </c>
      <c r="G15" s="50"/>
      <c r="H15" s="53">
        <f ca="1">ROUND((((B17/D15)-B20)/B23)-(((B17/B15)-B20)/B23),4)*10000</f>
        <v>-313</v>
      </c>
      <c r="I15" s="53">
        <f ca="1">SUM(H9:H13)</f>
        <v>-331</v>
      </c>
      <c r="J15" s="316"/>
      <c r="K15" s="53">
        <f ca="1">H15-I15</f>
        <v>18</v>
      </c>
      <c r="L15" s="76"/>
      <c r="M15" s="76"/>
      <c r="N15" s="76"/>
      <c r="O15" s="973">
        <f ca="1">-F15/H15</f>
        <v>1970.8636261980828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98738.767099999997</v>
      </c>
      <c r="D17" s="62">
        <f ca="1">+'COMP Act to Prior'!D17</f>
        <v>72338.710999999996</v>
      </c>
      <c r="F17" s="50">
        <f ca="1">D17-B17</f>
        <v>-26400.056100000002</v>
      </c>
      <c r="G17" s="63"/>
      <c r="H17" s="64">
        <f ca="1">ROUND((((D17/B15)-B20)/B23)-(((B17/B15)-B20)/B23),4)*10000</f>
        <v>-322</v>
      </c>
      <c r="I17" s="53"/>
      <c r="J17" s="53"/>
      <c r="K17" s="53"/>
      <c r="L17" s="64"/>
      <c r="O17" s="973">
        <f ca="1">-F17/H17</f>
        <v>-81.987751863354049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5.6399999999999999E-2</v>
      </c>
      <c r="C19" s="76"/>
      <c r="D19" s="298">
        <f ca="1">+'COMP Act to Prior'!D19</f>
        <v>3.0599999999999999E-2</v>
      </c>
      <c r="E19" s="76"/>
      <c r="F19" s="298">
        <f ca="1">D19-B19</f>
        <v>-2.58E-2</v>
      </c>
      <c r="G19" s="298"/>
      <c r="H19" s="316">
        <f ca="1">ROUND((F19/$B$23)*10000,0)</f>
        <v>-550</v>
      </c>
      <c r="I19" s="53">
        <f ca="1">H15+H17</f>
        <v>-635</v>
      </c>
      <c r="J19" s="316"/>
      <c r="K19" s="53">
        <f ca="1">H19-I19</f>
        <v>85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1.43E-2</v>
      </c>
      <c r="C20" s="76"/>
      <c r="D20" s="299">
        <f ca="1">+'COMP Act to Prior'!D20</f>
        <v>2.18E-2</v>
      </c>
      <c r="E20" s="76"/>
      <c r="F20" s="298">
        <f ca="1">D20-B20</f>
        <v>7.4999999999999997E-3</v>
      </c>
      <c r="G20" s="298"/>
      <c r="H20" s="316">
        <f ca="1">-ROUND((F20/$B$23)*10000,0)</f>
        <v>-160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4.2099999999999999E-2</v>
      </c>
      <c r="C22" s="76"/>
      <c r="D22" s="298">
        <f ca="1">+'COMP Act to Prior'!D22</f>
        <v>8.8000000000000005E-3</v>
      </c>
      <c r="E22" s="76"/>
      <c r="F22" s="298">
        <f ca="1">D22-B22</f>
        <v>-3.3299999999999996E-2</v>
      </c>
      <c r="G22" s="298"/>
      <c r="H22" s="316">
        <f ca="1">ROUND((F22/$B$23)*10000,0)</f>
        <v>-710</v>
      </c>
      <c r="I22" s="53">
        <f ca="1">H19+H20</f>
        <v>-710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0.46920000000000001</v>
      </c>
      <c r="C23" s="76"/>
      <c r="D23" s="299">
        <f ca="1">+'COMP Act to Prior'!D23</f>
        <v>0.47489999999999999</v>
      </c>
      <c r="E23" s="76"/>
      <c r="F23" s="298">
        <f ca="1">D23-B23</f>
        <v>5.6999999999999829E-3</v>
      </c>
      <c r="G23" s="298"/>
      <c r="H23" s="316">
        <f ca="1">ROUND((B22/D23)-(B22/B23),4)*10000</f>
        <v>-11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189">
        <v>8.9800000000000005E-2</v>
      </c>
      <c r="D25" s="189">
        <f ca="1">+'COMP Act to Prior'!D25</f>
        <v>1.84E-2</v>
      </c>
      <c r="F25" s="65">
        <f ca="1">D25-B25</f>
        <v>-7.1400000000000005E-2</v>
      </c>
      <c r="G25" s="65"/>
      <c r="H25" s="53">
        <f ca="1">(D25-B25)*10000</f>
        <v>-714</v>
      </c>
      <c r="I25" s="53">
        <f ca="1">H22+H23</f>
        <v>-721</v>
      </c>
      <c r="J25" s="53"/>
      <c r="K25" s="53">
        <f ca="1">H25-I25</f>
        <v>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975">
        <v>125150.97369000004</v>
      </c>
      <c r="C28" s="76"/>
      <c r="D28" s="975">
        <f ca="1">+'COMP Act to Prior'!D28</f>
        <v>76241.100000000006</v>
      </c>
      <c r="E28" s="190"/>
      <c r="F28" s="303">
        <f ca="1">D28-B28</f>
        <v>-48909.873690000037</v>
      </c>
      <c r="G28" s="303"/>
      <c r="H28" s="325">
        <f ca="1">ROUND((((D28/B15)-B20)/B23)-(((B28/B15)-B20)/B23),4)*10000</f>
        <v>-596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25080.437595004882</v>
      </c>
      <c r="C29" s="76"/>
      <c r="D29" s="434">
        <f ca="1">+'COMP Act to Prior'!D29</f>
        <v>6057.0999999999985</v>
      </c>
      <c r="E29" s="190"/>
      <c r="F29" s="303">
        <f ca="1">D29-B29</f>
        <v>-19023.337595004883</v>
      </c>
      <c r="G29" s="303"/>
      <c r="H29" s="325">
        <f ca="1">-ROUND((((D29/B15)-B20)/B23)-(((B29/B15)-B20)/B23),4)*10000</f>
        <v>231.99999999999997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25080.437595004882</v>
      </c>
      <c r="C31" s="300"/>
      <c r="D31" s="191">
        <f ca="1">+'COMP Act to Prior'!D31</f>
        <v>6057.0999999999985</v>
      </c>
      <c r="E31" s="190"/>
      <c r="F31" s="303">
        <f ca="1">D31-B31</f>
        <v>-19023.337595004883</v>
      </c>
      <c r="G31" s="190"/>
      <c r="H31" s="325">
        <f ca="1">-ROUND((((D31/B15)-B20)/B23)-(((B31/B15)-B20)/B23),4)*10000</f>
        <v>231.99999999999997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100070.53609499516</v>
      </c>
      <c r="C33" s="76"/>
      <c r="D33" s="191">
        <f ca="1">+'COMP Act to Prior'!D33</f>
        <v>70184</v>
      </c>
      <c r="E33" s="190"/>
      <c r="F33" s="303">
        <f ca="1">D33-B33</f>
        <v>-29886.536094995157</v>
      </c>
      <c r="G33" s="303"/>
      <c r="H33" s="325">
        <f ca="1">ROUND((((D33/B15)-B20)/B23)-(((B33/B15)-B20)/B23),4)*10000</f>
        <v>-364</v>
      </c>
      <c r="I33" s="316">
        <f ca="1">H28+H29+H30</f>
        <v>-364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-1331.7689722829086</v>
      </c>
      <c r="C36" s="976"/>
      <c r="D36" s="191">
        <f ca="1">+'COMP Act to Prior'!D36</f>
        <v>2154.711039144227</v>
      </c>
      <c r="E36" s="190"/>
      <c r="F36" s="303">
        <f ca="1">D36-B36</f>
        <v>3486.4800114271357</v>
      </c>
      <c r="G36" s="76"/>
      <c r="H36" s="325">
        <f ca="1">ROUND((((D36/B15)-B20)/B23)-(((B36/B15)-B20)/B23),4)*10000</f>
        <v>42</v>
      </c>
      <c r="I36" s="316">
        <f ca="1">H36</f>
        <v>42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7">
        <v>98738.767122712248</v>
      </c>
      <c r="D37" s="67">
        <f ca="1">+'COMP Act to Prior'!D37</f>
        <v>72338.711039144226</v>
      </c>
      <c r="E37" s="68"/>
      <c r="F37" s="50">
        <f ca="1">D37-B37</f>
        <v>-26400.056083568023</v>
      </c>
      <c r="G37" s="63"/>
      <c r="H37" s="326">
        <f ca="1">ROUND((((D37/B15)-B20)/B23)-(((B37/B15)-B20)/B23),4)*10000</f>
        <v>-322</v>
      </c>
      <c r="I37" s="53">
        <f ca="1">H33+H36</f>
        <v>-322</v>
      </c>
      <c r="K37" s="53">
        <f ca="1">H37-I37</f>
        <v>0</v>
      </c>
      <c r="X37" s="54"/>
    </row>
    <row r="38" spans="1:24" s="66" customFormat="1" ht="14.1" customHeight="1">
      <c r="A38" s="322"/>
      <c r="B38" s="69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71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31.56703269214713</v>
      </c>
      <c r="C42" s="76"/>
      <c r="D42" s="192">
        <f ca="1">+'COMP Act to Prior'!D42</f>
        <v>32.303351541452763</v>
      </c>
      <c r="E42" s="190"/>
      <c r="F42" s="303">
        <f ca="1">D42-B42</f>
        <v>0.73631884930563274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-164.80357895179225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-160.53430612544474</v>
      </c>
      <c r="G43" s="298"/>
      <c r="H43" s="325">
        <f t="shared" ref="H43:H58" ca="1" si="1">ROUND((((D43/$B$15)-$B$20)/$B$23)-(((B43/$B$15)-$B$20)/$B$23),4)*10000</f>
        <v>-2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13.476122986724999</v>
      </c>
      <c r="C46" s="76"/>
      <c r="D46" s="192">
        <f ca="1">+'COMP Act to Prior'!D46</f>
        <v>13.751451000000001</v>
      </c>
      <c r="E46" s="190"/>
      <c r="F46" s="303">
        <f t="shared" ca="1" si="0"/>
        <v>0.27532801327500245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56.572640743500003</v>
      </c>
      <c r="C47" s="76"/>
      <c r="D47" s="192">
        <f ca="1">+'COMP Act to Prior'!D47</f>
        <v>59.108476990500002</v>
      </c>
      <c r="E47" s="190"/>
      <c r="F47" s="303">
        <f t="shared" ca="1" si="0"/>
        <v>2.5358362469999989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-179.0813016405009</v>
      </c>
      <c r="C48" s="76"/>
      <c r="D48" s="192">
        <f ca="1">+'COMP Act to Prior'!D48</f>
        <v>0</v>
      </c>
      <c r="E48" s="190"/>
      <c r="F48" s="303">
        <f t="shared" ca="1" si="0"/>
        <v>179.0813016405009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1.3736520008933439E-3</v>
      </c>
      <c r="C55" s="76"/>
      <c r="D55" s="192">
        <f ca="1">+'COMP Act to Prior'!D55</f>
        <v>2.9115449990513298E-4</v>
      </c>
      <c r="E55" s="190"/>
      <c r="F55" s="303">
        <f t="shared" ca="1" si="0"/>
        <v>-1.082497500988211E-3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-3133.6914041999999</v>
      </c>
      <c r="C56" s="76"/>
      <c r="D56" s="192">
        <f ca="1">+'COMP Act to Prior'!D56</f>
        <v>-654.30478889999995</v>
      </c>
      <c r="E56" s="190"/>
      <c r="F56" s="303">
        <f t="shared" ca="1" si="0"/>
        <v>2479.3866152999999</v>
      </c>
      <c r="G56" s="298"/>
      <c r="H56" s="325">
        <f t="shared" ca="1" si="1"/>
        <v>30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-1331.7689722829086</v>
      </c>
      <c r="C58" s="76"/>
      <c r="D58" s="190">
        <f ca="1">+'COMP Act to Prior'!D58</f>
        <v>2154.711039144227</v>
      </c>
      <c r="E58" s="190"/>
      <c r="F58" s="303">
        <f t="shared" ca="1" si="0"/>
        <v>3486.4800114271357</v>
      </c>
      <c r="G58" s="76"/>
      <c r="H58" s="325">
        <f t="shared" ca="1" si="1"/>
        <v>42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1" priority="1" stopIfTrue="1" operator="equal">
      <formula>0</formula>
    </cfRule>
    <cfRule type="cellIs" dxfId="10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1:X62"/>
  <sheetViews>
    <sheetView workbookViewId="0">
      <selection activeCell="O15" sqref="O15:O17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B6" s="430" t="s">
        <v>1050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1140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1706295.1874784261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664230.7550502338</v>
      </c>
      <c r="G9" s="303"/>
      <c r="H9" s="316">
        <f ca="1">ROUND((((B17/(D9+D10+D11+D13))-B20)/B23)-(((B17/(B9+D10+D11+D13))-B20)/B23),4)*10000</f>
        <v>-354.99999999999994</v>
      </c>
      <c r="I9" s="316">
        <f ca="1">ROUND((((B17/(D9+D10+D11+D13))-B20)/B23)-(((B17/(B9+D10+D11+D13))-B20)/B23),4)*10000</f>
        <v>-354.99999999999994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64349.886096923103</v>
      </c>
      <c r="C10" s="76"/>
      <c r="D10" s="303">
        <f ca="1">+'COMP Act to Prior'!D10</f>
        <v>24309.450432307684</v>
      </c>
      <c r="E10" s="76"/>
      <c r="F10" s="303">
        <f ca="1">D10-B10</f>
        <v>-40040.435664615419</v>
      </c>
      <c r="G10" s="303"/>
      <c r="H10" s="316">
        <f ca="1">ROUND((((B17/(D9+D11+D13+D10))-B20)/B23)-(((B17/(B10+D9+D11+D13))-B20)/B23),4)*10000</f>
        <v>15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2371.8454169230772</v>
      </c>
      <c r="C12" s="76"/>
      <c r="D12" s="303">
        <f ca="1">+'COMP Act to Prior'!D12</f>
        <v>1000</v>
      </c>
      <c r="E12" s="76"/>
      <c r="F12" s="303">
        <f ca="1">D12-B12</f>
        <v>-1371.8454169230772</v>
      </c>
      <c r="G12" s="190"/>
      <c r="H12" s="316">
        <f ca="1">ROUND((((B17/(D9+D10+D11+D12+D13))-B20)/B23)-(((B17/(B12+D9+D10+D11+D13))-B20)/B23),4)*10000</f>
        <v>1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-25465.576070769253</v>
      </c>
      <c r="C13" s="76"/>
      <c r="D13" s="315">
        <f ca="1">+'COMP Act to Prior'!D13</f>
        <v>-29047.373783918258</v>
      </c>
      <c r="E13" s="76"/>
      <c r="F13" s="303">
        <f ca="1">D13-B13</f>
        <v>-3581.7977131490043</v>
      </c>
      <c r="G13" s="190"/>
      <c r="H13" s="316">
        <f ca="1">ROUND((((B17/(D9+D10+D11+D12+D13))-B20)/B23)-(((B17/(B13+D9+D10+D11+D12))-B20)/B23),4)*10000</f>
        <v>1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1747551.3429</v>
      </c>
      <c r="C15" s="52"/>
      <c r="D15" s="61">
        <f ca="1">+'COMP Act to Prior'!D15</f>
        <v>2366788.0192</v>
      </c>
      <c r="E15" s="52"/>
      <c r="F15" s="50">
        <f ca="1">D15-B15</f>
        <v>619236.67629999993</v>
      </c>
      <c r="G15" s="50"/>
      <c r="H15" s="53">
        <f ca="1">ROUND((((B17/D15)-B20)/B23)-(((B17/B15)-B20)/B23),4)*10000</f>
        <v>-322</v>
      </c>
      <c r="I15" s="53">
        <f ca="1">SUM(H9:H13)</f>
        <v>-337.99999999999994</v>
      </c>
      <c r="J15" s="316"/>
      <c r="K15" s="53">
        <f ca="1">H15-I15</f>
        <v>15.999999999999943</v>
      </c>
      <c r="L15" s="76"/>
      <c r="M15" s="76"/>
      <c r="N15" s="76"/>
      <c r="O15" s="973">
        <f ca="1">-F15/H15</f>
        <v>1923.0952680124221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100988.303</v>
      </c>
      <c r="D17" s="62">
        <f ca="1">+'COMP Act to Prior'!D17</f>
        <v>72338.710999999996</v>
      </c>
      <c r="F17" s="50">
        <f ca="1">D17-B17</f>
        <v>-28649.592000000004</v>
      </c>
      <c r="G17" s="63"/>
      <c r="H17" s="64">
        <f ca="1">ROUND((((D17/B15)-B20)/B23)-(((B17/B15)-B20)/B23),4)*10000</f>
        <v>-349</v>
      </c>
      <c r="I17" s="53"/>
      <c r="J17" s="53"/>
      <c r="K17" s="53"/>
      <c r="L17" s="64"/>
      <c r="M17" s="76"/>
      <c r="O17" s="973">
        <f ca="1">-F17/H17</f>
        <v>-82.090521489971366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5.7799999999999997E-2</v>
      </c>
      <c r="C19" s="76"/>
      <c r="D19" s="298">
        <f ca="1">+'COMP Act to Prior'!D19</f>
        <v>3.0599999999999999E-2</v>
      </c>
      <c r="E19" s="76"/>
      <c r="F19" s="298">
        <f ca="1">D19-B19</f>
        <v>-2.7199999999999998E-2</v>
      </c>
      <c r="G19" s="298"/>
      <c r="H19" s="316">
        <f ca="1">ROUND((F19/$B$23)*10000,0)</f>
        <v>-579</v>
      </c>
      <c r="I19" s="53">
        <f ca="1">H15+H17</f>
        <v>-671</v>
      </c>
      <c r="J19" s="316"/>
      <c r="K19" s="53">
        <f ca="1">H19-I19</f>
        <v>92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1.4E-2</v>
      </c>
      <c r="C20" s="76"/>
      <c r="D20" s="299">
        <f ca="1">+'COMP Act to Prior'!D20</f>
        <v>2.18E-2</v>
      </c>
      <c r="E20" s="76"/>
      <c r="F20" s="298">
        <f ca="1">D20-B20</f>
        <v>7.7999999999999996E-3</v>
      </c>
      <c r="G20" s="298"/>
      <c r="H20" s="316">
        <f ca="1">-ROUND((F20/$B$23)*10000,0)</f>
        <v>-166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4.3799999999999999E-2</v>
      </c>
      <c r="C22" s="76"/>
      <c r="D22" s="298">
        <f ca="1">+'COMP Act to Prior'!D22</f>
        <v>8.8000000000000005E-3</v>
      </c>
      <c r="E22" s="76"/>
      <c r="F22" s="298">
        <f ca="1">D22-B22</f>
        <v>-3.4999999999999996E-2</v>
      </c>
      <c r="G22" s="298"/>
      <c r="H22" s="316">
        <f ca="1">ROUND((F22/$B$23)*10000,0)</f>
        <v>-746</v>
      </c>
      <c r="I22" s="53">
        <f ca="1">H19+H20</f>
        <v>-745</v>
      </c>
      <c r="J22" s="316"/>
      <c r="K22" s="53">
        <f ca="1">H22-I22</f>
        <v>-1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0.46939999999999998</v>
      </c>
      <c r="C23" s="76"/>
      <c r="D23" s="299">
        <f ca="1">+'COMP Act to Prior'!D23</f>
        <v>0.47489999999999999</v>
      </c>
      <c r="E23" s="76"/>
      <c r="F23" s="298">
        <f ca="1">D23-B23</f>
        <v>5.5000000000000049E-3</v>
      </c>
      <c r="G23" s="298"/>
      <c r="H23" s="316">
        <f ca="1">ROUND((B22/D23)-(B22/B23),4)*10000</f>
        <v>-11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9.3299999999999994E-2</v>
      </c>
      <c r="D25" s="189">
        <f ca="1">+'COMP Act to Prior'!D25</f>
        <v>1.84E-2</v>
      </c>
      <c r="F25" s="65">
        <f ca="1">D25-B25</f>
        <v>-7.4899999999999994E-2</v>
      </c>
      <c r="G25" s="65"/>
      <c r="H25" s="53">
        <f ca="1">(D25-B25)*10000</f>
        <v>-749</v>
      </c>
      <c r="I25" s="53">
        <f ca="1">H22+H23</f>
        <v>-757</v>
      </c>
      <c r="J25" s="53"/>
      <c r="K25" s="53">
        <f ca="1">H25-I25</f>
        <v>8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433">
        <v>128230.97368999996</v>
      </c>
      <c r="C28" s="76"/>
      <c r="D28" s="975">
        <f ca="1">+'COMP Act to Prior'!D28</f>
        <v>76241.100000000006</v>
      </c>
      <c r="E28" s="190"/>
      <c r="F28" s="303">
        <f ca="1">D28-B28</f>
        <v>-51989.873689999949</v>
      </c>
      <c r="G28" s="303"/>
      <c r="H28" s="325">
        <f ca="1">ROUND((((D28/B15)-B20)/B23)-(((B28/B15)-B20)/B23),4)*10000</f>
        <v>-634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25844.921720000002</v>
      </c>
      <c r="C29" s="76"/>
      <c r="D29" s="434">
        <f ca="1">+'COMP Act to Prior'!D29</f>
        <v>6057.0999999999985</v>
      </c>
      <c r="E29" s="190"/>
      <c r="F29" s="303">
        <f ca="1">D29-B29</f>
        <v>-19787.821720000004</v>
      </c>
      <c r="G29" s="303"/>
      <c r="H29" s="325">
        <f ca="1">-ROUND((((D29/B15)-B20)/B23)-(((B29/B15)-B20)/B23),4)*10000</f>
        <v>241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25844.921720000002</v>
      </c>
      <c r="C31" s="300"/>
      <c r="D31" s="191">
        <f ca="1">+'COMP Act to Prior'!D31</f>
        <v>6057.0999999999985</v>
      </c>
      <c r="E31" s="190"/>
      <c r="F31" s="303">
        <f ca="1">D31-B31</f>
        <v>-19787.821720000004</v>
      </c>
      <c r="G31" s="190"/>
      <c r="H31" s="325">
        <f ca="1">-ROUND((((D31/B15)-B20)/B23)-(((B31/B15)-B20)/B23),4)*10000</f>
        <v>241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102386.05196999996</v>
      </c>
      <c r="C33" s="76"/>
      <c r="D33" s="191">
        <f ca="1">+'COMP Act to Prior'!D33</f>
        <v>70184</v>
      </c>
      <c r="E33" s="190"/>
      <c r="F33" s="303">
        <f ca="1">D33-B33</f>
        <v>-32202.051969999957</v>
      </c>
      <c r="G33" s="303"/>
      <c r="H33" s="325">
        <f ca="1">ROUND((((D33/B15)-B20)/B23)-(((B33/B15)-B20)/B23),4)*10000</f>
        <v>-393</v>
      </c>
      <c r="I33" s="316">
        <f ca="1">H28+H29+H30</f>
        <v>-393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-1397.7489822669866</v>
      </c>
      <c r="C36" s="976"/>
      <c r="D36" s="191">
        <f ca="1">+'COMP Act to Prior'!D36</f>
        <v>2154.711039144227</v>
      </c>
      <c r="E36" s="190"/>
      <c r="F36" s="303">
        <f ca="1">D36-B36</f>
        <v>3552.4600214112133</v>
      </c>
      <c r="G36" s="76"/>
      <c r="H36" s="325">
        <f ca="1">ROUND((((D36/B15)-B20)/B23)-(((B36/B15)-B20)/B23),4)*10000</f>
        <v>43</v>
      </c>
      <c r="I36" s="316">
        <f ca="1">H36</f>
        <v>43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2">
        <v>100988.30298773297</v>
      </c>
      <c r="D37" s="67">
        <f ca="1">+'COMP Act to Prior'!D37</f>
        <v>72338.711039144226</v>
      </c>
      <c r="E37" s="68"/>
      <c r="F37" s="50">
        <f ca="1">D37-B37</f>
        <v>-28649.591948588743</v>
      </c>
      <c r="G37" s="63"/>
      <c r="H37" s="326">
        <f ca="1">ROUND((((D37/B15)-B20)/B23)-(((B37/B15)-B20)/B23),4)*10000</f>
        <v>-349</v>
      </c>
      <c r="I37" s="53">
        <f ca="1">H33+H36</f>
        <v>-350</v>
      </c>
      <c r="K37" s="53">
        <f ca="1">H37-I37</f>
        <v>1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31.322706306508167</v>
      </c>
      <c r="C42" s="76"/>
      <c r="D42" s="192">
        <f ca="1">+'COMP Act to Prior'!D42</f>
        <v>32.303351541452763</v>
      </c>
      <c r="E42" s="190"/>
      <c r="F42" s="303">
        <f ca="1">D42-B42</f>
        <v>0.98064523494459621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-206.11933582673177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-119.21854925050522</v>
      </c>
      <c r="G43" s="298"/>
      <c r="H43" s="325">
        <f t="shared" ref="H43:H58" ca="1" si="1">ROUND((((D43/$B$15)-$B$20)/$B$23)-(((B43/$B$15)-$B$20)/$B$23),4)*10000</f>
        <v>-1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11.999999999999998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13.853130736724999</v>
      </c>
      <c r="C46" s="76"/>
      <c r="D46" s="192">
        <f ca="1">+'COMP Act to Prior'!D46</f>
        <v>13.751451000000001</v>
      </c>
      <c r="E46" s="190"/>
      <c r="F46" s="303">
        <f t="shared" ca="1" si="0"/>
        <v>-0.10167973672499819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-187.36800664049952</v>
      </c>
      <c r="C48" s="76"/>
      <c r="D48" s="192">
        <f ca="1">+'COMP Act to Prior'!D48</f>
        <v>0</v>
      </c>
      <c r="E48" s="190"/>
      <c r="F48" s="303">
        <f t="shared" ca="1" si="0"/>
        <v>187.36800664049952</v>
      </c>
      <c r="G48" s="298"/>
      <c r="H48" s="325">
        <f t="shared" ca="1" si="1"/>
        <v>2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-5.0018849970001611E-4</v>
      </c>
      <c r="C55" s="76"/>
      <c r="D55" s="192">
        <f ca="1">+'COMP Act to Prior'!D55</f>
        <v>2.9115449990513298E-4</v>
      </c>
      <c r="E55" s="190"/>
      <c r="F55" s="303">
        <f t="shared" ca="1" si="0"/>
        <v>7.9134299960514909E-4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-3153.3719553000001</v>
      </c>
      <c r="C56" s="76"/>
      <c r="D56" s="192">
        <f ca="1">+'COMP Act to Prior'!D56</f>
        <v>-654.30478889999995</v>
      </c>
      <c r="E56" s="190"/>
      <c r="F56" s="303">
        <f t="shared" ca="1" si="0"/>
        <v>2499.0671664000001</v>
      </c>
      <c r="G56" s="298"/>
      <c r="H56" s="325">
        <f t="shared" ca="1" si="1"/>
        <v>30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-1397.7489822669866</v>
      </c>
      <c r="C58" s="76"/>
      <c r="D58" s="190">
        <f ca="1">+'COMP Act to Prior'!D58</f>
        <v>2154.711039144227</v>
      </c>
      <c r="E58" s="190"/>
      <c r="F58" s="303">
        <f t="shared" ca="1" si="0"/>
        <v>3552.4600214112133</v>
      </c>
      <c r="G58" s="76"/>
      <c r="H58" s="325">
        <f t="shared" ca="1" si="1"/>
        <v>43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9" priority="1" stopIfTrue="1" operator="equal">
      <formula>0</formula>
    </cfRule>
    <cfRule type="cellIs" dxfId="8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rgb="FF00B0F0"/>
    <pageSetUpPr fitToPage="1"/>
  </sheetPr>
  <dimension ref="A1:X62"/>
  <sheetViews>
    <sheetView workbookViewId="0">
      <selection activeCell="O15" sqref="O15:O17"/>
    </sheetView>
  </sheetViews>
  <sheetFormatPr defaultColWidth="9.140625" defaultRowHeight="15"/>
  <cols>
    <col min="1" max="1" width="44.28515625" style="43" bestFit="1" customWidth="1"/>
    <col min="2" max="2" width="18.28515625" style="43" customWidth="1"/>
    <col min="3" max="3" width="2.85546875" style="43" customWidth="1"/>
    <col min="4" max="4" width="18.285156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B6" s="430" t="s">
        <v>1205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1226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2024569.5878616774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345956.35466698254</v>
      </c>
      <c r="G9" s="303"/>
      <c r="H9" s="316">
        <f ca="1">ROUND((((B17/(D9+D10+D11+D13))-B20)/B23)-(((B17/(B9+D10+D11+D13))-B20)/B23),4)*10000</f>
        <v>-160</v>
      </c>
      <c r="I9" s="316">
        <f ca="1">ROUND((((B17/(D9+D10+D11+D13))-B20)/B23)-(((B17/(B9+D10+D11+D13))-B20)/B23),4)*10000</f>
        <v>-160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17286.934380000021</v>
      </c>
      <c r="C10" s="76"/>
      <c r="D10" s="303">
        <f ca="1">+'COMP Act to Prior'!D10</f>
        <v>24309.450432307684</v>
      </c>
      <c r="E10" s="76"/>
      <c r="F10" s="303">
        <f ca="1">D10-B10</f>
        <v>7022.5160523076629</v>
      </c>
      <c r="G10" s="303"/>
      <c r="H10" s="316">
        <f ca="1">ROUND((((B17/(D9+D11+D13+D10))-B20)/B23)-(((B17/(B10+D9+D11+D13))-B20)/B23),4)*10000</f>
        <v>-2.9999999999999996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1000</v>
      </c>
      <c r="C12" s="76"/>
      <c r="D12" s="303">
        <f ca="1">+'COMP Act to Prior'!D12</f>
        <v>1000</v>
      </c>
      <c r="E12" s="76"/>
      <c r="F12" s="303">
        <f ca="1">D12-B12</f>
        <v>0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-12278.534419277286</v>
      </c>
      <c r="C13" s="76"/>
      <c r="D13" s="315">
        <f ca="1">+'COMP Act to Prior'!D13</f>
        <v>-29047.373783918258</v>
      </c>
      <c r="E13" s="76"/>
      <c r="F13" s="303">
        <f ca="1">D13-B13</f>
        <v>-16768.839364640971</v>
      </c>
      <c r="G13" s="190"/>
      <c r="H13" s="316">
        <f ca="1">ROUND((((B17/(D9+D10+D11+D12+D13))-B20)/B23)-(((B17/(B13+D9+D10+D11+D12))-B20)/B23),4)*10000</f>
        <v>7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2030577.9878</v>
      </c>
      <c r="C15" s="52"/>
      <c r="D15" s="61">
        <f ca="1">+'COMP Act to Prior'!D15</f>
        <v>2366788.0192</v>
      </c>
      <c r="E15" s="52"/>
      <c r="F15" s="50">
        <f ca="1">D15-B15</f>
        <v>336210.03139999998</v>
      </c>
      <c r="G15" s="50"/>
      <c r="H15" s="53">
        <f ca="1">ROUND((((B17/D15)-B20)/B23)-(((B17/B15)-B20)/B23),4)*10000</f>
        <v>-154</v>
      </c>
      <c r="I15" s="53">
        <f ca="1">SUM(H9:H13)</f>
        <v>-156</v>
      </c>
      <c r="J15" s="316"/>
      <c r="K15" s="53">
        <f ca="1">H15-I15</f>
        <v>2</v>
      </c>
      <c r="L15" s="76"/>
      <c r="M15" s="76"/>
      <c r="N15" s="76"/>
      <c r="O15" s="973">
        <f ca="1">-F15/H15</f>
        <v>2183.1820220779218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104961.26609999999</v>
      </c>
      <c r="D17" s="62">
        <f ca="1">+'COMP Act to Prior'!D17</f>
        <v>72338.710999999996</v>
      </c>
      <c r="F17" s="50">
        <f ca="1">D17-B17</f>
        <v>-32622.555099999998</v>
      </c>
      <c r="G17" s="63"/>
      <c r="H17" s="64">
        <f ca="1">ROUND((((D17/B15)-B20)/B23)-(((B17/B15)-B20)/B23),4)*10000</f>
        <v>-337.99999999999994</v>
      </c>
      <c r="I17" s="53"/>
      <c r="J17" s="53"/>
      <c r="K17" s="53"/>
      <c r="L17" s="64"/>
      <c r="M17" s="76"/>
      <c r="O17" s="973">
        <f ca="1">-F17/H17</f>
        <v>-96.516435207100599</v>
      </c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5.1700000000000003E-2</v>
      </c>
      <c r="C19" s="76"/>
      <c r="D19" s="298">
        <f ca="1">+'COMP Act to Prior'!D19</f>
        <v>3.0599999999999999E-2</v>
      </c>
      <c r="E19" s="76"/>
      <c r="F19" s="298">
        <f ca="1">D19-B19</f>
        <v>-2.1100000000000004E-2</v>
      </c>
      <c r="G19" s="298"/>
      <c r="H19" s="316">
        <f ca="1">ROUND((F19/$B$23)*10000,0)</f>
        <v>-444</v>
      </c>
      <c r="I19" s="53">
        <f ca="1">H15+H17</f>
        <v>-491.99999999999994</v>
      </c>
      <c r="J19" s="316"/>
      <c r="K19" s="53">
        <f ca="1">H19-I19</f>
        <v>47.999999999999943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1.7299999999999999E-2</v>
      </c>
      <c r="C20" s="76"/>
      <c r="D20" s="299">
        <f ca="1">+'COMP Act to Prior'!D20</f>
        <v>2.18E-2</v>
      </c>
      <c r="E20" s="76"/>
      <c r="F20" s="298">
        <f ca="1">D20-B20</f>
        <v>4.5000000000000005E-3</v>
      </c>
      <c r="G20" s="298"/>
      <c r="H20" s="316">
        <f ca="1">-ROUND((F20/$B$23)*10000,0)</f>
        <v>-95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3.44E-2</v>
      </c>
      <c r="C22" s="76"/>
      <c r="D22" s="298">
        <f ca="1">+'COMP Act to Prior'!D22</f>
        <v>8.8000000000000005E-3</v>
      </c>
      <c r="E22" s="76"/>
      <c r="F22" s="298">
        <f ca="1">D22-B22</f>
        <v>-2.5599999999999998E-2</v>
      </c>
      <c r="G22" s="298"/>
      <c r="H22" s="316">
        <f ca="1">ROUND((F22/$B$23)*10000,0)</f>
        <v>-539</v>
      </c>
      <c r="I22" s="53">
        <f ca="1">H19+H20</f>
        <v>-539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0.4753</v>
      </c>
      <c r="C23" s="76"/>
      <c r="D23" s="299">
        <f ca="1">+'COMP Act to Prior'!D23</f>
        <v>0.47489999999999999</v>
      </c>
      <c r="E23" s="76"/>
      <c r="F23" s="298">
        <f ca="1">D23-B23</f>
        <v>-4.0000000000001146E-4</v>
      </c>
      <c r="G23" s="298"/>
      <c r="H23" s="316">
        <f ca="1">ROUND((B22/D23)-(B22/B23),4)*10000</f>
        <v>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7.2400000000000006E-2</v>
      </c>
      <c r="D25" s="189">
        <f ca="1">+'COMP Act to Prior'!D25</f>
        <v>1.84E-2</v>
      </c>
      <c r="F25" s="65">
        <f ca="1">D25-B25</f>
        <v>-5.4000000000000006E-2</v>
      </c>
      <c r="G25" s="65"/>
      <c r="H25" s="53">
        <f ca="1">(D25-B25)*10000</f>
        <v>-540.00000000000011</v>
      </c>
      <c r="I25" s="53">
        <f ca="1">H22+H23</f>
        <v>-538</v>
      </c>
      <c r="J25" s="53"/>
      <c r="K25" s="53">
        <f ca="1">H25-I25</f>
        <v>-2.0000000000001137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433">
        <v>131712.16215999992</v>
      </c>
      <c r="C28" s="76"/>
      <c r="D28" s="975">
        <f ca="1">+'COMP Act to Prior'!D28</f>
        <v>76241.100000000006</v>
      </c>
      <c r="E28" s="190"/>
      <c r="F28" s="303">
        <f ca="1">D28-B28</f>
        <v>-55471.062159999914</v>
      </c>
      <c r="G28" s="303"/>
      <c r="H28" s="325">
        <f ca="1">ROUND((((D28/B15)-B20)/B23)-(((B28/B15)-B20)/B23),4)*10000</f>
        <v>-575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23931.4</v>
      </c>
      <c r="C29" s="76"/>
      <c r="D29" s="434">
        <f ca="1">+'COMP Act to Prior'!D29</f>
        <v>6057.0999999999985</v>
      </c>
      <c r="E29" s="190"/>
      <c r="F29" s="303">
        <f ca="1">D29-B29</f>
        <v>-17874.300000000003</v>
      </c>
      <c r="G29" s="303"/>
      <c r="H29" s="325">
        <f ca="1">-ROUND((((D29/B15)-B20)/B23)-(((B29/B15)-B20)/B23),4)*10000</f>
        <v>185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23931.4</v>
      </c>
      <c r="C31" s="300"/>
      <c r="D31" s="191">
        <f ca="1">+'COMP Act to Prior'!D31</f>
        <v>6057.0999999999985</v>
      </c>
      <c r="E31" s="190"/>
      <c r="F31" s="303">
        <f ca="1">D31-B31</f>
        <v>-17874.300000000003</v>
      </c>
      <c r="G31" s="190"/>
      <c r="H31" s="325">
        <f ca="1">-ROUND((((D31/B15)-B20)/B23)-(((B31/B15)-B20)/B23),4)*10000</f>
        <v>185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107780.76215999993</v>
      </c>
      <c r="C33" s="76"/>
      <c r="D33" s="191">
        <f ca="1">+'COMP Act to Prior'!D33</f>
        <v>70184</v>
      </c>
      <c r="E33" s="190"/>
      <c r="F33" s="303">
        <f ca="1">D33-B33</f>
        <v>-37596.762159999926</v>
      </c>
      <c r="G33" s="303"/>
      <c r="H33" s="325">
        <f ca="1">ROUND((((D33/B15)-B20)/B23)-(((B33/B15)-B20)/B23),4)*10000</f>
        <v>-390</v>
      </c>
      <c r="I33" s="316">
        <f ca="1">H28+H29+H30</f>
        <v>-390</v>
      </c>
      <c r="J33" s="76"/>
      <c r="K33" s="53">
        <f ca="1">I33-H33</f>
        <v>0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-2819.4960389463222</v>
      </c>
      <c r="C36" s="976"/>
      <c r="D36" s="191">
        <f ca="1">+'COMP Act to Prior'!D36</f>
        <v>2154.711039144227</v>
      </c>
      <c r="E36" s="190"/>
      <c r="F36" s="303">
        <f ca="1">D36-B36</f>
        <v>4974.2070780905487</v>
      </c>
      <c r="G36" s="76"/>
      <c r="H36" s="325">
        <f ca="1">ROUND((((D36/B15)-B20)/B23)-(((B36/B15)-B20)/B23),4)*10000</f>
        <v>52</v>
      </c>
      <c r="I36" s="316">
        <f ca="1">H36</f>
        <v>52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2">
        <v>104961.2661210536</v>
      </c>
      <c r="D37" s="67">
        <f ca="1">+'COMP Act to Prior'!D37</f>
        <v>72338.711039144226</v>
      </c>
      <c r="E37" s="68"/>
      <c r="F37" s="50">
        <f ca="1">D37-B37</f>
        <v>-32622.555081909377</v>
      </c>
      <c r="G37" s="63"/>
      <c r="H37" s="326">
        <f ca="1">ROUND((((D37/B15)-B20)/B23)-(((B37/B15)-B20)/B23),4)*10000</f>
        <v>-337.99999999999994</v>
      </c>
      <c r="I37" s="53">
        <f ca="1">H33+H36</f>
        <v>-338</v>
      </c>
      <c r="K37" s="53">
        <f ca="1">H37-I37</f>
        <v>0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35.898645635905254</v>
      </c>
      <c r="C42" s="76"/>
      <c r="D42" s="192">
        <f ca="1">+'COMP Act to Prior'!D42</f>
        <v>32.303351541452763</v>
      </c>
      <c r="E42" s="190"/>
      <c r="F42" s="303">
        <f ca="1">D42-B42</f>
        <v>-3.5952940944524912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-397.22217298673559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71.884287909498596</v>
      </c>
      <c r="G43" s="298"/>
      <c r="H43" s="325">
        <f t="shared" ref="H43:H58" ca="1" si="1">ROUND((((D43/$B$15)-$B$20)/$B$23)-(((B43/$B$15)-$B$20)/$B$23),4)*10000</f>
        <v>1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2099</v>
      </c>
      <c r="C44" s="76"/>
      <c r="D44" s="192">
        <f>+'COMP Act to Prior'!D44</f>
        <v>3084</v>
      </c>
      <c r="E44" s="190"/>
      <c r="F44" s="303">
        <f t="shared" si="0"/>
        <v>985</v>
      </c>
      <c r="G44" s="298"/>
      <c r="H44" s="325">
        <f t="shared" si="1"/>
        <v>10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13.437899999999999</v>
      </c>
      <c r="C46" s="76"/>
      <c r="D46" s="192">
        <f ca="1">+'COMP Act to Prior'!D46</f>
        <v>13.751451000000001</v>
      </c>
      <c r="E46" s="190"/>
      <c r="F46" s="303">
        <f t="shared" ca="1" si="0"/>
        <v>0.31355100000000213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59.744836210500004</v>
      </c>
      <c r="C47" s="76"/>
      <c r="D47" s="192">
        <f ca="1">+'COMP Act to Prior'!D47</f>
        <v>59.108476990500002</v>
      </c>
      <c r="E47" s="190"/>
      <c r="F47" s="303">
        <f t="shared" ca="1" si="0"/>
        <v>-0.63635922000000278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-89.06341500000417</v>
      </c>
      <c r="C48" s="76"/>
      <c r="D48" s="192">
        <f ca="1">+'COMP Act to Prior'!D48</f>
        <v>0</v>
      </c>
      <c r="E48" s="190"/>
      <c r="F48" s="303">
        <f t="shared" ca="1" si="0"/>
        <v>89.06341500000417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28.703727937785594</v>
      </c>
      <c r="C49" s="76"/>
      <c r="D49" s="192">
        <f ca="1">+'COMP Act to Prior'!D49</f>
        <v>28.703727937785594</v>
      </c>
      <c r="E49" s="190"/>
      <c r="F49" s="303">
        <f t="shared" ca="1" si="0"/>
        <v>0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4.4270182972260006</v>
      </c>
      <c r="C50" s="76"/>
      <c r="D50" s="192">
        <f ca="1">+'COMP Act to Prior'!D50</f>
        <v>4.4270182972260006</v>
      </c>
      <c r="E50" s="190"/>
      <c r="F50" s="303">
        <f t="shared" ca="1" si="0"/>
        <v>0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0</v>
      </c>
      <c r="C51" s="76"/>
      <c r="D51" s="192">
        <f>+'COMP Act to Prior'!D51</f>
        <v>0</v>
      </c>
      <c r="E51" s="190"/>
      <c r="F51" s="303">
        <f t="shared" si="0"/>
        <v>0</v>
      </c>
      <c r="G51" s="298"/>
      <c r="H51" s="325">
        <f t="shared" si="1"/>
        <v>0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-87.940603800000005</v>
      </c>
      <c r="C53" s="200"/>
      <c r="D53" s="192">
        <f ca="1">+'COMP Act to Prior'!D53</f>
        <v>-87.940603800000005</v>
      </c>
      <c r="E53" s="76"/>
      <c r="F53" s="303">
        <f ca="1">D53-B53</f>
        <v>0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5.8230900094713434E-4</v>
      </c>
      <c r="C55" s="76"/>
      <c r="D55" s="192">
        <f ca="1">+'COMP Act to Prior'!D55</f>
        <v>2.9115449990513298E-4</v>
      </c>
      <c r="E55" s="190"/>
      <c r="F55" s="303">
        <f t="shared" ca="1" si="0"/>
        <v>-2.9115450104200136E-4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-4486.4825575499999</v>
      </c>
      <c r="C56" s="76"/>
      <c r="D56" s="192">
        <f ca="1">+'COMP Act to Prior'!D56</f>
        <v>-654.30478889999995</v>
      </c>
      <c r="E56" s="190"/>
      <c r="F56" s="303">
        <f t="shared" ca="1" si="0"/>
        <v>3832.17776865</v>
      </c>
      <c r="G56" s="298"/>
      <c r="H56" s="325">
        <f t="shared" ca="1" si="1"/>
        <v>40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-2819.4960389463222</v>
      </c>
      <c r="C58" s="76"/>
      <c r="D58" s="190">
        <f ca="1">+'COMP Act to Prior'!D58</f>
        <v>2154.711039144227</v>
      </c>
      <c r="E58" s="190"/>
      <c r="F58" s="303">
        <f t="shared" ca="1" si="0"/>
        <v>4974.2070780905487</v>
      </c>
      <c r="G58" s="76"/>
      <c r="H58" s="325">
        <f t="shared" ca="1" si="1"/>
        <v>52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7" priority="1" stopIfTrue="1" operator="equal">
      <formula>0</formula>
    </cfRule>
    <cfRule type="cellIs" dxfId="6" priority="2" stopIfTrue="1" operator="notEqual">
      <formula>0</formula>
    </cfRule>
  </conditionalFormatting>
  <printOptions horizontalCentered="1"/>
  <pageMargins left="0.5" right="0.5" top="0.5" bottom="0.5" header="0.5" footer="0.25"/>
  <pageSetup scale="83" orientation="portrait" r:id="rId1"/>
  <headerFooter>
    <oddFooter>&amp;Z&amp;F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FF0000"/>
    <pageSetUpPr fitToPage="1"/>
  </sheetPr>
  <dimension ref="A1:X34"/>
  <sheetViews>
    <sheetView topLeftCell="A6" workbookViewId="0">
      <selection activeCell="O15" sqref="O15:O17"/>
    </sheetView>
  </sheetViews>
  <sheetFormatPr defaultColWidth="9.140625" defaultRowHeight="15"/>
  <cols>
    <col min="1" max="1" width="42" style="43" customWidth="1"/>
    <col min="2" max="2" width="16.5703125" style="43" customWidth="1"/>
    <col min="3" max="3" width="2.85546875" style="43" customWidth="1"/>
    <col min="4" max="4" width="16.5703125" style="43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 t="s">
        <v>1214</v>
      </c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51" t="s">
        <v>1049</v>
      </c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B6" s="430" t="s">
        <v>1205</v>
      </c>
      <c r="C6" s="51"/>
      <c r="D6" s="257" t="str">
        <f>'COMP Act to Prior'!D6</f>
        <v>2024</v>
      </c>
      <c r="H6" s="53" t="s">
        <v>1051</v>
      </c>
      <c r="S6" s="76"/>
      <c r="T6" s="76"/>
      <c r="U6" s="76"/>
      <c r="V6" s="76"/>
      <c r="X6" s="54"/>
    </row>
    <row r="7" spans="1:24" s="52" customFormat="1" ht="15.75">
      <c r="A7" s="55" t="s">
        <v>1052</v>
      </c>
      <c r="B7" s="431" t="s">
        <v>1215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S7" s="76"/>
      <c r="T7" s="76"/>
      <c r="U7" s="76"/>
      <c r="V7" s="76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1075">
        <f>3054595+5032-897611-16984</f>
        <v>2145032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225493.94252865994</v>
      </c>
      <c r="G9" s="303"/>
      <c r="H9" s="316">
        <f ca="1">ROUND((((B17/(D9+D10+D11+D13))-B20)/B23)-(((B17/(B9+D10+D11+D13))-B20)/B23),4)*10000</f>
        <v>-100</v>
      </c>
      <c r="I9" s="316">
        <f ca="1">ROUND((((B17/(D9+D10+D11+D13))-B20)/B23)-(((B17/(B9+D10+D11+D13))-B20)/B23),4)*10000</f>
        <v>-100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1069">
        <v>10584</v>
      </c>
      <c r="C10" s="76"/>
      <c r="D10" s="303">
        <f ca="1">+'COMP Act to Prior'!D10</f>
        <v>24309.450432307684</v>
      </c>
      <c r="E10" s="76"/>
      <c r="F10" s="303">
        <f ca="1">D10-B10</f>
        <v>13725.450432307684</v>
      </c>
      <c r="G10" s="303"/>
      <c r="H10" s="316">
        <f ca="1">ROUND((((B17/(D9+D11+D13+D10))-B20)/B23)-(((B17/(B10+D9+D11+D13))-B20)/B23),4)*10000</f>
        <v>-5.9999999999999991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1069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0</v>
      </c>
      <c r="C12" s="76"/>
      <c r="D12" s="303">
        <f ca="1">+'COMP Act to Prior'!D12</f>
        <v>1000</v>
      </c>
      <c r="E12" s="76"/>
      <c r="F12" s="303">
        <f ca="1">D12-B12</f>
        <v>1000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070">
        <v>-39992</v>
      </c>
      <c r="C13" s="76"/>
      <c r="D13" s="315">
        <f ca="1">+'COMP Act to Prior'!D13</f>
        <v>-29047.373783918258</v>
      </c>
      <c r="E13" s="76"/>
      <c r="F13" s="303">
        <f ca="1">D13-B13</f>
        <v>10944.626216081742</v>
      </c>
      <c r="G13" s="190"/>
      <c r="H13" s="316">
        <f ca="1">ROUND((((B17/(D9+D10+D11+D12+D13))-B20)/B23)-(((B17/(B13+D9+D10+D11+D12))-B20)/B23),4)*10000</f>
        <v>-4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1074">
        <f>SUM(B9:B13)</f>
        <v>2115624</v>
      </c>
      <c r="C15" s="52"/>
      <c r="D15" s="61">
        <f ca="1">+'COMP Act to Prior'!D15</f>
        <v>2366788.0192</v>
      </c>
      <c r="E15" s="52"/>
      <c r="F15" s="50">
        <f ca="1">D15-B15</f>
        <v>251164.01919999998</v>
      </c>
      <c r="G15" s="50"/>
      <c r="H15" s="53">
        <f ca="1">ROUND((((B17/D15)-B20)/B23)-(((B17/B15)-B20)/B23),4)*10000</f>
        <v>-112</v>
      </c>
      <c r="I15" s="53">
        <f ca="1">SUM(H9:H13)</f>
        <v>-110</v>
      </c>
      <c r="J15" s="316"/>
      <c r="K15" s="53">
        <f ca="1">H15-I15</f>
        <v>-2</v>
      </c>
      <c r="L15" s="76"/>
      <c r="M15" s="76"/>
      <c r="N15" s="76"/>
      <c r="O15" s="973">
        <f ca="1">-F15/H15</f>
        <v>2242.5358857142855</v>
      </c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1077">
        <v>106763.54247167421</v>
      </c>
      <c r="D17" s="62">
        <f ca="1">+'COMP Act to Prior'!D17</f>
        <v>72338.710999999996</v>
      </c>
      <c r="F17" s="50">
        <f ca="1">D17-B17</f>
        <v>-34424.831471674217</v>
      </c>
      <c r="G17" s="63"/>
      <c r="H17" s="64">
        <f ca="1">ROUND((((D17/B15)-B20)/B23)-(((B17/B15)-B20)/B23),4)*10000</f>
        <v>-341</v>
      </c>
      <c r="I17" s="53"/>
      <c r="J17" s="53"/>
      <c r="K17" s="53"/>
      <c r="L17" s="64"/>
      <c r="M17" s="76"/>
      <c r="O17" s="973">
        <f ca="1">-F17/H17</f>
        <v>-100.95258496092146</v>
      </c>
      <c r="S17" s="76"/>
      <c r="T17" s="76"/>
      <c r="U17" s="76"/>
      <c r="V17" s="76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1076">
        <v>5.3966745592425591E-2</v>
      </c>
      <c r="C19" s="76"/>
      <c r="D19" s="298">
        <f ca="1">+'COMP Act to Prior'!D19</f>
        <v>3.0599999999999999E-2</v>
      </c>
      <c r="E19" s="76"/>
      <c r="F19" s="298">
        <f ca="1">D19-B19</f>
        <v>-2.3366745592425592E-2</v>
      </c>
      <c r="G19" s="298"/>
      <c r="H19" s="316">
        <f ca="1">ROUND((F19/$B$23)*10000,0)</f>
        <v>-490</v>
      </c>
      <c r="I19" s="53">
        <f ca="1">H15+H17</f>
        <v>-453</v>
      </c>
      <c r="J19" s="316"/>
      <c r="K19" s="53">
        <f ca="1">H19-I19</f>
        <v>-37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1.46E-2</v>
      </c>
      <c r="C20" s="76"/>
      <c r="D20" s="299">
        <f ca="1">+'COMP Act to Prior'!D20</f>
        <v>2.18E-2</v>
      </c>
      <c r="E20" s="76"/>
      <c r="F20" s="298">
        <f ca="1">D20-B20</f>
        <v>7.1999999999999998E-3</v>
      </c>
      <c r="G20" s="298"/>
      <c r="H20" s="316">
        <f ca="1">-ROUND((F20/$B$23)*10000,0)</f>
        <v>-151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f>B19-B20</f>
        <v>3.9366745592425589E-2</v>
      </c>
      <c r="C22" s="76"/>
      <c r="D22" s="298">
        <f ca="1">+'COMP Act to Prior'!D22</f>
        <v>8.8000000000000005E-3</v>
      </c>
      <c r="E22" s="76"/>
      <c r="F22" s="298">
        <f ca="1">D22-B22</f>
        <v>-3.0566745592425587E-2</v>
      </c>
      <c r="G22" s="298"/>
      <c r="H22" s="316">
        <f ca="1">ROUND((F22/$B$23)*10000,0)</f>
        <v>-641</v>
      </c>
      <c r="I22" s="53">
        <f ca="1">H19+H20</f>
        <v>-641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1078">
        <v>0.47673514588465571</v>
      </c>
      <c r="C23" s="76"/>
      <c r="D23" s="299">
        <f ca="1">+'COMP Act to Prior'!D23</f>
        <v>0.47489999999999999</v>
      </c>
      <c r="E23" s="76"/>
      <c r="F23" s="298">
        <f ca="1">D23-B23</f>
        <v>-1.83514588465572E-3</v>
      </c>
      <c r="G23" s="298"/>
      <c r="H23" s="316">
        <f ca="1">ROUND((B22/D23)-(B22/B23),4)*10000</f>
        <v>2.9999999999999996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>
        <f>118*83</f>
        <v>9794</v>
      </c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f>ROUND((B22/B23),4)</f>
        <v>8.2600000000000007E-2</v>
      </c>
      <c r="D25" s="189">
        <f ca="1">+'COMP Act to Prior'!D25</f>
        <v>1.84E-2</v>
      </c>
      <c r="F25" s="65">
        <f ca="1">D25-B25</f>
        <v>-6.4200000000000007E-2</v>
      </c>
      <c r="G25" s="65"/>
      <c r="H25" s="53">
        <f ca="1">(D25-B25)*10000</f>
        <v>-642.00000000000011</v>
      </c>
      <c r="I25" s="53">
        <f ca="1">H22+H23</f>
        <v>-638</v>
      </c>
      <c r="J25" s="53"/>
      <c r="K25" s="53">
        <f ca="1">H25-I25</f>
        <v>-4.0000000000001137</v>
      </c>
      <c r="L25" s="65"/>
      <c r="O25" s="52">
        <f>+O24/0.75</f>
        <v>13058.666666666666</v>
      </c>
      <c r="S25" s="76"/>
      <c r="T25" s="76"/>
      <c r="U25" s="76"/>
      <c r="V25" s="76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76"/>
      <c r="T26" s="76"/>
      <c r="U26" s="76"/>
      <c r="V26" s="76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31" spans="1:24">
      <c r="B31" s="1073"/>
    </row>
    <row r="32" spans="1:24">
      <c r="B32" s="1071"/>
    </row>
    <row r="34" spans="1:2">
      <c r="A34" s="1079" t="s">
        <v>1213</v>
      </c>
      <c r="B34" s="1072"/>
    </row>
  </sheetData>
  <conditionalFormatting sqref="K15:K25">
    <cfRule type="cellIs" dxfId="5" priority="1" stopIfTrue="1" operator="equal">
      <formula>0</formula>
    </cfRule>
    <cfRule type="cellIs" dxfId="4" priority="2" stopIfTrue="1" operator="notEqual">
      <formula>0</formula>
    </cfRule>
  </conditionalFormatting>
  <printOptions horizontalCentered="1"/>
  <pageMargins left="0.5" right="0.5" top="0.5" bottom="0.5" header="0.5" footer="0.25"/>
  <pageSetup scale="92" orientation="portrait" r:id="rId1"/>
  <headerFooter>
    <oddFooter>&amp;Z&amp;F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rgb="FFFF0000"/>
    <pageSetUpPr fitToPage="1"/>
  </sheetPr>
  <dimension ref="A1:X63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1141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31" t="s">
        <v>1142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1040374.3141140146</v>
      </c>
      <c r="C9" s="76"/>
      <c r="D9" s="432">
        <f ca="1">+'COMP Act to Prior'!D9</f>
        <v>2370525.9425286599</v>
      </c>
      <c r="E9" s="76"/>
      <c r="F9" s="303">
        <f ca="1">D9-B9</f>
        <v>1330151.6284146453</v>
      </c>
      <c r="G9" s="303"/>
      <c r="H9" s="316">
        <f ca="1">ROUND((((B17/(D9+D10+D11+D13))-B20)/B23)-(((B17/(B9+D10+D11+D13))-B20)/B23),4)*10000</f>
        <v>-723</v>
      </c>
      <c r="I9" s="76"/>
      <c r="J9" s="58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99113.27608434936</v>
      </c>
      <c r="C10" s="76"/>
      <c r="D10" s="303">
        <f ca="1">+'COMP Act to Prior'!D10</f>
        <v>24309.450432307684</v>
      </c>
      <c r="E10" s="76"/>
      <c r="F10" s="303">
        <f ca="1">D10-B10</f>
        <v>-74803.825652041676</v>
      </c>
      <c r="G10" s="303"/>
      <c r="H10" s="316">
        <f ca="1">ROUND((((B17/(D9+D11+D13+D10))-B20)/B23)-(((B17/(B10+D9+D11+D13))-B20)/B23),4)*10000</f>
        <v>17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0</v>
      </c>
      <c r="C12" s="76"/>
      <c r="D12" s="303">
        <f ca="1">+'COMP Act to Prior'!D12</f>
        <v>1000</v>
      </c>
      <c r="E12" s="76"/>
      <c r="F12" s="303">
        <f ca="1">D12-B12</f>
        <v>1000</v>
      </c>
      <c r="G12" s="190"/>
      <c r="H12" s="316">
        <f ca="1">ROUND((((B17/(D9+D10+D11+D12+D13))-B20)/B23)-(((B17/(B12+D9+D10+D11+D13))-B20)/B23),4)*10000</f>
        <v>0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5446.020664781503</v>
      </c>
      <c r="C13" s="76"/>
      <c r="D13" s="315">
        <f ca="1">+'COMP Act to Prior'!D13</f>
        <v>-29047.373783918258</v>
      </c>
      <c r="E13" s="76"/>
      <c r="F13" s="303">
        <f ca="1">D13-B13</f>
        <v>-34493.394448699764</v>
      </c>
      <c r="G13" s="190"/>
      <c r="H13" s="316">
        <f ca="1">ROUND((((B17/(D9+D10+D11+D12+D13))-B20)/B23)-(((B17/(B13+D9+D10+D11+D12))-B20)/B23),4)*10000</f>
        <v>8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f>SUM(B9:B13)</f>
        <v>1144933.6108631454</v>
      </c>
      <c r="C15" s="52"/>
      <c r="D15" s="61">
        <f ca="1">+'COMP Act to Prior'!D15</f>
        <v>2366788.0192</v>
      </c>
      <c r="E15" s="52"/>
      <c r="F15" s="50">
        <f ca="1">D15-B15</f>
        <v>1221854.4083368545</v>
      </c>
      <c r="G15" s="50"/>
      <c r="H15" s="53">
        <f ca="1">ROUND((((B17/D15)-B20)/B23)-(((B17/B15)-B20)/B23),4)*10000</f>
        <v>-600</v>
      </c>
      <c r="I15" s="53">
        <f ca="1">SUM(H9:H13)</f>
        <v>-698</v>
      </c>
      <c r="J15" s="316"/>
      <c r="K15" s="53">
        <f ca="1">H15-I15</f>
        <v>98</v>
      </c>
      <c r="L15" s="76"/>
      <c r="M15" s="76"/>
      <c r="N15" s="76"/>
      <c r="O15" s="973"/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57055.280213653758</v>
      </c>
      <c r="D17" s="62">
        <f ca="1">+'COMP Act to Prior'!D17</f>
        <v>72338.710999999996</v>
      </c>
      <c r="F17" s="50">
        <f ca="1">D17-B17</f>
        <v>15283.430786346238</v>
      </c>
      <c r="G17" s="63"/>
      <c r="H17" s="64">
        <f ca="1">ROUND((((D17/B15)-B20)/B23)-(((B17/B15)-B20)/B23),4)*10000</f>
        <v>311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f>ROUND((B17/B15),4)</f>
        <v>4.9799999999999997E-2</v>
      </c>
      <c r="C19" s="76"/>
      <c r="D19" s="298">
        <f ca="1">+'COMP Act to Prior'!D19</f>
        <v>3.0599999999999999E-2</v>
      </c>
      <c r="E19" s="76"/>
      <c r="F19" s="298">
        <f ca="1">D19-B19</f>
        <v>-1.9199999999999998E-2</v>
      </c>
      <c r="G19" s="298"/>
      <c r="H19" s="316">
        <f ca="1">ROUND((F19/$B$23)*10000,0)</f>
        <v>-448</v>
      </c>
      <c r="I19" s="53">
        <f ca="1">H15+H17</f>
        <v>-289</v>
      </c>
      <c r="J19" s="316"/>
      <c r="K19" s="53">
        <f ca="1">H19-I19</f>
        <v>-159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1.4969110844972272E-2</v>
      </c>
      <c r="C20" s="76"/>
      <c r="D20" s="299">
        <f ca="1">+'COMP Act to Prior'!D20</f>
        <v>2.18E-2</v>
      </c>
      <c r="E20" s="76"/>
      <c r="F20" s="298">
        <f ca="1">D20-B20</f>
        <v>6.8308891550277282E-3</v>
      </c>
      <c r="G20" s="298"/>
      <c r="H20" s="316">
        <f ca="1">-ROUND((F20/$B$23)*10000,0)</f>
        <v>-159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f>B19-B20</f>
        <v>3.4830889155027724E-2</v>
      </c>
      <c r="C22" s="76"/>
      <c r="D22" s="298">
        <f ca="1">+'COMP Act to Prior'!D22</f>
        <v>8.8000000000000005E-3</v>
      </c>
      <c r="E22" s="76"/>
      <c r="F22" s="298">
        <f ca="1">D22-B22</f>
        <v>-2.6030889155027721E-2</v>
      </c>
      <c r="G22" s="298"/>
      <c r="H22" s="316">
        <f ca="1">ROUND((F22/$B$23)*10000,0)</f>
        <v>-607</v>
      </c>
      <c r="I22" s="53">
        <f ca="1">H19+H20</f>
        <v>-607</v>
      </c>
      <c r="J22" s="316"/>
      <c r="K22" s="53">
        <f ca="1">H22-I22</f>
        <v>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0.42862516652407467</v>
      </c>
      <c r="C23" s="76"/>
      <c r="D23" s="299">
        <f ca="1">+'COMP Act to Prior'!D23</f>
        <v>0.47489999999999999</v>
      </c>
      <c r="E23" s="76"/>
      <c r="F23" s="298">
        <f ca="1">D23-B23</f>
        <v>4.6274833475925314E-2</v>
      </c>
      <c r="G23" s="298"/>
      <c r="H23" s="316">
        <f ca="1">ROUND((B22/D23)-(B22/B23),4)*10000</f>
        <v>-79.000000000000014</v>
      </c>
      <c r="I23" s="53"/>
      <c r="J23" s="316"/>
      <c r="K23" s="426">
        <f ca="1">+F23/H23</f>
        <v>-5.8575738577120644E-4</v>
      </c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f>ROUND((B22/B23),4)</f>
        <v>8.1299999999999997E-2</v>
      </c>
      <c r="D25" s="189">
        <f ca="1">+'COMP Act to Prior'!D25</f>
        <v>1.84E-2</v>
      </c>
      <c r="F25" s="65">
        <f ca="1">D25-B25</f>
        <v>-6.2899999999999998E-2</v>
      </c>
      <c r="G25" s="65"/>
      <c r="H25" s="53">
        <f ca="1">(D25-B25)*10000</f>
        <v>-629</v>
      </c>
      <c r="I25" s="53">
        <f ca="1">H22+H23</f>
        <v>-686</v>
      </c>
      <c r="J25" s="53"/>
      <c r="K25" s="53">
        <f ca="1">H25-I25</f>
        <v>57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8:8">
      <c r="H33" s="76"/>
    </row>
    <row r="34" spans="8:8">
      <c r="H34" s="76"/>
    </row>
    <row r="35" spans="8:8">
      <c r="H35" s="76"/>
    </row>
    <row r="36" spans="8:8">
      <c r="H36" s="76"/>
    </row>
    <row r="37" spans="8:8">
      <c r="H37" s="76"/>
    </row>
    <row r="38" spans="8:8">
      <c r="H38" s="76"/>
    </row>
    <row r="39" spans="8:8">
      <c r="H39" s="76"/>
    </row>
    <row r="40" spans="8:8">
      <c r="H40" s="76"/>
    </row>
    <row r="41" spans="8:8">
      <c r="H41" s="76"/>
    </row>
    <row r="42" spans="8:8">
      <c r="H42" s="76"/>
    </row>
    <row r="43" spans="8:8">
      <c r="H43" s="76"/>
    </row>
    <row r="44" spans="8:8">
      <c r="H44" s="76"/>
    </row>
    <row r="45" spans="8:8">
      <c r="H45" s="76"/>
    </row>
    <row r="46" spans="8:8">
      <c r="H46" s="76"/>
    </row>
    <row r="47" spans="8:8">
      <c r="H47" s="76"/>
    </row>
    <row r="48" spans="8:8">
      <c r="H48" s="76"/>
    </row>
    <row r="49" spans="8:8">
      <c r="H49" s="76"/>
    </row>
    <row r="50" spans="8:8">
      <c r="H50" s="76"/>
    </row>
    <row r="51" spans="8:8">
      <c r="H51" s="76"/>
    </row>
    <row r="52" spans="8:8">
      <c r="H52" s="76"/>
    </row>
    <row r="53" spans="8:8">
      <c r="H53" s="76"/>
    </row>
    <row r="54" spans="8:8">
      <c r="H54" s="76"/>
    </row>
    <row r="55" spans="8:8">
      <c r="H55" s="76"/>
    </row>
    <row r="56" spans="8:8">
      <c r="H56" s="76"/>
    </row>
    <row r="57" spans="8:8">
      <c r="H57" s="76"/>
    </row>
    <row r="58" spans="8:8">
      <c r="H58" s="76"/>
    </row>
    <row r="59" spans="8:8">
      <c r="H59" s="76"/>
    </row>
    <row r="60" spans="8:8">
      <c r="H60" s="76"/>
    </row>
    <row r="61" spans="8:8">
      <c r="H61" s="76"/>
    </row>
    <row r="62" spans="8:8">
      <c r="H62" s="76"/>
    </row>
    <row r="63" spans="8:8">
      <c r="H63" s="76"/>
    </row>
  </sheetData>
  <conditionalFormatting sqref="K15:K25">
    <cfRule type="cellIs" dxfId="3" priority="1" stopIfTrue="1" operator="equal">
      <formula>0</formula>
    </cfRule>
    <cfRule type="cellIs" dxfId="2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2060"/>
    <pageSetUpPr fitToPage="1"/>
  </sheetPr>
  <dimension ref="A1:CL100"/>
  <sheetViews>
    <sheetView zoomScale="85" zoomScaleNormal="85" workbookViewId="0">
      <pane xSplit="58" ySplit="12" topLeftCell="BS13" activePane="bottomRight" state="frozen"/>
      <selection pane="topRight" activeCell="BG1" sqref="BG1"/>
      <selection pane="bottomLeft" activeCell="A13" sqref="A13"/>
      <selection pane="bottomRight" activeCell="BX22" sqref="BX22"/>
    </sheetView>
  </sheetViews>
  <sheetFormatPr defaultRowHeight="12.75" outlineLevelCol="1"/>
  <cols>
    <col min="1" max="1" width="52.7109375" style="375" customWidth="1"/>
    <col min="2" max="2" width="15.140625" style="375" bestFit="1" customWidth="1"/>
    <col min="3" max="3" width="12.28515625" style="375" customWidth="1"/>
    <col min="4" max="15" width="12.140625" style="375" hidden="1" customWidth="1"/>
    <col min="16" max="34" width="13.28515625" style="375" hidden="1" customWidth="1"/>
    <col min="35" max="39" width="12.42578125" style="375" hidden="1" customWidth="1"/>
    <col min="40" max="41" width="13.28515625" style="375" hidden="1" customWidth="1"/>
    <col min="42" max="42" width="13" style="375" hidden="1" customWidth="1"/>
    <col min="43" max="47" width="11.140625" style="375" hidden="1" customWidth="1"/>
    <col min="48" max="50" width="11.42578125" style="375" hidden="1" customWidth="1"/>
    <col min="51" max="51" width="11.140625" style="375" hidden="1" customWidth="1"/>
    <col min="52" max="52" width="11.7109375" style="375" hidden="1" customWidth="1"/>
    <col min="53" max="63" width="11.5703125" style="375" hidden="1" customWidth="1"/>
    <col min="64" max="64" width="13" style="375" customWidth="1" outlineLevel="1"/>
    <col min="65" max="65" width="11.5703125" customWidth="1" outlineLevel="1"/>
    <col min="66" max="74" width="11.140625" customWidth="1" outlineLevel="1"/>
    <col min="75" max="75" width="11.5703125" customWidth="1" outlineLevel="1"/>
    <col min="76" max="76" width="11.7109375" customWidth="1" outlineLevel="1"/>
    <col min="77" max="86" width="11.5703125" bestFit="1" customWidth="1"/>
    <col min="87" max="87" width="11.7109375" bestFit="1" customWidth="1"/>
    <col min="88" max="88" width="13" style="375" bestFit="1" customWidth="1"/>
  </cols>
  <sheetData>
    <row r="1" spans="1:88">
      <c r="A1" s="575" t="s">
        <v>144</v>
      </c>
      <c r="B1" s="570"/>
      <c r="C1" s="570"/>
    </row>
    <row r="2" spans="1:88" ht="12.75" customHeight="1">
      <c r="A2" s="572">
        <f>+'Bal Sheet'!A1</f>
        <v>12</v>
      </c>
      <c r="B2" s="571"/>
      <c r="C2" s="571"/>
    </row>
    <row r="3" spans="1:88" ht="12.75" customHeight="1">
      <c r="A3" s="576" t="s">
        <v>145</v>
      </c>
      <c r="B3" s="571"/>
      <c r="C3" s="571"/>
      <c r="BX3" s="375"/>
    </row>
    <row r="4" spans="1:88" ht="12.75" customHeight="1">
      <c r="A4" s="573" t="s">
        <v>1229</v>
      </c>
      <c r="B4" s="571"/>
      <c r="C4" s="571"/>
      <c r="BX4" s="375"/>
      <c r="CJ4"/>
    </row>
    <row r="5" spans="1:88" ht="12.75" customHeight="1">
      <c r="A5" s="576" t="s">
        <v>146</v>
      </c>
      <c r="B5" s="571"/>
      <c r="C5" s="571"/>
    </row>
    <row r="6" spans="1:88" ht="12.75" customHeight="1">
      <c r="A6" s="572" t="s">
        <v>1228</v>
      </c>
      <c r="B6" s="571"/>
      <c r="C6" s="571"/>
    </row>
    <row r="7" spans="1:88" ht="12.75" customHeight="1">
      <c r="A7" s="576" t="s">
        <v>147</v>
      </c>
      <c r="B7" s="571"/>
      <c r="C7" s="571"/>
    </row>
    <row r="8" spans="1:88" ht="12.75" customHeight="1">
      <c r="A8" s="574" t="s">
        <v>1230</v>
      </c>
      <c r="B8" s="571"/>
      <c r="C8" s="571"/>
    </row>
    <row r="9" spans="1:88" ht="12.75" customHeight="1"/>
    <row r="10" spans="1:88" ht="12.75" customHeight="1">
      <c r="A10" s="608" t="s">
        <v>148</v>
      </c>
      <c r="B10" s="578" t="s">
        <v>149</v>
      </c>
      <c r="C10" s="578" t="s">
        <v>149</v>
      </c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</row>
    <row r="11" spans="1:88">
      <c r="A11" s="631" t="s">
        <v>150</v>
      </c>
      <c r="B11" s="580" t="s">
        <v>151</v>
      </c>
      <c r="C11" s="580" t="s">
        <v>152</v>
      </c>
      <c r="D11" s="580" t="str">
        <f>'Bal Sheet'!N5</f>
        <v>Actual</v>
      </c>
      <c r="E11" s="580" t="str">
        <f>'Bal Sheet'!O5</f>
        <v>Actual</v>
      </c>
      <c r="F11" s="580" t="str">
        <f>'Bal Sheet'!P5</f>
        <v>Actual</v>
      </c>
      <c r="G11" s="580" t="str">
        <f>'Bal Sheet'!Q5</f>
        <v>Actual</v>
      </c>
      <c r="H11" s="580" t="str">
        <f>'Bal Sheet'!R5</f>
        <v>Actual</v>
      </c>
      <c r="I11" s="580" t="str">
        <f>'Bal Sheet'!S5</f>
        <v>Actual</v>
      </c>
      <c r="J11" s="580" t="str">
        <f>'Bal Sheet'!T5</f>
        <v>Actual</v>
      </c>
      <c r="K11" s="580" t="str">
        <f>'Bal Sheet'!U5</f>
        <v>Actual</v>
      </c>
      <c r="L11" s="580" t="str">
        <f>'Bal Sheet'!V5</f>
        <v>Actual</v>
      </c>
      <c r="M11" s="580" t="str">
        <f>'Bal Sheet'!W5</f>
        <v>Actual</v>
      </c>
      <c r="N11" s="580" t="str">
        <f>'Bal Sheet'!X5</f>
        <v>Actual</v>
      </c>
      <c r="O11" s="580" t="str">
        <f>'Bal Sheet'!Y5</f>
        <v>Actual</v>
      </c>
      <c r="P11" s="580" t="str">
        <f>'Bal Sheet'!Z5</f>
        <v>Actual</v>
      </c>
      <c r="Q11" s="580" t="str">
        <f>'Bal Sheet'!AA5</f>
        <v>Actual</v>
      </c>
      <c r="R11" s="580" t="str">
        <f>'Bal Sheet'!AB5</f>
        <v>Actual</v>
      </c>
      <c r="S11" s="580" t="str">
        <f>'Bal Sheet'!AC5</f>
        <v>Actual</v>
      </c>
      <c r="T11" s="580" t="str">
        <f>'Bal Sheet'!AD5</f>
        <v>Actual</v>
      </c>
      <c r="U11" s="580" t="str">
        <f>'Bal Sheet'!AE5</f>
        <v>Actual</v>
      </c>
      <c r="V11" s="580" t="str">
        <f>'Bal Sheet'!AF5</f>
        <v>Actual</v>
      </c>
      <c r="W11" s="580" t="str">
        <f>'Bal Sheet'!AG5</f>
        <v>Actual</v>
      </c>
      <c r="X11" s="580" t="str">
        <f>'Bal Sheet'!AH5</f>
        <v>Actual</v>
      </c>
      <c r="Y11" s="580" t="str">
        <f>'Bal Sheet'!AI5</f>
        <v>Actual</v>
      </c>
      <c r="Z11" s="580" t="str">
        <f>'Bal Sheet'!AJ5</f>
        <v>Actual</v>
      </c>
      <c r="AA11" s="580" t="str">
        <f>'Bal Sheet'!AK5</f>
        <v>Actual</v>
      </c>
      <c r="AB11" s="580" t="str">
        <f>'Bal Sheet'!AL5</f>
        <v>Actual</v>
      </c>
      <c r="AC11" s="580" t="str">
        <f>'Bal Sheet'!AM5</f>
        <v>Actual</v>
      </c>
      <c r="AD11" s="580" t="str">
        <f>'Bal Sheet'!AN5</f>
        <v>Actual</v>
      </c>
      <c r="AE11" s="580" t="str">
        <f>'Bal Sheet'!AO5</f>
        <v>Actual</v>
      </c>
      <c r="AF11" s="580" t="str">
        <f>'Bal Sheet'!AP5</f>
        <v>Actual</v>
      </c>
      <c r="AG11" s="580" t="str">
        <f>'Bal Sheet'!AQ5</f>
        <v>Actual</v>
      </c>
      <c r="AH11" s="580" t="str">
        <f>'Bal Sheet'!AR5</f>
        <v>Actual</v>
      </c>
      <c r="AI11" s="580" t="str">
        <f>'Bal Sheet'!AS5</f>
        <v>Actual</v>
      </c>
      <c r="AJ11" s="580" t="str">
        <f>'Bal Sheet'!AT5</f>
        <v>Actual</v>
      </c>
      <c r="AK11" s="580" t="str">
        <f>'Bal Sheet'!AU5</f>
        <v>Actual</v>
      </c>
      <c r="AL11" s="580" t="str">
        <f>'Bal Sheet'!AV5</f>
        <v>Actual</v>
      </c>
      <c r="AM11" s="580" t="str">
        <f>'Bal Sheet'!AW5</f>
        <v>Actual</v>
      </c>
      <c r="AN11" s="580" t="str">
        <f>'Bal Sheet'!AX5</f>
        <v>Actual</v>
      </c>
      <c r="AO11" s="580" t="str">
        <f>'Bal Sheet'!AY5</f>
        <v>Actual</v>
      </c>
      <c r="AP11" s="580" t="str">
        <f>'Bal Sheet'!AZ5</f>
        <v>Actual</v>
      </c>
      <c r="AQ11" s="580" t="str">
        <f>'Bal Sheet'!BA5</f>
        <v>Actual</v>
      </c>
      <c r="AR11" s="580" t="str">
        <f>'Bal Sheet'!BB5</f>
        <v>Actual</v>
      </c>
      <c r="AS11" s="580" t="str">
        <f>'Bal Sheet'!BC5</f>
        <v>Actual</v>
      </c>
      <c r="AT11" s="580" t="str">
        <f>'Bal Sheet'!BD5</f>
        <v>Actual</v>
      </c>
      <c r="AU11" s="580" t="str">
        <f>'Bal Sheet'!BE5</f>
        <v>Actual</v>
      </c>
      <c r="AV11" s="580" t="str">
        <f>'Bal Sheet'!BF5</f>
        <v>Actual</v>
      </c>
      <c r="AW11" s="580" t="str">
        <f>'Bal Sheet'!BG5</f>
        <v>Actual</v>
      </c>
      <c r="AX11" s="580" t="str">
        <f>'Bal Sheet'!BH5</f>
        <v>Actual</v>
      </c>
      <c r="AY11" s="580" t="str">
        <f>'Bal Sheet'!BI5</f>
        <v>Actual</v>
      </c>
      <c r="AZ11" s="580" t="str">
        <f>'Bal Sheet'!BJ5</f>
        <v>Actual</v>
      </c>
      <c r="BA11" s="580" t="str">
        <f>'Bal Sheet'!BK5</f>
        <v>Actual</v>
      </c>
      <c r="BB11" s="580" t="str">
        <f>'Bal Sheet'!BL5</f>
        <v>Actual</v>
      </c>
      <c r="BC11" s="580" t="str">
        <f>'Bal Sheet'!BM5</f>
        <v>Actual</v>
      </c>
      <c r="BD11" s="580" t="str">
        <f>'Bal Sheet'!BN5</f>
        <v>Actual</v>
      </c>
      <c r="BE11" s="580" t="str">
        <f>'Bal Sheet'!BO5</f>
        <v>Actual</v>
      </c>
      <c r="BF11" s="580" t="str">
        <f>'Bal Sheet'!BP5</f>
        <v>Actual</v>
      </c>
      <c r="BG11" s="580" t="str">
        <f>'Bal Sheet'!BQ5</f>
        <v>Actual</v>
      </c>
      <c r="BH11" s="580" t="str">
        <f>'Bal Sheet'!BR5</f>
        <v>Actual</v>
      </c>
      <c r="BI11" s="580" t="str">
        <f>'Bal Sheet'!BS5</f>
        <v>Actual</v>
      </c>
      <c r="BJ11" s="580" t="str">
        <f>'Bal Sheet'!BT5</f>
        <v>Actual</v>
      </c>
      <c r="BK11" s="580" t="str">
        <f>'Bal Sheet'!BU5</f>
        <v>Actual</v>
      </c>
      <c r="BL11" s="580" t="str">
        <f>'Bal Sheet'!BV5</f>
        <v>Actual</v>
      </c>
      <c r="BM11" s="580" t="str">
        <f>'Bal Sheet'!BW5</f>
        <v>Budget</v>
      </c>
      <c r="BN11" s="580" t="str">
        <f>'Bal Sheet'!BX5</f>
        <v>Budget</v>
      </c>
      <c r="BO11" s="580" t="str">
        <f>'Bal Sheet'!BY5</f>
        <v>Budget</v>
      </c>
      <c r="BP11" s="580" t="str">
        <f>'Bal Sheet'!BZ5</f>
        <v>Budget</v>
      </c>
      <c r="BQ11" s="580" t="str">
        <f>'Bal Sheet'!CA5</f>
        <v>Budget</v>
      </c>
      <c r="BR11" s="580" t="str">
        <f>'Bal Sheet'!CB5</f>
        <v>Budget</v>
      </c>
      <c r="BS11" s="580" t="str">
        <f>'Bal Sheet'!CC5</f>
        <v>Budget</v>
      </c>
      <c r="BT11" s="580" t="str">
        <f>'Bal Sheet'!CD5</f>
        <v>Budget</v>
      </c>
      <c r="BU11" s="580" t="str">
        <f>'Bal Sheet'!CE5</f>
        <v>Budget</v>
      </c>
      <c r="BV11" s="580" t="str">
        <f>'Bal Sheet'!CF5</f>
        <v>Budget</v>
      </c>
      <c r="BW11" s="580" t="str">
        <f>'Bal Sheet'!CG5</f>
        <v>Budget</v>
      </c>
      <c r="BX11" s="580" t="str">
        <f>'Bal Sheet'!CH5</f>
        <v>Budget</v>
      </c>
      <c r="BY11" s="580" t="str">
        <f>'Bal Sheet'!CI5</f>
        <v>Budget</v>
      </c>
      <c r="BZ11" s="580" t="str">
        <f>'Bal Sheet'!CJ5</f>
        <v>Budget</v>
      </c>
      <c r="CA11" s="580" t="str">
        <f>'Bal Sheet'!CK5</f>
        <v>Budget</v>
      </c>
      <c r="CB11" s="580" t="str">
        <f>'Bal Sheet'!CL5</f>
        <v>Budget</v>
      </c>
      <c r="CC11" s="580" t="str">
        <f>'Bal Sheet'!CM5</f>
        <v>Budget</v>
      </c>
      <c r="CD11" s="580" t="str">
        <f>'Bal Sheet'!CN5</f>
        <v>Budget</v>
      </c>
      <c r="CE11" s="580" t="str">
        <f>'Bal Sheet'!CO5</f>
        <v>Budget</v>
      </c>
      <c r="CF11" s="580" t="str">
        <f>'Bal Sheet'!CP5</f>
        <v>Budget</v>
      </c>
      <c r="CG11" s="580" t="str">
        <f>'Bal Sheet'!CQ5</f>
        <v>Budget</v>
      </c>
      <c r="CH11" s="580" t="str">
        <f>'Bal Sheet'!CR5</f>
        <v>Budget</v>
      </c>
      <c r="CI11" s="580" t="str">
        <f>'Bal Sheet'!CS5</f>
        <v>Budget</v>
      </c>
      <c r="CJ11" s="580" t="str">
        <f>'Bal Sheet'!CT5</f>
        <v>Budget</v>
      </c>
    </row>
    <row r="12" spans="1:88">
      <c r="A12" s="609"/>
      <c r="B12" s="579" t="s">
        <v>153</v>
      </c>
      <c r="C12" s="579" t="s">
        <v>154</v>
      </c>
      <c r="D12" s="275">
        <f>'Bal Sheet'!N6</f>
        <v>43077</v>
      </c>
      <c r="E12" s="275">
        <f>'Bal Sheet'!O6</f>
        <v>43108</v>
      </c>
      <c r="F12" s="275">
        <f>'Bal Sheet'!P6</f>
        <v>43139</v>
      </c>
      <c r="G12" s="275">
        <f>'Bal Sheet'!Q6</f>
        <v>43170</v>
      </c>
      <c r="H12" s="275">
        <f>'Bal Sheet'!R6</f>
        <v>43201</v>
      </c>
      <c r="I12" s="275">
        <f>'Bal Sheet'!S6</f>
        <v>43232</v>
      </c>
      <c r="J12" s="275">
        <f>'Bal Sheet'!T6</f>
        <v>43263</v>
      </c>
      <c r="K12" s="275">
        <f>'Bal Sheet'!U6</f>
        <v>43294</v>
      </c>
      <c r="L12" s="275">
        <f>'Bal Sheet'!V6</f>
        <v>43325</v>
      </c>
      <c r="M12" s="275">
        <f>'Bal Sheet'!W6</f>
        <v>43356</v>
      </c>
      <c r="N12" s="275">
        <f>'Bal Sheet'!X6</f>
        <v>43387</v>
      </c>
      <c r="O12" s="275">
        <f>'Bal Sheet'!Y6</f>
        <v>43418</v>
      </c>
      <c r="P12" s="275">
        <f>'Bal Sheet'!Z6</f>
        <v>43449</v>
      </c>
      <c r="Q12" s="275">
        <f>'Bal Sheet'!AA6</f>
        <v>43480</v>
      </c>
      <c r="R12" s="275">
        <f>'Bal Sheet'!AB6</f>
        <v>43511</v>
      </c>
      <c r="S12" s="275">
        <f>'Bal Sheet'!AC6</f>
        <v>43542</v>
      </c>
      <c r="T12" s="275">
        <f>'Bal Sheet'!AD6</f>
        <v>43573</v>
      </c>
      <c r="U12" s="275">
        <f>'Bal Sheet'!AE6</f>
        <v>43604</v>
      </c>
      <c r="V12" s="275">
        <f>'Bal Sheet'!AF6</f>
        <v>43635</v>
      </c>
      <c r="W12" s="275">
        <f>'Bal Sheet'!AG6</f>
        <v>43666</v>
      </c>
      <c r="X12" s="275">
        <f>'Bal Sheet'!AH6</f>
        <v>43697</v>
      </c>
      <c r="Y12" s="275">
        <f>'Bal Sheet'!AI6</f>
        <v>43728</v>
      </c>
      <c r="Z12" s="275">
        <f>'Bal Sheet'!AJ6</f>
        <v>43759</v>
      </c>
      <c r="AA12" s="275">
        <f>'Bal Sheet'!AK6</f>
        <v>43790</v>
      </c>
      <c r="AB12" s="275">
        <f>'Bal Sheet'!AL6</f>
        <v>43821</v>
      </c>
      <c r="AC12" s="275">
        <f>'Bal Sheet'!AM6</f>
        <v>43852</v>
      </c>
      <c r="AD12" s="275">
        <f>'Bal Sheet'!AN6</f>
        <v>43883</v>
      </c>
      <c r="AE12" s="275">
        <f>'Bal Sheet'!AO6</f>
        <v>43914</v>
      </c>
      <c r="AF12" s="275">
        <f>'Bal Sheet'!AP6</f>
        <v>43945</v>
      </c>
      <c r="AG12" s="275">
        <f>'Bal Sheet'!AQ6</f>
        <v>43976</v>
      </c>
      <c r="AH12" s="275">
        <f>'Bal Sheet'!AR6</f>
        <v>44007</v>
      </c>
      <c r="AI12" s="275">
        <f>'Bal Sheet'!AS6</f>
        <v>44038</v>
      </c>
      <c r="AJ12" s="275">
        <f>'Bal Sheet'!AT6</f>
        <v>44069</v>
      </c>
      <c r="AK12" s="275">
        <f>'Bal Sheet'!AU6</f>
        <v>44100</v>
      </c>
      <c r="AL12" s="275">
        <f>'Bal Sheet'!AV6</f>
        <v>44131</v>
      </c>
      <c r="AM12" s="275">
        <f>'Bal Sheet'!AW6</f>
        <v>44162</v>
      </c>
      <c r="AN12" s="275">
        <f>'Bal Sheet'!AX6</f>
        <v>44193</v>
      </c>
      <c r="AO12" s="275">
        <f>'Bal Sheet'!AY6</f>
        <v>44224</v>
      </c>
      <c r="AP12" s="275">
        <f>'Bal Sheet'!AZ6</f>
        <v>44255</v>
      </c>
      <c r="AQ12" s="275">
        <f>'Bal Sheet'!BA6</f>
        <v>44285</v>
      </c>
      <c r="AR12" s="275">
        <f>'Bal Sheet'!BB6</f>
        <v>44316</v>
      </c>
      <c r="AS12" s="275">
        <f>'Bal Sheet'!BC6</f>
        <v>44347</v>
      </c>
      <c r="AT12" s="275">
        <f>'Bal Sheet'!BD6</f>
        <v>44377</v>
      </c>
      <c r="AU12" s="275">
        <f>'Bal Sheet'!BE6</f>
        <v>44408</v>
      </c>
      <c r="AV12" s="275">
        <f>'Bal Sheet'!BF6</f>
        <v>44439</v>
      </c>
      <c r="AW12" s="275">
        <f>'Bal Sheet'!BG6</f>
        <v>44469</v>
      </c>
      <c r="AX12" s="275">
        <f>'Bal Sheet'!BH6</f>
        <v>44500</v>
      </c>
      <c r="AY12" s="275">
        <f>'Bal Sheet'!BI6</f>
        <v>44530</v>
      </c>
      <c r="AZ12" s="275">
        <f>'Bal Sheet'!BJ6</f>
        <v>44561</v>
      </c>
      <c r="BA12" s="275">
        <f>'Bal Sheet'!BK6</f>
        <v>44592</v>
      </c>
      <c r="BB12" s="275">
        <f>'Bal Sheet'!BL6</f>
        <v>44620</v>
      </c>
      <c r="BC12" s="275">
        <f>'Bal Sheet'!BM6</f>
        <v>44651</v>
      </c>
      <c r="BD12" s="275">
        <f>'Bal Sheet'!BN6</f>
        <v>44681</v>
      </c>
      <c r="BE12" s="275">
        <f>'Bal Sheet'!BO6</f>
        <v>44712</v>
      </c>
      <c r="BF12" s="275">
        <f>'Bal Sheet'!BP6</f>
        <v>44742</v>
      </c>
      <c r="BG12" s="275">
        <f>'Bal Sheet'!BQ6</f>
        <v>44773</v>
      </c>
      <c r="BH12" s="275">
        <f>'Bal Sheet'!BR6</f>
        <v>44804</v>
      </c>
      <c r="BI12" s="275">
        <f>'Bal Sheet'!BS6</f>
        <v>44834</v>
      </c>
      <c r="BJ12" s="275">
        <f>'Bal Sheet'!BT6</f>
        <v>44865</v>
      </c>
      <c r="BK12" s="275">
        <f>'Bal Sheet'!BU6</f>
        <v>44895</v>
      </c>
      <c r="BL12" s="275">
        <f>'Bal Sheet'!BV6</f>
        <v>44926</v>
      </c>
      <c r="BM12" s="275">
        <f>'Bal Sheet'!BW6</f>
        <v>44957</v>
      </c>
      <c r="BN12" s="275">
        <f>'Bal Sheet'!BX6</f>
        <v>44985</v>
      </c>
      <c r="BO12" s="275">
        <f>'Bal Sheet'!BY6</f>
        <v>45016</v>
      </c>
      <c r="BP12" s="275">
        <f>'Bal Sheet'!BZ6</f>
        <v>45046</v>
      </c>
      <c r="BQ12" s="275">
        <f>'Bal Sheet'!CA6</f>
        <v>45077</v>
      </c>
      <c r="BR12" s="275">
        <f>'Bal Sheet'!CB6</f>
        <v>45107</v>
      </c>
      <c r="BS12" s="275">
        <f>'Bal Sheet'!CC6</f>
        <v>45138</v>
      </c>
      <c r="BT12" s="275">
        <f>'Bal Sheet'!CD6</f>
        <v>45169</v>
      </c>
      <c r="BU12" s="275">
        <f>'Bal Sheet'!CE6</f>
        <v>45199</v>
      </c>
      <c r="BV12" s="275">
        <f>'Bal Sheet'!CF6</f>
        <v>45230</v>
      </c>
      <c r="BW12" s="275">
        <f>'Bal Sheet'!CG6</f>
        <v>45260</v>
      </c>
      <c r="BX12" s="275">
        <f>'Bal Sheet'!CH6</f>
        <v>45291</v>
      </c>
      <c r="BY12" s="275">
        <f>'Bal Sheet'!CI6</f>
        <v>45322</v>
      </c>
      <c r="BZ12" s="275">
        <f>'Bal Sheet'!CJ6</f>
        <v>45350</v>
      </c>
      <c r="CA12" s="275">
        <f>'Bal Sheet'!CK6</f>
        <v>45382</v>
      </c>
      <c r="CB12" s="275">
        <f>'Bal Sheet'!CL6</f>
        <v>45412</v>
      </c>
      <c r="CC12" s="275">
        <f>'Bal Sheet'!CM6</f>
        <v>45443</v>
      </c>
      <c r="CD12" s="275">
        <f>'Bal Sheet'!CN6</f>
        <v>45473</v>
      </c>
      <c r="CE12" s="275">
        <f>'Bal Sheet'!CO6</f>
        <v>45504</v>
      </c>
      <c r="CF12" s="275">
        <f>'Bal Sheet'!CP6</f>
        <v>45535</v>
      </c>
      <c r="CG12" s="275">
        <f>'Bal Sheet'!CQ6</f>
        <v>45565</v>
      </c>
      <c r="CH12" s="275">
        <f>'Bal Sheet'!CR6</f>
        <v>45596</v>
      </c>
      <c r="CI12" s="275">
        <f>'Bal Sheet'!CS6</f>
        <v>45626</v>
      </c>
      <c r="CJ12" s="275">
        <f>'Bal Sheet'!CT6</f>
        <v>45657</v>
      </c>
    </row>
    <row r="13" spans="1:88">
      <c r="A13" s="610"/>
    </row>
    <row r="14" spans="1:88">
      <c r="A14" s="616" t="s">
        <v>155</v>
      </c>
      <c r="B14" s="759">
        <f ca="1">SUM(OFFSET(BM14:BY14,0,'Bal Sheet'!$A$1-1))/13</f>
        <v>3407692.3076923075</v>
      </c>
      <c r="C14" s="759">
        <f>+CJ14</f>
        <v>3550000</v>
      </c>
      <c r="D14" s="599">
        <v>2885477.71</v>
      </c>
      <c r="E14" s="599">
        <v>2806305.95</v>
      </c>
      <c r="F14" s="599">
        <v>2706387.5</v>
      </c>
      <c r="G14" s="599">
        <v>2727131.46</v>
      </c>
      <c r="H14" s="599">
        <v>2707613.49</v>
      </c>
      <c r="I14" s="599">
        <v>2709115.34</v>
      </c>
      <c r="J14" s="599">
        <v>2702704.39</v>
      </c>
      <c r="K14" s="599">
        <v>2704507.73</v>
      </c>
      <c r="L14" s="599">
        <v>2702358.66</v>
      </c>
      <c r="M14" s="599">
        <v>2685662.23</v>
      </c>
      <c r="N14" s="599">
        <v>2884730.31</v>
      </c>
      <c r="O14" s="599">
        <v>2871545.31</v>
      </c>
      <c r="P14" s="599">
        <v>3047398.14</v>
      </c>
      <c r="Q14" s="599">
        <v>2968833.26</v>
      </c>
      <c r="R14" s="599">
        <v>2931366.27</v>
      </c>
      <c r="S14" s="599">
        <v>2907963.42</v>
      </c>
      <c r="T14" s="599">
        <v>2863286.67</v>
      </c>
      <c r="U14" s="599">
        <v>2868711.93</v>
      </c>
      <c r="V14" s="599">
        <v>2846804.47</v>
      </c>
      <c r="W14" s="599">
        <v>2853585.55</v>
      </c>
      <c r="X14" s="599">
        <v>2785230.28</v>
      </c>
      <c r="Y14" s="599">
        <v>2856522.46</v>
      </c>
      <c r="Z14" s="599">
        <v>3074698.81</v>
      </c>
      <c r="AA14" s="599">
        <v>3065884.64</v>
      </c>
      <c r="AB14" s="599">
        <v>3035607.81</v>
      </c>
      <c r="AC14" s="599">
        <v>2981636.98</v>
      </c>
      <c r="AD14" s="599">
        <v>2949472.71</v>
      </c>
      <c r="AE14" s="599">
        <v>2914420.77</v>
      </c>
      <c r="AF14" s="599">
        <v>2955122.67</v>
      </c>
      <c r="AG14" s="599">
        <v>3017050.97</v>
      </c>
      <c r="AH14" s="599">
        <v>3017741.43</v>
      </c>
      <c r="AI14" s="599">
        <v>3007112.01</v>
      </c>
      <c r="AJ14" s="599">
        <v>3039422.32</v>
      </c>
      <c r="AK14" s="599">
        <v>3065669.68</v>
      </c>
      <c r="AL14" s="599">
        <v>3290228.97</v>
      </c>
      <c r="AM14" s="599">
        <v>3277817.81</v>
      </c>
      <c r="AN14" s="599">
        <v>3237878.87</v>
      </c>
      <c r="AO14" s="599">
        <v>3208927.07</v>
      </c>
      <c r="AP14" s="599">
        <v>3177923.51</v>
      </c>
      <c r="AQ14" s="599">
        <v>3265234.2</v>
      </c>
      <c r="AR14" s="599">
        <v>3289735.79</v>
      </c>
      <c r="AS14" s="599">
        <v>3370157.54</v>
      </c>
      <c r="AT14" s="599">
        <v>3449867.3</v>
      </c>
      <c r="AU14" s="904">
        <v>3507792.7</v>
      </c>
      <c r="AV14" s="904">
        <v>3572579</v>
      </c>
      <c r="AW14" s="904">
        <v>3613025.2</v>
      </c>
      <c r="AX14" s="904">
        <v>3939284.26</v>
      </c>
      <c r="AY14" s="904">
        <v>3921548.21</v>
      </c>
      <c r="AZ14" s="904">
        <v>3752772.99</v>
      </c>
      <c r="BA14" s="583">
        <v>3769639.75</v>
      </c>
      <c r="BB14" s="583">
        <v>3708831.04</v>
      </c>
      <c r="BC14" s="583">
        <v>3657458.81</v>
      </c>
      <c r="BD14" s="583">
        <v>3633399.35</v>
      </c>
      <c r="BE14" s="583">
        <v>3480527.59</v>
      </c>
      <c r="BF14" s="583">
        <v>3438173.9</v>
      </c>
      <c r="BG14" s="583">
        <v>3436599.49</v>
      </c>
      <c r="BH14" s="583">
        <v>3485938.45</v>
      </c>
      <c r="BI14" s="583">
        <v>3445167.11</v>
      </c>
      <c r="BJ14" s="583">
        <v>3873964.36</v>
      </c>
      <c r="BK14" s="583">
        <v>3845173.79</v>
      </c>
      <c r="BL14" s="583">
        <v>3792773.34</v>
      </c>
      <c r="BM14" s="583">
        <v>3500000</v>
      </c>
      <c r="BN14" s="583">
        <v>3300000</v>
      </c>
      <c r="BO14" s="583">
        <v>3200000</v>
      </c>
      <c r="BP14" s="583">
        <v>3250000</v>
      </c>
      <c r="BQ14" s="583">
        <v>3300000</v>
      </c>
      <c r="BR14" s="583">
        <v>3350000</v>
      </c>
      <c r="BS14" s="583">
        <v>3375000</v>
      </c>
      <c r="BT14" s="583">
        <v>3375000</v>
      </c>
      <c r="BU14" s="583">
        <v>3375000</v>
      </c>
      <c r="BV14" s="583">
        <v>3675000</v>
      </c>
      <c r="BW14" s="583">
        <v>3600000</v>
      </c>
      <c r="BX14" s="583">
        <v>3550000</v>
      </c>
      <c r="BY14" s="583">
        <v>3400000</v>
      </c>
      <c r="BZ14" s="583">
        <v>3300000</v>
      </c>
      <c r="CA14" s="583">
        <v>3200000</v>
      </c>
      <c r="CB14" s="583">
        <v>3250000</v>
      </c>
      <c r="CC14" s="583">
        <v>3300000</v>
      </c>
      <c r="CD14" s="583">
        <v>3350000</v>
      </c>
      <c r="CE14" s="583">
        <v>3375000</v>
      </c>
      <c r="CF14" s="583">
        <v>3375000</v>
      </c>
      <c r="CG14" s="583">
        <v>3375000</v>
      </c>
      <c r="CH14" s="583">
        <v>3675000</v>
      </c>
      <c r="CI14" s="583">
        <v>3600000</v>
      </c>
      <c r="CJ14" s="583">
        <v>3550000</v>
      </c>
    </row>
    <row r="15" spans="1:88">
      <c r="A15" s="616" t="s">
        <v>156</v>
      </c>
      <c r="B15" s="1081">
        <f ca="1">SUM(OFFSET(BM15:BX15,0,'Bal Sheet'!$A$1))</f>
        <v>21880800</v>
      </c>
      <c r="C15" s="1082">
        <f>SUM(BY15:CJ15)</f>
        <v>21880800</v>
      </c>
      <c r="D15" s="600">
        <v>1052411</v>
      </c>
      <c r="E15" s="600">
        <v>1319793</v>
      </c>
      <c r="F15" s="600">
        <v>1576852</v>
      </c>
      <c r="G15" s="600">
        <v>1847295</v>
      </c>
      <c r="H15" s="600">
        <v>2612466</v>
      </c>
      <c r="I15" s="600">
        <v>1025022</v>
      </c>
      <c r="J15" s="600">
        <v>1135987</v>
      </c>
      <c r="K15" s="600">
        <v>2161695</v>
      </c>
      <c r="L15" s="600">
        <v>1557022</v>
      </c>
      <c r="M15" s="600">
        <v>894741</v>
      </c>
      <c r="N15" s="600">
        <v>2074720</v>
      </c>
      <c r="O15" s="600">
        <v>1027197</v>
      </c>
      <c r="P15" s="600">
        <v>1372741</v>
      </c>
      <c r="Q15" s="600">
        <v>1682827</v>
      </c>
      <c r="R15" s="600">
        <v>783426</v>
      </c>
      <c r="S15" s="600">
        <v>1059598</v>
      </c>
      <c r="T15" s="600">
        <v>1363500</v>
      </c>
      <c r="U15" s="600">
        <v>1061024</v>
      </c>
      <c r="V15" s="600">
        <v>1772348</v>
      </c>
      <c r="W15" s="600">
        <v>2123810</v>
      </c>
      <c r="X15" s="600">
        <v>1362601</v>
      </c>
      <c r="Y15" s="600">
        <v>955467.08</v>
      </c>
      <c r="Z15" s="600">
        <v>1600939.1399999994</v>
      </c>
      <c r="AA15" s="600">
        <v>1400855.94</v>
      </c>
      <c r="AB15" s="600">
        <v>1452939.19</v>
      </c>
      <c r="AC15" s="600">
        <v>1632643.1199999999</v>
      </c>
      <c r="AD15" s="600">
        <v>1153259.31</v>
      </c>
      <c r="AE15" s="600">
        <v>1086342.77</v>
      </c>
      <c r="AF15" s="600">
        <v>1506872.45</v>
      </c>
      <c r="AG15" s="600">
        <v>1344235.79</v>
      </c>
      <c r="AH15" s="600">
        <v>1376350.9399999997</v>
      </c>
      <c r="AI15" s="600">
        <v>1194803.3200000003</v>
      </c>
      <c r="AJ15" s="600">
        <v>1406390.63</v>
      </c>
      <c r="AK15" s="600">
        <v>1689304.23</v>
      </c>
      <c r="AL15" s="600">
        <v>1880673.2599999998</v>
      </c>
      <c r="AM15" s="600">
        <v>1307303.49</v>
      </c>
      <c r="AN15" s="600">
        <v>1455001.1300000001</v>
      </c>
      <c r="AO15" s="600">
        <v>1275601.9199999999</v>
      </c>
      <c r="AP15" s="600">
        <v>1798487.29</v>
      </c>
      <c r="AQ15" s="600">
        <v>1567765.76</v>
      </c>
      <c r="AR15" s="600">
        <v>1440542.38</v>
      </c>
      <c r="AS15" s="600">
        <v>1283729.7</v>
      </c>
      <c r="AT15" s="600">
        <v>1193760.08</v>
      </c>
      <c r="AU15" s="462">
        <v>1424335.41</v>
      </c>
      <c r="AV15" s="462">
        <v>967095.3</v>
      </c>
      <c r="AW15" s="462">
        <v>1590477.13</v>
      </c>
      <c r="AX15" s="462">
        <v>1454114.59</v>
      </c>
      <c r="AY15" s="462">
        <v>1401498.8</v>
      </c>
      <c r="AZ15" s="462">
        <v>1600464.1099999999</v>
      </c>
      <c r="BA15" s="180">
        <v>1635820.37</v>
      </c>
      <c r="BB15" s="180">
        <v>1422113.53</v>
      </c>
      <c r="BC15" s="180">
        <v>2925968.56</v>
      </c>
      <c r="BD15" s="180">
        <v>1473046.76</v>
      </c>
      <c r="BE15" s="180">
        <v>1309274.25</v>
      </c>
      <c r="BF15" s="180">
        <v>797127.32000000007</v>
      </c>
      <c r="BG15" s="180">
        <v>2951000.42</v>
      </c>
      <c r="BH15" s="180">
        <v>1799327.99</v>
      </c>
      <c r="BI15" s="180">
        <v>2223285.83</v>
      </c>
      <c r="BJ15" s="180">
        <v>2016065.3599999999</v>
      </c>
      <c r="BK15" s="180">
        <v>2117702.81</v>
      </c>
      <c r="BL15" s="180">
        <v>2153916.08</v>
      </c>
      <c r="BM15" s="180">
        <v>1823400</v>
      </c>
      <c r="BN15" s="180">
        <v>1823400</v>
      </c>
      <c r="BO15" s="180">
        <v>1823400</v>
      </c>
      <c r="BP15" s="180">
        <v>1823400</v>
      </c>
      <c r="BQ15" s="180">
        <v>1823400</v>
      </c>
      <c r="BR15" s="180">
        <v>1823400</v>
      </c>
      <c r="BS15" s="180">
        <v>1823400</v>
      </c>
      <c r="BT15" s="180">
        <v>1823400</v>
      </c>
      <c r="BU15" s="180">
        <v>1823400</v>
      </c>
      <c r="BV15" s="180">
        <v>1823400</v>
      </c>
      <c r="BW15" s="180">
        <v>1823400</v>
      </c>
      <c r="BX15" s="180">
        <v>1823400</v>
      </c>
      <c r="BY15" s="582">
        <v>1823400</v>
      </c>
      <c r="BZ15" s="582">
        <v>1823400</v>
      </c>
      <c r="CA15" s="582">
        <v>1823400</v>
      </c>
      <c r="CB15" s="582">
        <v>1823400</v>
      </c>
      <c r="CC15" s="582">
        <v>1823400</v>
      </c>
      <c r="CD15" s="582">
        <v>1823400</v>
      </c>
      <c r="CE15" s="582">
        <v>1823400</v>
      </c>
      <c r="CF15" s="582">
        <v>1823400</v>
      </c>
      <c r="CG15" s="582">
        <v>1823400</v>
      </c>
      <c r="CH15" s="582">
        <v>1823400</v>
      </c>
      <c r="CI15" s="582">
        <v>1823400</v>
      </c>
      <c r="CJ15" s="582">
        <v>1823400</v>
      </c>
    </row>
    <row r="16" spans="1:88">
      <c r="A16" s="616" t="s">
        <v>157</v>
      </c>
      <c r="B16" s="1081">
        <f ca="1">SUM(OFFSET(BM16:BX16,0,'Bal Sheet'!$A$1))</f>
        <v>3068900</v>
      </c>
      <c r="C16" s="1082">
        <f t="shared" ref="C16:C19" si="0">SUM(BY16:CJ16)</f>
        <v>3068900</v>
      </c>
      <c r="D16" s="467">
        <v>126390</v>
      </c>
      <c r="E16" s="467">
        <v>720522</v>
      </c>
      <c r="F16" s="467">
        <v>187450</v>
      </c>
      <c r="G16" s="467">
        <v>0</v>
      </c>
      <c r="H16" s="467">
        <v>0</v>
      </c>
      <c r="I16" s="467">
        <v>73123</v>
      </c>
      <c r="J16" s="467">
        <v>181164</v>
      </c>
      <c r="K16" s="467">
        <v>181164</v>
      </c>
      <c r="L16" s="467">
        <v>181164</v>
      </c>
      <c r="M16" s="467">
        <v>229744</v>
      </c>
      <c r="N16" s="467">
        <v>181164</v>
      </c>
      <c r="O16" s="467">
        <v>181164</v>
      </c>
      <c r="P16" s="467">
        <v>220034</v>
      </c>
      <c r="Q16" s="467">
        <v>406812</v>
      </c>
      <c r="R16" s="467">
        <v>1331316</v>
      </c>
      <c r="S16" s="467">
        <v>667481</v>
      </c>
      <c r="T16" s="467">
        <v>249491</v>
      </c>
      <c r="U16" s="467">
        <v>365876</v>
      </c>
      <c r="V16" s="467">
        <v>119556</v>
      </c>
      <c r="W16" s="467">
        <v>119556</v>
      </c>
      <c r="X16" s="467">
        <v>119556</v>
      </c>
      <c r="Y16" s="467">
        <v>201614</v>
      </c>
      <c r="Z16" s="467">
        <v>119556</v>
      </c>
      <c r="AA16" s="467">
        <v>119556</v>
      </c>
      <c r="AB16" s="467">
        <v>368404</v>
      </c>
      <c r="AC16" s="467">
        <v>472182</v>
      </c>
      <c r="AD16" s="467">
        <v>920964</v>
      </c>
      <c r="AE16" s="467">
        <v>839526</v>
      </c>
      <c r="AF16" s="467">
        <v>229896</v>
      </c>
      <c r="AG16" s="467">
        <v>229896</v>
      </c>
      <c r="AH16" s="467">
        <v>229896</v>
      </c>
      <c r="AI16" s="467">
        <v>229896</v>
      </c>
      <c r="AJ16" s="467">
        <v>229896</v>
      </c>
      <c r="AK16" s="467">
        <v>229896</v>
      </c>
      <c r="AL16" s="467">
        <v>229896</v>
      </c>
      <c r="AM16" s="467">
        <v>229896</v>
      </c>
      <c r="AN16" s="467">
        <v>387771</v>
      </c>
      <c r="AO16" s="467">
        <v>995543</v>
      </c>
      <c r="AP16" s="467">
        <v>239233</v>
      </c>
      <c r="AQ16" s="467">
        <v>167487</v>
      </c>
      <c r="AR16" s="467">
        <v>286530</v>
      </c>
      <c r="AS16" s="467">
        <v>105895</v>
      </c>
      <c r="AT16" s="467">
        <v>95892</v>
      </c>
      <c r="AU16" s="905">
        <v>95892</v>
      </c>
      <c r="AV16" s="905">
        <v>149500</v>
      </c>
      <c r="AW16" s="905">
        <v>95892</v>
      </c>
      <c r="AX16" s="905">
        <v>95892</v>
      </c>
      <c r="AY16" s="905">
        <v>95892</v>
      </c>
      <c r="AZ16" s="905">
        <v>207131</v>
      </c>
      <c r="BA16" s="592">
        <v>1113113</v>
      </c>
      <c r="BB16" s="592">
        <v>1637970</v>
      </c>
      <c r="BC16" s="592">
        <v>234232</v>
      </c>
      <c r="BD16" s="592">
        <v>775798</v>
      </c>
      <c r="BE16" s="592">
        <v>719781</v>
      </c>
      <c r="BF16" s="592">
        <v>938269</v>
      </c>
      <c r="BG16" s="592">
        <v>234232</v>
      </c>
      <c r="BH16" s="592">
        <v>234232</v>
      </c>
      <c r="BI16" s="592">
        <v>234232</v>
      </c>
      <c r="BJ16" s="592">
        <v>234232</v>
      </c>
      <c r="BK16" s="592">
        <v>234232</v>
      </c>
      <c r="BL16" s="592">
        <v>234226</v>
      </c>
      <c r="BM16" s="592">
        <v>750000</v>
      </c>
      <c r="BN16" s="592">
        <v>515799.99999999994</v>
      </c>
      <c r="BO16" s="592">
        <v>212400</v>
      </c>
      <c r="BP16" s="592">
        <v>206100</v>
      </c>
      <c r="BQ16" s="592">
        <v>0</v>
      </c>
      <c r="BR16" s="592">
        <v>0</v>
      </c>
      <c r="BS16" s="592">
        <v>0</v>
      </c>
      <c r="BT16" s="592">
        <v>0</v>
      </c>
      <c r="BU16" s="592">
        <v>0</v>
      </c>
      <c r="BV16" s="592">
        <v>0</v>
      </c>
      <c r="BW16" s="592">
        <v>0</v>
      </c>
      <c r="BX16" s="1095">
        <v>285000</v>
      </c>
      <c r="BY16" s="1095">
        <v>975500</v>
      </c>
      <c r="BZ16" s="1095">
        <v>687900</v>
      </c>
      <c r="CA16" s="1095">
        <v>315100</v>
      </c>
      <c r="CB16" s="1095">
        <v>307400</v>
      </c>
      <c r="CC16" s="1095">
        <v>54100</v>
      </c>
      <c r="CD16" s="1095">
        <v>54100</v>
      </c>
      <c r="CE16" s="1095">
        <v>54100</v>
      </c>
      <c r="CF16" s="1095">
        <v>54100</v>
      </c>
      <c r="CG16" s="1095">
        <v>54100</v>
      </c>
      <c r="CH16" s="1095">
        <v>54100</v>
      </c>
      <c r="CI16" s="1095">
        <v>54100</v>
      </c>
      <c r="CJ16" s="1095">
        <v>404300</v>
      </c>
    </row>
    <row r="17" spans="1:90">
      <c r="A17" s="615" t="s">
        <v>158</v>
      </c>
      <c r="B17" s="1081">
        <f ca="1">SUM(OFFSET(BM17:BX17,0,'Bal Sheet'!$A$1))</f>
        <v>1043800</v>
      </c>
      <c r="C17" s="1082">
        <f t="shared" si="0"/>
        <v>1043800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2">
        <v>53800</v>
      </c>
      <c r="T17" s="462">
        <v>53000</v>
      </c>
      <c r="U17" s="462">
        <v>39100</v>
      </c>
      <c r="V17" s="462">
        <v>30200</v>
      </c>
      <c r="W17" s="462">
        <v>31300</v>
      </c>
      <c r="X17" s="462">
        <v>24500</v>
      </c>
      <c r="Y17" s="462">
        <v>30000</v>
      </c>
      <c r="Z17" s="462">
        <v>26000</v>
      </c>
      <c r="AA17" s="462">
        <v>41000</v>
      </c>
      <c r="AB17" s="462">
        <v>58600</v>
      </c>
      <c r="AC17" s="462">
        <v>64900.000000000007</v>
      </c>
      <c r="AD17" s="462">
        <v>56100</v>
      </c>
      <c r="AE17" s="462">
        <v>45600</v>
      </c>
      <c r="AF17" s="462">
        <v>37000</v>
      </c>
      <c r="AG17" s="462">
        <v>32200.000000000004</v>
      </c>
      <c r="AH17" s="462">
        <v>30700</v>
      </c>
      <c r="AI17" s="462">
        <v>24500</v>
      </c>
      <c r="AJ17" s="462">
        <v>26500</v>
      </c>
      <c r="AK17" s="462">
        <v>26400</v>
      </c>
      <c r="AL17" s="462">
        <v>31700</v>
      </c>
      <c r="AM17" s="462">
        <v>43200</v>
      </c>
      <c r="AN17" s="462">
        <v>71700</v>
      </c>
      <c r="AO17" s="462">
        <v>93100</v>
      </c>
      <c r="AP17" s="462">
        <v>65400.000000000007</v>
      </c>
      <c r="AQ17" s="462">
        <v>73600</v>
      </c>
      <c r="AR17" s="462">
        <v>67500</v>
      </c>
      <c r="AS17" s="462">
        <v>44400</v>
      </c>
      <c r="AT17" s="462">
        <v>43300</v>
      </c>
      <c r="AU17" s="462">
        <v>41300</v>
      </c>
      <c r="AV17" s="462">
        <v>37600</v>
      </c>
      <c r="AW17" s="462">
        <v>45200</v>
      </c>
      <c r="AX17" s="462">
        <v>40900</v>
      </c>
      <c r="AY17" s="462">
        <v>57500</v>
      </c>
      <c r="AZ17" s="462">
        <v>84700</v>
      </c>
      <c r="BA17" s="180">
        <v>112000</v>
      </c>
      <c r="BB17" s="180">
        <v>102200</v>
      </c>
      <c r="BC17" s="180">
        <v>69500</v>
      </c>
      <c r="BD17" s="180">
        <v>67200</v>
      </c>
      <c r="BE17" s="180">
        <v>57900</v>
      </c>
      <c r="BF17" s="180">
        <v>46000</v>
      </c>
      <c r="BG17" s="180">
        <v>37300</v>
      </c>
      <c r="BH17" s="180">
        <v>67200</v>
      </c>
      <c r="BI17" s="180">
        <v>59300</v>
      </c>
      <c r="BJ17" s="180">
        <v>82400</v>
      </c>
      <c r="BK17" s="180">
        <v>37700</v>
      </c>
      <c r="BL17" s="180">
        <v>68300</v>
      </c>
      <c r="BM17" s="180">
        <v>152100</v>
      </c>
      <c r="BN17" s="180">
        <v>142100</v>
      </c>
      <c r="BO17" s="180">
        <v>117300</v>
      </c>
      <c r="BP17" s="180">
        <v>84300</v>
      </c>
      <c r="BQ17" s="180">
        <v>68500</v>
      </c>
      <c r="BR17" s="180">
        <v>60500</v>
      </c>
      <c r="BS17" s="180">
        <v>57700</v>
      </c>
      <c r="BT17" s="180">
        <v>55600</v>
      </c>
      <c r="BU17" s="180">
        <v>58000</v>
      </c>
      <c r="BV17" s="180">
        <v>65400.000000000007</v>
      </c>
      <c r="BW17" s="180">
        <v>81400</v>
      </c>
      <c r="BX17" s="180">
        <v>100900</v>
      </c>
      <c r="BY17" s="582">
        <v>152100</v>
      </c>
      <c r="BZ17" s="582">
        <v>142100</v>
      </c>
      <c r="CA17" s="582">
        <v>117300</v>
      </c>
      <c r="CB17" s="582">
        <v>84300</v>
      </c>
      <c r="CC17" s="582">
        <v>68500</v>
      </c>
      <c r="CD17" s="582">
        <v>60500</v>
      </c>
      <c r="CE17" s="582">
        <v>57700</v>
      </c>
      <c r="CF17" s="582">
        <v>55600</v>
      </c>
      <c r="CG17" s="582">
        <v>58000</v>
      </c>
      <c r="CH17" s="582">
        <v>65400.000000000007</v>
      </c>
      <c r="CI17" s="582">
        <v>81400</v>
      </c>
      <c r="CJ17" s="582">
        <v>100900</v>
      </c>
    </row>
    <row r="18" spans="1:90">
      <c r="A18" s="614" t="s">
        <v>159</v>
      </c>
      <c r="B18" s="1081">
        <f ca="1">SUM(OFFSET(BM18:BX18,0,'Bal Sheet'!$A$1))</f>
        <v>0</v>
      </c>
      <c r="C18" s="1082">
        <f t="shared" si="0"/>
        <v>0</v>
      </c>
      <c r="D18" s="467">
        <v>84295</v>
      </c>
      <c r="E18" s="467">
        <v>47998</v>
      </c>
      <c r="F18" s="467">
        <v>15045</v>
      </c>
      <c r="G18" s="467">
        <v>39596.61</v>
      </c>
      <c r="H18" s="467">
        <v>2853</v>
      </c>
      <c r="I18" s="467">
        <v>25705</v>
      </c>
      <c r="J18" s="467">
        <v>68320</v>
      </c>
      <c r="K18" s="467">
        <v>39133.199999999997</v>
      </c>
      <c r="L18" s="467">
        <v>2100</v>
      </c>
      <c r="M18" s="467">
        <v>5925</v>
      </c>
      <c r="N18" s="467">
        <v>18600</v>
      </c>
      <c r="O18" s="467">
        <v>12745</v>
      </c>
      <c r="P18" s="467">
        <v>35405</v>
      </c>
      <c r="Q18" s="467">
        <v>54941</v>
      </c>
      <c r="R18" s="467">
        <v>50736.07</v>
      </c>
      <c r="S18" s="467">
        <v>7845</v>
      </c>
      <c r="T18" s="467">
        <v>52038.16</v>
      </c>
      <c r="U18" s="467">
        <v>26405</v>
      </c>
      <c r="V18" s="467">
        <v>64332.46</v>
      </c>
      <c r="W18" s="467">
        <v>2014.94</v>
      </c>
      <c r="X18" s="467">
        <v>-23445</v>
      </c>
      <c r="Y18" s="467">
        <v>5750</v>
      </c>
      <c r="Z18" s="467">
        <v>14545</v>
      </c>
      <c r="AA18" s="467">
        <v>8120</v>
      </c>
      <c r="AB18" s="467">
        <v>33923.32</v>
      </c>
      <c r="AC18" s="467">
        <v>65982.100000000006</v>
      </c>
      <c r="AD18" s="467">
        <v>64297.68</v>
      </c>
      <c r="AE18" s="467">
        <v>1057.3</v>
      </c>
      <c r="AF18" s="467">
        <v>6570.68</v>
      </c>
      <c r="AG18" s="467">
        <v>39700</v>
      </c>
      <c r="AH18" s="467">
        <v>4205</v>
      </c>
      <c r="AI18" s="467">
        <v>16900</v>
      </c>
      <c r="AJ18" s="467">
        <v>25000</v>
      </c>
      <c r="AK18" s="467">
        <v>5955</v>
      </c>
      <c r="AL18" s="467">
        <v>6125</v>
      </c>
      <c r="AM18" s="467">
        <v>14500</v>
      </c>
      <c r="AN18" s="467">
        <v>98044.32</v>
      </c>
      <c r="AO18" s="467">
        <v>0</v>
      </c>
      <c r="AP18" s="467">
        <v>109190.5</v>
      </c>
      <c r="AQ18" s="467">
        <v>43795</v>
      </c>
      <c r="AR18" s="467">
        <v>28675</v>
      </c>
      <c r="AS18" s="467">
        <v>2320.5300000000002</v>
      </c>
      <c r="AT18" s="467">
        <v>15057.28</v>
      </c>
      <c r="AU18" s="905">
        <v>2600</v>
      </c>
      <c r="AV18" s="905">
        <v>24545.33</v>
      </c>
      <c r="AW18" s="905">
        <v>12388.44</v>
      </c>
      <c r="AX18" s="905">
        <v>38080.9</v>
      </c>
      <c r="AY18" s="905">
        <v>8239.1</v>
      </c>
      <c r="AZ18" s="905">
        <v>87525</v>
      </c>
      <c r="BA18" s="592">
        <v>85195</v>
      </c>
      <c r="BB18" s="592">
        <v>4091.15</v>
      </c>
      <c r="BC18" s="592">
        <v>16190.92</v>
      </c>
      <c r="BD18" s="592">
        <v>10080</v>
      </c>
      <c r="BE18" s="592">
        <v>58857.96</v>
      </c>
      <c r="BF18" s="592">
        <v>10108.959999999999</v>
      </c>
      <c r="BG18" s="592">
        <v>21943</v>
      </c>
      <c r="BH18" s="592">
        <v>34084.959999999999</v>
      </c>
      <c r="BI18" s="592">
        <v>13450</v>
      </c>
      <c r="BJ18" s="592">
        <v>5275</v>
      </c>
      <c r="BK18" s="592">
        <v>19250</v>
      </c>
      <c r="BL18" s="592">
        <v>43085</v>
      </c>
      <c r="BM18" s="592">
        <v>0</v>
      </c>
      <c r="BN18" s="592">
        <v>0</v>
      </c>
      <c r="BO18" s="592">
        <v>0</v>
      </c>
      <c r="BP18" s="592">
        <v>0</v>
      </c>
      <c r="BQ18" s="592">
        <v>0</v>
      </c>
      <c r="BR18" s="592">
        <v>0</v>
      </c>
      <c r="BS18" s="592">
        <v>0</v>
      </c>
      <c r="BT18" s="592">
        <v>0</v>
      </c>
      <c r="BU18" s="592">
        <v>0</v>
      </c>
      <c r="BV18" s="592">
        <v>0</v>
      </c>
      <c r="BW18" s="592">
        <v>0</v>
      </c>
      <c r="BX18" s="1095">
        <v>0</v>
      </c>
      <c r="BY18" s="1095">
        <v>0</v>
      </c>
      <c r="BZ18" s="1095">
        <v>0</v>
      </c>
      <c r="CA18" s="1095">
        <v>0</v>
      </c>
      <c r="CB18" s="1095">
        <v>0</v>
      </c>
      <c r="CC18" s="1095">
        <v>0</v>
      </c>
      <c r="CD18" s="1095">
        <v>0</v>
      </c>
      <c r="CE18" s="1095">
        <v>0</v>
      </c>
      <c r="CF18" s="1095">
        <v>0</v>
      </c>
      <c r="CG18" s="1095">
        <v>0</v>
      </c>
      <c r="CH18" s="1095">
        <v>0</v>
      </c>
      <c r="CI18" s="1095">
        <v>0</v>
      </c>
      <c r="CJ18" s="1095">
        <v>0</v>
      </c>
    </row>
    <row r="19" spans="1:90">
      <c r="A19" s="614" t="s">
        <v>159</v>
      </c>
      <c r="B19" s="1081">
        <f ca="1">SUM(OFFSET(BM19:BX19,0,'Bal Sheet'!$A$1))</f>
        <v>368400</v>
      </c>
      <c r="C19" s="1082">
        <f t="shared" si="0"/>
        <v>368400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  <c r="Y19" s="467"/>
      <c r="Z19" s="467"/>
      <c r="AA19" s="467"/>
      <c r="AB19" s="467"/>
      <c r="AC19" s="467"/>
      <c r="AD19" s="467"/>
      <c r="AE19" s="467"/>
      <c r="AF19" s="467"/>
      <c r="AG19" s="467"/>
      <c r="AH19" s="467"/>
      <c r="AI19" s="467"/>
      <c r="AJ19" s="467"/>
      <c r="AK19" s="467"/>
      <c r="AL19" s="467"/>
      <c r="AM19" s="467"/>
      <c r="AN19" s="467"/>
      <c r="AO19" s="467"/>
      <c r="AP19" s="467"/>
      <c r="AQ19" s="467"/>
      <c r="AR19" s="467"/>
      <c r="AS19" s="467"/>
      <c r="AT19" s="467"/>
      <c r="AU19" s="905"/>
      <c r="AV19" s="905"/>
      <c r="AW19" s="905"/>
      <c r="AX19" s="905"/>
      <c r="AY19" s="905"/>
      <c r="AZ19" s="905"/>
      <c r="BA19" s="592"/>
      <c r="BB19" s="592"/>
      <c r="BC19" s="592"/>
      <c r="BD19" s="592"/>
      <c r="BE19" s="592"/>
      <c r="BF19" s="592"/>
      <c r="BG19" s="592">
        <v>0</v>
      </c>
      <c r="BH19" s="592">
        <v>0</v>
      </c>
      <c r="BI19" s="592">
        <v>0</v>
      </c>
      <c r="BJ19" s="592">
        <v>0</v>
      </c>
      <c r="BK19" s="592">
        <v>0</v>
      </c>
      <c r="BL19" s="592">
        <v>0</v>
      </c>
      <c r="BM19" s="592">
        <v>30000</v>
      </c>
      <c r="BN19" s="592">
        <v>30000</v>
      </c>
      <c r="BO19" s="592">
        <v>30000</v>
      </c>
      <c r="BP19" s="592">
        <v>30000</v>
      </c>
      <c r="BQ19" s="592">
        <v>30000</v>
      </c>
      <c r="BR19" s="592">
        <v>30000</v>
      </c>
      <c r="BS19" s="592">
        <v>30000</v>
      </c>
      <c r="BT19" s="592">
        <v>30000</v>
      </c>
      <c r="BU19" s="592">
        <v>30000</v>
      </c>
      <c r="BV19" s="592">
        <v>30000</v>
      </c>
      <c r="BW19" s="592">
        <v>30000</v>
      </c>
      <c r="BX19" s="592">
        <v>30000</v>
      </c>
      <c r="BY19" s="592">
        <v>30700</v>
      </c>
      <c r="BZ19" s="592">
        <v>30700</v>
      </c>
      <c r="CA19" s="592">
        <v>30700</v>
      </c>
      <c r="CB19" s="592">
        <v>30700</v>
      </c>
      <c r="CC19" s="592">
        <v>30700</v>
      </c>
      <c r="CD19" s="592">
        <v>30700</v>
      </c>
      <c r="CE19" s="592">
        <v>30700</v>
      </c>
      <c r="CF19" s="592">
        <v>30700</v>
      </c>
      <c r="CG19" s="592">
        <v>30700</v>
      </c>
      <c r="CH19" s="592">
        <v>30700</v>
      </c>
      <c r="CI19" s="592">
        <v>30700</v>
      </c>
      <c r="CJ19" s="592">
        <v>30700</v>
      </c>
      <c r="CL19" s="375" t="s">
        <v>1221</v>
      </c>
    </row>
    <row r="20" spans="1:90">
      <c r="A20" s="613" t="s">
        <v>160</v>
      </c>
      <c r="B20" s="759">
        <f ca="1">(+B19+B18)*0.05</f>
        <v>18420</v>
      </c>
      <c r="C20" s="759">
        <f>+CJ20</f>
        <v>0</v>
      </c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</row>
    <row r="21" spans="1:90">
      <c r="A21" s="613"/>
      <c r="B21" s="606"/>
      <c r="C21" s="606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605"/>
      <c r="AN21" s="605"/>
      <c r="AO21" s="605"/>
      <c r="AP21" s="605"/>
      <c r="AQ21" s="605"/>
      <c r="AR21" s="605"/>
      <c r="AS21" s="605"/>
      <c r="AT21" s="605"/>
      <c r="AU21" s="605"/>
      <c r="AV21" s="605"/>
      <c r="AW21" s="605"/>
      <c r="AX21" s="605"/>
      <c r="AY21" s="605"/>
      <c r="AZ21" s="605"/>
      <c r="BA21" s="605"/>
      <c r="BB21" s="605"/>
      <c r="BC21" s="605"/>
      <c r="BD21" s="605"/>
      <c r="BE21" s="605"/>
      <c r="BF21" s="605"/>
      <c r="BG21" s="605"/>
      <c r="BH21" s="605"/>
      <c r="BI21" s="605"/>
      <c r="BJ21" s="605"/>
      <c r="BK21" s="605"/>
      <c r="BL21" s="605"/>
      <c r="BM21" s="605"/>
      <c r="BN21" s="605"/>
      <c r="BO21" s="605"/>
      <c r="BP21" s="605"/>
      <c r="BQ21" s="605"/>
      <c r="BR21" s="605"/>
      <c r="BS21" s="605"/>
      <c r="BT21" s="605"/>
      <c r="BU21" s="605"/>
      <c r="BV21" s="605"/>
      <c r="BW21" s="605"/>
      <c r="BX21" s="605"/>
      <c r="BY21" s="605"/>
      <c r="BZ21" s="605"/>
      <c r="CA21" s="605"/>
      <c r="CB21" s="605"/>
      <c r="CC21" s="605"/>
      <c r="CD21" s="605"/>
      <c r="CE21" s="605"/>
      <c r="CF21" s="605"/>
      <c r="CG21" s="605"/>
      <c r="CH21" s="605"/>
      <c r="CI21" s="605"/>
      <c r="CJ21" s="605"/>
    </row>
    <row r="22" spans="1:90">
      <c r="A22" s="615" t="s">
        <v>161</v>
      </c>
      <c r="B22" s="1081">
        <f ca="1">SUM(OFFSET(BM22:BX22,0,'Bal Sheet'!$A$1))</f>
        <v>15562400</v>
      </c>
      <c r="C22" s="1082">
        <f t="shared" ref="C22:C24" si="1">SUM(BY22:CJ22)</f>
        <v>15562400</v>
      </c>
      <c r="Q22" s="458">
        <v>1066822.57</v>
      </c>
      <c r="R22" s="458">
        <v>1041144.7</v>
      </c>
      <c r="S22" s="458">
        <v>965206.94</v>
      </c>
      <c r="T22" s="458">
        <v>930781.64</v>
      </c>
      <c r="U22" s="458">
        <v>806809.96</v>
      </c>
      <c r="V22" s="458">
        <v>775019.29</v>
      </c>
      <c r="W22" s="458">
        <v>753787.61</v>
      </c>
      <c r="X22" s="458">
        <v>720129.45</v>
      </c>
      <c r="Y22" s="458">
        <v>756683.05</v>
      </c>
      <c r="Z22" s="458">
        <v>740014.74</v>
      </c>
      <c r="AA22" s="458">
        <v>823134.47</v>
      </c>
      <c r="AB22" s="458">
        <v>993293.22</v>
      </c>
      <c r="AC22" s="458">
        <v>1099027.43</v>
      </c>
      <c r="AD22" s="458">
        <v>1057497.58</v>
      </c>
      <c r="AE22" s="458">
        <v>995565.97</v>
      </c>
      <c r="AF22" s="458">
        <v>858234.19</v>
      </c>
      <c r="AG22" s="458">
        <v>757404.7</v>
      </c>
      <c r="AH22" s="458">
        <v>703815.08</v>
      </c>
      <c r="AI22" s="458">
        <v>735672.65</v>
      </c>
      <c r="AJ22" s="458">
        <v>728815.39</v>
      </c>
      <c r="AK22" s="458">
        <v>712266.38</v>
      </c>
      <c r="AL22" s="458">
        <v>741461.7</v>
      </c>
      <c r="AM22" s="458">
        <v>845673.32</v>
      </c>
      <c r="AN22" s="458">
        <v>974505.53</v>
      </c>
      <c r="AO22" s="458">
        <v>1339279.8</v>
      </c>
      <c r="AP22" s="458">
        <v>1246435.1200000001</v>
      </c>
      <c r="AQ22" s="458">
        <v>1168468.74</v>
      </c>
      <c r="AR22" s="458">
        <v>1172223.43</v>
      </c>
      <c r="AS22" s="458">
        <v>1047174.69</v>
      </c>
      <c r="AT22" s="458">
        <v>984453.81</v>
      </c>
      <c r="AU22" s="458">
        <v>986918.97</v>
      </c>
      <c r="AV22" s="458">
        <v>919524.78</v>
      </c>
      <c r="AW22" s="458">
        <v>971650.93</v>
      </c>
      <c r="AX22" s="458">
        <v>923528.5</v>
      </c>
      <c r="AY22" s="458">
        <v>1044670.42</v>
      </c>
      <c r="AZ22" s="458">
        <v>1264591.1000000001</v>
      </c>
      <c r="BA22" s="593">
        <v>1438551.14</v>
      </c>
      <c r="BB22" s="593">
        <v>1520736.87</v>
      </c>
      <c r="BC22" s="593">
        <v>1360442.37</v>
      </c>
      <c r="BD22" s="593">
        <v>1250057.25</v>
      </c>
      <c r="BE22" s="593">
        <v>1182465.3400000001</v>
      </c>
      <c r="BF22" s="593">
        <v>1080663.08</v>
      </c>
      <c r="BG22" s="593">
        <v>1009625.02</v>
      </c>
      <c r="BH22" s="593">
        <v>1121007.94</v>
      </c>
      <c r="BI22" s="593">
        <v>1157497.69</v>
      </c>
      <c r="BJ22" s="593">
        <v>1217081</v>
      </c>
      <c r="BK22" s="593">
        <v>1117482.67</v>
      </c>
      <c r="BL22" s="593">
        <v>1244950.2</v>
      </c>
      <c r="BM22" s="593">
        <v>1521400</v>
      </c>
      <c r="BN22" s="593">
        <v>1606000</v>
      </c>
      <c r="BO22" s="593">
        <v>1438900</v>
      </c>
      <c r="BP22" s="593">
        <v>1322500</v>
      </c>
      <c r="BQ22" s="593">
        <v>1251200</v>
      </c>
      <c r="BR22" s="593">
        <v>1146000</v>
      </c>
      <c r="BS22" s="593">
        <v>1069100</v>
      </c>
      <c r="BT22" s="593">
        <v>1079800</v>
      </c>
      <c r="BU22" s="593">
        <v>1090600</v>
      </c>
      <c r="BV22" s="593">
        <v>1199700</v>
      </c>
      <c r="BW22" s="593">
        <v>1319600</v>
      </c>
      <c r="BX22" s="1095">
        <v>1517600</v>
      </c>
      <c r="BY22" s="1095">
        <v>1521400</v>
      </c>
      <c r="BZ22" s="1095">
        <v>1606000</v>
      </c>
      <c r="CA22" s="1095">
        <v>1438900</v>
      </c>
      <c r="CB22" s="1095">
        <v>1322500</v>
      </c>
      <c r="CC22" s="1095">
        <v>1251200</v>
      </c>
      <c r="CD22" s="1095">
        <v>1146000</v>
      </c>
      <c r="CE22" s="1095">
        <v>1069100</v>
      </c>
      <c r="CF22" s="1095">
        <v>1079800</v>
      </c>
      <c r="CG22" s="1095">
        <v>1090600</v>
      </c>
      <c r="CH22" s="1095">
        <v>1199700</v>
      </c>
      <c r="CI22" s="1095">
        <v>1319600</v>
      </c>
      <c r="CJ22" s="1095">
        <v>1517600</v>
      </c>
    </row>
    <row r="23" spans="1:90">
      <c r="A23" s="615" t="s">
        <v>162</v>
      </c>
      <c r="B23" s="1081">
        <f ca="1">SUM(OFFSET(BM23:BX23,0,'Bal Sheet'!$A$1))</f>
        <v>17727400</v>
      </c>
      <c r="C23" s="1082">
        <f t="shared" si="1"/>
        <v>17727400</v>
      </c>
      <c r="Q23" s="459">
        <v>1655787.55</v>
      </c>
      <c r="R23" s="459">
        <v>1640421.41</v>
      </c>
      <c r="S23" s="459">
        <v>1424624.07</v>
      </c>
      <c r="T23" s="459">
        <v>1125549.97</v>
      </c>
      <c r="U23" s="459">
        <v>1177922.3799999999</v>
      </c>
      <c r="V23" s="459">
        <v>1016378.54</v>
      </c>
      <c r="W23" s="459">
        <v>984361.68</v>
      </c>
      <c r="X23" s="459">
        <v>932359.53</v>
      </c>
      <c r="Y23" s="459">
        <v>949375.97</v>
      </c>
      <c r="Z23" s="459">
        <v>936155.2</v>
      </c>
      <c r="AA23" s="459">
        <v>1112587.07</v>
      </c>
      <c r="AB23" s="459">
        <v>1504303.85</v>
      </c>
      <c r="AC23" s="459">
        <v>1618178.97</v>
      </c>
      <c r="AD23" s="459">
        <v>1572436.88</v>
      </c>
      <c r="AE23" s="459">
        <v>1352878.21</v>
      </c>
      <c r="AF23" s="459">
        <v>1062025.6200000001</v>
      </c>
      <c r="AG23" s="459">
        <v>953525.89</v>
      </c>
      <c r="AH23" s="459">
        <v>967309.63</v>
      </c>
      <c r="AI23" s="459">
        <v>851851.75</v>
      </c>
      <c r="AJ23" s="459">
        <v>911904.78</v>
      </c>
      <c r="AK23" s="459">
        <v>870947.67</v>
      </c>
      <c r="AL23" s="459">
        <v>954992.39</v>
      </c>
      <c r="AM23" s="459">
        <v>1095394.1499999999</v>
      </c>
      <c r="AN23" s="459">
        <v>1396326.38</v>
      </c>
      <c r="AO23" s="459">
        <v>1837558.54</v>
      </c>
      <c r="AP23" s="459">
        <v>1655338.08</v>
      </c>
      <c r="AQ23" s="459">
        <v>1457150.65</v>
      </c>
      <c r="AR23" s="459">
        <v>1426996.58</v>
      </c>
      <c r="AS23" s="459">
        <v>1201056.29</v>
      </c>
      <c r="AT23" s="459">
        <v>1108542.6499999999</v>
      </c>
      <c r="AU23" s="459">
        <v>1134501.22</v>
      </c>
      <c r="AV23" s="459">
        <v>1011208.09</v>
      </c>
      <c r="AW23" s="459">
        <v>1071922.69</v>
      </c>
      <c r="AX23" s="459">
        <v>1072270.76</v>
      </c>
      <c r="AY23" s="459">
        <v>1236232.4099999999</v>
      </c>
      <c r="AZ23" s="459">
        <v>1610219.3</v>
      </c>
      <c r="BA23" s="594">
        <v>1747412.92</v>
      </c>
      <c r="BB23" s="594">
        <v>1727920.15</v>
      </c>
      <c r="BC23" s="594">
        <v>1638802.23</v>
      </c>
      <c r="BD23" s="594">
        <v>1466977.23</v>
      </c>
      <c r="BE23" s="594">
        <v>1329404.5900000001</v>
      </c>
      <c r="BF23" s="594">
        <v>1171609.3500000001</v>
      </c>
      <c r="BG23" s="594">
        <v>1070368.31</v>
      </c>
      <c r="BH23" s="594">
        <v>1017536.8</v>
      </c>
      <c r="BI23" s="594">
        <v>1080019.73</v>
      </c>
      <c r="BJ23" s="594">
        <v>1183729.3700000001</v>
      </c>
      <c r="BK23" s="594">
        <v>1255346.49</v>
      </c>
      <c r="BL23" s="594">
        <v>1563688.22</v>
      </c>
      <c r="BM23" s="594">
        <v>1869700</v>
      </c>
      <c r="BN23" s="594">
        <v>2025500</v>
      </c>
      <c r="BO23" s="594">
        <v>1754800</v>
      </c>
      <c r="BP23" s="594">
        <v>1571100</v>
      </c>
      <c r="BQ23" s="594">
        <v>1424200</v>
      </c>
      <c r="BR23" s="594">
        <v>1255600</v>
      </c>
      <c r="BS23" s="594">
        <v>1125800</v>
      </c>
      <c r="BT23" s="594">
        <v>1131400</v>
      </c>
      <c r="BU23" s="594">
        <v>1187900</v>
      </c>
      <c r="BV23" s="594">
        <v>1283000</v>
      </c>
      <c r="BW23" s="594">
        <v>1475400</v>
      </c>
      <c r="BX23" s="1096">
        <v>1623000</v>
      </c>
      <c r="BY23" s="1096">
        <v>1869700</v>
      </c>
      <c r="BZ23" s="1096">
        <v>2025500</v>
      </c>
      <c r="CA23" s="1096">
        <v>1754800</v>
      </c>
      <c r="CB23" s="1096">
        <v>1571100</v>
      </c>
      <c r="CC23" s="1096">
        <v>1424200</v>
      </c>
      <c r="CD23" s="1096">
        <v>1255600</v>
      </c>
      <c r="CE23" s="1096">
        <v>1125800</v>
      </c>
      <c r="CF23" s="1096">
        <v>1131400</v>
      </c>
      <c r="CG23" s="1096">
        <v>1187900</v>
      </c>
      <c r="CH23" s="1096">
        <v>1283000</v>
      </c>
      <c r="CI23" s="1096">
        <v>1475400</v>
      </c>
      <c r="CJ23" s="1096">
        <v>1623000</v>
      </c>
    </row>
    <row r="24" spans="1:90">
      <c r="A24" s="615" t="s">
        <v>163</v>
      </c>
      <c r="B24" s="1081">
        <f ca="1">SUM(OFFSET(BM24:BX24,0,'Bal Sheet'!$A$1))</f>
        <v>33289800</v>
      </c>
      <c r="C24" s="1082">
        <f t="shared" si="1"/>
        <v>33289800</v>
      </c>
      <c r="Q24" s="460">
        <v>2722610.12</v>
      </c>
      <c r="R24" s="460">
        <v>2681566.11</v>
      </c>
      <c r="S24" s="460">
        <v>2389831.0099999998</v>
      </c>
      <c r="T24" s="460">
        <v>2056331.6099999999</v>
      </c>
      <c r="U24" s="460">
        <v>1984732.3399999999</v>
      </c>
      <c r="V24" s="460">
        <v>1791397.83</v>
      </c>
      <c r="W24" s="460">
        <v>1738149.29</v>
      </c>
      <c r="X24" s="460">
        <v>1652488.98</v>
      </c>
      <c r="Y24" s="460">
        <v>1706059.02</v>
      </c>
      <c r="Z24" s="460">
        <v>1676169.94</v>
      </c>
      <c r="AA24" s="460">
        <v>1935721.54</v>
      </c>
      <c r="AB24" s="460">
        <v>2497597.0700000003</v>
      </c>
      <c r="AC24" s="460">
        <f>+AC23+AC22</f>
        <v>2717206.4</v>
      </c>
      <c r="AD24" s="460">
        <f t="shared" ref="AD24:AN24" si="2">+AD23+AD22</f>
        <v>2629934.46</v>
      </c>
      <c r="AE24" s="460">
        <f t="shared" si="2"/>
        <v>2348444.1799999997</v>
      </c>
      <c r="AF24" s="460">
        <f t="shared" si="2"/>
        <v>1920259.81</v>
      </c>
      <c r="AG24" s="460">
        <f t="shared" si="2"/>
        <v>1710930.5899999999</v>
      </c>
      <c r="AH24" s="460">
        <f t="shared" si="2"/>
        <v>1671124.71</v>
      </c>
      <c r="AI24" s="460">
        <f t="shared" si="2"/>
        <v>1587524.4</v>
      </c>
      <c r="AJ24" s="460">
        <f t="shared" si="2"/>
        <v>1640720.17</v>
      </c>
      <c r="AK24" s="460">
        <f t="shared" si="2"/>
        <v>1583214.05</v>
      </c>
      <c r="AL24" s="460">
        <f t="shared" si="2"/>
        <v>1696454.0899999999</v>
      </c>
      <c r="AM24" s="460">
        <f t="shared" si="2"/>
        <v>1941067.4699999997</v>
      </c>
      <c r="AN24" s="460">
        <f t="shared" si="2"/>
        <v>2370831.91</v>
      </c>
      <c r="AO24" s="460">
        <f t="shared" ref="AO24:AZ24" si="3">+AO23+AO22</f>
        <v>3176838.34</v>
      </c>
      <c r="AP24" s="460">
        <f t="shared" si="3"/>
        <v>2901773.2</v>
      </c>
      <c r="AQ24" s="460">
        <f t="shared" si="3"/>
        <v>2625619.3899999997</v>
      </c>
      <c r="AR24" s="460">
        <f t="shared" si="3"/>
        <v>2599220.0099999998</v>
      </c>
      <c r="AS24" s="460">
        <f t="shared" si="3"/>
        <v>2248230.98</v>
      </c>
      <c r="AT24" s="460">
        <f t="shared" si="3"/>
        <v>2092996.46</v>
      </c>
      <c r="AU24" s="460">
        <f t="shared" si="3"/>
        <v>2121420.19</v>
      </c>
      <c r="AV24" s="460">
        <f t="shared" si="3"/>
        <v>1930732.87</v>
      </c>
      <c r="AW24" s="460">
        <f t="shared" si="3"/>
        <v>2043573.62</v>
      </c>
      <c r="AX24" s="460">
        <f t="shared" si="3"/>
        <v>1995799.26</v>
      </c>
      <c r="AY24" s="460">
        <f t="shared" si="3"/>
        <v>2280902.83</v>
      </c>
      <c r="AZ24" s="460">
        <f t="shared" si="3"/>
        <v>2874810.4000000004</v>
      </c>
      <c r="BA24" s="450">
        <f t="shared" ref="BA24:BL24" si="4">+BA23+BA22</f>
        <v>3185964.0599999996</v>
      </c>
      <c r="BB24" s="450">
        <f t="shared" si="4"/>
        <v>3248657.02</v>
      </c>
      <c r="BC24" s="450">
        <f t="shared" si="4"/>
        <v>2999244.6</v>
      </c>
      <c r="BD24" s="450">
        <f t="shared" si="4"/>
        <v>2717034.48</v>
      </c>
      <c r="BE24" s="450">
        <f t="shared" si="4"/>
        <v>2511869.9300000002</v>
      </c>
      <c r="BF24" s="450">
        <f t="shared" si="4"/>
        <v>2252272.4300000002</v>
      </c>
      <c r="BG24" s="450">
        <f t="shared" si="4"/>
        <v>2079993.33</v>
      </c>
      <c r="BH24" s="450">
        <f t="shared" si="4"/>
        <v>2138544.7400000002</v>
      </c>
      <c r="BI24" s="450">
        <f t="shared" si="4"/>
        <v>2237517.42</v>
      </c>
      <c r="BJ24" s="450">
        <f t="shared" si="4"/>
        <v>2400810.37</v>
      </c>
      <c r="BK24" s="450">
        <f t="shared" si="4"/>
        <v>2372829.16</v>
      </c>
      <c r="BL24" s="450">
        <f t="shared" si="4"/>
        <v>2808638.42</v>
      </c>
      <c r="BM24" s="450">
        <f t="shared" ref="BM24:BX24" si="5">+BM23+BM22</f>
        <v>3391100</v>
      </c>
      <c r="BN24" s="450">
        <f t="shared" si="5"/>
        <v>3631500</v>
      </c>
      <c r="BO24" s="450">
        <f t="shared" si="5"/>
        <v>3193700</v>
      </c>
      <c r="BP24" s="450">
        <f t="shared" si="5"/>
        <v>2893600</v>
      </c>
      <c r="BQ24" s="450">
        <f t="shared" si="5"/>
        <v>2675400</v>
      </c>
      <c r="BR24" s="450">
        <f t="shared" si="5"/>
        <v>2401600</v>
      </c>
      <c r="BS24" s="450">
        <f t="shared" si="5"/>
        <v>2194900</v>
      </c>
      <c r="BT24" s="450">
        <f t="shared" si="5"/>
        <v>2211200</v>
      </c>
      <c r="BU24" s="450">
        <f t="shared" si="5"/>
        <v>2278500</v>
      </c>
      <c r="BV24" s="450">
        <f t="shared" si="5"/>
        <v>2482700</v>
      </c>
      <c r="BW24" s="450">
        <f t="shared" si="5"/>
        <v>2795000</v>
      </c>
      <c r="BX24" s="450">
        <f t="shared" si="5"/>
        <v>3140600</v>
      </c>
      <c r="BY24" s="450">
        <f t="shared" ref="BY24:CI24" si="6">+BY23+BY22</f>
        <v>3391100</v>
      </c>
      <c r="BZ24" s="450">
        <f t="shared" si="6"/>
        <v>3631500</v>
      </c>
      <c r="CA24" s="450">
        <f t="shared" si="6"/>
        <v>3193700</v>
      </c>
      <c r="CB24" s="450">
        <f t="shared" si="6"/>
        <v>2893600</v>
      </c>
      <c r="CC24" s="450">
        <f t="shared" si="6"/>
        <v>2675400</v>
      </c>
      <c r="CD24" s="450">
        <f t="shared" si="6"/>
        <v>2401600</v>
      </c>
      <c r="CE24" s="450">
        <f t="shared" si="6"/>
        <v>2194900</v>
      </c>
      <c r="CF24" s="450">
        <f t="shared" si="6"/>
        <v>2211200</v>
      </c>
      <c r="CG24" s="450">
        <f t="shared" si="6"/>
        <v>2278500</v>
      </c>
      <c r="CH24" s="450">
        <f t="shared" si="6"/>
        <v>2482700</v>
      </c>
      <c r="CI24" s="450">
        <f t="shared" si="6"/>
        <v>2795000</v>
      </c>
      <c r="CJ24" s="450">
        <f t="shared" ref="CJ24" si="7">+CJ23+CJ22</f>
        <v>3140600</v>
      </c>
    </row>
    <row r="25" spans="1:90">
      <c r="A25" s="613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  <c r="BY25" s="375"/>
      <c r="BZ25" s="375"/>
      <c r="CA25" s="375"/>
      <c r="CB25" s="375"/>
      <c r="CC25" s="375"/>
      <c r="CD25" s="375"/>
      <c r="CE25" s="375"/>
      <c r="CF25" s="375"/>
      <c r="CG25" s="375"/>
      <c r="CH25" s="375"/>
      <c r="CI25" s="375"/>
    </row>
    <row r="26" spans="1:90">
      <c r="A26" s="615" t="s">
        <v>164</v>
      </c>
      <c r="B26" s="1081">
        <f ca="1">SUM(OFFSET(BM26:BX26,0,'Bal Sheet'!$A$1))</f>
        <v>-15562400</v>
      </c>
      <c r="C26" s="1082">
        <f t="shared" ref="C26:C28" si="8">SUM(BY26:CJ26)</f>
        <v>-15562400</v>
      </c>
      <c r="Q26" s="458">
        <v>-1077455.75</v>
      </c>
      <c r="R26" s="458">
        <v>-1049655.22</v>
      </c>
      <c r="S26" s="458">
        <v>-976425.94</v>
      </c>
      <c r="T26" s="458">
        <v>-944434.86</v>
      </c>
      <c r="U26" s="458">
        <v>-814908.7</v>
      </c>
      <c r="V26" s="458">
        <v>-782183.36</v>
      </c>
      <c r="W26" s="458">
        <v>-760420.2</v>
      </c>
      <c r="X26" s="458">
        <v>-726605.6</v>
      </c>
      <c r="Y26" s="458">
        <v>-766395.44</v>
      </c>
      <c r="Z26" s="458">
        <v>-746665.18</v>
      </c>
      <c r="AA26" s="458">
        <v>-829620.68</v>
      </c>
      <c r="AB26" s="458">
        <v>-1001016.06</v>
      </c>
      <c r="AC26" s="458">
        <v>-1107892.52</v>
      </c>
      <c r="AD26" s="458">
        <v>-1064792.08</v>
      </c>
      <c r="AE26" s="458">
        <v>-1000768.77</v>
      </c>
      <c r="AF26" s="458">
        <v>-861987.17</v>
      </c>
      <c r="AG26" s="458">
        <v>-761201.88</v>
      </c>
      <c r="AH26" s="458">
        <v>-707180.78</v>
      </c>
      <c r="AI26" s="458">
        <v>-739814.08</v>
      </c>
      <c r="AJ26" s="458">
        <v>-732428.55</v>
      </c>
      <c r="AK26" s="458">
        <v>-719516.08</v>
      </c>
      <c r="AL26" s="458">
        <v>-759171.86</v>
      </c>
      <c r="AM26" s="458">
        <v>-852819.9</v>
      </c>
      <c r="AN26" s="458">
        <v>-986412.7</v>
      </c>
      <c r="AO26" s="458">
        <v>-1347921.56</v>
      </c>
      <c r="AP26" s="458">
        <v>-1255574.45</v>
      </c>
      <c r="AQ26" s="458">
        <v>-1176632.71</v>
      </c>
      <c r="AR26" s="458">
        <v>-1182701.1299999999</v>
      </c>
      <c r="AS26" s="458">
        <v>-1055107.24</v>
      </c>
      <c r="AT26" s="458">
        <v>-994597.45</v>
      </c>
      <c r="AU26" s="458">
        <v>-997341.73</v>
      </c>
      <c r="AV26" s="458">
        <v>-928115.15</v>
      </c>
      <c r="AW26" s="458">
        <v>-980203.27</v>
      </c>
      <c r="AX26" s="458">
        <v>-931959.41</v>
      </c>
      <c r="AY26" s="458">
        <v>-1052791.18</v>
      </c>
      <c r="AZ26" s="458">
        <v>-1274558.2</v>
      </c>
      <c r="BA26" s="593">
        <v>-1448910.88</v>
      </c>
      <c r="BB26" s="593">
        <v>-1529552.96</v>
      </c>
      <c r="BC26" s="593">
        <v>-1370392.34</v>
      </c>
      <c r="BD26" s="593">
        <v>-1259490.8799999999</v>
      </c>
      <c r="BE26" s="593">
        <v>-1191620.17</v>
      </c>
      <c r="BF26" s="593">
        <v>-1091400.44</v>
      </c>
      <c r="BG26" s="593">
        <v>-1018216.2</v>
      </c>
      <c r="BH26" s="593">
        <v>-1130553.42</v>
      </c>
      <c r="BI26" s="593">
        <v>-1166932</v>
      </c>
      <c r="BJ26" s="593">
        <v>-1226121.8</v>
      </c>
      <c r="BK26" s="593">
        <v>-1127298.28</v>
      </c>
      <c r="BL26" s="593">
        <v>-1254323.27</v>
      </c>
      <c r="BM26" s="593">
        <v>-1521400</v>
      </c>
      <c r="BN26" s="593">
        <v>-1606000</v>
      </c>
      <c r="BO26" s="593">
        <v>-1438900</v>
      </c>
      <c r="BP26" s="593">
        <v>-1322500</v>
      </c>
      <c r="BQ26" s="593">
        <v>-1251200</v>
      </c>
      <c r="BR26" s="593">
        <v>-1146000</v>
      </c>
      <c r="BS26" s="593">
        <v>-1069100</v>
      </c>
      <c r="BT26" s="593">
        <v>-1079800</v>
      </c>
      <c r="BU26" s="593">
        <v>-1090600</v>
      </c>
      <c r="BV26" s="593">
        <v>-1199700</v>
      </c>
      <c r="BW26" s="593">
        <v>-1319600</v>
      </c>
      <c r="BX26" s="1095">
        <v>-1517600</v>
      </c>
      <c r="BY26" s="1095">
        <v>-1521400</v>
      </c>
      <c r="BZ26" s="1095">
        <v>-1606000</v>
      </c>
      <c r="CA26" s="1095">
        <v>-1438900</v>
      </c>
      <c r="CB26" s="1095">
        <v>-1322500</v>
      </c>
      <c r="CC26" s="1095">
        <v>-1251200</v>
      </c>
      <c r="CD26" s="1095">
        <v>-1146000</v>
      </c>
      <c r="CE26" s="1095">
        <v>-1069100</v>
      </c>
      <c r="CF26" s="1095">
        <v>-1079800</v>
      </c>
      <c r="CG26" s="1095">
        <v>-1090600</v>
      </c>
      <c r="CH26" s="1095">
        <v>-1199700</v>
      </c>
      <c r="CI26" s="1095">
        <v>-1319600</v>
      </c>
      <c r="CJ26" s="1095">
        <v>-1517600</v>
      </c>
    </row>
    <row r="27" spans="1:90">
      <c r="A27" s="615" t="s">
        <v>165</v>
      </c>
      <c r="B27" s="1081">
        <f ca="1">SUM(OFFSET(BM27:BX27,0,'Bal Sheet'!$A$1))</f>
        <v>-17727400</v>
      </c>
      <c r="C27" s="1082">
        <f t="shared" si="8"/>
        <v>-17727400</v>
      </c>
      <c r="Q27" s="459">
        <v>-1665864.94</v>
      </c>
      <c r="R27" s="459">
        <v>-1640421.41</v>
      </c>
      <c r="S27" s="459">
        <v>-1434294.15</v>
      </c>
      <c r="T27" s="459">
        <v>-1134539.23</v>
      </c>
      <c r="U27" s="459">
        <v>-1185315.3999999999</v>
      </c>
      <c r="V27" s="459">
        <v>-1023382.27</v>
      </c>
      <c r="W27" s="459">
        <v>-990882.96</v>
      </c>
      <c r="X27" s="459">
        <v>-938493.94</v>
      </c>
      <c r="Y27" s="459">
        <v>-959936.59</v>
      </c>
      <c r="Z27" s="459">
        <v>-942398.3</v>
      </c>
      <c r="AA27" s="459">
        <v>-1118971.45</v>
      </c>
      <c r="AB27" s="459">
        <v>-1513136.83</v>
      </c>
      <c r="AC27" s="459">
        <v>-1628543.84</v>
      </c>
      <c r="AD27" s="459">
        <v>-1581269.81</v>
      </c>
      <c r="AE27" s="459">
        <v>-1360686.35</v>
      </c>
      <c r="AF27" s="459">
        <v>-1067229.21</v>
      </c>
      <c r="AG27" s="459">
        <v>-959002.58</v>
      </c>
      <c r="AH27" s="459">
        <v>-972001.62</v>
      </c>
      <c r="AI27" s="459">
        <v>-857883.31</v>
      </c>
      <c r="AJ27" s="459">
        <v>-916574.94</v>
      </c>
      <c r="AK27" s="459">
        <v>-877380.33</v>
      </c>
      <c r="AL27" s="459">
        <v>-967926.02</v>
      </c>
      <c r="AM27" s="459">
        <v>-1102359.0900000001</v>
      </c>
      <c r="AN27" s="459">
        <v>-1409825.73</v>
      </c>
      <c r="AO27" s="459">
        <v>-1837558.54</v>
      </c>
      <c r="AP27" s="459">
        <v>-1657676.57</v>
      </c>
      <c r="AQ27" s="459">
        <v>-1456490.32</v>
      </c>
      <c r="AR27" s="459">
        <v>-1436211.98</v>
      </c>
      <c r="AS27" s="459">
        <v>-1208611.94</v>
      </c>
      <c r="AT27" s="459">
        <v>-1116474.1299999999</v>
      </c>
      <c r="AU27" s="459">
        <v>-1142086.17</v>
      </c>
      <c r="AV27" s="459">
        <v>-1017929.49</v>
      </c>
      <c r="AW27" s="459">
        <v>-1078486.3799999999</v>
      </c>
      <c r="AX27" s="459">
        <v>-1080685.17</v>
      </c>
      <c r="AY27" s="459">
        <v>-1242017.5900000001</v>
      </c>
      <c r="AZ27" s="459">
        <v>-1619789.26</v>
      </c>
      <c r="BA27" s="594">
        <v>-1747412.92</v>
      </c>
      <c r="BB27" s="594">
        <v>-1892978.9</v>
      </c>
      <c r="BC27" s="594">
        <v>-1640029.05</v>
      </c>
      <c r="BD27" s="594">
        <v>-1468301.53</v>
      </c>
      <c r="BE27" s="594">
        <v>-1331047.67</v>
      </c>
      <c r="BF27" s="594">
        <v>-1173483.29</v>
      </c>
      <c r="BG27" s="594">
        <v>-1072143.94</v>
      </c>
      <c r="BH27" s="594">
        <v>-1019030.03</v>
      </c>
      <c r="BI27" s="594">
        <v>-1081406.97</v>
      </c>
      <c r="BJ27" s="594">
        <v>-1184872.05</v>
      </c>
      <c r="BK27" s="594">
        <v>-1256626.96</v>
      </c>
      <c r="BL27" s="594">
        <v>-1564803.32</v>
      </c>
      <c r="BM27" s="594">
        <v>-1869700</v>
      </c>
      <c r="BN27" s="594">
        <v>-2025500</v>
      </c>
      <c r="BO27" s="594">
        <v>-1754800</v>
      </c>
      <c r="BP27" s="594">
        <v>-1571100</v>
      </c>
      <c r="BQ27" s="594">
        <v>-1424200</v>
      </c>
      <c r="BR27" s="594">
        <v>-1255600</v>
      </c>
      <c r="BS27" s="594">
        <v>-1125800</v>
      </c>
      <c r="BT27" s="594">
        <v>-1131400</v>
      </c>
      <c r="BU27" s="594">
        <v>-1187900</v>
      </c>
      <c r="BV27" s="594">
        <v>-1283000</v>
      </c>
      <c r="BW27" s="594">
        <v>-1475400</v>
      </c>
      <c r="BX27" s="1096">
        <v>-1623000</v>
      </c>
      <c r="BY27" s="1096">
        <v>-1869700</v>
      </c>
      <c r="BZ27" s="1096">
        <v>-2025500</v>
      </c>
      <c r="CA27" s="1096">
        <v>-1754800</v>
      </c>
      <c r="CB27" s="1096">
        <v>-1571100</v>
      </c>
      <c r="CC27" s="1096">
        <v>-1424200</v>
      </c>
      <c r="CD27" s="1096">
        <v>-1255600</v>
      </c>
      <c r="CE27" s="1096">
        <v>-1125800</v>
      </c>
      <c r="CF27" s="1096">
        <v>-1131400</v>
      </c>
      <c r="CG27" s="1096">
        <v>-1187900</v>
      </c>
      <c r="CH27" s="1096">
        <v>-1283000</v>
      </c>
      <c r="CI27" s="1096">
        <v>-1475400</v>
      </c>
      <c r="CJ27" s="1096">
        <v>-1623000</v>
      </c>
    </row>
    <row r="28" spans="1:90">
      <c r="A28" s="615" t="s">
        <v>166</v>
      </c>
      <c r="B28" s="1081">
        <f ca="1">SUM(OFFSET(BM28:BX28,0,'Bal Sheet'!$A$1))</f>
        <v>-33289800</v>
      </c>
      <c r="C28" s="1082">
        <f t="shared" si="8"/>
        <v>-33289800</v>
      </c>
      <c r="Q28" s="460">
        <v>-2743320.69</v>
      </c>
      <c r="R28" s="460">
        <v>-2690076.63</v>
      </c>
      <c r="S28" s="460">
        <v>-2410720.09</v>
      </c>
      <c r="T28" s="460">
        <v>-2078974.0899999999</v>
      </c>
      <c r="U28" s="460">
        <v>-2000224.0999999999</v>
      </c>
      <c r="V28" s="460">
        <v>-1805565.63</v>
      </c>
      <c r="W28" s="460">
        <v>-1751303.16</v>
      </c>
      <c r="X28" s="460">
        <v>-1665099.54</v>
      </c>
      <c r="Y28" s="460">
        <v>-1726332.0299999998</v>
      </c>
      <c r="Z28" s="460">
        <v>-1689063.48</v>
      </c>
      <c r="AA28" s="460">
        <v>-1948592.13</v>
      </c>
      <c r="AB28" s="460">
        <v>-2514152.89</v>
      </c>
      <c r="AC28" s="460">
        <f>+AC27+AC26</f>
        <v>-2736436.3600000003</v>
      </c>
      <c r="AD28" s="460">
        <f t="shared" ref="AD28:AN28" si="9">+AD27+AD26</f>
        <v>-2646061.89</v>
      </c>
      <c r="AE28" s="460">
        <f t="shared" si="9"/>
        <v>-2361455.12</v>
      </c>
      <c r="AF28" s="460">
        <f t="shared" si="9"/>
        <v>-1929216.38</v>
      </c>
      <c r="AG28" s="460">
        <f t="shared" si="9"/>
        <v>-1720204.46</v>
      </c>
      <c r="AH28" s="460">
        <f t="shared" si="9"/>
        <v>-1679182.4</v>
      </c>
      <c r="AI28" s="460">
        <f t="shared" si="9"/>
        <v>-1597697.3900000001</v>
      </c>
      <c r="AJ28" s="460">
        <f t="shared" si="9"/>
        <v>-1649003.49</v>
      </c>
      <c r="AK28" s="460">
        <f t="shared" si="9"/>
        <v>-1596896.41</v>
      </c>
      <c r="AL28" s="460">
        <f t="shared" si="9"/>
        <v>-1727097.88</v>
      </c>
      <c r="AM28" s="460">
        <f t="shared" si="9"/>
        <v>-1955178.9900000002</v>
      </c>
      <c r="AN28" s="460">
        <f t="shared" si="9"/>
        <v>-2396238.4299999997</v>
      </c>
      <c r="AO28" s="460">
        <f t="shared" ref="AO28:AZ28" si="10">+AO27+AO26</f>
        <v>-3185480.1</v>
      </c>
      <c r="AP28" s="460">
        <f t="shared" si="10"/>
        <v>-2913251.02</v>
      </c>
      <c r="AQ28" s="460">
        <f t="shared" si="10"/>
        <v>-2633123.0300000003</v>
      </c>
      <c r="AR28" s="460">
        <f t="shared" si="10"/>
        <v>-2618913.11</v>
      </c>
      <c r="AS28" s="460">
        <f t="shared" si="10"/>
        <v>-2263719.1799999997</v>
      </c>
      <c r="AT28" s="460">
        <f t="shared" si="10"/>
        <v>-2111071.58</v>
      </c>
      <c r="AU28" s="460">
        <f t="shared" si="10"/>
        <v>-2139427.9</v>
      </c>
      <c r="AV28" s="460">
        <f t="shared" si="10"/>
        <v>-1946044.6400000001</v>
      </c>
      <c r="AW28" s="460">
        <f t="shared" si="10"/>
        <v>-2058689.65</v>
      </c>
      <c r="AX28" s="460">
        <f t="shared" si="10"/>
        <v>-2012644.58</v>
      </c>
      <c r="AY28" s="460">
        <f t="shared" si="10"/>
        <v>-2294808.77</v>
      </c>
      <c r="AZ28" s="460">
        <f t="shared" si="10"/>
        <v>-2894347.46</v>
      </c>
      <c r="BA28" s="450">
        <f t="shared" ref="BA28:BL28" si="11">+BA27+BA26</f>
        <v>-3196323.8</v>
      </c>
      <c r="BB28" s="450">
        <f t="shared" si="11"/>
        <v>-3422531.86</v>
      </c>
      <c r="BC28" s="450">
        <f t="shared" si="11"/>
        <v>-3010421.39</v>
      </c>
      <c r="BD28" s="450">
        <f t="shared" si="11"/>
        <v>-2727792.41</v>
      </c>
      <c r="BE28" s="450">
        <f t="shared" si="11"/>
        <v>-2522667.84</v>
      </c>
      <c r="BF28" s="450">
        <f t="shared" si="11"/>
        <v>-2264883.73</v>
      </c>
      <c r="BG28" s="450">
        <f t="shared" si="11"/>
        <v>-2090360.14</v>
      </c>
      <c r="BH28" s="450">
        <f t="shared" si="11"/>
        <v>-2149583.4500000002</v>
      </c>
      <c r="BI28" s="450">
        <f t="shared" si="11"/>
        <v>-2248338.9699999997</v>
      </c>
      <c r="BJ28" s="450">
        <f t="shared" si="11"/>
        <v>-2410993.85</v>
      </c>
      <c r="BK28" s="450">
        <f t="shared" si="11"/>
        <v>-2383925.2400000002</v>
      </c>
      <c r="BL28" s="450">
        <f t="shared" si="11"/>
        <v>-2819126.59</v>
      </c>
      <c r="BM28" s="450">
        <f t="shared" ref="BM28:BX28" si="12">+BM27+BM26</f>
        <v>-3391100</v>
      </c>
      <c r="BN28" s="450">
        <f t="shared" si="12"/>
        <v>-3631500</v>
      </c>
      <c r="BO28" s="450">
        <f t="shared" si="12"/>
        <v>-3193700</v>
      </c>
      <c r="BP28" s="450">
        <f t="shared" si="12"/>
        <v>-2893600</v>
      </c>
      <c r="BQ28" s="450">
        <f t="shared" si="12"/>
        <v>-2675400</v>
      </c>
      <c r="BR28" s="450">
        <f t="shared" si="12"/>
        <v>-2401600</v>
      </c>
      <c r="BS28" s="450">
        <f t="shared" si="12"/>
        <v>-2194900</v>
      </c>
      <c r="BT28" s="450">
        <f t="shared" si="12"/>
        <v>-2211200</v>
      </c>
      <c r="BU28" s="450">
        <f t="shared" si="12"/>
        <v>-2278500</v>
      </c>
      <c r="BV28" s="450">
        <f t="shared" si="12"/>
        <v>-2482700</v>
      </c>
      <c r="BW28" s="450">
        <f t="shared" si="12"/>
        <v>-2795000</v>
      </c>
      <c r="BX28" s="450">
        <f t="shared" si="12"/>
        <v>-3140600</v>
      </c>
      <c r="BY28" s="450">
        <f t="shared" ref="BY28:CI28" si="13">+BY27+BY26</f>
        <v>-3391100</v>
      </c>
      <c r="BZ28" s="450">
        <f t="shared" si="13"/>
        <v>-3631500</v>
      </c>
      <c r="CA28" s="450">
        <f t="shared" si="13"/>
        <v>-3193700</v>
      </c>
      <c r="CB28" s="450">
        <f t="shared" si="13"/>
        <v>-2893600</v>
      </c>
      <c r="CC28" s="450">
        <f t="shared" si="13"/>
        <v>-2675400</v>
      </c>
      <c r="CD28" s="450">
        <f t="shared" si="13"/>
        <v>-2401600</v>
      </c>
      <c r="CE28" s="450">
        <f t="shared" si="13"/>
        <v>-2194900</v>
      </c>
      <c r="CF28" s="450">
        <f t="shared" si="13"/>
        <v>-2211200</v>
      </c>
      <c r="CG28" s="450">
        <f t="shared" si="13"/>
        <v>-2278500</v>
      </c>
      <c r="CH28" s="450">
        <f t="shared" si="13"/>
        <v>-2482700</v>
      </c>
      <c r="CI28" s="450">
        <f t="shared" si="13"/>
        <v>-2795000</v>
      </c>
      <c r="CJ28" s="450">
        <f t="shared" ref="CJ28" si="14">+CJ27+CJ26</f>
        <v>-3140600</v>
      </c>
    </row>
    <row r="29" spans="1:90">
      <c r="A29" s="615"/>
      <c r="BM29" s="375"/>
      <c r="BN29" s="375"/>
      <c r="BO29" s="375"/>
      <c r="BP29" s="375"/>
      <c r="BQ29" s="375"/>
      <c r="BR29" s="375"/>
      <c r="BS29" s="375"/>
      <c r="BT29" s="375"/>
      <c r="BU29" s="375"/>
      <c r="BV29" s="375"/>
      <c r="BW29" s="375"/>
      <c r="BX29" s="375"/>
      <c r="BY29" s="375"/>
      <c r="BZ29" s="375"/>
      <c r="CA29" s="375"/>
      <c r="CB29" s="375"/>
      <c r="CC29" s="375"/>
      <c r="CD29" s="375"/>
      <c r="CE29" s="375"/>
      <c r="CF29" s="375"/>
      <c r="CG29" s="375"/>
      <c r="CH29" s="375"/>
      <c r="CI29" s="375"/>
    </row>
    <row r="30" spans="1:90" ht="12.75" customHeight="1">
      <c r="A30" s="615" t="s">
        <v>167</v>
      </c>
      <c r="B30" s="450">
        <f ca="1">SUM(OFFSET(BA30:BM30,0,'Bal Sheet'!$A$1-1))/13</f>
        <v>-806.78230769230197</v>
      </c>
      <c r="C30" s="759">
        <f>+CJ30</f>
        <v>0</v>
      </c>
      <c r="Q30" s="450">
        <f>+Q28+Q24</f>
        <v>-20710.569999999832</v>
      </c>
      <c r="R30" s="450">
        <f t="shared" ref="R30:AN30" si="15">+R28+R24</f>
        <v>-8510.5200000000186</v>
      </c>
      <c r="S30" s="450">
        <f t="shared" si="15"/>
        <v>-20889.080000000075</v>
      </c>
      <c r="T30" s="450">
        <f t="shared" si="15"/>
        <v>-22642.479999999981</v>
      </c>
      <c r="U30" s="450">
        <f t="shared" si="15"/>
        <v>-15491.760000000009</v>
      </c>
      <c r="V30" s="450">
        <f t="shared" si="15"/>
        <v>-14167.799999999814</v>
      </c>
      <c r="W30" s="450">
        <f t="shared" si="15"/>
        <v>-13153.869999999879</v>
      </c>
      <c r="X30" s="450">
        <f t="shared" si="15"/>
        <v>-12610.560000000056</v>
      </c>
      <c r="Y30" s="450">
        <f t="shared" si="15"/>
        <v>-20273.009999999776</v>
      </c>
      <c r="Z30" s="450">
        <f t="shared" si="15"/>
        <v>-12893.540000000037</v>
      </c>
      <c r="AA30" s="450">
        <f t="shared" si="15"/>
        <v>-12870.589999999851</v>
      </c>
      <c r="AB30" s="450">
        <f t="shared" si="15"/>
        <v>-16555.819999999832</v>
      </c>
      <c r="AC30" s="450">
        <f>+AC28+AC24</f>
        <v>-19229.960000000428</v>
      </c>
      <c r="AD30" s="450">
        <f t="shared" si="15"/>
        <v>-16127.430000000168</v>
      </c>
      <c r="AE30" s="450">
        <f t="shared" si="15"/>
        <v>-13010.94000000041</v>
      </c>
      <c r="AF30" s="450">
        <f t="shared" si="15"/>
        <v>-8956.5699999998324</v>
      </c>
      <c r="AG30" s="450">
        <f t="shared" si="15"/>
        <v>-9273.8700000001118</v>
      </c>
      <c r="AH30" s="450">
        <f t="shared" si="15"/>
        <v>-8057.6899999999441</v>
      </c>
      <c r="AI30" s="450">
        <f t="shared" si="15"/>
        <v>-10172.990000000224</v>
      </c>
      <c r="AJ30" s="450">
        <f t="shared" si="15"/>
        <v>-8283.3200000000652</v>
      </c>
      <c r="AK30" s="450">
        <f t="shared" si="15"/>
        <v>-13682.35999999987</v>
      </c>
      <c r="AL30" s="450">
        <f t="shared" si="15"/>
        <v>-30643.790000000037</v>
      </c>
      <c r="AM30" s="450">
        <f t="shared" si="15"/>
        <v>-14111.520000000484</v>
      </c>
      <c r="AN30" s="450">
        <f t="shared" si="15"/>
        <v>-25406.519999999553</v>
      </c>
      <c r="AO30" s="450">
        <f t="shared" ref="AO30:AZ30" si="16">+AO28+AO24</f>
        <v>-8641.7600000002421</v>
      </c>
      <c r="AP30" s="450">
        <f t="shared" si="16"/>
        <v>-11477.819999999832</v>
      </c>
      <c r="AQ30" s="450">
        <f t="shared" si="16"/>
        <v>-7503.640000000596</v>
      </c>
      <c r="AR30" s="450">
        <f t="shared" si="16"/>
        <v>-19693.100000000093</v>
      </c>
      <c r="AS30" s="450">
        <f t="shared" si="16"/>
        <v>-15488.199999999721</v>
      </c>
      <c r="AT30" s="450">
        <f t="shared" si="16"/>
        <v>-18075.120000000112</v>
      </c>
      <c r="AU30" s="450">
        <f t="shared" si="16"/>
        <v>-18007.709999999963</v>
      </c>
      <c r="AV30" s="450">
        <f t="shared" si="16"/>
        <v>-15311.770000000019</v>
      </c>
      <c r="AW30" s="450">
        <f t="shared" si="16"/>
        <v>-15116.029999999795</v>
      </c>
      <c r="AX30" s="450">
        <f t="shared" si="16"/>
        <v>-16845.320000000065</v>
      </c>
      <c r="AY30" s="450">
        <f t="shared" si="16"/>
        <v>-13905.939999999944</v>
      </c>
      <c r="AZ30" s="450">
        <f t="shared" si="16"/>
        <v>-19537.05999999959</v>
      </c>
      <c r="BA30" s="450">
        <f t="shared" ref="BA30:BL30" si="17">+BA28+BA24</f>
        <v>-10359.740000000224</v>
      </c>
      <c r="BB30" s="450">
        <f t="shared" si="17"/>
        <v>-173874.83999999985</v>
      </c>
      <c r="BC30" s="450">
        <f t="shared" si="17"/>
        <v>-11176.790000000037</v>
      </c>
      <c r="BD30" s="450">
        <f t="shared" si="17"/>
        <v>-10757.930000000168</v>
      </c>
      <c r="BE30" s="450">
        <f t="shared" si="17"/>
        <v>-10797.909999999683</v>
      </c>
      <c r="BF30" s="450">
        <f t="shared" si="17"/>
        <v>-12611.299999999814</v>
      </c>
      <c r="BG30" s="450">
        <f t="shared" si="17"/>
        <v>-10366.809999999823</v>
      </c>
      <c r="BH30" s="450">
        <f t="shared" si="17"/>
        <v>-11038.709999999963</v>
      </c>
      <c r="BI30" s="450">
        <f t="shared" si="17"/>
        <v>-10821.549999999814</v>
      </c>
      <c r="BJ30" s="450">
        <f t="shared" si="17"/>
        <v>-10183.479999999981</v>
      </c>
      <c r="BK30" s="450">
        <f t="shared" si="17"/>
        <v>-11096.080000000075</v>
      </c>
      <c r="BL30" s="450">
        <f t="shared" si="17"/>
        <v>-10488.169999999925</v>
      </c>
      <c r="BM30" s="450">
        <f t="shared" ref="BM30:BX30" si="18">+BM28+BM24</f>
        <v>0</v>
      </c>
      <c r="BN30" s="450">
        <f t="shared" si="18"/>
        <v>0</v>
      </c>
      <c r="BO30" s="450">
        <f t="shared" si="18"/>
        <v>0</v>
      </c>
      <c r="BP30" s="450">
        <f t="shared" si="18"/>
        <v>0</v>
      </c>
      <c r="BQ30" s="450">
        <f t="shared" si="18"/>
        <v>0</v>
      </c>
      <c r="BR30" s="450">
        <f t="shared" si="18"/>
        <v>0</v>
      </c>
      <c r="BS30" s="450">
        <f t="shared" si="18"/>
        <v>0</v>
      </c>
      <c r="BT30" s="450">
        <f t="shared" si="18"/>
        <v>0</v>
      </c>
      <c r="BU30" s="450">
        <f t="shared" si="18"/>
        <v>0</v>
      </c>
      <c r="BV30" s="450">
        <f t="shared" si="18"/>
        <v>0</v>
      </c>
      <c r="BW30" s="450">
        <f t="shared" si="18"/>
        <v>0</v>
      </c>
      <c r="BX30" s="450">
        <f t="shared" si="18"/>
        <v>0</v>
      </c>
      <c r="BY30" s="450">
        <f t="shared" ref="BY30:CI30" si="19">+BY28+BY24</f>
        <v>0</v>
      </c>
      <c r="BZ30" s="450">
        <f t="shared" si="19"/>
        <v>0</v>
      </c>
      <c r="CA30" s="450">
        <f t="shared" si="19"/>
        <v>0</v>
      </c>
      <c r="CB30" s="450">
        <f t="shared" si="19"/>
        <v>0</v>
      </c>
      <c r="CC30" s="450">
        <f t="shared" si="19"/>
        <v>0</v>
      </c>
      <c r="CD30" s="450">
        <f t="shared" si="19"/>
        <v>0</v>
      </c>
      <c r="CE30" s="450">
        <f t="shared" si="19"/>
        <v>0</v>
      </c>
      <c r="CF30" s="450">
        <f t="shared" si="19"/>
        <v>0</v>
      </c>
      <c r="CG30" s="450">
        <f t="shared" si="19"/>
        <v>0</v>
      </c>
      <c r="CH30" s="450">
        <f t="shared" si="19"/>
        <v>0</v>
      </c>
      <c r="CI30" s="450">
        <f t="shared" si="19"/>
        <v>0</v>
      </c>
      <c r="CJ30" s="450">
        <f t="shared" ref="CJ30" si="20">+CJ28+CJ24</f>
        <v>0</v>
      </c>
    </row>
    <row r="31" spans="1:90" ht="12.75" customHeight="1">
      <c r="A31" s="615" t="s">
        <v>168</v>
      </c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60">
        <f t="shared" ref="AC31:AZ31" si="21">SUM(R30:AC30)</f>
        <v>-189288.98999999976</v>
      </c>
      <c r="AD31" s="460">
        <f t="shared" si="21"/>
        <v>-196905.89999999991</v>
      </c>
      <c r="AE31" s="460">
        <f t="shared" si="21"/>
        <v>-189027.76000000024</v>
      </c>
      <c r="AF31" s="460">
        <f t="shared" si="21"/>
        <v>-175341.85000000009</v>
      </c>
      <c r="AG31" s="460">
        <f t="shared" si="21"/>
        <v>-169123.9600000002</v>
      </c>
      <c r="AH31" s="460">
        <f t="shared" si="21"/>
        <v>-163013.85000000033</v>
      </c>
      <c r="AI31" s="460">
        <f t="shared" si="21"/>
        <v>-160032.97000000067</v>
      </c>
      <c r="AJ31" s="460">
        <f t="shared" si="21"/>
        <v>-155705.73000000068</v>
      </c>
      <c r="AK31" s="460">
        <f t="shared" si="21"/>
        <v>-149115.08000000077</v>
      </c>
      <c r="AL31" s="460">
        <f t="shared" si="21"/>
        <v>-166865.33000000077</v>
      </c>
      <c r="AM31" s="460">
        <f t="shared" si="21"/>
        <v>-168106.26000000141</v>
      </c>
      <c r="AN31" s="460">
        <f t="shared" si="21"/>
        <v>-176956.96000000113</v>
      </c>
      <c r="AO31" s="460">
        <f t="shared" si="21"/>
        <v>-166368.76000000094</v>
      </c>
      <c r="AP31" s="460">
        <f t="shared" si="21"/>
        <v>-161719.15000000061</v>
      </c>
      <c r="AQ31" s="460">
        <f t="shared" si="21"/>
        <v>-156211.85000000079</v>
      </c>
      <c r="AR31" s="460">
        <f t="shared" si="21"/>
        <v>-166948.38000000105</v>
      </c>
      <c r="AS31" s="460">
        <f t="shared" si="21"/>
        <v>-173162.71000000066</v>
      </c>
      <c r="AT31" s="460">
        <f t="shared" si="21"/>
        <v>-183180.14000000083</v>
      </c>
      <c r="AU31" s="460">
        <f t="shared" si="21"/>
        <v>-191014.86000000057</v>
      </c>
      <c r="AV31" s="460">
        <f t="shared" si="21"/>
        <v>-198043.31000000052</v>
      </c>
      <c r="AW31" s="460">
        <f t="shared" si="21"/>
        <v>-199476.98000000045</v>
      </c>
      <c r="AX31" s="460">
        <f t="shared" si="21"/>
        <v>-185678.51000000047</v>
      </c>
      <c r="AY31" s="460">
        <f t="shared" si="21"/>
        <v>-185472.92999999993</v>
      </c>
      <c r="AZ31" s="460">
        <f t="shared" si="21"/>
        <v>-179603.46999999997</v>
      </c>
      <c r="BA31" s="474">
        <f t="shared" ref="BA31" si="22">SUM(AP30:BA30)</f>
        <v>-181321.44999999995</v>
      </c>
      <c r="BB31" s="474">
        <f t="shared" ref="BB31" si="23">SUM(AQ30:BB30)</f>
        <v>-343718.47</v>
      </c>
      <c r="BC31" s="474">
        <f t="shared" ref="BC31" si="24">SUM(AR30:BC30)</f>
        <v>-347391.61999999941</v>
      </c>
      <c r="BD31" s="474">
        <f t="shared" ref="BD31" si="25">SUM(AS30:BD30)</f>
        <v>-338456.44999999949</v>
      </c>
      <c r="BE31" s="474">
        <f t="shared" ref="BE31" si="26">SUM(AT30:BE30)</f>
        <v>-333766.15999999945</v>
      </c>
      <c r="BF31" s="474">
        <f t="shared" ref="BF31" si="27">SUM(AU30:BF30)</f>
        <v>-328302.33999999915</v>
      </c>
      <c r="BG31" s="474">
        <f t="shared" ref="BG31" si="28">SUM(AV30:BG30)</f>
        <v>-320661.43999999901</v>
      </c>
      <c r="BH31" s="474">
        <f t="shared" ref="BH31" si="29">SUM(AW30:BH30)</f>
        <v>-316388.37999999896</v>
      </c>
      <c r="BI31" s="474">
        <f t="shared" ref="BI31" si="30">SUM(AX30:BI30)</f>
        <v>-312093.89999999898</v>
      </c>
      <c r="BJ31" s="474">
        <f t="shared" ref="BJ31" si="31">SUM(AY30:BJ30)</f>
        <v>-305432.05999999889</v>
      </c>
      <c r="BK31" s="474">
        <f t="shared" ref="BK31" si="32">SUM(AZ30:BK30)</f>
        <v>-302622.19999999902</v>
      </c>
      <c r="BL31" s="474">
        <f t="shared" ref="BL31" si="33">SUM(BA30:BL30)</f>
        <v>-293573.30999999936</v>
      </c>
      <c r="BM31" s="474">
        <f t="shared" ref="BM31" si="34">SUM(BB30:BM30)</f>
        <v>-283213.56999999913</v>
      </c>
      <c r="BN31" s="474">
        <f t="shared" ref="BN31" si="35">SUM(BC30:BN30)</f>
        <v>-109338.72999999928</v>
      </c>
      <c r="BO31" s="474">
        <f t="shared" ref="BO31" si="36">SUM(BD30:BO30)</f>
        <v>-98161.939999999246</v>
      </c>
      <c r="BP31" s="474">
        <f t="shared" ref="BP31" si="37">SUM(BE30:BP30)</f>
        <v>-87404.009999999078</v>
      </c>
      <c r="BQ31" s="474">
        <f t="shared" ref="BQ31" si="38">SUM(BF30:BQ30)</f>
        <v>-76606.099999999395</v>
      </c>
      <c r="BR31" s="474">
        <f t="shared" ref="BR31" si="39">SUM(BG30:BR30)</f>
        <v>-63994.799999999581</v>
      </c>
      <c r="BS31" s="474">
        <f t="shared" ref="BS31" si="40">SUM(BH30:BS30)</f>
        <v>-53627.989999999758</v>
      </c>
      <c r="BT31" s="474">
        <f t="shared" ref="BT31" si="41">SUM(BI30:BT30)</f>
        <v>-42589.279999999795</v>
      </c>
      <c r="BU31" s="474">
        <f t="shared" ref="BU31" si="42">SUM(BJ30:BU30)</f>
        <v>-31767.729999999981</v>
      </c>
      <c r="BV31" s="474">
        <f t="shared" ref="BV31" si="43">SUM(BK30:BV30)</f>
        <v>-21584.25</v>
      </c>
      <c r="BW31" s="474">
        <f t="shared" ref="BW31" si="44">SUM(BL30:BW30)</f>
        <v>-10488.169999999925</v>
      </c>
      <c r="BX31" s="474">
        <f t="shared" ref="BX31" si="45">SUM(BM30:BX30)</f>
        <v>0</v>
      </c>
      <c r="BY31" s="474">
        <f t="shared" ref="BY31:CJ31" si="46">SUM(BO30:BY30)</f>
        <v>0</v>
      </c>
      <c r="BZ31" s="474">
        <f t="shared" si="46"/>
        <v>0</v>
      </c>
      <c r="CA31" s="474">
        <f t="shared" si="46"/>
        <v>0</v>
      </c>
      <c r="CB31" s="474">
        <f t="shared" si="46"/>
        <v>0</v>
      </c>
      <c r="CC31" s="474">
        <f t="shared" si="46"/>
        <v>0</v>
      </c>
      <c r="CD31" s="474">
        <f t="shared" si="46"/>
        <v>0</v>
      </c>
      <c r="CE31" s="474">
        <f t="shared" si="46"/>
        <v>0</v>
      </c>
      <c r="CF31" s="474">
        <f t="shared" si="46"/>
        <v>0</v>
      </c>
      <c r="CG31" s="474">
        <f t="shared" si="46"/>
        <v>0</v>
      </c>
      <c r="CH31" s="474">
        <f t="shared" si="46"/>
        <v>0</v>
      </c>
      <c r="CI31" s="474">
        <f t="shared" si="46"/>
        <v>0</v>
      </c>
      <c r="CJ31" s="474">
        <f t="shared" si="46"/>
        <v>0</v>
      </c>
    </row>
    <row r="32" spans="1:90" ht="12.75" customHeight="1">
      <c r="A32" s="615"/>
      <c r="B32" s="450"/>
      <c r="C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0"/>
      <c r="AE32" s="450"/>
      <c r="AF32" s="450"/>
      <c r="AG32" s="450"/>
      <c r="AH32" s="450"/>
      <c r="AI32" s="450"/>
      <c r="AJ32" s="450"/>
      <c r="AK32" s="450"/>
      <c r="AL32" s="450"/>
      <c r="AM32" s="450"/>
      <c r="AN32" s="450"/>
      <c r="AO32" s="450"/>
      <c r="AP32" s="450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50"/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  <c r="BN32" s="450"/>
      <c r="BO32" s="450"/>
      <c r="BP32" s="450"/>
      <c r="BQ32" s="450"/>
      <c r="BR32" s="450"/>
      <c r="BS32" s="450"/>
      <c r="BT32" s="450"/>
      <c r="BU32" s="450"/>
      <c r="BV32" s="450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0"/>
      <c r="CH32" s="450"/>
      <c r="CI32" s="450"/>
      <c r="CJ32" s="450"/>
    </row>
    <row r="33" spans="1:88" ht="12.75" customHeight="1">
      <c r="A33" s="613" t="s">
        <v>169</v>
      </c>
      <c r="B33" s="759">
        <f ca="1">SUM(OFFSET(BM33:BY33,0,'Bal Sheet'!$A$1-1))/13</f>
        <v>0</v>
      </c>
      <c r="C33" s="759">
        <f t="shared" ref="C33:C34" si="47">+CJ33</f>
        <v>0</v>
      </c>
      <c r="D33" s="467">
        <v>-508.06083999999998</v>
      </c>
      <c r="E33" s="467">
        <v>-481.52343999999999</v>
      </c>
      <c r="F33" s="467">
        <v>-454.98603000000003</v>
      </c>
      <c r="G33" s="467">
        <v>-428.44862999999992</v>
      </c>
      <c r="H33" s="467">
        <v>-401.91121999999996</v>
      </c>
      <c r="I33" s="467">
        <v>-387.61651000000001</v>
      </c>
      <c r="J33" s="467">
        <v>-385.56428999999997</v>
      </c>
      <c r="K33" s="467">
        <v>-383.51208000000003</v>
      </c>
      <c r="L33" s="467">
        <v>-381.45983999999999</v>
      </c>
      <c r="M33" s="467">
        <v>-379.40762000000001</v>
      </c>
      <c r="N33" s="467">
        <v>-377.35539999999997</v>
      </c>
      <c r="O33" s="467">
        <v>-375.30318</v>
      </c>
      <c r="P33" s="601">
        <v>-373250.94999999995</v>
      </c>
      <c r="Q33" s="601">
        <v>-371198.73</v>
      </c>
      <c r="R33" s="601">
        <v>-369146.50000000006</v>
      </c>
      <c r="S33" s="601">
        <v>-367094.29</v>
      </c>
      <c r="T33" s="601">
        <v>-365042.07000000007</v>
      </c>
      <c r="U33" s="601">
        <v>-362989.85</v>
      </c>
      <c r="V33" s="601">
        <v>-360937.62000000005</v>
      </c>
      <c r="W33" s="601">
        <v>-358885.39999999997</v>
      </c>
      <c r="X33" s="601">
        <v>-356833.18000000005</v>
      </c>
      <c r="Y33" s="601">
        <v>-354780.97</v>
      </c>
      <c r="Z33" s="601">
        <v>-352728.74000000005</v>
      </c>
      <c r="AA33" s="601">
        <v>-350676.51999999996</v>
      </c>
      <c r="AB33" s="601">
        <v>-348624.30000000005</v>
      </c>
      <c r="AC33" s="601">
        <v>-346572.07999999996</v>
      </c>
      <c r="AD33" s="601">
        <v>-344519.85000000003</v>
      </c>
      <c r="AE33" s="601">
        <v>-342467.63999999996</v>
      </c>
      <c r="AF33" s="601">
        <v>-340415.42000000004</v>
      </c>
      <c r="AG33" s="601">
        <v>-338363.19999999995</v>
      </c>
      <c r="AH33" s="601">
        <v>-336310.97000000003</v>
      </c>
      <c r="AI33" s="601">
        <v>-334258.74999999994</v>
      </c>
      <c r="AJ33" s="601">
        <v>-332206.53000000003</v>
      </c>
      <c r="AK33" s="601">
        <v>-330154.31999999995</v>
      </c>
      <c r="AL33" s="601">
        <v>-328102.09000000003</v>
      </c>
      <c r="AM33" s="601">
        <v>-326049.86999999994</v>
      </c>
      <c r="AN33" s="601">
        <v>-323997.65000000002</v>
      </c>
      <c r="AO33" s="601">
        <v>-321945.42999999993</v>
      </c>
      <c r="AP33" s="601">
        <v>-319893.2</v>
      </c>
      <c r="AQ33" s="601">
        <v>-317840.99000000005</v>
      </c>
      <c r="AR33" s="601">
        <v>-315775.98</v>
      </c>
      <c r="AS33" s="601">
        <v>-313723.76</v>
      </c>
      <c r="AT33" s="601">
        <v>-311671.52999999997</v>
      </c>
      <c r="AU33" s="601">
        <v>-309619.31</v>
      </c>
      <c r="AV33" s="601">
        <v>-307567.08999999997</v>
      </c>
      <c r="AW33" s="601">
        <v>-305514.88</v>
      </c>
      <c r="AX33" s="601">
        <v>-303462.64999999997</v>
      </c>
      <c r="AY33" s="601">
        <v>-301410.43</v>
      </c>
      <c r="AZ33" s="601">
        <v>-299358.21000000008</v>
      </c>
      <c r="BA33" s="595">
        <v>-297305.99</v>
      </c>
      <c r="BB33" s="595">
        <v>-295253.76000000007</v>
      </c>
      <c r="BC33" s="595">
        <v>-293201.55</v>
      </c>
      <c r="BD33" s="595">
        <v>-291149.33000000007</v>
      </c>
      <c r="BE33" s="595">
        <v>-289097.11</v>
      </c>
      <c r="BF33" s="595">
        <v>-287044.88000000006</v>
      </c>
      <c r="BG33" s="595">
        <v>-284992.65999999997</v>
      </c>
      <c r="BH33" s="595">
        <v>-282940.44000000006</v>
      </c>
      <c r="BI33" s="595">
        <v>-280888.23</v>
      </c>
      <c r="BJ33" s="595">
        <v>-278836.00000000006</v>
      </c>
      <c r="BK33" s="595">
        <v>-276783.77999999997</v>
      </c>
      <c r="BL33" s="595">
        <v>-274731.56000000006</v>
      </c>
      <c r="BM33" s="595">
        <v>0</v>
      </c>
      <c r="BN33" s="595">
        <v>0</v>
      </c>
      <c r="BO33" s="595">
        <v>0</v>
      </c>
      <c r="BP33" s="595">
        <v>0</v>
      </c>
      <c r="BQ33" s="595">
        <v>0</v>
      </c>
      <c r="BR33" s="595">
        <v>0</v>
      </c>
      <c r="BS33" s="595">
        <v>0</v>
      </c>
      <c r="BT33" s="595">
        <v>0</v>
      </c>
      <c r="BU33" s="595">
        <v>0</v>
      </c>
      <c r="BV33" s="595">
        <v>0</v>
      </c>
      <c r="BW33" s="595">
        <v>0</v>
      </c>
      <c r="BX33" s="595">
        <v>0</v>
      </c>
      <c r="BY33" s="595">
        <v>0</v>
      </c>
      <c r="BZ33" s="595">
        <v>0</v>
      </c>
      <c r="CA33" s="595">
        <v>0</v>
      </c>
      <c r="CB33" s="595">
        <v>0</v>
      </c>
      <c r="CC33" s="595">
        <v>0</v>
      </c>
      <c r="CD33" s="595">
        <v>0</v>
      </c>
      <c r="CE33" s="595">
        <v>0</v>
      </c>
      <c r="CF33" s="595">
        <v>0</v>
      </c>
      <c r="CG33" s="595">
        <v>0</v>
      </c>
      <c r="CH33" s="595">
        <v>0</v>
      </c>
      <c r="CI33" s="595">
        <v>0</v>
      </c>
      <c r="CJ33" s="595">
        <v>0</v>
      </c>
    </row>
    <row r="34" spans="1:88" ht="12.75" customHeight="1">
      <c r="A34" s="613" t="s">
        <v>170</v>
      </c>
      <c r="B34" s="759">
        <f ca="1">SUM(OFFSET(BM34:BY34,0,'Bal Sheet'!$A$1-1))/13</f>
        <v>0</v>
      </c>
      <c r="C34" s="759">
        <f t="shared" si="47"/>
        <v>0</v>
      </c>
      <c r="D34" s="467">
        <v>-319063.03464387462</v>
      </c>
      <c r="E34" s="467">
        <v>-288581.3787183137</v>
      </c>
      <c r="F34" s="467">
        <v>-260063.52209806687</v>
      </c>
      <c r="G34" s="467">
        <v>-233426.98116904165</v>
      </c>
      <c r="H34" s="467">
        <v>-208571.38044049521</v>
      </c>
      <c r="I34" s="467">
        <v>-191455.77384687203</v>
      </c>
      <c r="J34" s="467">
        <v>-181108.68178130506</v>
      </c>
      <c r="K34" s="467">
        <v>-171157.01643128326</v>
      </c>
      <c r="L34" s="467">
        <v>-161582.14163570362</v>
      </c>
      <c r="M34" s="467">
        <v>-152366.61175303964</v>
      </c>
      <c r="N34" s="467">
        <v>-143494.0133885438</v>
      </c>
      <c r="O34" s="467">
        <v>-134948.92563882942</v>
      </c>
      <c r="P34" s="467">
        <v>-126716.83514500031</v>
      </c>
      <c r="Q34" s="467">
        <v>-120597.3493437256</v>
      </c>
      <c r="R34" s="467">
        <v>-119930.60811256978</v>
      </c>
      <c r="S34" s="467">
        <v>-119263.87337913818</v>
      </c>
      <c r="T34" s="467">
        <v>-118597.13539684453</v>
      </c>
      <c r="U34" s="467">
        <v>-117930.39741455083</v>
      </c>
      <c r="V34" s="467">
        <v>-117263.65618339501</v>
      </c>
      <c r="W34" s="467">
        <v>-116596.9182011013</v>
      </c>
      <c r="X34" s="467">
        <v>-115930.18021880765</v>
      </c>
      <c r="Y34" s="467">
        <v>-115263.44548537605</v>
      </c>
      <c r="Z34" s="467">
        <v>-114596.7042542203</v>
      </c>
      <c r="AA34" s="467">
        <v>-113929.96627192653</v>
      </c>
      <c r="AB34" s="467">
        <v>-113263.22828963288</v>
      </c>
      <c r="AC34" s="467">
        <v>-112596.49030733918</v>
      </c>
      <c r="AD34" s="467">
        <v>-111929.74907618336</v>
      </c>
      <c r="AE34" s="467">
        <v>-111263.01434275176</v>
      </c>
      <c r="AF34" s="467">
        <v>-352728.74153846159</v>
      </c>
      <c r="AG34" s="467">
        <f>(+AG33/'Input Tax Rate'!$B37)-AG33</f>
        <v>-114872.61809657753</v>
      </c>
      <c r="AH34" s="467">
        <f>(+AH33/'Input Tax Rate'!$B37)-AH33</f>
        <v>-114175.89625142317</v>
      </c>
      <c r="AI34" s="467">
        <f>(+AI33/'Input Tax Rate'!$B37)-AI33</f>
        <v>-113479.17780121887</v>
      </c>
      <c r="AJ34" s="467">
        <f>(+AJ33/'Input Tax Rate'!$B37)-AJ33</f>
        <v>-112782.45935101464</v>
      </c>
      <c r="AK34" s="467">
        <f>(+AK33/'Input Tax Rate'!$B37)-AK33</f>
        <v>-112085.74429576047</v>
      </c>
      <c r="AL34" s="467">
        <f>(+AL33/'Input Tax Rate'!$B37)-AL33</f>
        <v>-111389.02245060611</v>
      </c>
      <c r="AM34" s="467">
        <v>-105945.39378135512</v>
      </c>
      <c r="AN34" s="467">
        <v>-105263.13273584499</v>
      </c>
      <c r="AO34" s="467">
        <v>-104580.87169033493</v>
      </c>
      <c r="AP34" s="467">
        <f>(+AP33/'Input Tax Rate'!$B37)-AP33</f>
        <v>-108602.14525483892</v>
      </c>
      <c r="AQ34" s="467">
        <f>(+AQ33/'Input Tax Rate'!$B37)-AQ33</f>
        <v>-107905.43019958475</v>
      </c>
      <c r="AR34" s="467">
        <f>(+AR33/'Input Tax Rate'!$B37)-AR33</f>
        <v>-107204.36960819765</v>
      </c>
      <c r="AS34" s="467">
        <f>(+AS33/'Input Tax Rate'!$B37)-AS33</f>
        <v>-106507.65115799342</v>
      </c>
      <c r="AT34" s="467">
        <f>(+AT33/'Input Tax Rate'!$B37)-AT33</f>
        <v>-105810.929312839</v>
      </c>
      <c r="AU34" s="467">
        <f>(+AU33/'Input Tax Rate'!$B37)-AU33</f>
        <v>-105114.21086263476</v>
      </c>
      <c r="AV34" s="467">
        <f>(+AV33/'Input Tax Rate'!$B37)-AV33</f>
        <v>-104417.49241243047</v>
      </c>
      <c r="AW34" s="467">
        <f>(+AW33/'Input Tax Rate'!$B37)-AW33</f>
        <v>-103720.7773571763</v>
      </c>
      <c r="AX34" s="467">
        <f>(+AX33/'Input Tax Rate'!$B37)-AX33</f>
        <v>-103024.05551202194</v>
      </c>
      <c r="AY34" s="467">
        <f>(+AY33/'Input Tax Rate'!$B37)-AY33</f>
        <v>-102327.33706181764</v>
      </c>
      <c r="AZ34" s="467">
        <f>(+AZ33/'Input Tax Rate'!$B37)-AZ33</f>
        <v>-101630.6186116134</v>
      </c>
      <c r="BA34" s="474">
        <f>(+BA33/'Input Tax Rate'!$B37)-BA33</f>
        <v>-100933.90016140911</v>
      </c>
      <c r="BB34" s="474">
        <f>(+BB33/'Input Tax Rate'!$B37)-BB33</f>
        <v>-100237.17831625475</v>
      </c>
      <c r="BC34" s="474">
        <f>(+BC33/'Input Tax Rate'!$B37)-BC33</f>
        <v>-99540.463261000579</v>
      </c>
      <c r="BD34" s="474">
        <f>(+BD33/'Input Tax Rate'!$B37)-BD33</f>
        <v>-98843.744810796343</v>
      </c>
      <c r="BE34" s="474">
        <f>(+BE33/'Input Tax Rate'!$B37)-BE33</f>
        <v>-98147.026360592048</v>
      </c>
      <c r="BF34" s="474">
        <f>(+BF33/'Input Tax Rate'!$B37)-BF33</f>
        <v>-97450.304515437689</v>
      </c>
      <c r="BG34" s="474">
        <f>(+BG33/'Input Tax Rate'!$B37)-BG33</f>
        <v>-96753.586065233394</v>
      </c>
      <c r="BH34" s="474">
        <f>(+BH33/'Input Tax Rate'!$B37)-BH33</f>
        <v>-96056.867615029158</v>
      </c>
      <c r="BI34" s="474">
        <f>(+BI33/'Input Tax Rate'!$B37)-BI33</f>
        <v>-95360.152559774928</v>
      </c>
      <c r="BJ34" s="474">
        <f>(+BJ33/'Input Tax Rate'!$B37)-BJ33</f>
        <v>-94663.430714620568</v>
      </c>
      <c r="BK34" s="474">
        <f>(+BK33/'Input Tax Rate'!$B37)-BK33</f>
        <v>-93966.712264416274</v>
      </c>
      <c r="BL34" s="474">
        <f>(+BL33/'Input Tax Rate'!$B37)-BL33</f>
        <v>-93269.993814212037</v>
      </c>
      <c r="BM34" s="474">
        <f>(+BM33/'Input Tax Rate'!$B37)-BM33</f>
        <v>0</v>
      </c>
      <c r="BN34" s="474">
        <f>(+BN33/'Input Tax Rate'!$B37)-BN33</f>
        <v>0</v>
      </c>
      <c r="BO34" s="474">
        <f>(+BO33/'Input Tax Rate'!$B37)-BO33</f>
        <v>0</v>
      </c>
      <c r="BP34" s="474">
        <f>(+BP33/'Input Tax Rate'!$B37)-BP33</f>
        <v>0</v>
      </c>
      <c r="BQ34" s="474">
        <f>(+BQ33/'Input Tax Rate'!$B37)-BQ33</f>
        <v>0</v>
      </c>
      <c r="BR34" s="474">
        <f>(+BR33/'Input Tax Rate'!$B37)-BR33</f>
        <v>0</v>
      </c>
      <c r="BS34" s="474">
        <f>(+BS33/'Input Tax Rate'!$B37)-BS33</f>
        <v>0</v>
      </c>
      <c r="BT34" s="474">
        <f>(+BT33/'Input Tax Rate'!$B37)-BT33</f>
        <v>0</v>
      </c>
      <c r="BU34" s="474">
        <f>(+BU33/'Input Tax Rate'!$B37)-BU33</f>
        <v>0</v>
      </c>
      <c r="BV34" s="474">
        <f>(+BV33/'Input Tax Rate'!$B37)-BV33</f>
        <v>0</v>
      </c>
      <c r="BW34" s="474">
        <f>(+BW33/'Input Tax Rate'!$B37)-BW33</f>
        <v>0</v>
      </c>
      <c r="BX34" s="474">
        <f>(+BX33/'Input Tax Rate'!$B37)-BX33</f>
        <v>0</v>
      </c>
      <c r="BY34" s="474">
        <f>(+BY33/'Input Tax Rate'!$B37)-BY33</f>
        <v>0</v>
      </c>
      <c r="BZ34" s="474">
        <f>(+BZ33/'Input Tax Rate'!$B37)-BZ33</f>
        <v>0</v>
      </c>
      <c r="CA34" s="474">
        <f>(+CA33/'Input Tax Rate'!$B37)-CA33</f>
        <v>0</v>
      </c>
      <c r="CB34" s="474">
        <f>(+CB33/'Input Tax Rate'!$B37)-CB33</f>
        <v>0</v>
      </c>
      <c r="CC34" s="474">
        <f>(+CC33/'Input Tax Rate'!$B37)-CC33</f>
        <v>0</v>
      </c>
      <c r="CD34" s="474">
        <f>(+CD33/'Input Tax Rate'!$B37)-CD33</f>
        <v>0</v>
      </c>
      <c r="CE34" s="474">
        <f>(+CE33/'Input Tax Rate'!$B37)-CE33</f>
        <v>0</v>
      </c>
      <c r="CF34" s="474">
        <f>(+CF33/'Input Tax Rate'!$B37)-CF33</f>
        <v>0</v>
      </c>
      <c r="CG34" s="474">
        <f>(+CG33/'Input Tax Rate'!$B37)-CG33</f>
        <v>0</v>
      </c>
      <c r="CH34" s="474">
        <f>(+CH33/'Input Tax Rate'!$B37)-CH33</f>
        <v>0</v>
      </c>
      <c r="CI34" s="474">
        <f>(+CI33/'Input Tax Rate'!$B37)-CI33</f>
        <v>0</v>
      </c>
      <c r="CJ34" s="474">
        <f>(+CJ33/'Input Tax Rate'!$B37)-CJ33</f>
        <v>0</v>
      </c>
    </row>
    <row r="35" spans="1:88" ht="12.75" customHeight="1">
      <c r="A35" s="617"/>
      <c r="B35"/>
      <c r="C35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  <c r="AC35" s="467"/>
      <c r="AD35" s="467"/>
      <c r="AE35" s="467"/>
      <c r="AF35" s="467"/>
      <c r="AG35" s="467"/>
      <c r="AH35" s="467"/>
      <c r="AI35" s="467"/>
      <c r="AJ35" s="467"/>
      <c r="AK35" s="467"/>
      <c r="AL35" s="467"/>
      <c r="AM35" s="467"/>
      <c r="AN35" s="467"/>
      <c r="AO35" s="467"/>
      <c r="AP35" s="467"/>
      <c r="AQ35" s="467"/>
      <c r="AR35" s="467"/>
      <c r="AS35" s="467"/>
      <c r="AT35" s="467"/>
      <c r="AU35" s="467"/>
      <c r="AV35" s="467"/>
      <c r="AW35" s="467"/>
      <c r="AX35" s="467"/>
      <c r="AY35" s="467"/>
      <c r="AZ35" s="467"/>
      <c r="BA35" s="474"/>
      <c r="BB35" s="474"/>
      <c r="BC35" s="474"/>
      <c r="BD35" s="474"/>
      <c r="BE35" s="474"/>
      <c r="BF35" s="474"/>
      <c r="BG35" s="474"/>
      <c r="BH35" s="474"/>
      <c r="BI35" s="474"/>
      <c r="BJ35" s="474"/>
      <c r="BK35" s="474"/>
      <c r="BL35" s="474"/>
      <c r="BM35" s="474"/>
      <c r="BN35" s="474"/>
      <c r="BO35" s="474"/>
      <c r="BP35" s="474"/>
      <c r="BQ35" s="474"/>
      <c r="BR35" s="474"/>
      <c r="BS35" s="474"/>
      <c r="BT35" s="474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74"/>
      <c r="CI35" s="474"/>
      <c r="CJ35" s="474"/>
    </row>
    <row r="36" spans="1:88" ht="12.75" customHeight="1">
      <c r="A36" s="613" t="s">
        <v>171</v>
      </c>
      <c r="B36" s="589">
        <f ca="1">SUM(OFFSET(BM36:BY36,0,'Bal Sheet'!$A$1-1))/13</f>
        <v>0</v>
      </c>
      <c r="C36" s="759">
        <f>+CJ36</f>
        <v>0</v>
      </c>
      <c r="Q36" s="467">
        <v>-350000</v>
      </c>
      <c r="R36" s="467">
        <v>-350000</v>
      </c>
      <c r="S36" s="467">
        <v>-350000</v>
      </c>
      <c r="T36" s="467">
        <v>-350000</v>
      </c>
      <c r="U36" s="467">
        <v>-350000</v>
      </c>
      <c r="V36" s="467">
        <v>-350000</v>
      </c>
      <c r="W36" s="467">
        <v>-175000</v>
      </c>
      <c r="X36" s="467">
        <v>-175000</v>
      </c>
      <c r="Y36" s="467">
        <v>-175000</v>
      </c>
      <c r="Z36" s="467">
        <v>-204508.87</v>
      </c>
      <c r="AA36" s="467">
        <v>-204508.87</v>
      </c>
      <c r="AB36" s="467">
        <v>-204508.87</v>
      </c>
      <c r="AC36" s="452">
        <v>-204500</v>
      </c>
      <c r="AD36" s="452">
        <v>-204500</v>
      </c>
      <c r="AE36" s="452">
        <v>-204500</v>
      </c>
      <c r="AF36" s="452">
        <v>-204500</v>
      </c>
      <c r="AG36" s="452">
        <v>-204500</v>
      </c>
      <c r="AH36" s="452">
        <v>-204500</v>
      </c>
      <c r="AI36" s="583">
        <v>-204500</v>
      </c>
      <c r="AJ36" s="583">
        <v>-204500</v>
      </c>
      <c r="AK36" s="583">
        <v>-204500</v>
      </c>
      <c r="AL36" s="583">
        <v>-204500</v>
      </c>
      <c r="AM36" s="583">
        <v>-204500</v>
      </c>
      <c r="AN36" s="583">
        <v>-204500</v>
      </c>
      <c r="AO36" s="583">
        <v>-204500</v>
      </c>
      <c r="AP36" s="583">
        <v>-204500</v>
      </c>
      <c r="AQ36" s="583">
        <v>-204500</v>
      </c>
      <c r="AR36" s="583">
        <v>-204500</v>
      </c>
      <c r="AS36" s="583">
        <v>-204500</v>
      </c>
      <c r="AT36" s="583">
        <v>-204500</v>
      </c>
      <c r="AU36" s="583">
        <v>-204500</v>
      </c>
      <c r="AV36" s="583">
        <v>-204500</v>
      </c>
      <c r="AW36" s="583">
        <v>-204500</v>
      </c>
      <c r="AX36" s="583">
        <v>-204500</v>
      </c>
      <c r="AY36" s="583">
        <v>-204500</v>
      </c>
      <c r="AZ36" s="583">
        <v>-204500</v>
      </c>
      <c r="BA36" s="763">
        <v>-204500</v>
      </c>
      <c r="BB36" s="763">
        <v>-204500</v>
      </c>
      <c r="BC36" s="763">
        <v>-204500</v>
      </c>
      <c r="BD36" s="763">
        <v>-204500</v>
      </c>
      <c r="BE36" s="763">
        <v>-204500</v>
      </c>
      <c r="BF36" s="763">
        <v>-204500</v>
      </c>
      <c r="BG36" s="763">
        <v>-204500</v>
      </c>
      <c r="BH36" s="763">
        <v>-204500</v>
      </c>
      <c r="BI36" s="763">
        <v>-204500</v>
      </c>
      <c r="BJ36" s="763">
        <v>-204500</v>
      </c>
      <c r="BK36" s="763">
        <v>0</v>
      </c>
      <c r="BL36" s="763">
        <v>0</v>
      </c>
      <c r="BM36" s="763">
        <v>0</v>
      </c>
      <c r="BN36" s="763">
        <v>0</v>
      </c>
      <c r="BO36" s="763">
        <v>0</v>
      </c>
      <c r="BP36" s="763">
        <v>0</v>
      </c>
      <c r="BQ36" s="763">
        <v>0</v>
      </c>
      <c r="BR36" s="763">
        <v>0</v>
      </c>
      <c r="BS36" s="763">
        <v>0</v>
      </c>
      <c r="BT36" s="763">
        <v>0</v>
      </c>
      <c r="BU36" s="763">
        <v>0</v>
      </c>
      <c r="BV36" s="763">
        <v>0</v>
      </c>
      <c r="BW36" s="763">
        <v>0</v>
      </c>
      <c r="BX36" s="763">
        <v>0</v>
      </c>
      <c r="BY36" s="763">
        <v>0</v>
      </c>
      <c r="BZ36" s="763">
        <v>0</v>
      </c>
      <c r="CA36" s="763">
        <v>0</v>
      </c>
      <c r="CB36" s="763">
        <v>0</v>
      </c>
      <c r="CC36" s="763">
        <v>0</v>
      </c>
      <c r="CD36" s="763">
        <v>0</v>
      </c>
      <c r="CE36" s="763">
        <v>0</v>
      </c>
      <c r="CF36" s="763">
        <v>0</v>
      </c>
      <c r="CG36" s="763">
        <v>0</v>
      </c>
      <c r="CH36" s="763">
        <v>0</v>
      </c>
      <c r="CI36" s="763">
        <v>0</v>
      </c>
      <c r="CJ36" s="763">
        <v>0</v>
      </c>
    </row>
    <row r="37" spans="1:88" ht="12.75" customHeight="1">
      <c r="A37" s="611"/>
      <c r="B37" s="606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50"/>
      <c r="BC37" s="450"/>
      <c r="BD37" s="450"/>
      <c r="BE37" s="450"/>
      <c r="BF37" s="450"/>
      <c r="BG37" s="450"/>
      <c r="BH37" s="450"/>
      <c r="BI37" s="450"/>
      <c r="BJ37" s="450"/>
      <c r="BK37" s="450"/>
      <c r="BL37" s="450"/>
      <c r="BM37" s="450"/>
      <c r="BN37" s="450"/>
      <c r="BO37" s="450"/>
      <c r="BP37" s="450"/>
      <c r="BQ37" s="450"/>
      <c r="BR37" s="450"/>
      <c r="BS37" s="450"/>
      <c r="BT37" s="450"/>
      <c r="BU37" s="450"/>
      <c r="BV37" s="450"/>
      <c r="BW37" s="450"/>
      <c r="BX37" s="450"/>
      <c r="BY37" s="450"/>
      <c r="BZ37" s="450"/>
      <c r="CA37" s="450"/>
      <c r="CB37" s="450"/>
      <c r="CC37" s="450"/>
      <c r="CD37" s="450"/>
      <c r="CE37" s="450"/>
      <c r="CF37" s="450"/>
      <c r="CG37" s="450"/>
      <c r="CH37" s="450"/>
      <c r="CI37" s="450"/>
      <c r="CJ37" s="450"/>
    </row>
    <row r="38" spans="1:88" ht="12.75" customHeight="1">
      <c r="A38" s="608" t="s">
        <v>172</v>
      </c>
      <c r="B38" s="578" t="s">
        <v>149</v>
      </c>
      <c r="C38" s="578" t="s">
        <v>149</v>
      </c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  <c r="AA38" s="577"/>
      <c r="AB38" s="577"/>
      <c r="AC38" s="577"/>
      <c r="AD38" s="577"/>
      <c r="AE38" s="577"/>
      <c r="AF38" s="577"/>
      <c r="AG38" s="577"/>
      <c r="AH38" s="577"/>
      <c r="AI38" s="577"/>
      <c r="AJ38" s="577"/>
      <c r="AK38" s="577"/>
      <c r="AL38" s="577"/>
      <c r="AM38" s="577"/>
      <c r="AN38" s="577"/>
      <c r="AO38" s="577"/>
      <c r="AP38" s="577"/>
      <c r="AQ38" s="577"/>
      <c r="AR38" s="577"/>
      <c r="AS38" s="577"/>
      <c r="AT38" s="577"/>
      <c r="AU38" s="577"/>
      <c r="AV38" s="577"/>
      <c r="AW38" s="577"/>
      <c r="AX38" s="577"/>
      <c r="AY38" s="577"/>
      <c r="AZ38" s="577"/>
      <c r="BA38" s="577"/>
      <c r="BB38" s="577"/>
      <c r="BC38" s="577"/>
      <c r="BD38" s="577"/>
      <c r="BE38" s="577"/>
      <c r="BF38" s="577"/>
      <c r="BG38" s="577"/>
      <c r="BH38" s="577"/>
      <c r="BI38" s="577"/>
      <c r="BJ38" s="577"/>
      <c r="BK38" s="577"/>
      <c r="BL38" s="577"/>
      <c r="BM38" s="577"/>
      <c r="BN38" s="577"/>
      <c r="BO38" s="577"/>
      <c r="BP38" s="577"/>
      <c r="BQ38" s="577"/>
      <c r="BR38" s="577"/>
      <c r="BS38" s="577"/>
      <c r="BT38" s="577"/>
      <c r="BU38" s="577"/>
      <c r="BV38" s="577"/>
      <c r="BW38" s="577"/>
      <c r="BX38" s="577"/>
      <c r="BY38" s="577"/>
      <c r="BZ38" s="577"/>
      <c r="CA38" s="577"/>
      <c r="CB38" s="577"/>
      <c r="CC38" s="577"/>
      <c r="CD38" s="577"/>
      <c r="CE38" s="577"/>
      <c r="CF38" s="577"/>
      <c r="CG38" s="577"/>
      <c r="CH38" s="577"/>
      <c r="CI38" s="577"/>
      <c r="CJ38" s="577"/>
    </row>
    <row r="39" spans="1:88">
      <c r="A39" s="631" t="s">
        <v>173</v>
      </c>
      <c r="B39" s="580" t="s">
        <v>151</v>
      </c>
      <c r="C39" s="580" t="s">
        <v>152</v>
      </c>
      <c r="D39" s="580" t="str">
        <f t="shared" ref="D39:AI39" si="48">+D11</f>
        <v>Actual</v>
      </c>
      <c r="E39" s="580" t="str">
        <f t="shared" si="48"/>
        <v>Actual</v>
      </c>
      <c r="F39" s="580" t="str">
        <f t="shared" si="48"/>
        <v>Actual</v>
      </c>
      <c r="G39" s="580" t="str">
        <f t="shared" si="48"/>
        <v>Actual</v>
      </c>
      <c r="H39" s="580" t="str">
        <f t="shared" si="48"/>
        <v>Actual</v>
      </c>
      <c r="I39" s="580" t="str">
        <f t="shared" si="48"/>
        <v>Actual</v>
      </c>
      <c r="J39" s="580" t="str">
        <f t="shared" si="48"/>
        <v>Actual</v>
      </c>
      <c r="K39" s="580" t="str">
        <f t="shared" si="48"/>
        <v>Actual</v>
      </c>
      <c r="L39" s="580" t="str">
        <f t="shared" si="48"/>
        <v>Actual</v>
      </c>
      <c r="M39" s="580" t="str">
        <f t="shared" si="48"/>
        <v>Actual</v>
      </c>
      <c r="N39" s="580" t="str">
        <f t="shared" si="48"/>
        <v>Actual</v>
      </c>
      <c r="O39" s="580" t="str">
        <f t="shared" si="48"/>
        <v>Actual</v>
      </c>
      <c r="P39" s="580" t="str">
        <f t="shared" si="48"/>
        <v>Actual</v>
      </c>
      <c r="Q39" s="580" t="str">
        <f t="shared" si="48"/>
        <v>Actual</v>
      </c>
      <c r="R39" s="580" t="str">
        <f t="shared" si="48"/>
        <v>Actual</v>
      </c>
      <c r="S39" s="580" t="str">
        <f t="shared" si="48"/>
        <v>Actual</v>
      </c>
      <c r="T39" s="580" t="str">
        <f t="shared" si="48"/>
        <v>Actual</v>
      </c>
      <c r="U39" s="580" t="str">
        <f t="shared" si="48"/>
        <v>Actual</v>
      </c>
      <c r="V39" s="580" t="str">
        <f t="shared" si="48"/>
        <v>Actual</v>
      </c>
      <c r="W39" s="580" t="str">
        <f t="shared" si="48"/>
        <v>Actual</v>
      </c>
      <c r="X39" s="580" t="str">
        <f t="shared" si="48"/>
        <v>Actual</v>
      </c>
      <c r="Y39" s="580" t="str">
        <f t="shared" si="48"/>
        <v>Actual</v>
      </c>
      <c r="Z39" s="580" t="str">
        <f t="shared" si="48"/>
        <v>Actual</v>
      </c>
      <c r="AA39" s="580" t="str">
        <f t="shared" si="48"/>
        <v>Actual</v>
      </c>
      <c r="AB39" s="580" t="str">
        <f t="shared" si="48"/>
        <v>Actual</v>
      </c>
      <c r="AC39" s="580" t="str">
        <f t="shared" si="48"/>
        <v>Actual</v>
      </c>
      <c r="AD39" s="580" t="str">
        <f t="shared" si="48"/>
        <v>Actual</v>
      </c>
      <c r="AE39" s="580" t="str">
        <f t="shared" si="48"/>
        <v>Actual</v>
      </c>
      <c r="AF39" s="580" t="str">
        <f t="shared" si="48"/>
        <v>Actual</v>
      </c>
      <c r="AG39" s="580" t="str">
        <f t="shared" si="48"/>
        <v>Actual</v>
      </c>
      <c r="AH39" s="580" t="str">
        <f t="shared" si="48"/>
        <v>Actual</v>
      </c>
      <c r="AI39" s="580" t="str">
        <f t="shared" si="48"/>
        <v>Actual</v>
      </c>
      <c r="AJ39" s="580" t="str">
        <f t="shared" ref="AJ39:BO39" si="49">+AJ11</f>
        <v>Actual</v>
      </c>
      <c r="AK39" s="580" t="str">
        <f t="shared" si="49"/>
        <v>Actual</v>
      </c>
      <c r="AL39" s="580" t="str">
        <f t="shared" si="49"/>
        <v>Actual</v>
      </c>
      <c r="AM39" s="580" t="str">
        <f t="shared" si="49"/>
        <v>Actual</v>
      </c>
      <c r="AN39" s="580" t="str">
        <f t="shared" si="49"/>
        <v>Actual</v>
      </c>
      <c r="AO39" s="580" t="str">
        <f t="shared" si="49"/>
        <v>Actual</v>
      </c>
      <c r="AP39" s="580" t="str">
        <f t="shared" si="49"/>
        <v>Actual</v>
      </c>
      <c r="AQ39" s="580" t="str">
        <f t="shared" si="49"/>
        <v>Actual</v>
      </c>
      <c r="AR39" s="580" t="str">
        <f t="shared" si="49"/>
        <v>Actual</v>
      </c>
      <c r="AS39" s="580" t="str">
        <f t="shared" si="49"/>
        <v>Actual</v>
      </c>
      <c r="AT39" s="580" t="str">
        <f t="shared" si="49"/>
        <v>Actual</v>
      </c>
      <c r="AU39" s="580" t="str">
        <f t="shared" si="49"/>
        <v>Actual</v>
      </c>
      <c r="AV39" s="580" t="str">
        <f t="shared" si="49"/>
        <v>Actual</v>
      </c>
      <c r="AW39" s="580" t="str">
        <f t="shared" si="49"/>
        <v>Actual</v>
      </c>
      <c r="AX39" s="580" t="str">
        <f t="shared" si="49"/>
        <v>Actual</v>
      </c>
      <c r="AY39" s="580" t="str">
        <f t="shared" si="49"/>
        <v>Actual</v>
      </c>
      <c r="AZ39" s="580" t="str">
        <f t="shared" si="49"/>
        <v>Actual</v>
      </c>
      <c r="BA39" s="580" t="str">
        <f t="shared" si="49"/>
        <v>Actual</v>
      </c>
      <c r="BB39" s="580" t="str">
        <f t="shared" si="49"/>
        <v>Actual</v>
      </c>
      <c r="BC39" s="580" t="str">
        <f t="shared" si="49"/>
        <v>Actual</v>
      </c>
      <c r="BD39" s="580" t="str">
        <f t="shared" si="49"/>
        <v>Actual</v>
      </c>
      <c r="BE39" s="580" t="str">
        <f t="shared" si="49"/>
        <v>Actual</v>
      </c>
      <c r="BF39" s="580" t="str">
        <f t="shared" si="49"/>
        <v>Actual</v>
      </c>
      <c r="BG39" s="580" t="str">
        <f t="shared" si="49"/>
        <v>Actual</v>
      </c>
      <c r="BH39" s="580" t="str">
        <f t="shared" si="49"/>
        <v>Actual</v>
      </c>
      <c r="BI39" s="580" t="str">
        <f t="shared" si="49"/>
        <v>Actual</v>
      </c>
      <c r="BJ39" s="580" t="str">
        <f t="shared" si="49"/>
        <v>Actual</v>
      </c>
      <c r="BK39" s="580" t="str">
        <f t="shared" si="49"/>
        <v>Actual</v>
      </c>
      <c r="BL39" s="580" t="str">
        <f t="shared" si="49"/>
        <v>Actual</v>
      </c>
      <c r="BM39" s="580" t="str">
        <f t="shared" si="49"/>
        <v>Budget</v>
      </c>
      <c r="BN39" s="580" t="str">
        <f t="shared" si="49"/>
        <v>Budget</v>
      </c>
      <c r="BO39" s="580" t="str">
        <f t="shared" si="49"/>
        <v>Budget</v>
      </c>
      <c r="BP39" s="580" t="str">
        <f t="shared" ref="BP39:BZ39" si="50">+BP11</f>
        <v>Budget</v>
      </c>
      <c r="BQ39" s="580" t="str">
        <f t="shared" si="50"/>
        <v>Budget</v>
      </c>
      <c r="BR39" s="580" t="str">
        <f t="shared" si="50"/>
        <v>Budget</v>
      </c>
      <c r="BS39" s="580" t="str">
        <f t="shared" si="50"/>
        <v>Budget</v>
      </c>
      <c r="BT39" s="580" t="str">
        <f t="shared" si="50"/>
        <v>Budget</v>
      </c>
      <c r="BU39" s="580" t="str">
        <f t="shared" si="50"/>
        <v>Budget</v>
      </c>
      <c r="BV39" s="580" t="str">
        <f t="shared" si="50"/>
        <v>Budget</v>
      </c>
      <c r="BW39" s="580" t="str">
        <f t="shared" si="50"/>
        <v>Budget</v>
      </c>
      <c r="BX39" s="580" t="str">
        <f t="shared" si="50"/>
        <v>Budget</v>
      </c>
      <c r="BY39" s="580" t="str">
        <f t="shared" si="50"/>
        <v>Budget</v>
      </c>
      <c r="BZ39" s="580" t="str">
        <f t="shared" si="50"/>
        <v>Budget</v>
      </c>
      <c r="CA39" s="580" t="str">
        <f t="shared" ref="CA39:CI39" si="51">+CA11</f>
        <v>Budget</v>
      </c>
      <c r="CB39" s="580" t="str">
        <f t="shared" si="51"/>
        <v>Budget</v>
      </c>
      <c r="CC39" s="580" t="str">
        <f t="shared" si="51"/>
        <v>Budget</v>
      </c>
      <c r="CD39" s="580" t="str">
        <f t="shared" si="51"/>
        <v>Budget</v>
      </c>
      <c r="CE39" s="580" t="str">
        <f t="shared" si="51"/>
        <v>Budget</v>
      </c>
      <c r="CF39" s="580" t="str">
        <f t="shared" si="51"/>
        <v>Budget</v>
      </c>
      <c r="CG39" s="580" t="str">
        <f t="shared" si="51"/>
        <v>Budget</v>
      </c>
      <c r="CH39" s="580" t="str">
        <f t="shared" si="51"/>
        <v>Budget</v>
      </c>
      <c r="CI39" s="580" t="str">
        <f t="shared" si="51"/>
        <v>Budget</v>
      </c>
      <c r="CJ39" s="580" t="str">
        <f t="shared" ref="CJ39" si="52">+CJ11</f>
        <v>Budget</v>
      </c>
    </row>
    <row r="40" spans="1:88">
      <c r="A40" s="609"/>
      <c r="B40" s="579" t="s">
        <v>153</v>
      </c>
      <c r="C40" s="579" t="s">
        <v>154</v>
      </c>
      <c r="D40" s="275">
        <f t="shared" ref="D40:AI40" si="53">+D12</f>
        <v>43077</v>
      </c>
      <c r="E40" s="275">
        <f t="shared" si="53"/>
        <v>43108</v>
      </c>
      <c r="F40" s="275">
        <f t="shared" si="53"/>
        <v>43139</v>
      </c>
      <c r="G40" s="275">
        <f t="shared" si="53"/>
        <v>43170</v>
      </c>
      <c r="H40" s="275">
        <f t="shared" si="53"/>
        <v>43201</v>
      </c>
      <c r="I40" s="275">
        <f t="shared" si="53"/>
        <v>43232</v>
      </c>
      <c r="J40" s="275">
        <f t="shared" si="53"/>
        <v>43263</v>
      </c>
      <c r="K40" s="275">
        <f t="shared" si="53"/>
        <v>43294</v>
      </c>
      <c r="L40" s="275">
        <f t="shared" si="53"/>
        <v>43325</v>
      </c>
      <c r="M40" s="275">
        <f t="shared" si="53"/>
        <v>43356</v>
      </c>
      <c r="N40" s="275">
        <f t="shared" si="53"/>
        <v>43387</v>
      </c>
      <c r="O40" s="275">
        <f t="shared" si="53"/>
        <v>43418</v>
      </c>
      <c r="P40" s="275">
        <f t="shared" si="53"/>
        <v>43449</v>
      </c>
      <c r="Q40" s="275">
        <f t="shared" si="53"/>
        <v>43480</v>
      </c>
      <c r="R40" s="275">
        <f t="shared" si="53"/>
        <v>43511</v>
      </c>
      <c r="S40" s="275">
        <f t="shared" si="53"/>
        <v>43542</v>
      </c>
      <c r="T40" s="275">
        <f t="shared" si="53"/>
        <v>43573</v>
      </c>
      <c r="U40" s="275">
        <f t="shared" si="53"/>
        <v>43604</v>
      </c>
      <c r="V40" s="275">
        <f t="shared" si="53"/>
        <v>43635</v>
      </c>
      <c r="W40" s="275">
        <f t="shared" si="53"/>
        <v>43666</v>
      </c>
      <c r="X40" s="275">
        <f t="shared" si="53"/>
        <v>43697</v>
      </c>
      <c r="Y40" s="275">
        <f t="shared" si="53"/>
        <v>43728</v>
      </c>
      <c r="Z40" s="275">
        <f t="shared" si="53"/>
        <v>43759</v>
      </c>
      <c r="AA40" s="275">
        <f t="shared" si="53"/>
        <v>43790</v>
      </c>
      <c r="AB40" s="275">
        <f t="shared" si="53"/>
        <v>43821</v>
      </c>
      <c r="AC40" s="275">
        <f t="shared" si="53"/>
        <v>43852</v>
      </c>
      <c r="AD40" s="275">
        <f t="shared" si="53"/>
        <v>43883</v>
      </c>
      <c r="AE40" s="275">
        <f t="shared" si="53"/>
        <v>43914</v>
      </c>
      <c r="AF40" s="275">
        <f t="shared" si="53"/>
        <v>43945</v>
      </c>
      <c r="AG40" s="275">
        <f t="shared" si="53"/>
        <v>43976</v>
      </c>
      <c r="AH40" s="275">
        <f t="shared" si="53"/>
        <v>44007</v>
      </c>
      <c r="AI40" s="275">
        <f t="shared" si="53"/>
        <v>44038</v>
      </c>
      <c r="AJ40" s="275">
        <f t="shared" ref="AJ40:BO40" si="54">+AJ12</f>
        <v>44069</v>
      </c>
      <c r="AK40" s="275">
        <f t="shared" si="54"/>
        <v>44100</v>
      </c>
      <c r="AL40" s="275">
        <f t="shared" si="54"/>
        <v>44131</v>
      </c>
      <c r="AM40" s="275">
        <f t="shared" si="54"/>
        <v>44162</v>
      </c>
      <c r="AN40" s="275">
        <f t="shared" si="54"/>
        <v>44193</v>
      </c>
      <c r="AO40" s="275">
        <f t="shared" si="54"/>
        <v>44224</v>
      </c>
      <c r="AP40" s="275">
        <f t="shared" si="54"/>
        <v>44255</v>
      </c>
      <c r="AQ40" s="275">
        <f t="shared" si="54"/>
        <v>44285</v>
      </c>
      <c r="AR40" s="275">
        <f t="shared" si="54"/>
        <v>44316</v>
      </c>
      <c r="AS40" s="275">
        <f t="shared" si="54"/>
        <v>44347</v>
      </c>
      <c r="AT40" s="275">
        <f t="shared" si="54"/>
        <v>44377</v>
      </c>
      <c r="AU40" s="275">
        <f t="shared" si="54"/>
        <v>44408</v>
      </c>
      <c r="AV40" s="275">
        <f t="shared" si="54"/>
        <v>44439</v>
      </c>
      <c r="AW40" s="275">
        <f t="shared" si="54"/>
        <v>44469</v>
      </c>
      <c r="AX40" s="275">
        <f t="shared" si="54"/>
        <v>44500</v>
      </c>
      <c r="AY40" s="275">
        <f t="shared" si="54"/>
        <v>44530</v>
      </c>
      <c r="AZ40" s="275">
        <f t="shared" si="54"/>
        <v>44561</v>
      </c>
      <c r="BA40" s="275">
        <f t="shared" si="54"/>
        <v>44592</v>
      </c>
      <c r="BB40" s="275">
        <f t="shared" si="54"/>
        <v>44620</v>
      </c>
      <c r="BC40" s="275">
        <f t="shared" si="54"/>
        <v>44651</v>
      </c>
      <c r="BD40" s="275">
        <f t="shared" si="54"/>
        <v>44681</v>
      </c>
      <c r="BE40" s="275">
        <f t="shared" si="54"/>
        <v>44712</v>
      </c>
      <c r="BF40" s="275">
        <f t="shared" si="54"/>
        <v>44742</v>
      </c>
      <c r="BG40" s="275">
        <f t="shared" si="54"/>
        <v>44773</v>
      </c>
      <c r="BH40" s="275">
        <f t="shared" si="54"/>
        <v>44804</v>
      </c>
      <c r="BI40" s="275">
        <f t="shared" si="54"/>
        <v>44834</v>
      </c>
      <c r="BJ40" s="275">
        <f t="shared" si="54"/>
        <v>44865</v>
      </c>
      <c r="BK40" s="275">
        <f t="shared" si="54"/>
        <v>44895</v>
      </c>
      <c r="BL40" s="275">
        <f t="shared" si="54"/>
        <v>44926</v>
      </c>
      <c r="BM40" s="275">
        <f t="shared" si="54"/>
        <v>44957</v>
      </c>
      <c r="BN40" s="275">
        <f t="shared" si="54"/>
        <v>44985</v>
      </c>
      <c r="BO40" s="275">
        <f t="shared" si="54"/>
        <v>45016</v>
      </c>
      <c r="BP40" s="275">
        <f t="shared" ref="BP40:BZ40" si="55">+BP12</f>
        <v>45046</v>
      </c>
      <c r="BQ40" s="275">
        <f t="shared" si="55"/>
        <v>45077</v>
      </c>
      <c r="BR40" s="275">
        <f t="shared" si="55"/>
        <v>45107</v>
      </c>
      <c r="BS40" s="275">
        <f t="shared" si="55"/>
        <v>45138</v>
      </c>
      <c r="BT40" s="275">
        <f t="shared" si="55"/>
        <v>45169</v>
      </c>
      <c r="BU40" s="275">
        <f t="shared" si="55"/>
        <v>45199</v>
      </c>
      <c r="BV40" s="275">
        <f t="shared" si="55"/>
        <v>45230</v>
      </c>
      <c r="BW40" s="275">
        <f t="shared" si="55"/>
        <v>45260</v>
      </c>
      <c r="BX40" s="275">
        <f t="shared" si="55"/>
        <v>45291</v>
      </c>
      <c r="BY40" s="275">
        <f t="shared" si="55"/>
        <v>45322</v>
      </c>
      <c r="BZ40" s="275">
        <f t="shared" si="55"/>
        <v>45350</v>
      </c>
      <c r="CA40" s="275">
        <f t="shared" ref="CA40:CI40" si="56">+CA12</f>
        <v>45382</v>
      </c>
      <c r="CB40" s="275">
        <f t="shared" si="56"/>
        <v>45412</v>
      </c>
      <c r="CC40" s="275">
        <f t="shared" si="56"/>
        <v>45443</v>
      </c>
      <c r="CD40" s="275">
        <f t="shared" si="56"/>
        <v>45473</v>
      </c>
      <c r="CE40" s="275">
        <f t="shared" si="56"/>
        <v>45504</v>
      </c>
      <c r="CF40" s="275">
        <f t="shared" si="56"/>
        <v>45535</v>
      </c>
      <c r="CG40" s="275">
        <f t="shared" si="56"/>
        <v>45565</v>
      </c>
      <c r="CH40" s="275">
        <f t="shared" si="56"/>
        <v>45596</v>
      </c>
      <c r="CI40" s="275">
        <f t="shared" si="56"/>
        <v>45626</v>
      </c>
      <c r="CJ40" s="275">
        <f t="shared" ref="CJ40" si="57">+CJ12</f>
        <v>45657</v>
      </c>
    </row>
    <row r="41" spans="1:8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CJ41"/>
    </row>
    <row r="42" spans="1:88">
      <c r="A42" s="612" t="s">
        <v>174</v>
      </c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375"/>
      <c r="CA42" s="375"/>
      <c r="CB42" s="375"/>
      <c r="CC42" s="375"/>
      <c r="CD42" s="375"/>
      <c r="CE42" s="375"/>
      <c r="CF42" s="375"/>
      <c r="CG42" s="375"/>
      <c r="CH42" s="375"/>
      <c r="CI42" s="375"/>
    </row>
    <row r="43" spans="1:88" s="176" customFormat="1">
      <c r="A43" s="613" t="s">
        <v>175</v>
      </c>
      <c r="B43" s="1081">
        <f ca="1">SUM(OFFSET(BM43:BX43,0,'Bal Sheet'!$A$1))</f>
        <v>289521.83999999997</v>
      </c>
      <c r="C43" s="1082">
        <f t="shared" ref="C43:C45" si="58">SUM(BY43:CJ43)</f>
        <v>289521.83999999997</v>
      </c>
      <c r="D43" s="602">
        <v>38763.06</v>
      </c>
      <c r="E43" s="602">
        <v>13304.53</v>
      </c>
      <c r="F43" s="602">
        <v>8643.64</v>
      </c>
      <c r="G43" s="602">
        <v>19607.3</v>
      </c>
      <c r="H43" s="602">
        <v>26500.16</v>
      </c>
      <c r="I43" s="602">
        <v>33678.42</v>
      </c>
      <c r="J43" s="602">
        <v>28056.43</v>
      </c>
      <c r="K43" s="602">
        <v>22128.3</v>
      </c>
      <c r="L43" s="602">
        <v>18469.169999999998</v>
      </c>
      <c r="M43" s="602">
        <v>22052.32</v>
      </c>
      <c r="N43" s="602">
        <v>30914.19</v>
      </c>
      <c r="O43" s="602">
        <v>17188.57</v>
      </c>
      <c r="P43" s="602">
        <v>36010.93</v>
      </c>
      <c r="Q43" s="602">
        <v>17929.009999999998</v>
      </c>
      <c r="R43" s="602">
        <v>71137.02</v>
      </c>
      <c r="S43" s="602">
        <v>32496.05</v>
      </c>
      <c r="T43" s="602">
        <v>31495.95</v>
      </c>
      <c r="U43" s="602">
        <v>31101.34</v>
      </c>
      <c r="V43" s="602">
        <v>22979.43</v>
      </c>
      <c r="W43" s="602">
        <v>26157.07</v>
      </c>
      <c r="X43" s="602">
        <v>28349.97</v>
      </c>
      <c r="Y43" s="602">
        <v>23588.69</v>
      </c>
      <c r="Z43" s="602">
        <v>30503.23</v>
      </c>
      <c r="AA43" s="602">
        <v>25546.67</v>
      </c>
      <c r="AB43" s="602">
        <v>57633.54</v>
      </c>
      <c r="AC43" s="602">
        <v>115964.94</v>
      </c>
      <c r="AD43" s="602">
        <v>-75096.86</v>
      </c>
      <c r="AE43" s="602">
        <v>-79480.11</v>
      </c>
      <c r="AF43" s="602">
        <v>119034.59</v>
      </c>
      <c r="AG43" s="602">
        <v>19682.37</v>
      </c>
      <c r="AH43" s="602">
        <v>16281.21</v>
      </c>
      <c r="AI43" s="602">
        <v>18553.990000000002</v>
      </c>
      <c r="AJ43" s="602">
        <v>24012.31</v>
      </c>
      <c r="AK43" s="602">
        <v>19621.900000000001</v>
      </c>
      <c r="AL43" s="602">
        <v>21597.02</v>
      </c>
      <c r="AM43" s="602">
        <v>18895.580000000002</v>
      </c>
      <c r="AN43" s="602">
        <v>33613.22</v>
      </c>
      <c r="AO43" s="602">
        <v>15207.32</v>
      </c>
      <c r="AP43" s="602">
        <v>9676.35</v>
      </c>
      <c r="AQ43" s="602">
        <v>44974.8</v>
      </c>
      <c r="AR43" s="602">
        <v>15294.87</v>
      </c>
      <c r="AS43" s="602">
        <v>43224.49</v>
      </c>
      <c r="AT43" s="602">
        <v>26828.959999999999</v>
      </c>
      <c r="AU43" s="602">
        <v>24095.81</v>
      </c>
      <c r="AV43" s="602">
        <v>29908.32</v>
      </c>
      <c r="AW43" s="602">
        <v>19365.62</v>
      </c>
      <c r="AX43" s="602">
        <v>16438.11</v>
      </c>
      <c r="AY43" s="602">
        <v>24229.91</v>
      </c>
      <c r="AZ43" s="602">
        <v>20277.28</v>
      </c>
      <c r="BA43" s="546">
        <f t="shared" ref="BA43:BA44" si="59">+AO43</f>
        <v>15207.32</v>
      </c>
      <c r="BB43" s="546">
        <f t="shared" ref="BB43:BB44" si="60">+AP43</f>
        <v>9676.35</v>
      </c>
      <c r="BC43" s="546">
        <f t="shared" ref="BC43:BC44" si="61">+AQ43</f>
        <v>44974.8</v>
      </c>
      <c r="BD43" s="546">
        <f t="shared" ref="BD43:BD44" si="62">+AR43</f>
        <v>15294.87</v>
      </c>
      <c r="BE43" s="546">
        <f t="shared" ref="BE43:BE44" si="63">+AS43</f>
        <v>43224.49</v>
      </c>
      <c r="BF43" s="546">
        <f t="shared" ref="BF43:BF44" si="64">+AT43</f>
        <v>26828.959999999999</v>
      </c>
      <c r="BG43" s="546">
        <f t="shared" ref="BG43:BG44" si="65">+AU43</f>
        <v>24095.81</v>
      </c>
      <c r="BH43" s="546">
        <f t="shared" ref="BH43:BH44" si="66">+AV43</f>
        <v>29908.32</v>
      </c>
      <c r="BI43" s="546">
        <v>19365.62</v>
      </c>
      <c r="BJ43" s="546">
        <v>16438.11</v>
      </c>
      <c r="BK43" s="546">
        <v>24229.91</v>
      </c>
      <c r="BL43" s="546">
        <v>20277.28</v>
      </c>
      <c r="BM43" s="546">
        <f t="shared" ref="BM43:BM44" si="67">+BA43</f>
        <v>15207.32</v>
      </c>
      <c r="BN43" s="546">
        <f t="shared" ref="BN43:BN44" si="68">+BB43</f>
        <v>9676.35</v>
      </c>
      <c r="BO43" s="546">
        <f t="shared" ref="BO43:BO44" si="69">+BC43</f>
        <v>44974.8</v>
      </c>
      <c r="BP43" s="546">
        <f t="shared" ref="BP43:BP44" si="70">+BD43</f>
        <v>15294.87</v>
      </c>
      <c r="BQ43" s="546">
        <f t="shared" ref="BQ43:BQ44" si="71">+BE43</f>
        <v>43224.49</v>
      </c>
      <c r="BR43" s="546">
        <f t="shared" ref="BR43:BR44" si="72">+BF43</f>
        <v>26828.959999999999</v>
      </c>
      <c r="BS43" s="546">
        <f t="shared" ref="BS43:BS44" si="73">+BG43</f>
        <v>24095.81</v>
      </c>
      <c r="BT43" s="546">
        <f t="shared" ref="BT43:BT44" si="74">+BH43</f>
        <v>29908.32</v>
      </c>
      <c r="BU43" s="546">
        <f t="shared" ref="BU43:BU44" si="75">+BI43</f>
        <v>19365.62</v>
      </c>
      <c r="BV43" s="546">
        <f t="shared" ref="BV43:BV44" si="76">+BJ43</f>
        <v>16438.11</v>
      </c>
      <c r="BW43" s="546">
        <f t="shared" ref="BW43:BW44" si="77">+BK43</f>
        <v>24229.91</v>
      </c>
      <c r="BX43" s="546">
        <f t="shared" ref="BX43:BX44" si="78">+BL43</f>
        <v>20277.28</v>
      </c>
      <c r="BY43" s="546">
        <f t="shared" ref="BY43:BY44" si="79">+BM43</f>
        <v>15207.32</v>
      </c>
      <c r="BZ43" s="546">
        <f t="shared" ref="BZ43:BZ44" si="80">+BN43</f>
        <v>9676.35</v>
      </c>
      <c r="CA43" s="546">
        <f t="shared" ref="CA43:CA44" si="81">+BO43</f>
        <v>44974.8</v>
      </c>
      <c r="CB43" s="546">
        <f t="shared" ref="CB43:CB44" si="82">+BP43</f>
        <v>15294.87</v>
      </c>
      <c r="CC43" s="546">
        <f t="shared" ref="CC43:CC44" si="83">+BQ43</f>
        <v>43224.49</v>
      </c>
      <c r="CD43" s="546">
        <f t="shared" ref="CD43:CD44" si="84">+BR43</f>
        <v>26828.959999999999</v>
      </c>
      <c r="CE43" s="546">
        <f t="shared" ref="CE43:CE44" si="85">+BS43</f>
        <v>24095.81</v>
      </c>
      <c r="CF43" s="546">
        <f t="shared" ref="CF43:CF44" si="86">+BT43</f>
        <v>29908.32</v>
      </c>
      <c r="CG43" s="546">
        <f t="shared" ref="CG43:CG44" si="87">+BU43</f>
        <v>19365.62</v>
      </c>
      <c r="CH43" s="546">
        <f t="shared" ref="CH43:CH44" si="88">+BV43</f>
        <v>16438.11</v>
      </c>
      <c r="CI43" s="546">
        <f t="shared" ref="CI43:CI44" si="89">+BW43</f>
        <v>24229.91</v>
      </c>
      <c r="CJ43" s="546">
        <f t="shared" ref="CJ43:CJ44" si="90">+BX43</f>
        <v>20277.28</v>
      </c>
    </row>
    <row r="44" spans="1:88" s="176" customFormat="1">
      <c r="A44" s="613" t="s">
        <v>176</v>
      </c>
      <c r="B44" s="1081">
        <f ca="1">SUM(OFFSET(BM44:BX44,0,'Bal Sheet'!$A$1))</f>
        <v>191289.32</v>
      </c>
      <c r="C44" s="1082">
        <f t="shared" si="58"/>
        <v>191289.32</v>
      </c>
      <c r="D44" s="602">
        <v>44602.69</v>
      </c>
      <c r="E44" s="602">
        <v>10994.37</v>
      </c>
      <c r="F44" s="602">
        <v>20284.87</v>
      </c>
      <c r="G44" s="602">
        <v>8850.84</v>
      </c>
      <c r="H44" s="602">
        <v>11312.13</v>
      </c>
      <c r="I44" s="602">
        <v>16253.83</v>
      </c>
      <c r="J44" s="602">
        <v>6331.45</v>
      </c>
      <c r="K44" s="602">
        <v>10609.09</v>
      </c>
      <c r="L44" s="602">
        <v>21739.3</v>
      </c>
      <c r="M44" s="602">
        <v>16557</v>
      </c>
      <c r="N44" s="602">
        <v>25342.76</v>
      </c>
      <c r="O44" s="602">
        <v>12067.24</v>
      </c>
      <c r="P44" s="602">
        <v>21927.3</v>
      </c>
      <c r="Q44" s="602">
        <v>9052.69</v>
      </c>
      <c r="R44" s="602">
        <v>21183.54</v>
      </c>
      <c r="S44" s="602">
        <v>11180.08</v>
      </c>
      <c r="T44" s="602">
        <v>13790.55</v>
      </c>
      <c r="U44" s="602">
        <v>12464.75</v>
      </c>
      <c r="V44" s="602">
        <v>11156.08</v>
      </c>
      <c r="W44" s="602">
        <v>12138.87</v>
      </c>
      <c r="X44" s="602">
        <v>14685.41</v>
      </c>
      <c r="Y44" s="602">
        <v>18072.36</v>
      </c>
      <c r="Z44" s="602">
        <v>19222.39</v>
      </c>
      <c r="AA44" s="602">
        <v>20330.59</v>
      </c>
      <c r="AB44" s="602">
        <v>45162.45</v>
      </c>
      <c r="AC44" s="602">
        <v>12992.1</v>
      </c>
      <c r="AD44" s="602">
        <v>17254.810000000001</v>
      </c>
      <c r="AE44" s="602">
        <v>15418.78</v>
      </c>
      <c r="AF44" s="602">
        <v>7180.16</v>
      </c>
      <c r="AG44" s="602">
        <v>8855.36</v>
      </c>
      <c r="AH44" s="602">
        <v>10393.41</v>
      </c>
      <c r="AI44" s="602">
        <v>16993.349999999999</v>
      </c>
      <c r="AJ44" s="602">
        <v>15601.84</v>
      </c>
      <c r="AK44" s="602">
        <v>8181.59</v>
      </c>
      <c r="AL44" s="602">
        <v>14464.81</v>
      </c>
      <c r="AM44" s="602">
        <v>11553.69</v>
      </c>
      <c r="AN44" s="602">
        <v>19563.86</v>
      </c>
      <c r="AO44" s="602">
        <v>12307.03</v>
      </c>
      <c r="AP44" s="602">
        <v>24138.69</v>
      </c>
      <c r="AQ44" s="602">
        <v>15904.53</v>
      </c>
      <c r="AR44" s="602">
        <v>11296.54</v>
      </c>
      <c r="AS44" s="602">
        <v>11551.61</v>
      </c>
      <c r="AT44" s="602">
        <v>15272.51</v>
      </c>
      <c r="AU44" s="602">
        <v>14936.58</v>
      </c>
      <c r="AV44" s="602">
        <v>8015.89</v>
      </c>
      <c r="AW44" s="602">
        <v>26149.81</v>
      </c>
      <c r="AX44" s="602">
        <v>16579</v>
      </c>
      <c r="AY44" s="602">
        <v>17135.54</v>
      </c>
      <c r="AZ44" s="602">
        <v>18001.59</v>
      </c>
      <c r="BA44" s="546">
        <f t="shared" si="59"/>
        <v>12307.03</v>
      </c>
      <c r="BB44" s="546">
        <f t="shared" si="60"/>
        <v>24138.69</v>
      </c>
      <c r="BC44" s="546">
        <f t="shared" si="61"/>
        <v>15904.53</v>
      </c>
      <c r="BD44" s="546">
        <f t="shared" si="62"/>
        <v>11296.54</v>
      </c>
      <c r="BE44" s="546">
        <f t="shared" si="63"/>
        <v>11551.61</v>
      </c>
      <c r="BF44" s="546">
        <f t="shared" si="64"/>
        <v>15272.51</v>
      </c>
      <c r="BG44" s="546">
        <f t="shared" si="65"/>
        <v>14936.58</v>
      </c>
      <c r="BH44" s="546">
        <f t="shared" si="66"/>
        <v>8015.89</v>
      </c>
      <c r="BI44" s="546">
        <v>26149.81</v>
      </c>
      <c r="BJ44" s="546">
        <v>16579</v>
      </c>
      <c r="BK44" s="546">
        <v>17135.54</v>
      </c>
      <c r="BL44" s="546">
        <v>18001.59</v>
      </c>
      <c r="BM44" s="546">
        <f t="shared" si="67"/>
        <v>12307.03</v>
      </c>
      <c r="BN44" s="546">
        <f t="shared" si="68"/>
        <v>24138.69</v>
      </c>
      <c r="BO44" s="546">
        <f t="shared" si="69"/>
        <v>15904.53</v>
      </c>
      <c r="BP44" s="546">
        <f t="shared" si="70"/>
        <v>11296.54</v>
      </c>
      <c r="BQ44" s="546">
        <f t="shared" si="71"/>
        <v>11551.61</v>
      </c>
      <c r="BR44" s="546">
        <f t="shared" si="72"/>
        <v>15272.51</v>
      </c>
      <c r="BS44" s="546">
        <f t="shared" si="73"/>
        <v>14936.58</v>
      </c>
      <c r="BT44" s="546">
        <f t="shared" si="74"/>
        <v>8015.89</v>
      </c>
      <c r="BU44" s="546">
        <f t="shared" si="75"/>
        <v>26149.81</v>
      </c>
      <c r="BV44" s="546">
        <f t="shared" si="76"/>
        <v>16579</v>
      </c>
      <c r="BW44" s="546">
        <f t="shared" si="77"/>
        <v>17135.54</v>
      </c>
      <c r="BX44" s="546">
        <f t="shared" si="78"/>
        <v>18001.59</v>
      </c>
      <c r="BY44" s="546">
        <f t="shared" si="79"/>
        <v>12307.03</v>
      </c>
      <c r="BZ44" s="546">
        <f t="shared" si="80"/>
        <v>24138.69</v>
      </c>
      <c r="CA44" s="546">
        <f t="shared" si="81"/>
        <v>15904.53</v>
      </c>
      <c r="CB44" s="546">
        <f t="shared" si="82"/>
        <v>11296.54</v>
      </c>
      <c r="CC44" s="546">
        <f t="shared" si="83"/>
        <v>11551.61</v>
      </c>
      <c r="CD44" s="546">
        <f t="shared" si="84"/>
        <v>15272.51</v>
      </c>
      <c r="CE44" s="546">
        <f t="shared" si="85"/>
        <v>14936.58</v>
      </c>
      <c r="CF44" s="546">
        <f t="shared" si="86"/>
        <v>8015.89</v>
      </c>
      <c r="CG44" s="546">
        <f t="shared" si="87"/>
        <v>26149.81</v>
      </c>
      <c r="CH44" s="546">
        <f t="shared" si="88"/>
        <v>16579</v>
      </c>
      <c r="CI44" s="546">
        <f t="shared" si="89"/>
        <v>17135.54</v>
      </c>
      <c r="CJ44" s="546">
        <f t="shared" si="90"/>
        <v>18001.59</v>
      </c>
    </row>
    <row r="45" spans="1:88" ht="12.75" customHeight="1">
      <c r="A45" s="613" t="s">
        <v>177</v>
      </c>
      <c r="B45" s="1081">
        <f ca="1">SUM(OFFSET(BM45:BX45,0,'Bal Sheet'!$A$1))</f>
        <v>117796</v>
      </c>
      <c r="C45" s="1082">
        <f t="shared" si="58"/>
        <v>117796</v>
      </c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  <c r="AA45" s="599"/>
      <c r="AB45" s="599"/>
      <c r="AC45" s="599"/>
      <c r="AD45" s="599"/>
      <c r="AE45" s="599"/>
      <c r="AF45" s="599"/>
      <c r="AG45" s="599"/>
      <c r="AH45" s="599">
        <v>106541.55</v>
      </c>
      <c r="AI45" s="599"/>
      <c r="AJ45" s="599"/>
      <c r="AK45" s="599"/>
      <c r="AL45" s="599"/>
      <c r="AM45" s="599"/>
      <c r="AN45" s="599"/>
      <c r="AO45" s="210"/>
      <c r="AP45" s="210"/>
      <c r="AQ45" s="210"/>
      <c r="AR45" s="210"/>
      <c r="AS45" s="210">
        <v>108531.81</v>
      </c>
      <c r="AU45" s="210"/>
      <c r="AV45" s="210"/>
      <c r="AW45" s="210"/>
      <c r="AX45" s="210"/>
      <c r="AY45" s="210"/>
      <c r="AZ45" s="210"/>
      <c r="BA45" s="210">
        <v>108531.81</v>
      </c>
      <c r="BB45" s="210">
        <v>108531.81</v>
      </c>
      <c r="BC45" s="210">
        <v>108531.81</v>
      </c>
      <c r="BD45" s="210">
        <v>108531.81</v>
      </c>
      <c r="BE45" s="210">
        <v>117796</v>
      </c>
      <c r="BF45" s="210">
        <v>117796</v>
      </c>
      <c r="BG45" s="210">
        <v>117796</v>
      </c>
      <c r="BH45" s="210">
        <v>117796</v>
      </c>
      <c r="BI45" s="210">
        <v>117796</v>
      </c>
      <c r="BJ45" s="210">
        <v>117796</v>
      </c>
      <c r="BK45" s="210">
        <v>117796</v>
      </c>
      <c r="BL45" s="210">
        <v>117796</v>
      </c>
      <c r="BM45" s="210">
        <v>0</v>
      </c>
      <c r="BN45" s="210">
        <v>0</v>
      </c>
      <c r="BO45" s="210">
        <v>0</v>
      </c>
      <c r="BP45" s="210">
        <v>0</v>
      </c>
      <c r="BQ45" s="210">
        <v>117796</v>
      </c>
      <c r="BR45" s="210">
        <v>0</v>
      </c>
      <c r="BS45" s="210">
        <v>0</v>
      </c>
      <c r="BT45" s="210">
        <v>0</v>
      </c>
      <c r="BU45" s="210">
        <v>0</v>
      </c>
      <c r="BV45" s="210">
        <v>0</v>
      </c>
      <c r="BW45" s="210">
        <v>0</v>
      </c>
      <c r="BX45" s="210">
        <v>0</v>
      </c>
      <c r="BY45" s="546">
        <f t="shared" ref="BY45" si="91">+BM45</f>
        <v>0</v>
      </c>
      <c r="BZ45" s="546">
        <f t="shared" ref="BZ45" si="92">+BN45</f>
        <v>0</v>
      </c>
      <c r="CA45" s="546">
        <f t="shared" ref="CA45" si="93">+BO45</f>
        <v>0</v>
      </c>
      <c r="CB45" s="546">
        <f t="shared" ref="CB45" si="94">+BP45</f>
        <v>0</v>
      </c>
      <c r="CC45" s="546">
        <f t="shared" ref="CC45" si="95">+BQ45</f>
        <v>117796</v>
      </c>
      <c r="CD45" s="546">
        <f t="shared" ref="CD45" si="96">+BR45</f>
        <v>0</v>
      </c>
      <c r="CE45" s="546">
        <f t="shared" ref="CE45" si="97">+BS45</f>
        <v>0</v>
      </c>
      <c r="CF45" s="546">
        <f t="shared" ref="CF45" si="98">+BT45</f>
        <v>0</v>
      </c>
      <c r="CG45" s="546">
        <f t="shared" ref="CG45" si="99">+BU45</f>
        <v>0</v>
      </c>
      <c r="CH45" s="546">
        <f t="shared" ref="CH45" si="100">+BV45</f>
        <v>0</v>
      </c>
      <c r="CI45" s="546">
        <f t="shared" ref="CI45" si="101">+BW45</f>
        <v>0</v>
      </c>
      <c r="CJ45" s="546">
        <f t="shared" ref="CJ45" si="102">+BX45</f>
        <v>0</v>
      </c>
    </row>
    <row r="46" spans="1:88" ht="12.75" customHeight="1">
      <c r="A46" s="610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</row>
    <row r="47" spans="1:88" ht="12.75" customHeight="1">
      <c r="A47" s="612" t="s">
        <v>178</v>
      </c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</row>
    <row r="48" spans="1:88" ht="12.75" customHeight="1">
      <c r="A48" s="613" t="s">
        <v>179</v>
      </c>
      <c r="B48" s="1081">
        <f ca="1">SUM(OFFSET(BM48:BX48,0,'Bal Sheet'!$A$1))</f>
        <v>18791.3</v>
      </c>
      <c r="C48" s="1082">
        <f t="shared" ref="C48:C50" si="103">SUM(BY48:CJ48)</f>
        <v>18791.3</v>
      </c>
      <c r="D48" s="599"/>
      <c r="E48" s="599">
        <v>687.37</v>
      </c>
      <c r="F48" s="599">
        <v>440.6</v>
      </c>
      <c r="G48" s="599">
        <v>233.61</v>
      </c>
      <c r="H48" s="599">
        <v>2440.25</v>
      </c>
      <c r="I48" s="599">
        <v>152.72999999999999</v>
      </c>
      <c r="J48" s="599">
        <v>-135.87</v>
      </c>
      <c r="K48" s="599">
        <v>844.29</v>
      </c>
      <c r="L48" s="599">
        <v>256.33999999999997</v>
      </c>
      <c r="M48" s="599">
        <v>268.31</v>
      </c>
      <c r="N48" s="599">
        <v>452.08</v>
      </c>
      <c r="O48" s="599">
        <v>299.56</v>
      </c>
      <c r="P48" s="599">
        <v>4375.58</v>
      </c>
      <c r="Q48" s="599">
        <v>155.68</v>
      </c>
      <c r="R48" s="599">
        <v>25.74</v>
      </c>
      <c r="S48" s="599">
        <v>555.08000000000004</v>
      </c>
      <c r="T48" s="599">
        <v>647.94000000000005</v>
      </c>
      <c r="U48" s="599">
        <v>-238.94</v>
      </c>
      <c r="V48" s="599">
        <v>570.05999999999995</v>
      </c>
      <c r="W48" s="599">
        <v>400.12</v>
      </c>
      <c r="X48" s="599">
        <v>164.95</v>
      </c>
      <c r="Y48" s="599">
        <v>-230.67</v>
      </c>
      <c r="Z48" s="599">
        <v>-194.98</v>
      </c>
      <c r="AA48" s="599">
        <v>2201.27</v>
      </c>
      <c r="AB48" s="599">
        <v>-334.73</v>
      </c>
      <c r="AC48" s="599">
        <v>451.61</v>
      </c>
      <c r="AD48" s="599">
        <v>-178.66</v>
      </c>
      <c r="AE48" s="599">
        <v>312.8</v>
      </c>
      <c r="AF48" s="599">
        <v>-6.48</v>
      </c>
      <c r="AG48" s="599">
        <v>352.15</v>
      </c>
      <c r="AH48" s="599">
        <v>558.20000000000005</v>
      </c>
      <c r="AI48" s="599">
        <v>727.53</v>
      </c>
      <c r="AJ48" s="599">
        <v>870.18</v>
      </c>
      <c r="AK48" s="599">
        <v>516.51</v>
      </c>
      <c r="AL48" s="599">
        <v>485.3</v>
      </c>
      <c r="AM48" s="599">
        <v>454.36</v>
      </c>
      <c r="AN48" s="599">
        <v>368.1</v>
      </c>
      <c r="AO48" s="599">
        <v>771.01</v>
      </c>
      <c r="AP48" s="599">
        <v>-588.51</v>
      </c>
      <c r="AQ48" s="599">
        <v>593.38</v>
      </c>
      <c r="AR48" s="599">
        <v>585.64</v>
      </c>
      <c r="AS48" s="599">
        <v>942.88</v>
      </c>
      <c r="AT48" s="599">
        <v>1026.1400000000001</v>
      </c>
      <c r="AU48" s="599">
        <v>582</v>
      </c>
      <c r="AV48" s="599">
        <v>442.27</v>
      </c>
      <c r="AW48" s="599">
        <v>175.61</v>
      </c>
      <c r="AX48" s="599">
        <v>593.36</v>
      </c>
      <c r="AY48" s="599">
        <v>1007.29</v>
      </c>
      <c r="AZ48" s="599">
        <v>293.60000000000002</v>
      </c>
      <c r="BA48" s="599">
        <v>410.76</v>
      </c>
      <c r="BB48" s="599">
        <v>60.5</v>
      </c>
      <c r="BC48" s="599">
        <v>710.89</v>
      </c>
      <c r="BD48" s="599">
        <v>541.72</v>
      </c>
      <c r="BE48" s="599">
        <v>750.44</v>
      </c>
      <c r="BF48" s="599">
        <v>411.92</v>
      </c>
      <c r="BG48" s="599">
        <v>418.19</v>
      </c>
      <c r="BH48" s="599">
        <v>1162.1600000000001</v>
      </c>
      <c r="BI48" s="474">
        <v>1322.23</v>
      </c>
      <c r="BJ48" s="474">
        <v>8232.6200000000008</v>
      </c>
      <c r="BK48" s="474">
        <v>2764.52</v>
      </c>
      <c r="BL48" s="474">
        <v>2005.35</v>
      </c>
      <c r="BM48" s="474">
        <v>410.76</v>
      </c>
      <c r="BN48" s="474">
        <v>60.5</v>
      </c>
      <c r="BO48" s="474">
        <v>710.89</v>
      </c>
      <c r="BP48" s="474">
        <v>541.72</v>
      </c>
      <c r="BQ48" s="474">
        <v>750.44</v>
      </c>
      <c r="BR48" s="474">
        <v>411.92</v>
      </c>
      <c r="BS48" s="474">
        <v>418.19</v>
      </c>
      <c r="BT48" s="474">
        <v>1162.1600000000001</v>
      </c>
      <c r="BU48" s="474">
        <v>1322.23</v>
      </c>
      <c r="BV48" s="474">
        <v>8232.6200000000008</v>
      </c>
      <c r="BW48" s="474">
        <v>2764.52</v>
      </c>
      <c r="BX48" s="474">
        <v>2005.35</v>
      </c>
      <c r="BY48" s="474">
        <f t="shared" ref="BY48:BY50" si="104">+BM48</f>
        <v>410.76</v>
      </c>
      <c r="BZ48" s="474">
        <f t="shared" ref="BZ48:BZ50" si="105">+BN48</f>
        <v>60.5</v>
      </c>
      <c r="CA48" s="474">
        <f t="shared" ref="CA48:CA50" si="106">+BO48</f>
        <v>710.89</v>
      </c>
      <c r="CB48" s="474">
        <f t="shared" ref="CB48:CB50" si="107">+BP48</f>
        <v>541.72</v>
      </c>
      <c r="CC48" s="474">
        <f t="shared" ref="CC48:CC50" si="108">+BQ48</f>
        <v>750.44</v>
      </c>
      <c r="CD48" s="474">
        <f t="shared" ref="CD48:CD50" si="109">+BR48</f>
        <v>411.92</v>
      </c>
      <c r="CE48" s="474">
        <f t="shared" ref="CE48:CE50" si="110">+BS48</f>
        <v>418.19</v>
      </c>
      <c r="CF48" s="474">
        <f t="shared" ref="CF48:CF50" si="111">+BT48</f>
        <v>1162.1600000000001</v>
      </c>
      <c r="CG48" s="474">
        <f t="shared" ref="CG48:CG50" si="112">+BU48</f>
        <v>1322.23</v>
      </c>
      <c r="CH48" s="474">
        <f t="shared" ref="CH48:CH50" si="113">+BV48</f>
        <v>8232.6200000000008</v>
      </c>
      <c r="CI48" s="474">
        <f t="shared" ref="CI48:CI50" si="114">+BW48</f>
        <v>2764.52</v>
      </c>
      <c r="CJ48" s="474">
        <f t="shared" ref="CJ48:CJ50" si="115">+BX48</f>
        <v>2005.35</v>
      </c>
    </row>
    <row r="49" spans="1:89" ht="12.75" customHeight="1">
      <c r="A49" s="613" t="s">
        <v>180</v>
      </c>
      <c r="B49" s="1081">
        <f ca="1">SUM(OFFSET(BM49:BX49,0,'Bal Sheet'!$A$1))</f>
        <v>40473.08</v>
      </c>
      <c r="C49" s="1082">
        <f t="shared" si="103"/>
        <v>40473.08</v>
      </c>
      <c r="D49" s="599"/>
      <c r="E49" s="599">
        <v>6937.99</v>
      </c>
      <c r="F49" s="599">
        <v>87.85</v>
      </c>
      <c r="G49" s="599">
        <v>1889.04</v>
      </c>
      <c r="H49" s="599">
        <v>289.04000000000002</v>
      </c>
      <c r="I49" s="599">
        <v>3482.11</v>
      </c>
      <c r="J49" s="599">
        <v>1013.52</v>
      </c>
      <c r="K49" s="599">
        <v>2883.78</v>
      </c>
      <c r="L49" s="599">
        <v>4570.05</v>
      </c>
      <c r="M49" s="599">
        <v>8189.4</v>
      </c>
      <c r="N49" s="599">
        <v>4017.81</v>
      </c>
      <c r="O49" s="599">
        <v>1114.31</v>
      </c>
      <c r="P49" s="599">
        <v>5155.66</v>
      </c>
      <c r="Q49" s="599">
        <v>1244.1500000000001</v>
      </c>
      <c r="R49" s="599">
        <v>111.47</v>
      </c>
      <c r="S49" s="599">
        <v>4626.6099999999997</v>
      </c>
      <c r="T49" s="599">
        <v>206.65</v>
      </c>
      <c r="U49" s="599">
        <v>8721.06</v>
      </c>
      <c r="V49" s="599">
        <v>2257.9699999999998</v>
      </c>
      <c r="W49" s="599">
        <v>923.72</v>
      </c>
      <c r="X49" s="599">
        <v>8058.34</v>
      </c>
      <c r="Y49" s="599">
        <v>5669.46</v>
      </c>
      <c r="Z49" s="599">
        <v>11073.47</v>
      </c>
      <c r="AA49" s="599">
        <v>2457.4699999999998</v>
      </c>
      <c r="AB49" s="599">
        <v>8800.61</v>
      </c>
      <c r="AC49" s="599">
        <v>4131.28</v>
      </c>
      <c r="AD49" s="599">
        <v>165.71</v>
      </c>
      <c r="AE49" s="599">
        <v>4035.25</v>
      </c>
      <c r="AF49" s="599">
        <v>530.32000000000005</v>
      </c>
      <c r="AG49" s="599">
        <v>6997.33</v>
      </c>
      <c r="AH49" s="599">
        <v>1499.79</v>
      </c>
      <c r="AI49" s="599">
        <v>7157.37</v>
      </c>
      <c r="AJ49" s="599">
        <v>169.2</v>
      </c>
      <c r="AK49" s="599">
        <v>5616.61</v>
      </c>
      <c r="AL49" s="599">
        <v>7022.11</v>
      </c>
      <c r="AM49" s="599">
        <v>106.45</v>
      </c>
      <c r="AN49" s="599">
        <v>2751.8</v>
      </c>
      <c r="AO49" s="599">
        <v>-19.95</v>
      </c>
      <c r="AP49" s="599">
        <v>2546.84</v>
      </c>
      <c r="AQ49" s="599">
        <v>2683.44</v>
      </c>
      <c r="AR49" s="599">
        <v>105.76</v>
      </c>
      <c r="AS49" s="599">
        <v>11626.28</v>
      </c>
      <c r="AT49" s="599">
        <v>2692.45</v>
      </c>
      <c r="AU49" s="599">
        <v>5992.18</v>
      </c>
      <c r="AV49" s="599">
        <v>1878.62</v>
      </c>
      <c r="AW49" s="599">
        <v>1976.46</v>
      </c>
      <c r="AX49" s="599">
        <v>2852.88</v>
      </c>
      <c r="AY49" s="599">
        <v>584.04999999999995</v>
      </c>
      <c r="AZ49" s="599">
        <v>7449.9</v>
      </c>
      <c r="BA49" s="599">
        <v>5577.96</v>
      </c>
      <c r="BB49" s="599">
        <v>3177.73</v>
      </c>
      <c r="BC49" s="599">
        <v>3094.71</v>
      </c>
      <c r="BD49" s="599">
        <v>1473.59</v>
      </c>
      <c r="BE49" s="599">
        <v>6011.71</v>
      </c>
      <c r="BF49" s="599">
        <v>5950.96</v>
      </c>
      <c r="BG49" s="599">
        <v>1964.93</v>
      </c>
      <c r="BH49" s="599">
        <v>3167.45</v>
      </c>
      <c r="BI49" s="474">
        <v>7091.26</v>
      </c>
      <c r="BJ49" s="474">
        <v>1143.33</v>
      </c>
      <c r="BK49" s="474">
        <v>1003.99</v>
      </c>
      <c r="BL49" s="474">
        <v>815.46</v>
      </c>
      <c r="BM49" s="474">
        <v>5577.96</v>
      </c>
      <c r="BN49" s="474">
        <v>3177.73</v>
      </c>
      <c r="BO49" s="474">
        <v>3094.71</v>
      </c>
      <c r="BP49" s="474">
        <v>1473.59</v>
      </c>
      <c r="BQ49" s="474">
        <v>6011.71</v>
      </c>
      <c r="BR49" s="474">
        <v>5950.96</v>
      </c>
      <c r="BS49" s="474">
        <v>1964.93</v>
      </c>
      <c r="BT49" s="474">
        <v>3167.45</v>
      </c>
      <c r="BU49" s="474">
        <v>7091.26</v>
      </c>
      <c r="BV49" s="474">
        <v>1143.33</v>
      </c>
      <c r="BW49" s="474">
        <v>1003.99</v>
      </c>
      <c r="BX49" s="474">
        <v>815.46</v>
      </c>
      <c r="BY49" s="474">
        <f t="shared" si="104"/>
        <v>5577.96</v>
      </c>
      <c r="BZ49" s="474">
        <f t="shared" si="105"/>
        <v>3177.73</v>
      </c>
      <c r="CA49" s="474">
        <f t="shared" si="106"/>
        <v>3094.71</v>
      </c>
      <c r="CB49" s="474">
        <f t="shared" si="107"/>
        <v>1473.59</v>
      </c>
      <c r="CC49" s="474">
        <f t="shared" si="108"/>
        <v>6011.71</v>
      </c>
      <c r="CD49" s="474">
        <f t="shared" si="109"/>
        <v>5950.96</v>
      </c>
      <c r="CE49" s="474">
        <f t="shared" si="110"/>
        <v>1964.93</v>
      </c>
      <c r="CF49" s="474">
        <f t="shared" si="111"/>
        <v>3167.45</v>
      </c>
      <c r="CG49" s="474">
        <f t="shared" si="112"/>
        <v>7091.26</v>
      </c>
      <c r="CH49" s="474">
        <f t="shared" si="113"/>
        <v>1143.33</v>
      </c>
      <c r="CI49" s="474">
        <f t="shared" si="114"/>
        <v>1003.99</v>
      </c>
      <c r="CJ49" s="474">
        <f t="shared" si="115"/>
        <v>815.46</v>
      </c>
    </row>
    <row r="50" spans="1:89" ht="12.75" customHeight="1">
      <c r="A50" s="613" t="s">
        <v>181</v>
      </c>
      <c r="B50" s="1081">
        <f ca="1">SUM(OFFSET(BM50:BX50,0,'Bal Sheet'!$A$1))</f>
        <v>19911.13</v>
      </c>
      <c r="C50" s="1082">
        <f t="shared" si="103"/>
        <v>19911.13</v>
      </c>
      <c r="D50" s="599"/>
      <c r="E50" s="599">
        <v>0</v>
      </c>
      <c r="F50" s="599">
        <v>147.43</v>
      </c>
      <c r="G50" s="599">
        <v>1186.3399999999999</v>
      </c>
      <c r="H50" s="599">
        <v>8943.82</v>
      </c>
      <c r="I50" s="599">
        <v>700.7</v>
      </c>
      <c r="J50" s="599">
        <v>649.14</v>
      </c>
      <c r="K50" s="599">
        <v>2005.31</v>
      </c>
      <c r="L50" s="599">
        <v>165.55</v>
      </c>
      <c r="M50" s="599">
        <v>3103.85</v>
      </c>
      <c r="N50" s="599">
        <v>195</v>
      </c>
      <c r="O50" s="599">
        <v>68.16</v>
      </c>
      <c r="P50" s="599">
        <v>3773.84</v>
      </c>
      <c r="Q50" s="599">
        <v>-138.79</v>
      </c>
      <c r="R50" s="599">
        <v>5999.3</v>
      </c>
      <c r="S50" s="599">
        <v>107.25</v>
      </c>
      <c r="T50" s="599">
        <v>2548.44</v>
      </c>
      <c r="U50" s="599">
        <v>2919.77</v>
      </c>
      <c r="V50" s="599">
        <v>105.02</v>
      </c>
      <c r="W50" s="599">
        <v>4795.3500000000004</v>
      </c>
      <c r="X50" s="599">
        <v>67.89</v>
      </c>
      <c r="Y50" s="599">
        <v>12.91</v>
      </c>
      <c r="Z50" s="599">
        <v>5124.66</v>
      </c>
      <c r="AA50" s="599">
        <v>1240.4100000000001</v>
      </c>
      <c r="AB50" s="599">
        <v>5623.28</v>
      </c>
      <c r="AC50" s="599">
        <v>161.44</v>
      </c>
      <c r="AD50" s="599">
        <v>4301.0600000000004</v>
      </c>
      <c r="AE50" s="599">
        <v>2227.19</v>
      </c>
      <c r="AF50" s="599">
        <v>255.99</v>
      </c>
      <c r="AG50" s="599">
        <v>0</v>
      </c>
      <c r="AH50" s="599">
        <v>4571.95</v>
      </c>
      <c r="AI50" s="599">
        <v>6622.6</v>
      </c>
      <c r="AJ50" s="599">
        <v>62.38</v>
      </c>
      <c r="AK50" s="599">
        <v>3199.87</v>
      </c>
      <c r="AL50" s="599">
        <v>0</v>
      </c>
      <c r="AM50" s="599">
        <v>3755.61</v>
      </c>
      <c r="AN50" s="599">
        <v>0</v>
      </c>
      <c r="AO50" s="599">
        <v>300</v>
      </c>
      <c r="AP50" s="599">
        <v>1250.67</v>
      </c>
      <c r="AQ50" s="599">
        <v>5739.95</v>
      </c>
      <c r="AR50" s="599">
        <v>158.61000000000001</v>
      </c>
      <c r="AS50" s="599">
        <v>240.5</v>
      </c>
      <c r="AT50" s="599">
        <v>2592.35</v>
      </c>
      <c r="AU50" s="599">
        <v>1167.5899999999999</v>
      </c>
      <c r="AV50" s="599">
        <v>1270.5899999999999</v>
      </c>
      <c r="AW50" s="599">
        <v>4872.62</v>
      </c>
      <c r="AX50" s="599">
        <v>2434.15</v>
      </c>
      <c r="AY50" s="599">
        <v>2137.46</v>
      </c>
      <c r="AZ50" s="599">
        <v>898.78</v>
      </c>
      <c r="BA50" s="599">
        <v>2257.7199999999998</v>
      </c>
      <c r="BB50" s="599">
        <v>440.64</v>
      </c>
      <c r="BC50" s="599">
        <v>2812.15</v>
      </c>
      <c r="BD50" s="599">
        <v>0</v>
      </c>
      <c r="BE50" s="599">
        <v>8628.36</v>
      </c>
      <c r="BF50" s="599">
        <v>2216.25</v>
      </c>
      <c r="BG50" s="599">
        <v>0</v>
      </c>
      <c r="BH50" s="599">
        <v>3511.01</v>
      </c>
      <c r="BI50" s="474">
        <v>25</v>
      </c>
      <c r="BJ50" s="474">
        <v>0</v>
      </c>
      <c r="BK50" s="474">
        <v>20</v>
      </c>
      <c r="BL50" s="474">
        <v>0</v>
      </c>
      <c r="BM50" s="474">
        <v>2257.7199999999998</v>
      </c>
      <c r="BN50" s="474">
        <v>440.64</v>
      </c>
      <c r="BO50" s="474">
        <v>2812.15</v>
      </c>
      <c r="BP50" s="474">
        <v>0</v>
      </c>
      <c r="BQ50" s="474">
        <v>8628.36</v>
      </c>
      <c r="BR50" s="474">
        <v>2216.25</v>
      </c>
      <c r="BS50" s="474">
        <v>0</v>
      </c>
      <c r="BT50" s="474">
        <v>3511.01</v>
      </c>
      <c r="BU50" s="474">
        <v>25</v>
      </c>
      <c r="BV50" s="474">
        <v>0</v>
      </c>
      <c r="BW50" s="474">
        <v>20</v>
      </c>
      <c r="BX50" s="474">
        <v>0</v>
      </c>
      <c r="BY50" s="474">
        <f t="shared" si="104"/>
        <v>2257.7199999999998</v>
      </c>
      <c r="BZ50" s="474">
        <f t="shared" si="105"/>
        <v>440.64</v>
      </c>
      <c r="CA50" s="474">
        <f t="shared" si="106"/>
        <v>2812.15</v>
      </c>
      <c r="CB50" s="474">
        <f t="shared" si="107"/>
        <v>0</v>
      </c>
      <c r="CC50" s="474">
        <f t="shared" si="108"/>
        <v>8628.36</v>
      </c>
      <c r="CD50" s="474">
        <f t="shared" si="109"/>
        <v>2216.25</v>
      </c>
      <c r="CE50" s="474">
        <f t="shared" si="110"/>
        <v>0</v>
      </c>
      <c r="CF50" s="474">
        <f t="shared" si="111"/>
        <v>3511.01</v>
      </c>
      <c r="CG50" s="474">
        <f t="shared" si="112"/>
        <v>25</v>
      </c>
      <c r="CH50" s="474">
        <f t="shared" si="113"/>
        <v>0</v>
      </c>
      <c r="CI50" s="474">
        <f t="shared" si="114"/>
        <v>20</v>
      </c>
      <c r="CJ50" s="474">
        <f t="shared" si="115"/>
        <v>0</v>
      </c>
    </row>
    <row r="51" spans="1:89" ht="12.75" customHeight="1">
      <c r="A51" s="613" t="s">
        <v>182</v>
      </c>
      <c r="B51" s="1081">
        <f ca="1">SUM(OFFSET(BM51:BX51,0,'Bal Sheet'!$A$1))</f>
        <v>79175.510000000009</v>
      </c>
      <c r="C51" s="760">
        <f>SUM(C48:C50)</f>
        <v>79175.510000000009</v>
      </c>
      <c r="E51" s="603"/>
      <c r="F51" s="603"/>
      <c r="G51" s="603"/>
      <c r="H51" s="603"/>
      <c r="I51" s="603"/>
      <c r="J51" s="603"/>
      <c r="K51" s="603"/>
      <c r="L51" s="603"/>
      <c r="M51" s="603"/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603"/>
      <c r="AJ51" s="603"/>
      <c r="AK51" s="603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>
        <v>77052.23</v>
      </c>
      <c r="BB51" s="176">
        <v>77522.099999999991</v>
      </c>
      <c r="BC51" s="176">
        <v>75123.08</v>
      </c>
      <c r="BD51" s="176">
        <v>76288.37999999999</v>
      </c>
      <c r="BE51" s="176">
        <v>78869.229999999981</v>
      </c>
      <c r="BF51" s="176">
        <v>81137.419999999984</v>
      </c>
      <c r="BG51" s="760">
        <v>75778.76999999999</v>
      </c>
      <c r="BH51" s="760">
        <v>80027.909999999989</v>
      </c>
      <c r="BI51" s="760">
        <v>81441.709999999992</v>
      </c>
      <c r="BJ51" s="760">
        <v>84937.269999999975</v>
      </c>
      <c r="BK51" s="760">
        <v>84996.979999999981</v>
      </c>
      <c r="BL51" s="760">
        <v>79175.509999999995</v>
      </c>
      <c r="BM51" s="760">
        <v>8246.44</v>
      </c>
      <c r="BN51" s="760">
        <v>3678.87</v>
      </c>
      <c r="BO51" s="760">
        <v>6617.75</v>
      </c>
      <c r="BP51" s="760">
        <v>2015.31</v>
      </c>
      <c r="BQ51" s="760">
        <v>15390.51</v>
      </c>
      <c r="BR51" s="760">
        <v>8579.130000000001</v>
      </c>
      <c r="BS51" s="760">
        <v>2383.12</v>
      </c>
      <c r="BT51" s="760">
        <v>7840.62</v>
      </c>
      <c r="BU51" s="760">
        <v>8438.49</v>
      </c>
      <c r="BV51" s="760">
        <v>9375.9500000000007</v>
      </c>
      <c r="BW51" s="760">
        <v>3788.51</v>
      </c>
      <c r="BX51" s="760">
        <v>2820.81</v>
      </c>
      <c r="BY51" s="771">
        <f t="shared" ref="BY51:CI51" si="116">SUM(BY48:BY50)</f>
        <v>8246.44</v>
      </c>
      <c r="BZ51" s="771">
        <f t="shared" si="116"/>
        <v>3678.87</v>
      </c>
      <c r="CA51" s="771">
        <f t="shared" si="116"/>
        <v>6617.75</v>
      </c>
      <c r="CB51" s="771">
        <f t="shared" si="116"/>
        <v>2015.31</v>
      </c>
      <c r="CC51" s="771">
        <f t="shared" si="116"/>
        <v>15390.51</v>
      </c>
      <c r="CD51" s="771">
        <f t="shared" si="116"/>
        <v>8579.130000000001</v>
      </c>
      <c r="CE51" s="771">
        <f t="shared" si="116"/>
        <v>2383.12</v>
      </c>
      <c r="CF51" s="771">
        <f t="shared" si="116"/>
        <v>7840.62</v>
      </c>
      <c r="CG51" s="771">
        <f t="shared" si="116"/>
        <v>8438.49</v>
      </c>
      <c r="CH51" s="771">
        <f t="shared" si="116"/>
        <v>9375.9500000000007</v>
      </c>
      <c r="CI51" s="771">
        <f t="shared" si="116"/>
        <v>3788.51</v>
      </c>
      <c r="CJ51" s="771">
        <f t="shared" ref="CJ51" si="117">SUM(CJ48:CJ50)</f>
        <v>2820.81</v>
      </c>
    </row>
    <row r="52" spans="1:89" ht="12.75" customHeight="1">
      <c r="A52" s="610"/>
      <c r="B52" s="450"/>
      <c r="C52" s="450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</row>
    <row r="53" spans="1:89" hidden="1">
      <c r="A53" s="612" t="s">
        <v>183</v>
      </c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</row>
    <row r="54" spans="1:89" hidden="1">
      <c r="A54" s="613" t="s">
        <v>184</v>
      </c>
      <c r="B54" s="771">
        <f ca="1">SUM(OFFSET(BA54:BM54,0,'Bal Sheet'!$A$1))</f>
        <v>73121.75</v>
      </c>
      <c r="C54" s="588">
        <f>+BX54</f>
        <v>5624.75</v>
      </c>
      <c r="D54" s="607">
        <v>1089</v>
      </c>
      <c r="E54" s="607">
        <v>0</v>
      </c>
      <c r="F54" s="607">
        <v>61450.93</v>
      </c>
      <c r="G54" s="607">
        <v>0</v>
      </c>
      <c r="H54" s="607">
        <v>10000</v>
      </c>
      <c r="I54" s="607">
        <v>1579.13</v>
      </c>
      <c r="J54" s="607">
        <v>0</v>
      </c>
      <c r="K54" s="607">
        <v>1579.13</v>
      </c>
      <c r="L54" s="607">
        <v>0</v>
      </c>
      <c r="M54" s="607">
        <v>0</v>
      </c>
      <c r="N54" s="607">
        <v>1579.13</v>
      </c>
      <c r="O54" s="607">
        <v>0</v>
      </c>
      <c r="P54" s="607">
        <v>0</v>
      </c>
      <c r="Q54" s="607">
        <v>0</v>
      </c>
      <c r="R54" s="607">
        <v>4626.24</v>
      </c>
      <c r="S54" s="607">
        <v>59783.8</v>
      </c>
      <c r="T54" s="607">
        <v>12012.64</v>
      </c>
      <c r="U54" s="607">
        <v>0</v>
      </c>
      <c r="V54" s="607">
        <v>0</v>
      </c>
      <c r="W54" s="607">
        <v>2012.64</v>
      </c>
      <c r="X54" s="607">
        <v>0</v>
      </c>
      <c r="Y54" s="607">
        <v>0</v>
      </c>
      <c r="Z54" s="607">
        <v>2012.64</v>
      </c>
      <c r="AA54" s="607">
        <v>0</v>
      </c>
      <c r="AB54" s="607">
        <v>0</v>
      </c>
      <c r="AC54" s="607">
        <v>0</v>
      </c>
      <c r="AD54" s="607">
        <v>38414.83</v>
      </c>
      <c r="AE54" s="607">
        <v>1612.6</v>
      </c>
      <c r="AF54" s="607">
        <v>3631.03</v>
      </c>
      <c r="AG54" s="607">
        <v>0</v>
      </c>
      <c r="AH54" s="607">
        <v>0</v>
      </c>
      <c r="AI54" s="607">
        <v>3631.03</v>
      </c>
      <c r="AJ54" s="607">
        <v>10000</v>
      </c>
      <c r="AK54" s="607">
        <v>0</v>
      </c>
      <c r="AL54" s="607">
        <v>3631.03</v>
      </c>
      <c r="AM54" s="607">
        <v>0</v>
      </c>
      <c r="AN54" s="778">
        <v>0</v>
      </c>
      <c r="AO54" s="778">
        <v>34871.800000000003</v>
      </c>
      <c r="AP54" s="778">
        <v>2141.14</v>
      </c>
      <c r="AQ54" s="778">
        <v>1524.6</v>
      </c>
      <c r="AR54" s="778">
        <v>2141.14</v>
      </c>
      <c r="AS54" s="778">
        <v>0</v>
      </c>
      <c r="AT54" s="778">
        <v>25000</v>
      </c>
      <c r="AU54" s="778">
        <v>14141.14</v>
      </c>
      <c r="AV54" s="624">
        <v>9987.66</v>
      </c>
      <c r="AW54" s="624">
        <v>1040</v>
      </c>
      <c r="AX54" s="624">
        <v>5818.9</v>
      </c>
      <c r="AY54" s="624">
        <v>1856</v>
      </c>
      <c r="AZ54" s="624">
        <v>1856</v>
      </c>
      <c r="BA54" s="781">
        <v>1856</v>
      </c>
      <c r="BB54" s="781">
        <v>1856</v>
      </c>
      <c r="BC54" s="781">
        <v>1856</v>
      </c>
      <c r="BD54" s="781">
        <v>1856</v>
      </c>
      <c r="BE54" s="781">
        <v>1856</v>
      </c>
      <c r="BF54" s="781">
        <v>1856</v>
      </c>
      <c r="BG54" s="781">
        <v>1856</v>
      </c>
      <c r="BH54" s="778">
        <v>0</v>
      </c>
      <c r="BI54" s="778">
        <v>0</v>
      </c>
      <c r="BJ54" s="778">
        <v>4400</v>
      </c>
      <c r="BK54" s="778">
        <v>0</v>
      </c>
      <c r="BL54" s="778">
        <v>2520</v>
      </c>
      <c r="BM54" s="778">
        <v>5624.75</v>
      </c>
      <c r="BN54" s="778">
        <v>5624.75</v>
      </c>
      <c r="BO54" s="778">
        <v>5624.75</v>
      </c>
      <c r="BP54" s="778">
        <v>5624.75</v>
      </c>
      <c r="BQ54" s="778">
        <v>5624.75</v>
      </c>
      <c r="BR54" s="778">
        <v>5624.75</v>
      </c>
      <c r="BS54" s="778">
        <v>5624.75</v>
      </c>
      <c r="BT54" s="778">
        <v>5624.75</v>
      </c>
      <c r="BU54" s="778">
        <v>5624.75</v>
      </c>
      <c r="BV54" s="778">
        <v>5624.75</v>
      </c>
      <c r="BW54" s="778">
        <v>5624.75</v>
      </c>
      <c r="BX54" s="778">
        <v>5624.75</v>
      </c>
      <c r="BY54" s="624">
        <v>5624.75</v>
      </c>
      <c r="BZ54" s="624">
        <v>5624.75</v>
      </c>
      <c r="CA54" s="624">
        <v>5624.75</v>
      </c>
      <c r="CB54" s="624">
        <v>5624.75</v>
      </c>
      <c r="CC54" s="624">
        <v>5624.75</v>
      </c>
      <c r="CD54" s="624">
        <v>5624.75</v>
      </c>
      <c r="CE54" s="624">
        <v>5624.75</v>
      </c>
      <c r="CF54" s="624">
        <v>5624.75</v>
      </c>
      <c r="CG54" s="624">
        <v>5624.75</v>
      </c>
      <c r="CH54" s="624">
        <v>5624.75</v>
      </c>
      <c r="CI54" s="624">
        <v>5624.75</v>
      </c>
      <c r="CJ54" s="624">
        <v>5624.75</v>
      </c>
      <c r="CK54" t="s">
        <v>1204</v>
      </c>
    </row>
    <row r="55" spans="1:89">
      <c r="A55" s="613"/>
      <c r="B55" s="588"/>
      <c r="C55" s="588"/>
      <c r="D55" s="588"/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  <c r="Q55" s="588"/>
      <c r="R55" s="588"/>
      <c r="S55" s="588"/>
      <c r="T55" s="588"/>
      <c r="U55" s="588"/>
      <c r="V55" s="588"/>
      <c r="W55" s="588"/>
      <c r="X55" s="588"/>
      <c r="Y55" s="588"/>
      <c r="Z55" s="588"/>
      <c r="AA55" s="588"/>
      <c r="AB55" s="588"/>
      <c r="AC55" s="588"/>
      <c r="AD55" s="588"/>
      <c r="AE55" s="588"/>
      <c r="AF55" s="588"/>
      <c r="AG55" s="588"/>
      <c r="AH55" s="588"/>
      <c r="AI55" s="588"/>
      <c r="AJ55" s="588"/>
      <c r="AK55" s="588"/>
      <c r="AL55" s="588"/>
      <c r="AM55" s="588"/>
      <c r="AN55" s="588"/>
      <c r="AO55" s="588"/>
      <c r="AP55" s="588"/>
      <c r="AQ55" s="588"/>
      <c r="AR55" s="588"/>
      <c r="AS55" s="450"/>
      <c r="AT55" s="450"/>
      <c r="AU55" s="450"/>
      <c r="AV55" s="450"/>
      <c r="AW55" s="450"/>
      <c r="AX55" s="450"/>
      <c r="AY55" s="450"/>
      <c r="AZ55" s="450"/>
      <c r="BA55" s="450"/>
      <c r="BB55" s="450"/>
      <c r="BC55" s="450"/>
      <c r="BD55" s="450"/>
      <c r="BE55" s="450"/>
      <c r="BF55" s="450"/>
      <c r="BG55" s="450"/>
      <c r="BH55" s="450"/>
      <c r="BI55" s="450"/>
      <c r="BJ55" s="450"/>
      <c r="BK55" s="450"/>
      <c r="BL55" s="450"/>
      <c r="BM55" s="450"/>
      <c r="BN55" s="450"/>
      <c r="BO55" s="450"/>
      <c r="BP55" s="450"/>
      <c r="BQ55" s="450"/>
      <c r="BR55" s="450"/>
      <c r="BS55" s="450"/>
      <c r="BT55" s="450"/>
      <c r="BU55" s="450"/>
      <c r="BV55" s="450"/>
      <c r="BW55" s="450"/>
      <c r="BX55" s="450"/>
      <c r="BY55" s="450"/>
      <c r="BZ55" s="450"/>
      <c r="CA55" s="450"/>
      <c r="CB55" s="450"/>
      <c r="CC55" s="450"/>
      <c r="CD55" s="450"/>
      <c r="CE55" s="450"/>
      <c r="CF55" s="450"/>
      <c r="CG55" s="450"/>
      <c r="CH55" s="450"/>
      <c r="CI55" s="450"/>
      <c r="CJ55" s="450"/>
    </row>
    <row r="56" spans="1:89" ht="12.75" customHeight="1">
      <c r="A56" s="612" t="s">
        <v>185</v>
      </c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  <c r="BY56" s="375"/>
      <c r="BZ56" s="375"/>
      <c r="CA56" s="375"/>
      <c r="CB56" s="375"/>
      <c r="CC56" s="375"/>
      <c r="CD56" s="375"/>
      <c r="CE56" s="375"/>
      <c r="CF56" s="375"/>
      <c r="CG56" s="375"/>
      <c r="CH56" s="375"/>
      <c r="CI56" s="375"/>
    </row>
    <row r="57" spans="1:89" ht="12.75" customHeight="1">
      <c r="A57" s="614" t="s">
        <v>186</v>
      </c>
      <c r="B57" s="1081">
        <f ca="1">SUM(OFFSET(BM57:BX57,0,'Bal Sheet'!$A$1))</f>
        <v>3709795.93</v>
      </c>
      <c r="C57" s="1082">
        <f>SUM(BY57:CJ57)</f>
        <v>3709795.93</v>
      </c>
      <c r="D57" s="345">
        <v>220760.74</v>
      </c>
      <c r="E57" s="345">
        <v>193562.16</v>
      </c>
      <c r="F57" s="345">
        <v>145888.32999999999</v>
      </c>
      <c r="G57" s="345">
        <v>243752.23</v>
      </c>
      <c r="H57" s="345">
        <v>207654.83</v>
      </c>
      <c r="I57" s="345">
        <v>195218.07</v>
      </c>
      <c r="J57" s="345">
        <v>185158.7</v>
      </c>
      <c r="K57" s="345">
        <v>178746.68</v>
      </c>
      <c r="L57" s="345">
        <v>170443.61</v>
      </c>
      <c r="M57" s="345">
        <v>165170.10999999999</v>
      </c>
      <c r="N57" s="345">
        <v>194745.15</v>
      </c>
      <c r="O57" s="345">
        <v>175347.68</v>
      </c>
      <c r="P57" s="345">
        <v>209402.12</v>
      </c>
      <c r="Q57" s="345">
        <v>193433.75</v>
      </c>
      <c r="R57" s="345">
        <v>223430.42</v>
      </c>
      <c r="S57" s="345">
        <v>221766.35</v>
      </c>
      <c r="T57" s="345">
        <v>223157.08000000002</v>
      </c>
      <c r="U57" s="345">
        <v>219438.92</v>
      </c>
      <c r="V57" s="345">
        <v>170421.74</v>
      </c>
      <c r="W57" s="345">
        <v>197031.4</v>
      </c>
      <c r="X57" s="345">
        <v>121725.21</v>
      </c>
      <c r="Y57" s="345">
        <v>262355.59000000003</v>
      </c>
      <c r="Z57" s="345">
        <v>215257.95</v>
      </c>
      <c r="AA57" s="345">
        <v>220538.86</v>
      </c>
      <c r="AB57" s="345">
        <v>248710.81</v>
      </c>
      <c r="AC57" s="345">
        <v>243438.2</v>
      </c>
      <c r="AD57" s="345">
        <v>253342.13</v>
      </c>
      <c r="AE57" s="345">
        <v>236660.91999999998</v>
      </c>
      <c r="AF57" s="345">
        <v>255398.73</v>
      </c>
      <c r="AG57" s="345">
        <v>265764.46999999997</v>
      </c>
      <c r="AH57" s="345">
        <v>202462.96</v>
      </c>
      <c r="AI57" s="345">
        <v>194724.54</v>
      </c>
      <c r="AJ57" s="345">
        <v>233233.75</v>
      </c>
      <c r="AK57" s="345">
        <v>226376.2</v>
      </c>
      <c r="AL57" s="345">
        <v>225311.28</v>
      </c>
      <c r="AM57" s="345">
        <v>236659.63</v>
      </c>
      <c r="AN57" s="345">
        <v>246249.31</v>
      </c>
      <c r="AO57" s="345">
        <v>316457.21000000002</v>
      </c>
      <c r="AP57" s="345">
        <v>287321.58999999997</v>
      </c>
      <c r="AQ57" s="345">
        <v>383853.63</v>
      </c>
      <c r="AR57" s="345">
        <v>337014.58999999997</v>
      </c>
      <c r="AS57" s="345">
        <v>348106.38</v>
      </c>
      <c r="AT57" s="345">
        <v>328750.28999999998</v>
      </c>
      <c r="AU57" s="474">
        <v>315461.46000000002</v>
      </c>
      <c r="AV57" s="474">
        <v>301708.82</v>
      </c>
      <c r="AW57" s="474">
        <v>286308.73000000004</v>
      </c>
      <c r="AX57" s="474">
        <v>326001.3</v>
      </c>
      <c r="AY57" s="474">
        <v>294425.11</v>
      </c>
      <c r="AZ57" s="474">
        <v>201172.55</v>
      </c>
      <c r="BA57" s="474">
        <v>433965.86</v>
      </c>
      <c r="BB57" s="474">
        <v>349623.98</v>
      </c>
      <c r="BC57" s="474">
        <v>338447.32</v>
      </c>
      <c r="BD57" s="474">
        <v>334679.53999999998</v>
      </c>
      <c r="BE57" s="474">
        <v>191239.55</v>
      </c>
      <c r="BF57" s="474">
        <v>265927.05</v>
      </c>
      <c r="BG57" s="474">
        <v>288281.3</v>
      </c>
      <c r="BH57" s="474">
        <v>328771.62</v>
      </c>
      <c r="BI57" s="474">
        <v>243663.88</v>
      </c>
      <c r="BJ57" s="474">
        <v>410007.51</v>
      </c>
      <c r="BK57" s="474">
        <v>247781.65</v>
      </c>
      <c r="BL57" s="474">
        <v>277406.67</v>
      </c>
      <c r="BM57" s="474">
        <v>433965.86</v>
      </c>
      <c r="BN57" s="474">
        <v>349623.98</v>
      </c>
      <c r="BO57" s="474">
        <v>338447.32</v>
      </c>
      <c r="BP57" s="474">
        <v>334679.53999999998</v>
      </c>
      <c r="BQ57" s="474">
        <v>191239.55</v>
      </c>
      <c r="BR57" s="474">
        <v>265927.05</v>
      </c>
      <c r="BS57" s="474">
        <v>288281.3</v>
      </c>
      <c r="BT57" s="474">
        <v>328771.62</v>
      </c>
      <c r="BU57" s="474">
        <v>243663.88</v>
      </c>
      <c r="BV57" s="474">
        <v>410007.51</v>
      </c>
      <c r="BW57" s="474">
        <v>247781.65</v>
      </c>
      <c r="BX57" s="474">
        <v>277406.67</v>
      </c>
      <c r="BY57" s="474">
        <f t="shared" ref="BY57" si="118">+BM57</f>
        <v>433965.86</v>
      </c>
      <c r="BZ57" s="474">
        <f t="shared" ref="BZ57" si="119">+BN57</f>
        <v>349623.98</v>
      </c>
      <c r="CA57" s="474">
        <f t="shared" ref="CA57" si="120">+BO57</f>
        <v>338447.32</v>
      </c>
      <c r="CB57" s="474">
        <f t="shared" ref="CB57" si="121">+BP57</f>
        <v>334679.53999999998</v>
      </c>
      <c r="CC57" s="474">
        <f t="shared" ref="CC57" si="122">+BQ57</f>
        <v>191239.55</v>
      </c>
      <c r="CD57" s="474">
        <f t="shared" ref="CD57" si="123">+BR57</f>
        <v>265927.05</v>
      </c>
      <c r="CE57" s="474">
        <f t="shared" ref="CE57" si="124">+BS57</f>
        <v>288281.3</v>
      </c>
      <c r="CF57" s="474">
        <f t="shared" ref="CF57" si="125">+BT57</f>
        <v>328771.62</v>
      </c>
      <c r="CG57" s="474">
        <f t="shared" ref="CG57" si="126">+BU57</f>
        <v>243663.88</v>
      </c>
      <c r="CH57" s="474">
        <f t="shared" ref="CH57" si="127">+BV57</f>
        <v>410007.51</v>
      </c>
      <c r="CI57" s="474">
        <f t="shared" ref="CI57" si="128">+BW57</f>
        <v>247781.65</v>
      </c>
      <c r="CJ57" s="474">
        <f t="shared" ref="CJ57" si="129">+BX57</f>
        <v>277406.67</v>
      </c>
    </row>
    <row r="58" spans="1:89" ht="12.75" customHeight="1">
      <c r="A58" s="610"/>
      <c r="BM58" s="375"/>
      <c r="BN58" s="375"/>
      <c r="BO58" s="375"/>
      <c r="BP58" s="375"/>
      <c r="BQ58" s="375"/>
      <c r="BR58" s="375"/>
      <c r="BS58" s="375"/>
      <c r="BT58" s="375"/>
      <c r="BU58" s="375"/>
      <c r="BV58" s="375"/>
      <c r="BW58" s="375"/>
      <c r="BX58" s="375"/>
      <c r="BY58" s="375"/>
      <c r="BZ58" s="375"/>
      <c r="CA58" s="375"/>
      <c r="CB58" s="375"/>
      <c r="CC58" s="375"/>
      <c r="CD58" s="375"/>
      <c r="CE58" s="375"/>
      <c r="CF58" s="375"/>
      <c r="CG58" s="375"/>
      <c r="CH58" s="375"/>
      <c r="CI58" s="375"/>
    </row>
    <row r="59" spans="1:89" ht="12.75" customHeight="1">
      <c r="A59" s="612" t="s">
        <v>187</v>
      </c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  <c r="BY59" s="375"/>
      <c r="BZ59" s="375"/>
      <c r="CA59" s="375"/>
      <c r="CB59" s="375"/>
      <c r="CC59" s="375"/>
      <c r="CD59" s="375"/>
      <c r="CE59" s="375"/>
      <c r="CF59" s="375"/>
      <c r="CG59" s="375"/>
      <c r="CH59" s="375"/>
      <c r="CI59" s="375"/>
    </row>
    <row r="60" spans="1:89" ht="12.75" customHeight="1">
      <c r="A60" s="615" t="s">
        <v>188</v>
      </c>
      <c r="B60" s="759">
        <f ca="1">SUM(OFFSET(BM60:BY60,0,'Bal Sheet'!$A$1-1))/13</f>
        <v>9272490.9161538463</v>
      </c>
      <c r="C60" s="759">
        <f t="shared" ref="C60:C62" si="130">+CJ60</f>
        <v>18307526.029999997</v>
      </c>
      <c r="D60" s="604">
        <v>63186365.040000021</v>
      </c>
      <c r="E60" s="604">
        <v>63299749.460000023</v>
      </c>
      <c r="F60" s="604">
        <v>64013190.300000019</v>
      </c>
      <c r="G60" s="604">
        <v>65037885.810000017</v>
      </c>
      <c r="H60" s="604">
        <v>66057458.430000015</v>
      </c>
      <c r="I60" s="604">
        <v>74688194.770000026</v>
      </c>
      <c r="J60" s="604">
        <v>75720809.480000019</v>
      </c>
      <c r="K60" s="604">
        <v>76402269.26000002</v>
      </c>
      <c r="L60" s="604">
        <v>77636036.670000032</v>
      </c>
      <c r="M60" s="604">
        <v>78268987.610000014</v>
      </c>
      <c r="N60" s="604">
        <v>78729882.570000023</v>
      </c>
      <c r="O60" s="604">
        <v>90975396.570000008</v>
      </c>
      <c r="P60" s="604">
        <v>102328472.39</v>
      </c>
      <c r="Q60" s="604">
        <v>104842647.75</v>
      </c>
      <c r="R60" s="604">
        <v>113558871.94</v>
      </c>
      <c r="S60" s="604">
        <v>117780961.27</v>
      </c>
      <c r="T60" s="604">
        <v>119663024.64</v>
      </c>
      <c r="U60" s="604">
        <v>124113902.31999999</v>
      </c>
      <c r="V60" s="604">
        <v>126676821.84999998</v>
      </c>
      <c r="W60" s="604">
        <v>132156394.92999999</v>
      </c>
      <c r="X60" s="604">
        <v>133412201.91999999</v>
      </c>
      <c r="Y60" s="604">
        <v>137648354.22999999</v>
      </c>
      <c r="Z60" s="604">
        <v>139306414.04999998</v>
      </c>
      <c r="AA60" s="604">
        <v>149696554.75999996</v>
      </c>
      <c r="AB60" s="604">
        <v>153357726.59999999</v>
      </c>
      <c r="AC60" s="604">
        <v>154506678.88</v>
      </c>
      <c r="AD60" s="604">
        <v>158092939.60999998</v>
      </c>
      <c r="AE60" s="604">
        <v>167983523.79999998</v>
      </c>
      <c r="AF60" s="604">
        <v>170148074.82999998</v>
      </c>
      <c r="AG60" s="604">
        <v>172538906.02999997</v>
      </c>
      <c r="AH60" s="604">
        <v>173309583.75999999</v>
      </c>
      <c r="AI60" s="604">
        <v>174995999.49999997</v>
      </c>
      <c r="AJ60" s="604">
        <v>180111096.35999998</v>
      </c>
      <c r="AK60" s="604">
        <v>180951537.91</v>
      </c>
      <c r="AL60" s="604">
        <v>183659739.06999999</v>
      </c>
      <c r="AM60" s="604">
        <v>188947164.52999997</v>
      </c>
      <c r="AN60" s="345">
        <v>-7287591.3399999887</v>
      </c>
      <c r="AO60" s="345">
        <v>-2189034.8299999959</v>
      </c>
      <c r="AP60" s="345">
        <v>515477.82000000373</v>
      </c>
      <c r="AQ60" s="345">
        <v>3388862.0200000051</v>
      </c>
      <c r="AR60" s="345">
        <v>4968066.8700000048</v>
      </c>
      <c r="AS60" s="345">
        <v>5596371.4000000041</v>
      </c>
      <c r="AT60" s="345">
        <v>6821206.4200000027</v>
      </c>
      <c r="AU60" s="345">
        <v>8229844.8100000052</v>
      </c>
      <c r="AV60" s="345">
        <v>9026223.9400000032</v>
      </c>
      <c r="AW60" s="345">
        <v>10812683</v>
      </c>
      <c r="AX60" s="345">
        <v>11678453</v>
      </c>
      <c r="AY60" s="345">
        <v>13270799</v>
      </c>
      <c r="AZ60" s="345">
        <v>23549936</v>
      </c>
      <c r="BA60" s="345">
        <v>24162828.690000013</v>
      </c>
      <c r="BB60" s="345">
        <v>25796659.430000007</v>
      </c>
      <c r="BC60" s="345">
        <v>26473105.260000009</v>
      </c>
      <c r="BD60" s="345">
        <v>26799696.290000007</v>
      </c>
      <c r="BE60" s="345">
        <v>28198596.610000011</v>
      </c>
      <c r="BF60" s="345">
        <v>31923830.230000012</v>
      </c>
      <c r="BG60" s="345">
        <v>32201041.250000011</v>
      </c>
      <c r="BH60" s="587">
        <v>33102142.800000016</v>
      </c>
      <c r="BI60" s="587">
        <v>33137383.81000001</v>
      </c>
      <c r="BJ60" s="587">
        <v>33493313.760000013</v>
      </c>
      <c r="BK60" s="587">
        <v>34074019.640000015</v>
      </c>
      <c r="BL60" s="587">
        <v>35006918.610000014</v>
      </c>
      <c r="BM60" s="587">
        <v>45168308.820000015</v>
      </c>
      <c r="BN60" s="587">
        <v>53875040.730000019</v>
      </c>
      <c r="BO60" s="587">
        <v>61078307.160000011</v>
      </c>
      <c r="BP60" s="587">
        <v>66971672.980000004</v>
      </c>
      <c r="BQ60" s="587">
        <v>71815084.600000009</v>
      </c>
      <c r="BR60" s="587">
        <v>76002407.069999993</v>
      </c>
      <c r="BS60" s="587">
        <v>79697662.670000002</v>
      </c>
      <c r="BT60" s="587">
        <v>82745394.620000005</v>
      </c>
      <c r="BU60" s="587">
        <v>85297820.080000013</v>
      </c>
      <c r="BV60" s="587">
        <v>87608974.180000007</v>
      </c>
      <c r="BW60" s="587">
        <v>89739174.75</v>
      </c>
      <c r="BX60" s="1100"/>
      <c r="BY60" s="587">
        <v>1575601.5</v>
      </c>
      <c r="BZ60" s="587">
        <v>3282503.13</v>
      </c>
      <c r="CA60" s="587">
        <v>4943041.3499999996</v>
      </c>
      <c r="CB60" s="587">
        <v>6375687.5099999998</v>
      </c>
      <c r="CC60" s="587">
        <v>7830533.6299999999</v>
      </c>
      <c r="CD60" s="587">
        <v>9302029.7200000007</v>
      </c>
      <c r="CE60" s="587">
        <v>10786013.290000001</v>
      </c>
      <c r="CF60" s="587">
        <v>12279362.470000001</v>
      </c>
      <c r="CG60" s="587">
        <v>13779735.850000001</v>
      </c>
      <c r="CH60" s="587">
        <v>15285377.390000001</v>
      </c>
      <c r="CI60" s="587">
        <v>16794970.039999999</v>
      </c>
      <c r="CJ60" s="587">
        <v>18307526.029999997</v>
      </c>
    </row>
    <row r="61" spans="1:89" ht="12.75" customHeight="1">
      <c r="A61" s="615" t="s">
        <v>189</v>
      </c>
      <c r="B61" s="759">
        <f ca="1">SUM(OFFSET(BM61:BY61,0,'Bal Sheet'!$A$1-1))/13</f>
        <v>40390.593846153854</v>
      </c>
      <c r="C61" s="759">
        <f t="shared" si="130"/>
        <v>119437.51000000001</v>
      </c>
      <c r="D61" s="604">
        <v>3099828.4200000004</v>
      </c>
      <c r="E61" s="604">
        <v>3223490.72</v>
      </c>
      <c r="F61" s="604">
        <v>3347450.3000000003</v>
      </c>
      <c r="G61" s="604">
        <v>3472857</v>
      </c>
      <c r="H61" s="604">
        <v>3600324.73</v>
      </c>
      <c r="I61" s="604">
        <v>3730271.69</v>
      </c>
      <c r="J61" s="604">
        <v>3877946.6599999997</v>
      </c>
      <c r="K61" s="604">
        <v>4027397.27</v>
      </c>
      <c r="L61" s="604">
        <v>4178286</v>
      </c>
      <c r="M61" s="604">
        <v>4331479.07</v>
      </c>
      <c r="N61" s="604">
        <v>4485834.16</v>
      </c>
      <c r="O61" s="604">
        <v>4641027.87</v>
      </c>
      <c r="P61" s="604">
        <v>4820764.72</v>
      </c>
      <c r="Q61" s="604">
        <v>4943899.68</v>
      </c>
      <c r="R61" s="604">
        <v>5068884.25</v>
      </c>
      <c r="S61" s="604">
        <v>5204203.25</v>
      </c>
      <c r="T61" s="604">
        <v>5344590.01</v>
      </c>
      <c r="U61" s="604">
        <v>5487218.8199999994</v>
      </c>
      <c r="V61" s="604">
        <v>5635187.2699999996</v>
      </c>
      <c r="W61" s="604">
        <v>5785690.3099999996</v>
      </c>
      <c r="X61" s="604">
        <v>5942733.959999999</v>
      </c>
      <c r="Y61" s="604">
        <v>6101292.5299999993</v>
      </c>
      <c r="Z61" s="604">
        <v>6264815.6199999992</v>
      </c>
      <c r="AA61" s="604">
        <v>6429857.0799999991</v>
      </c>
      <c r="AB61" s="604">
        <v>6607342.209999999</v>
      </c>
      <c r="AC61" s="604">
        <v>6788909.2800000012</v>
      </c>
      <c r="AD61" s="604">
        <v>6971313.2600000007</v>
      </c>
      <c r="AE61" s="604">
        <v>7157519.5500000007</v>
      </c>
      <c r="AF61" s="604">
        <v>7355088</v>
      </c>
      <c r="AG61" s="604">
        <v>7555168.2599999998</v>
      </c>
      <c r="AH61" s="604">
        <v>7757791.1900000004</v>
      </c>
      <c r="AI61" s="604">
        <v>7961268.1300000008</v>
      </c>
      <c r="AJ61" s="604">
        <v>8166504.9300000006</v>
      </c>
      <c r="AK61" s="604">
        <v>8377747.9000000013</v>
      </c>
      <c r="AL61" s="604">
        <v>8589931.9500000011</v>
      </c>
      <c r="AM61" s="604">
        <v>8805381.6300000008</v>
      </c>
      <c r="AN61" s="345">
        <v>-153215.52999999945</v>
      </c>
      <c r="AO61" s="345">
        <v>-163187.38999999943</v>
      </c>
      <c r="AP61" s="345">
        <v>-165092.52999999945</v>
      </c>
      <c r="AQ61" s="345">
        <v>-164690.59999999945</v>
      </c>
      <c r="AR61" s="345">
        <v>-160656.20999999944</v>
      </c>
      <c r="AS61" s="345">
        <v>-154971.62999999942</v>
      </c>
      <c r="AT61" s="345">
        <v>-148462.67999999941</v>
      </c>
      <c r="AU61" s="345">
        <v>-140661.74999999942</v>
      </c>
      <c r="AV61" s="345">
        <v>-131347.2299999994</v>
      </c>
      <c r="AW61" s="345">
        <v>-121173</v>
      </c>
      <c r="AX61" s="345">
        <v>-109142</v>
      </c>
      <c r="AY61" s="345">
        <v>-96396</v>
      </c>
      <c r="AZ61" s="345">
        <v>-82003</v>
      </c>
      <c r="BA61" s="345">
        <v>-54312.42999999944</v>
      </c>
      <c r="BB61" s="345">
        <v>-25961.709999999439</v>
      </c>
      <c r="BC61" s="345">
        <v>4385.0000000005548</v>
      </c>
      <c r="BD61" s="345">
        <v>35735.630000000543</v>
      </c>
      <c r="BE61" s="345">
        <v>67474.550000000541</v>
      </c>
      <c r="BF61" s="345">
        <v>101054.02000000053</v>
      </c>
      <c r="BG61" s="345">
        <v>138467.14000000051</v>
      </c>
      <c r="BH61" s="587">
        <v>176162.55000000051</v>
      </c>
      <c r="BI61" s="587">
        <v>215045.81000000052</v>
      </c>
      <c r="BJ61" s="587">
        <v>254014.39000000054</v>
      </c>
      <c r="BK61" s="587">
        <v>293460.51000000053</v>
      </c>
      <c r="BL61" s="587">
        <v>333356.14000000054</v>
      </c>
      <c r="BM61" s="587">
        <v>369435.70000000059</v>
      </c>
      <c r="BN61" s="587">
        <v>418244.43000000058</v>
      </c>
      <c r="BO61" s="587">
        <v>477891.28000000061</v>
      </c>
      <c r="BP61" s="587">
        <v>546421.74000000057</v>
      </c>
      <c r="BQ61" s="587">
        <v>622132.94000000064</v>
      </c>
      <c r="BR61" s="587">
        <v>703659.94000000064</v>
      </c>
      <c r="BS61" s="587">
        <v>790149.83000000054</v>
      </c>
      <c r="BT61" s="587">
        <v>880962.9100000005</v>
      </c>
      <c r="BU61" s="587">
        <v>975257.40000000061</v>
      </c>
      <c r="BV61" s="587">
        <v>1072389.4200000004</v>
      </c>
      <c r="BW61" s="587">
        <v>1172045.3000000005</v>
      </c>
      <c r="BX61" s="1100"/>
      <c r="BY61" s="587">
        <v>0</v>
      </c>
      <c r="BZ61" s="587">
        <v>1849.54</v>
      </c>
      <c r="CA61" s="587">
        <v>5745.57</v>
      </c>
      <c r="CB61" s="587">
        <v>11618.55</v>
      </c>
      <c r="CC61" s="587">
        <v>19126.64</v>
      </c>
      <c r="CD61" s="587">
        <v>28303.14</v>
      </c>
      <c r="CE61" s="587">
        <v>39173.020000000004</v>
      </c>
      <c r="CF61" s="587">
        <v>51755.020000000004</v>
      </c>
      <c r="CG61" s="587">
        <v>66063.180000000008</v>
      </c>
      <c r="CH61" s="587">
        <v>82108.040000000008</v>
      </c>
      <c r="CI61" s="587">
        <v>99897.510000000009</v>
      </c>
      <c r="CJ61" s="587">
        <v>119437.51000000001</v>
      </c>
    </row>
    <row r="62" spans="1:89" ht="12.75" customHeight="1">
      <c r="A62" s="615" t="s">
        <v>190</v>
      </c>
      <c r="B62" s="759">
        <f ca="1">SUM(OFFSET(BM62:BY62,0,'Bal Sheet'!$A$1-1))/13</f>
        <v>1178305.6992307694</v>
      </c>
      <c r="C62" s="759">
        <f t="shared" si="130"/>
        <v>1494775.9700000004</v>
      </c>
      <c r="D62" s="604">
        <v>4694833.6099999966</v>
      </c>
      <c r="E62" s="604">
        <v>5356792.7499999991</v>
      </c>
      <c r="F62" s="604">
        <v>7332819.4900000002</v>
      </c>
      <c r="G62" s="604">
        <v>8411296.9399999995</v>
      </c>
      <c r="H62" s="604">
        <v>9905674.5899999999</v>
      </c>
      <c r="I62" s="604">
        <v>4861328.6099999994</v>
      </c>
      <c r="J62" s="604">
        <v>7096031.9500000002</v>
      </c>
      <c r="K62" s="604">
        <v>9430503.7700000014</v>
      </c>
      <c r="L62" s="604">
        <v>12817846.270000001</v>
      </c>
      <c r="M62" s="604">
        <v>16754000.42</v>
      </c>
      <c r="N62" s="604">
        <v>23977105.809999999</v>
      </c>
      <c r="O62" s="604">
        <v>16212582.159999996</v>
      </c>
      <c r="P62" s="604">
        <v>8478828.1999999955</v>
      </c>
      <c r="Q62" s="604">
        <v>9729900.1500000004</v>
      </c>
      <c r="R62" s="604">
        <v>3006468.8600000013</v>
      </c>
      <c r="S62" s="604">
        <v>3472281.3000000007</v>
      </c>
      <c r="T62" s="604">
        <v>4438564.4000000013</v>
      </c>
      <c r="U62" s="604">
        <v>4865942.200000003</v>
      </c>
      <c r="V62" s="604">
        <v>8557835.070000004</v>
      </c>
      <c r="W62" s="604">
        <v>7084136.2200000044</v>
      </c>
      <c r="X62" s="604">
        <v>11515318.260000004</v>
      </c>
      <c r="Y62" s="604">
        <v>9839324.7300000023</v>
      </c>
      <c r="Z62" s="604">
        <v>13615076.670000002</v>
      </c>
      <c r="AA62" s="604">
        <v>8218583.2500000093</v>
      </c>
      <c r="AB62" s="604">
        <v>10696533.930000005</v>
      </c>
      <c r="AC62" s="604">
        <v>12490816.810000006</v>
      </c>
      <c r="AD62" s="604">
        <v>11355400.310000006</v>
      </c>
      <c r="AE62" s="604">
        <v>5601978.620000002</v>
      </c>
      <c r="AF62" s="604">
        <v>5754830.4700000072</v>
      </c>
      <c r="AG62" s="604">
        <v>6938960.4900000077</v>
      </c>
      <c r="AH62" s="604">
        <v>8967751.6100000031</v>
      </c>
      <c r="AI62" s="604">
        <v>12024238.880000001</v>
      </c>
      <c r="AJ62" s="604">
        <v>10102598.510000009</v>
      </c>
      <c r="AK62" s="604">
        <v>12309243.790000007</v>
      </c>
      <c r="AL62" s="604">
        <v>14357560.670000006</v>
      </c>
      <c r="AM62" s="604">
        <v>12700799.160000008</v>
      </c>
      <c r="AN62" s="345">
        <v>4907302.0199999986</v>
      </c>
      <c r="AO62" s="345">
        <v>2319854.9499999983</v>
      </c>
      <c r="AP62" s="345">
        <v>3524153.8599999985</v>
      </c>
      <c r="AQ62" s="345">
        <v>4408930.5799999982</v>
      </c>
      <c r="AR62" s="345">
        <v>5911920.629999998</v>
      </c>
      <c r="AS62" s="345">
        <v>6669148.5099999988</v>
      </c>
      <c r="AT62" s="345">
        <v>8995091.5600000005</v>
      </c>
      <c r="AU62" s="345">
        <v>9683800.120000001</v>
      </c>
      <c r="AV62" s="345">
        <v>10904281.079999998</v>
      </c>
      <c r="AW62" s="345">
        <v>13613276</v>
      </c>
      <c r="AX62" s="345">
        <v>16499703</v>
      </c>
      <c r="AY62" s="345">
        <v>18104785</v>
      </c>
      <c r="AZ62" s="345">
        <v>17609019</v>
      </c>
      <c r="BA62" s="345">
        <v>19063994.659999989</v>
      </c>
      <c r="BB62" s="345">
        <v>21502720.589999989</v>
      </c>
      <c r="BC62" s="345">
        <v>21532547.269999988</v>
      </c>
      <c r="BD62" s="345">
        <v>25338716.019999988</v>
      </c>
      <c r="BE62" s="345">
        <v>25088444.069999989</v>
      </c>
      <c r="BF62" s="345">
        <v>23154816.789999988</v>
      </c>
      <c r="BG62" s="345">
        <v>24265890.989999987</v>
      </c>
      <c r="BH62" s="587">
        <v>25424090.25999999</v>
      </c>
      <c r="BI62" s="587">
        <v>27187158.869999994</v>
      </c>
      <c r="BJ62" s="587">
        <v>29366428.499999996</v>
      </c>
      <c r="BK62" s="587">
        <v>30732956.279999997</v>
      </c>
      <c r="BL62" s="587">
        <v>34717713.829999998</v>
      </c>
      <c r="BM62" s="587">
        <v>26532272.619999997</v>
      </c>
      <c r="BN62" s="587">
        <v>20590425.709999997</v>
      </c>
      <c r="BO62" s="587">
        <v>16128039.279999997</v>
      </c>
      <c r="BP62" s="587">
        <v>12716481.459999997</v>
      </c>
      <c r="BQ62" s="587">
        <v>10092124.839999998</v>
      </c>
      <c r="BR62" s="587">
        <v>8123857.3699999973</v>
      </c>
      <c r="BS62" s="587">
        <v>6647656.7699999977</v>
      </c>
      <c r="BT62" s="587">
        <v>5447681.8199999975</v>
      </c>
      <c r="BU62" s="587">
        <v>4482596.3599999975</v>
      </c>
      <c r="BV62" s="587">
        <v>3758782.259999997</v>
      </c>
      <c r="BW62" s="587">
        <v>3215921.6899999976</v>
      </c>
      <c r="BX62" s="1100"/>
      <c r="BY62" s="587">
        <v>525200.5</v>
      </c>
      <c r="BZ62" s="587">
        <v>919100.87000000011</v>
      </c>
      <c r="CA62" s="587">
        <v>1166246.6500000001</v>
      </c>
      <c r="CB62" s="587">
        <v>1255046.4900000005</v>
      </c>
      <c r="CC62" s="587">
        <v>1321646.3700000001</v>
      </c>
      <c r="CD62" s="587">
        <v>1371596.28</v>
      </c>
      <c r="CE62" s="587">
        <v>1409058.7100000002</v>
      </c>
      <c r="CF62" s="587">
        <v>1437155.53</v>
      </c>
      <c r="CG62" s="587">
        <v>1458228.1500000004</v>
      </c>
      <c r="CH62" s="587">
        <v>1474032.6100000003</v>
      </c>
      <c r="CI62" s="587">
        <v>1485885.9600000004</v>
      </c>
      <c r="CJ62" s="587">
        <v>1494775.9700000004</v>
      </c>
    </row>
    <row r="63" spans="1:89" ht="12.75" customHeight="1">
      <c r="A63" s="613" t="s">
        <v>61</v>
      </c>
      <c r="B63" s="1081">
        <f ca="1">SUM(OFFSET(BM63:BX63,0,'Bal Sheet'!$A$1))</f>
        <v>700770.9700000002</v>
      </c>
      <c r="C63" s="1082">
        <f t="shared" ref="C63:C69" si="131">SUM(BY63:CJ63)</f>
        <v>700770.9700000002</v>
      </c>
      <c r="D63" s="604">
        <v>415205.38</v>
      </c>
      <c r="E63" s="604">
        <v>1340328.96</v>
      </c>
      <c r="F63" s="604">
        <v>1171912.9099999999</v>
      </c>
      <c r="G63" s="604">
        <v>957492.44</v>
      </c>
      <c r="H63" s="604">
        <v>989123.93</v>
      </c>
      <c r="I63" s="604">
        <v>795287.36</v>
      </c>
      <c r="J63" s="604">
        <v>753841.36</v>
      </c>
      <c r="K63" s="604">
        <v>672017.25</v>
      </c>
      <c r="L63" s="604">
        <v>647836.43055000005</v>
      </c>
      <c r="M63" s="604">
        <v>711619.44290000002</v>
      </c>
      <c r="N63" s="604">
        <v>653539.17355000007</v>
      </c>
      <c r="O63" s="604">
        <v>723845.91334999993</v>
      </c>
      <c r="P63" s="604">
        <v>982508.73</v>
      </c>
      <c r="Q63" s="604">
        <v>1192927.77</v>
      </c>
      <c r="R63" s="604">
        <v>1200026.3999999999</v>
      </c>
      <c r="S63" s="604">
        <v>1002030.98</v>
      </c>
      <c r="T63" s="604">
        <v>928291.85</v>
      </c>
      <c r="U63" s="604">
        <v>834210.52</v>
      </c>
      <c r="V63" s="604">
        <v>715446.95</v>
      </c>
      <c r="W63" s="604">
        <v>678948.45</v>
      </c>
      <c r="X63" s="604">
        <v>672993.03</v>
      </c>
      <c r="Y63" s="604">
        <v>690986.28</v>
      </c>
      <c r="Z63" s="604">
        <v>689084.13</v>
      </c>
      <c r="AA63" s="604">
        <v>775406.97</v>
      </c>
      <c r="AB63" s="604">
        <v>1058406.8500000001</v>
      </c>
      <c r="AC63" s="604">
        <v>2113054.27</v>
      </c>
      <c r="AD63" s="604">
        <v>2057696.28</v>
      </c>
      <c r="AE63" s="604">
        <v>1918402.13</v>
      </c>
      <c r="AF63" s="604">
        <v>1444361.54</v>
      </c>
      <c r="AG63" s="604">
        <v>1285441.3799999999</v>
      </c>
      <c r="AH63" s="604">
        <v>1282825.82</v>
      </c>
      <c r="AI63" s="604">
        <v>1174816.1299999999</v>
      </c>
      <c r="AJ63" s="604">
        <v>1166827.98</v>
      </c>
      <c r="AK63" s="604">
        <v>1155548.96</v>
      </c>
      <c r="AL63" s="604">
        <v>1233487.53</v>
      </c>
      <c r="AM63" s="604">
        <v>1427128.08</v>
      </c>
      <c r="AN63" s="345">
        <v>1874326.41</v>
      </c>
      <c r="AO63" s="345">
        <v>629572.49</v>
      </c>
      <c r="AP63" s="345">
        <v>575422.13</v>
      </c>
      <c r="AQ63" s="345">
        <v>493924.82</v>
      </c>
      <c r="AR63" s="345">
        <v>482308.89</v>
      </c>
      <c r="AS63" s="345">
        <v>400065.18</v>
      </c>
      <c r="AT63" s="345">
        <v>371791.02</v>
      </c>
      <c r="AU63" s="345">
        <v>360971.6</v>
      </c>
      <c r="AV63" s="345">
        <v>325641.36</v>
      </c>
      <c r="AW63" s="345">
        <v>347568</v>
      </c>
      <c r="AX63" s="345">
        <v>339857</v>
      </c>
      <c r="AY63" s="345">
        <v>392180</v>
      </c>
      <c r="AZ63" s="345">
        <v>512979</v>
      </c>
      <c r="BA63" s="345">
        <v>543375.56000000006</v>
      </c>
      <c r="BB63" s="345">
        <v>586569.39</v>
      </c>
      <c r="BC63" s="345">
        <v>503055.91</v>
      </c>
      <c r="BD63" s="345">
        <v>451733.47</v>
      </c>
      <c r="BE63" s="345">
        <v>418513.73</v>
      </c>
      <c r="BF63" s="345">
        <v>363653.61</v>
      </c>
      <c r="BG63" s="345">
        <v>333372.26</v>
      </c>
      <c r="BH63" s="587">
        <v>321373.3</v>
      </c>
      <c r="BI63" s="587">
        <v>334171.40999999997</v>
      </c>
      <c r="BJ63" s="587">
        <v>365533.63</v>
      </c>
      <c r="BK63" s="587">
        <v>389867.52000000002</v>
      </c>
      <c r="BL63" s="587">
        <v>467477.58</v>
      </c>
      <c r="BM63" s="587">
        <v>1007521.19</v>
      </c>
      <c r="BN63" s="587">
        <v>973264.47</v>
      </c>
      <c r="BO63" s="587">
        <v>858066.57</v>
      </c>
      <c r="BP63" s="587">
        <v>762543.54</v>
      </c>
      <c r="BQ63" s="587">
        <v>672354.91</v>
      </c>
      <c r="BR63" s="587">
        <v>626836.01</v>
      </c>
      <c r="BS63" s="587">
        <v>595794.52</v>
      </c>
      <c r="BT63" s="587">
        <v>574898.30000000005</v>
      </c>
      <c r="BU63" s="587">
        <v>589132.39</v>
      </c>
      <c r="BV63" s="587">
        <v>596276.51</v>
      </c>
      <c r="BW63" s="587">
        <v>674243.8</v>
      </c>
      <c r="BX63" s="1100"/>
      <c r="BY63" s="587">
        <v>92395.1</v>
      </c>
      <c r="BZ63" s="587">
        <v>88148.67</v>
      </c>
      <c r="CA63" s="587">
        <v>73868.87</v>
      </c>
      <c r="CB63" s="587">
        <v>62027.95</v>
      </c>
      <c r="CC63" s="587">
        <v>50848.28</v>
      </c>
      <c r="CD63" s="587">
        <v>45205.81</v>
      </c>
      <c r="CE63" s="587">
        <v>41357.949999999997</v>
      </c>
      <c r="CF63" s="587">
        <v>38767.68</v>
      </c>
      <c r="CG63" s="587">
        <v>40532.120000000003</v>
      </c>
      <c r="CH63" s="587">
        <v>41417.69</v>
      </c>
      <c r="CI63" s="587">
        <v>51082.42</v>
      </c>
      <c r="CJ63" s="587">
        <v>75118.429999999993</v>
      </c>
    </row>
    <row r="64" spans="1:89" ht="12.75" customHeight="1">
      <c r="A64" s="615" t="s">
        <v>191</v>
      </c>
      <c r="B64" s="1081">
        <f ca="1">SUM(OFFSET(BM64:BX64,0,'Bal Sheet'!$A$1))</f>
        <v>3503.85</v>
      </c>
      <c r="C64" s="1082">
        <f t="shared" si="131"/>
        <v>3503.85</v>
      </c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>
        <v>5010.1499999999996</v>
      </c>
      <c r="T64" s="604">
        <v>4641.46</v>
      </c>
      <c r="U64" s="604">
        <v>4171.05</v>
      </c>
      <c r="V64" s="604">
        <v>3577.23</v>
      </c>
      <c r="W64" s="604">
        <v>3394.74</v>
      </c>
      <c r="X64" s="604">
        <v>3364.97</v>
      </c>
      <c r="Y64" s="604">
        <v>3454.93</v>
      </c>
      <c r="Z64" s="604">
        <v>3445.42</v>
      </c>
      <c r="AA64" s="604">
        <v>3877.03</v>
      </c>
      <c r="AB64" s="604">
        <v>5292.03</v>
      </c>
      <c r="AC64" s="440">
        <v>10565.27</v>
      </c>
      <c r="AD64" s="440">
        <v>10288.48</v>
      </c>
      <c r="AE64" s="440">
        <v>9592.01</v>
      </c>
      <c r="AF64" s="440">
        <v>7221.81</v>
      </c>
      <c r="AG64" s="440">
        <v>6427.21</v>
      </c>
      <c r="AH64" s="440">
        <v>6414.13</v>
      </c>
      <c r="AI64" s="440">
        <v>5874.08</v>
      </c>
      <c r="AJ64" s="440">
        <v>5834.14</v>
      </c>
      <c r="AK64" s="440">
        <v>5777.74</v>
      </c>
      <c r="AL64" s="440">
        <v>6167.44</v>
      </c>
      <c r="AM64" s="440">
        <v>7135.64</v>
      </c>
      <c r="AN64" s="440">
        <v>9371.6299999999992</v>
      </c>
      <c r="AO64" s="440">
        <v>3147.86</v>
      </c>
      <c r="AP64" s="440">
        <v>2877.11</v>
      </c>
      <c r="AQ64" s="440">
        <v>2469.62</v>
      </c>
      <c r="AR64" s="440">
        <v>2411.54</v>
      </c>
      <c r="AS64" s="440">
        <v>2000.33</v>
      </c>
      <c r="AT64" s="440">
        <v>1858.96</v>
      </c>
      <c r="AU64" s="440">
        <v>1804.86</v>
      </c>
      <c r="AV64" s="803">
        <v>1628.21</v>
      </c>
      <c r="AW64" s="803">
        <v>1738</v>
      </c>
      <c r="AX64" s="803">
        <v>1699</v>
      </c>
      <c r="AY64" s="803">
        <v>1961</v>
      </c>
      <c r="AZ64" s="803">
        <v>2567</v>
      </c>
      <c r="BA64" s="803">
        <v>2716.88</v>
      </c>
      <c r="BB64" s="803">
        <v>2932.85</v>
      </c>
      <c r="BC64" s="803">
        <v>2515.2800000000002</v>
      </c>
      <c r="BD64" s="803">
        <v>2258.67</v>
      </c>
      <c r="BE64" s="803">
        <v>2092.5700000000002</v>
      </c>
      <c r="BF64" s="803">
        <v>1818.27</v>
      </c>
      <c r="BG64" s="803">
        <v>1666.86</v>
      </c>
      <c r="BH64" s="586">
        <v>1606.08</v>
      </c>
      <c r="BI64" s="586">
        <v>1670.09</v>
      </c>
      <c r="BJ64" s="586">
        <v>1827.75</v>
      </c>
      <c r="BK64" s="586">
        <v>1948.94</v>
      </c>
      <c r="BL64" s="586">
        <v>2335.8000000000002</v>
      </c>
      <c r="BM64" s="586">
        <v>5037.6099999999997</v>
      </c>
      <c r="BN64" s="586">
        <v>4866.32</v>
      </c>
      <c r="BO64" s="586">
        <v>4290.33</v>
      </c>
      <c r="BP64" s="586">
        <v>3812.72</v>
      </c>
      <c r="BQ64" s="586">
        <v>3361.77</v>
      </c>
      <c r="BR64" s="586">
        <v>3134.18</v>
      </c>
      <c r="BS64" s="586">
        <v>2978.97</v>
      </c>
      <c r="BT64" s="586">
        <v>2874.49</v>
      </c>
      <c r="BU64" s="586">
        <v>2945.66</v>
      </c>
      <c r="BV64" s="586">
        <v>2981.38</v>
      </c>
      <c r="BW64" s="586">
        <v>3371.22</v>
      </c>
      <c r="BX64" s="1101"/>
      <c r="BY64" s="586">
        <v>461.98</v>
      </c>
      <c r="BZ64" s="586">
        <v>440.74</v>
      </c>
      <c r="CA64" s="586">
        <v>369.34</v>
      </c>
      <c r="CB64" s="586">
        <v>310.14</v>
      </c>
      <c r="CC64" s="586">
        <v>254.24</v>
      </c>
      <c r="CD64" s="586">
        <v>226.03</v>
      </c>
      <c r="CE64" s="586">
        <v>206.79</v>
      </c>
      <c r="CF64" s="586">
        <v>193.84</v>
      </c>
      <c r="CG64" s="586">
        <v>202.66</v>
      </c>
      <c r="CH64" s="586">
        <v>207.09</v>
      </c>
      <c r="CI64" s="586">
        <v>255.41</v>
      </c>
      <c r="CJ64" s="586">
        <v>375.59</v>
      </c>
    </row>
    <row r="65" spans="1:89" ht="12.75" customHeight="1">
      <c r="A65" s="613" t="s">
        <v>192</v>
      </c>
      <c r="B65" s="1081">
        <f ca="1">SUM(OFFSET(BM65:BX65,0,'Bal Sheet'!$A$1))</f>
        <v>-597622</v>
      </c>
      <c r="C65" s="1082">
        <f t="shared" si="131"/>
        <v>-597622</v>
      </c>
      <c r="D65" s="604">
        <v>-262279</v>
      </c>
      <c r="E65" s="604">
        <v>0</v>
      </c>
      <c r="F65" s="604">
        <v>0</v>
      </c>
      <c r="G65" s="604">
        <v>0</v>
      </c>
      <c r="H65" s="604">
        <v>0</v>
      </c>
      <c r="I65" s="604">
        <v>0</v>
      </c>
      <c r="J65" s="604">
        <v>-30851</v>
      </c>
      <c r="K65" s="604">
        <v>-136031</v>
      </c>
      <c r="L65" s="604">
        <v>-178782</v>
      </c>
      <c r="M65" s="604">
        <v>-148132</v>
      </c>
      <c r="N65" s="604">
        <v>-259413</v>
      </c>
      <c r="O65" s="604">
        <v>-216793</v>
      </c>
      <c r="P65" s="604">
        <v>-7586</v>
      </c>
      <c r="Q65" s="604">
        <v>-119764</v>
      </c>
      <c r="R65" s="604">
        <v>-174835</v>
      </c>
      <c r="S65" s="604">
        <v>-119764</v>
      </c>
      <c r="T65" s="604">
        <v>-119764</v>
      </c>
      <c r="U65" s="604">
        <v>-237165</v>
      </c>
      <c r="V65" s="604">
        <v>-395217</v>
      </c>
      <c r="W65" s="604">
        <v>-466508</v>
      </c>
      <c r="X65" s="604">
        <v>-508998</v>
      </c>
      <c r="Y65" s="604">
        <v>-517878</v>
      </c>
      <c r="Z65" s="604">
        <v>-505985</v>
      </c>
      <c r="AA65" s="604">
        <v>-489780</v>
      </c>
      <c r="AB65" s="604">
        <v>-519278</v>
      </c>
      <c r="AC65" s="604">
        <v>0</v>
      </c>
      <c r="AD65" s="604">
        <v>0</v>
      </c>
      <c r="AE65" s="604">
        <v>0</v>
      </c>
      <c r="AF65" s="604">
        <v>-280180</v>
      </c>
      <c r="AG65" s="604">
        <v>-459211</v>
      </c>
      <c r="AH65" s="604">
        <v>-484349</v>
      </c>
      <c r="AI65" s="604">
        <v>-616565</v>
      </c>
      <c r="AJ65" s="604">
        <v>-651473</v>
      </c>
      <c r="AK65" s="604">
        <v>-688199</v>
      </c>
      <c r="AL65" s="604">
        <v>-636298</v>
      </c>
      <c r="AM65" s="604">
        <v>-473631</v>
      </c>
      <c r="AN65" s="604">
        <v>-65713</v>
      </c>
      <c r="AO65" s="345">
        <v>0</v>
      </c>
      <c r="AP65" s="345">
        <v>0</v>
      </c>
      <c r="AQ65" s="345">
        <v>0</v>
      </c>
      <c r="AR65" s="345">
        <v>0</v>
      </c>
      <c r="AS65" s="345">
        <v>-8166</v>
      </c>
      <c r="AT65" s="345">
        <v>-53038</v>
      </c>
      <c r="AU65" s="345">
        <v>-83304</v>
      </c>
      <c r="AV65" s="345">
        <v>-133213</v>
      </c>
      <c r="AW65" s="345">
        <v>-129123</v>
      </c>
      <c r="AX65" s="345">
        <v>-168064</v>
      </c>
      <c r="AY65" s="345">
        <v>-138930</v>
      </c>
      <c r="AZ65" s="345">
        <v>-61927</v>
      </c>
      <c r="BA65" s="345">
        <v>0</v>
      </c>
      <c r="BB65" s="345">
        <v>0</v>
      </c>
      <c r="BC65" s="345">
        <v>0</v>
      </c>
      <c r="BD65" s="345">
        <v>0</v>
      </c>
      <c r="BE65" s="345">
        <v>-19463</v>
      </c>
      <c r="BF65" s="345">
        <v>-85175</v>
      </c>
      <c r="BG65" s="345">
        <v>-129179</v>
      </c>
      <c r="BH65" s="587">
        <v>-152449</v>
      </c>
      <c r="BI65" s="587">
        <v>-153110</v>
      </c>
      <c r="BJ65" s="587">
        <v>-135564</v>
      </c>
      <c r="BK65" s="587">
        <v>-126151</v>
      </c>
      <c r="BL65" s="587">
        <v>-71532</v>
      </c>
      <c r="BM65" s="587">
        <v>0</v>
      </c>
      <c r="BN65" s="587">
        <v>0</v>
      </c>
      <c r="BO65" s="587">
        <v>0</v>
      </c>
      <c r="BP65" s="587">
        <v>0</v>
      </c>
      <c r="BQ65" s="587">
        <v>-8887</v>
      </c>
      <c r="BR65" s="587">
        <v>-73264</v>
      </c>
      <c r="BS65" s="587">
        <v>-122348</v>
      </c>
      <c r="BT65" s="587">
        <v>-159519</v>
      </c>
      <c r="BU65" s="587">
        <v>-158910</v>
      </c>
      <c r="BV65" s="587">
        <v>-163887</v>
      </c>
      <c r="BW65" s="587">
        <v>-98063</v>
      </c>
      <c r="BX65" s="1100"/>
      <c r="BY65" s="587">
        <v>-24884</v>
      </c>
      <c r="BZ65" s="587">
        <v>-24884</v>
      </c>
      <c r="CA65" s="587">
        <v>-24884</v>
      </c>
      <c r="CB65" s="587">
        <v>-24884</v>
      </c>
      <c r="CC65" s="587">
        <v>-24884</v>
      </c>
      <c r="CD65" s="587">
        <v>-33263</v>
      </c>
      <c r="CE65" s="587">
        <v>-49340</v>
      </c>
      <c r="CF65" s="587">
        <v>-64172</v>
      </c>
      <c r="CG65" s="587">
        <v>-74676</v>
      </c>
      <c r="CH65" s="587">
        <v>-86050</v>
      </c>
      <c r="CI65" s="587">
        <v>-88685</v>
      </c>
      <c r="CJ65" s="587">
        <v>-77016</v>
      </c>
    </row>
    <row r="66" spans="1:89" ht="12.75" customHeight="1">
      <c r="A66" s="613" t="s">
        <v>193</v>
      </c>
      <c r="B66" s="1081">
        <f ca="1">SUM(OFFSET(BM66:BX66,0,'Bal Sheet'!$A$1))</f>
        <v>299014</v>
      </c>
      <c r="C66" s="1082">
        <f t="shared" si="131"/>
        <v>299014</v>
      </c>
      <c r="D66" s="604">
        <v>0</v>
      </c>
      <c r="E66" s="604">
        <v>621987</v>
      </c>
      <c r="F66" s="604">
        <v>458612</v>
      </c>
      <c r="G66" s="604">
        <v>216691</v>
      </c>
      <c r="H66" s="604">
        <v>229671</v>
      </c>
      <c r="I66" s="604">
        <v>373952</v>
      </c>
      <c r="J66" s="604">
        <v>-41991</v>
      </c>
      <c r="K66" s="604">
        <v>39660</v>
      </c>
      <c r="L66" s="604">
        <v>39660</v>
      </c>
      <c r="M66" s="604">
        <v>39660</v>
      </c>
      <c r="N66" s="604">
        <v>39660</v>
      </c>
      <c r="O66" s="604">
        <v>39660</v>
      </c>
      <c r="P66" s="604">
        <v>46049</v>
      </c>
      <c r="Q66" s="604">
        <v>367155</v>
      </c>
      <c r="R66" s="604">
        <v>291525</v>
      </c>
      <c r="S66" s="604">
        <v>104259</v>
      </c>
      <c r="T66" s="604">
        <v>2319</v>
      </c>
      <c r="U66" s="604">
        <v>153</v>
      </c>
      <c r="V66" s="604">
        <v>0</v>
      </c>
      <c r="W66" s="604">
        <v>0</v>
      </c>
      <c r="X66" s="604">
        <v>0</v>
      </c>
      <c r="Y66" s="604">
        <v>0</v>
      </c>
      <c r="Z66" s="604">
        <v>24577</v>
      </c>
      <c r="AA66" s="604">
        <v>0</v>
      </c>
      <c r="AB66" s="604">
        <v>-83264</v>
      </c>
      <c r="AC66" s="604">
        <v>638589</v>
      </c>
      <c r="AD66" s="604">
        <v>565830</v>
      </c>
      <c r="AE66" s="604">
        <v>402609</v>
      </c>
      <c r="AF66" s="604">
        <v>179433</v>
      </c>
      <c r="AG66" s="604">
        <v>179433</v>
      </c>
      <c r="AH66" s="604">
        <v>179433</v>
      </c>
      <c r="AI66" s="604">
        <v>179433</v>
      </c>
      <c r="AJ66" s="604">
        <v>179433</v>
      </c>
      <c r="AK66" s="604">
        <v>179433</v>
      </c>
      <c r="AL66" s="604">
        <v>179433</v>
      </c>
      <c r="AM66" s="604">
        <v>179433</v>
      </c>
      <c r="AN66" s="604">
        <v>179433</v>
      </c>
      <c r="AO66" s="345">
        <v>653716</v>
      </c>
      <c r="AP66" s="345">
        <v>570127</v>
      </c>
      <c r="AQ66" s="345">
        <v>462370</v>
      </c>
      <c r="AR66" s="345">
        <v>425087</v>
      </c>
      <c r="AS66" s="345">
        <v>335362</v>
      </c>
      <c r="AT66" s="345">
        <v>335362</v>
      </c>
      <c r="AU66" s="345">
        <v>335362</v>
      </c>
      <c r="AV66" s="345">
        <v>335362</v>
      </c>
      <c r="AW66" s="345">
        <v>336185</v>
      </c>
      <c r="AX66" s="345">
        <v>335362</v>
      </c>
      <c r="AY66" s="345">
        <v>335362</v>
      </c>
      <c r="AZ66" s="345">
        <v>335359</v>
      </c>
      <c r="BA66" s="345">
        <v>204741</v>
      </c>
      <c r="BB66" s="345">
        <v>227406</v>
      </c>
      <c r="BC66" s="345">
        <v>127070</v>
      </c>
      <c r="BD66" s="345">
        <v>59571</v>
      </c>
      <c r="BE66" s="345">
        <v>28739</v>
      </c>
      <c r="BF66" s="345">
        <v>28739</v>
      </c>
      <c r="BG66" s="345">
        <v>28739</v>
      </c>
      <c r="BH66" s="587">
        <v>28739</v>
      </c>
      <c r="BI66" s="587">
        <v>28739</v>
      </c>
      <c r="BJ66" s="587">
        <v>28739</v>
      </c>
      <c r="BK66" s="587">
        <v>28739</v>
      </c>
      <c r="BL66" s="587">
        <v>28741</v>
      </c>
      <c r="BM66" s="587">
        <v>485407</v>
      </c>
      <c r="BN66" s="587">
        <v>424161</v>
      </c>
      <c r="BO66" s="587">
        <v>281971</v>
      </c>
      <c r="BP66" s="587">
        <v>162252</v>
      </c>
      <c r="BQ66" s="587">
        <v>60097</v>
      </c>
      <c r="BR66" s="587">
        <v>60097</v>
      </c>
      <c r="BS66" s="587">
        <v>60097</v>
      </c>
      <c r="BT66" s="587">
        <v>60097</v>
      </c>
      <c r="BU66" s="587">
        <v>60097</v>
      </c>
      <c r="BV66" s="587">
        <v>60097</v>
      </c>
      <c r="BW66" s="587">
        <v>60097</v>
      </c>
      <c r="BX66" s="1100"/>
      <c r="BY66" s="587">
        <v>109481</v>
      </c>
      <c r="BZ66" s="587">
        <v>88741</v>
      </c>
      <c r="CA66" s="587">
        <v>58510</v>
      </c>
      <c r="CB66" s="587">
        <v>32810</v>
      </c>
      <c r="CC66" s="587">
        <v>9472</v>
      </c>
      <c r="CD66" s="587">
        <v>0</v>
      </c>
      <c r="CE66" s="587">
        <v>0</v>
      </c>
      <c r="CF66" s="587">
        <v>0</v>
      </c>
      <c r="CG66" s="587">
        <v>0</v>
      </c>
      <c r="CH66" s="587">
        <v>0</v>
      </c>
      <c r="CI66" s="587">
        <v>0</v>
      </c>
      <c r="CJ66" s="587">
        <v>0</v>
      </c>
    </row>
    <row r="67" spans="1:89" ht="12.75" customHeight="1">
      <c r="A67" s="613" t="s">
        <v>194</v>
      </c>
      <c r="B67" s="1081">
        <f ca="1">SUM(OFFSET(BM67:BX67,0,'Bal Sheet'!$A$1))</f>
        <v>876438</v>
      </c>
      <c r="C67" s="1082">
        <f t="shared" si="131"/>
        <v>876438</v>
      </c>
      <c r="D67" s="604">
        <v>492398</v>
      </c>
      <c r="E67" s="604">
        <v>503773</v>
      </c>
      <c r="F67" s="604">
        <v>498434</v>
      </c>
      <c r="G67" s="604">
        <v>524488</v>
      </c>
      <c r="H67" s="604">
        <v>541078</v>
      </c>
      <c r="I67" s="604">
        <v>200481</v>
      </c>
      <c r="J67" s="604">
        <v>588101</v>
      </c>
      <c r="K67" s="604">
        <v>528031</v>
      </c>
      <c r="L67" s="604">
        <v>545163</v>
      </c>
      <c r="M67" s="604">
        <v>575991</v>
      </c>
      <c r="N67" s="604">
        <v>628030</v>
      </c>
      <c r="O67" s="604">
        <v>654878</v>
      </c>
      <c r="P67" s="604">
        <v>688737</v>
      </c>
      <c r="Q67" s="604">
        <v>676953</v>
      </c>
      <c r="R67" s="604">
        <v>812903</v>
      </c>
      <c r="S67" s="604">
        <v>731758</v>
      </c>
      <c r="T67" s="604">
        <v>755260</v>
      </c>
      <c r="U67" s="604">
        <v>778974</v>
      </c>
      <c r="V67" s="604">
        <v>813669</v>
      </c>
      <c r="W67" s="604">
        <v>846110</v>
      </c>
      <c r="X67" s="604">
        <v>876133</v>
      </c>
      <c r="Y67" s="604">
        <v>901402</v>
      </c>
      <c r="Z67" s="604">
        <v>858075</v>
      </c>
      <c r="AA67" s="604">
        <v>950819</v>
      </c>
      <c r="AB67" s="604">
        <v>1332723</v>
      </c>
      <c r="AC67" s="604">
        <v>1063430</v>
      </c>
      <c r="AD67" s="604">
        <v>1080271</v>
      </c>
      <c r="AE67" s="604">
        <v>1101092</v>
      </c>
      <c r="AF67" s="604">
        <v>1121415</v>
      </c>
      <c r="AG67" s="604">
        <v>1139809</v>
      </c>
      <c r="AH67" s="604">
        <v>1159802</v>
      </c>
      <c r="AI67" s="604">
        <v>1183694</v>
      </c>
      <c r="AJ67" s="604">
        <v>1208894</v>
      </c>
      <c r="AK67" s="604">
        <v>1228391</v>
      </c>
      <c r="AL67" s="604">
        <v>1253098</v>
      </c>
      <c r="AM67" s="604">
        <v>1279838</v>
      </c>
      <c r="AN67" s="604">
        <v>1311439</v>
      </c>
      <c r="AO67" s="345">
        <v>-6678</v>
      </c>
      <c r="AP67" s="345">
        <v>14965</v>
      </c>
      <c r="AQ67" s="345">
        <v>39325</v>
      </c>
      <c r="AR67" s="345">
        <v>61418</v>
      </c>
      <c r="AS67" s="345">
        <v>75826</v>
      </c>
      <c r="AT67" s="345">
        <v>91741</v>
      </c>
      <c r="AU67" s="345">
        <v>109950</v>
      </c>
      <c r="AV67" s="345">
        <v>123192</v>
      </c>
      <c r="AW67" s="345">
        <v>139236</v>
      </c>
      <c r="AX67" s="345">
        <v>169470</v>
      </c>
      <c r="AY67" s="345">
        <v>191683</v>
      </c>
      <c r="AZ67" s="345">
        <v>233233</v>
      </c>
      <c r="BA67" s="345">
        <v>272977</v>
      </c>
      <c r="BB67" s="345">
        <v>292629</v>
      </c>
      <c r="BC67" s="345">
        <v>307873</v>
      </c>
      <c r="BD67" s="345">
        <v>323302</v>
      </c>
      <c r="BE67" s="345">
        <v>340155</v>
      </c>
      <c r="BF67" s="345">
        <v>349441</v>
      </c>
      <c r="BG67" s="345">
        <v>359481</v>
      </c>
      <c r="BH67" s="587">
        <v>370374</v>
      </c>
      <c r="BI67" s="587">
        <v>382585</v>
      </c>
      <c r="BJ67" s="587">
        <v>396328</v>
      </c>
      <c r="BK67" s="587">
        <v>410553</v>
      </c>
      <c r="BL67" s="587">
        <v>432468</v>
      </c>
      <c r="BM67" s="587">
        <v>436181</v>
      </c>
      <c r="BN67" s="587">
        <v>450612</v>
      </c>
      <c r="BO67" s="587">
        <v>467342</v>
      </c>
      <c r="BP67" s="587">
        <v>483132</v>
      </c>
      <c r="BQ67" s="587">
        <v>497256</v>
      </c>
      <c r="BR67" s="587">
        <v>510526</v>
      </c>
      <c r="BS67" s="587">
        <v>523761</v>
      </c>
      <c r="BT67" s="587">
        <v>535817</v>
      </c>
      <c r="BU67" s="587">
        <v>545889</v>
      </c>
      <c r="BV67" s="587">
        <v>555137</v>
      </c>
      <c r="BW67" s="587">
        <v>564367</v>
      </c>
      <c r="BX67" s="1100"/>
      <c r="BY67" s="587">
        <v>7336</v>
      </c>
      <c r="BZ67" s="587">
        <v>22001</v>
      </c>
      <c r="CA67" s="587">
        <v>35978</v>
      </c>
      <c r="CB67" s="587">
        <v>47919</v>
      </c>
      <c r="CC67" s="587">
        <v>58498</v>
      </c>
      <c r="CD67" s="587">
        <v>69066</v>
      </c>
      <c r="CE67" s="587">
        <v>79621</v>
      </c>
      <c r="CF67" s="587">
        <v>90164</v>
      </c>
      <c r="CG67" s="587">
        <v>100697</v>
      </c>
      <c r="CH67" s="587">
        <v>111216</v>
      </c>
      <c r="CI67" s="587">
        <v>121723</v>
      </c>
      <c r="CJ67" s="587">
        <v>132219</v>
      </c>
    </row>
    <row r="68" spans="1:89" ht="12.75" customHeight="1">
      <c r="A68" s="613" t="s">
        <v>195</v>
      </c>
      <c r="B68" s="1081">
        <f ca="1">SUM(OFFSET(BM68:BX68,0,'Bal Sheet'!$A$1))</f>
        <v>119437.51000000001</v>
      </c>
      <c r="C68" s="1082">
        <f t="shared" si="131"/>
        <v>119437.51000000001</v>
      </c>
      <c r="D68" s="604">
        <v>120916.8</v>
      </c>
      <c r="E68" s="604">
        <v>123662.29999999999</v>
      </c>
      <c r="F68" s="604">
        <v>123959.58</v>
      </c>
      <c r="G68" s="604">
        <v>125406.69999999998</v>
      </c>
      <c r="H68" s="604">
        <v>127467.73</v>
      </c>
      <c r="I68" s="604">
        <v>129946.96</v>
      </c>
      <c r="J68" s="604">
        <v>147674.97</v>
      </c>
      <c r="K68" s="604">
        <v>149450.60999999999</v>
      </c>
      <c r="L68" s="604">
        <v>150888.72999999998</v>
      </c>
      <c r="M68" s="604">
        <v>153193.06999999998</v>
      </c>
      <c r="N68" s="604">
        <v>154355.09</v>
      </c>
      <c r="O68" s="604">
        <v>155193.71000000002</v>
      </c>
      <c r="P68" s="604">
        <v>179736.85</v>
      </c>
      <c r="Q68" s="604">
        <v>123134.96</v>
      </c>
      <c r="R68" s="604">
        <v>124984.57</v>
      </c>
      <c r="S68" s="604">
        <v>135319</v>
      </c>
      <c r="T68" s="604">
        <v>140386.76</v>
      </c>
      <c r="U68" s="604">
        <v>142628.81</v>
      </c>
      <c r="V68" s="604">
        <v>147968.45000000001</v>
      </c>
      <c r="W68" s="604">
        <v>150503.04000000001</v>
      </c>
      <c r="X68" s="604">
        <v>157043.65000000002</v>
      </c>
      <c r="Y68" s="604">
        <v>158558.57</v>
      </c>
      <c r="Z68" s="604">
        <v>163523.09</v>
      </c>
      <c r="AA68" s="604">
        <v>165041.46</v>
      </c>
      <c r="AB68" s="604">
        <v>177485.12999999998</v>
      </c>
      <c r="AC68" s="604">
        <v>181567.07</v>
      </c>
      <c r="AD68" s="604">
        <v>182403.98</v>
      </c>
      <c r="AE68" s="604">
        <v>186206.28999999998</v>
      </c>
      <c r="AF68" s="604">
        <v>197568.44999999998</v>
      </c>
      <c r="AG68" s="604">
        <v>200080.26</v>
      </c>
      <c r="AH68" s="604">
        <v>202622.93</v>
      </c>
      <c r="AI68" s="604">
        <v>203476.94</v>
      </c>
      <c r="AJ68" s="604">
        <v>205236.80000000002</v>
      </c>
      <c r="AK68" s="604">
        <v>211242.97</v>
      </c>
      <c r="AL68" s="604">
        <v>212184.05</v>
      </c>
      <c r="AM68" s="604">
        <v>215449.68000000002</v>
      </c>
      <c r="AN68" s="604">
        <v>220897.02000000002</v>
      </c>
      <c r="AO68" s="345">
        <v>-9971.86</v>
      </c>
      <c r="AP68" s="345">
        <v>-1905.1400000000012</v>
      </c>
      <c r="AQ68" s="345">
        <v>401.92999999999995</v>
      </c>
      <c r="AR68" s="345">
        <v>4034.3900000000003</v>
      </c>
      <c r="AS68" s="345">
        <v>5684.58</v>
      </c>
      <c r="AT68" s="345">
        <v>6508.9500000000007</v>
      </c>
      <c r="AU68" s="345">
        <v>7800.93</v>
      </c>
      <c r="AV68" s="345">
        <v>9314.52</v>
      </c>
      <c r="AW68" s="345">
        <f>12134+-1960</f>
        <v>10174</v>
      </c>
      <c r="AX68" s="345">
        <v>12031</v>
      </c>
      <c r="AY68" s="345">
        <v>12746</v>
      </c>
      <c r="AZ68" s="345">
        <v>14393</v>
      </c>
      <c r="BA68" s="345">
        <v>27690.1</v>
      </c>
      <c r="BB68" s="345">
        <v>28350.720000000001</v>
      </c>
      <c r="BC68" s="345">
        <v>30346.71</v>
      </c>
      <c r="BD68" s="345">
        <v>31350.63</v>
      </c>
      <c r="BE68" s="345">
        <v>31738.92</v>
      </c>
      <c r="BF68" s="345">
        <v>33579.47</v>
      </c>
      <c r="BG68" s="345">
        <v>37413.119999999995</v>
      </c>
      <c r="BH68" s="587">
        <v>37695.409999999996</v>
      </c>
      <c r="BI68" s="587">
        <v>38883.259999999995</v>
      </c>
      <c r="BJ68" s="587">
        <v>38968.58</v>
      </c>
      <c r="BK68" s="587">
        <v>39446.120000000003</v>
      </c>
      <c r="BL68" s="587">
        <v>39895.629999999997</v>
      </c>
      <c r="BM68" s="587">
        <v>36079.56</v>
      </c>
      <c r="BN68" s="587">
        <v>48808.729999999996</v>
      </c>
      <c r="BO68" s="587">
        <v>59646.849999999991</v>
      </c>
      <c r="BP68" s="587">
        <v>68530.459999999992</v>
      </c>
      <c r="BQ68" s="587">
        <v>75711.199999999983</v>
      </c>
      <c r="BR68" s="587">
        <v>81527</v>
      </c>
      <c r="BS68" s="587">
        <v>86489.890000000014</v>
      </c>
      <c r="BT68" s="587">
        <v>90813.08</v>
      </c>
      <c r="BU68" s="587">
        <v>94294.489999999991</v>
      </c>
      <c r="BV68" s="587">
        <v>97132.02</v>
      </c>
      <c r="BW68" s="587">
        <v>99655.88</v>
      </c>
      <c r="BX68" s="1100"/>
      <c r="BY68" s="587">
        <v>0</v>
      </c>
      <c r="BZ68" s="587">
        <v>1849.54</v>
      </c>
      <c r="CA68" s="587">
        <v>3896.0299999999997</v>
      </c>
      <c r="CB68" s="587">
        <v>5872.9800000000005</v>
      </c>
      <c r="CC68" s="587">
        <v>7508.09</v>
      </c>
      <c r="CD68" s="587">
        <v>9176.5</v>
      </c>
      <c r="CE68" s="587">
        <v>10869.880000000001</v>
      </c>
      <c r="CF68" s="587">
        <v>12582</v>
      </c>
      <c r="CG68" s="587">
        <v>14308.16</v>
      </c>
      <c r="CH68" s="587">
        <v>16044.859999999999</v>
      </c>
      <c r="CI68" s="587">
        <v>17789.47</v>
      </c>
      <c r="CJ68" s="587">
        <v>19540</v>
      </c>
    </row>
    <row r="69" spans="1:89" ht="12.75" customHeight="1">
      <c r="A69" s="613" t="s">
        <v>196</v>
      </c>
      <c r="B69" s="1081">
        <f ca="1">SUM(OFFSET(BM69:BX69,0,'Bal Sheet'!$A$1))</f>
        <v>0</v>
      </c>
      <c r="C69" s="1082">
        <f t="shared" si="131"/>
        <v>0</v>
      </c>
      <c r="D69" s="604">
        <v>64170</v>
      </c>
      <c r="E69" s="604">
        <v>90907</v>
      </c>
      <c r="F69" s="604">
        <v>90907</v>
      </c>
      <c r="G69" s="604">
        <v>90907</v>
      </c>
      <c r="H69" s="604">
        <v>90907</v>
      </c>
      <c r="I69" s="604">
        <v>90907</v>
      </c>
      <c r="J69" s="604">
        <v>90907</v>
      </c>
      <c r="K69" s="604">
        <v>90907</v>
      </c>
      <c r="L69" s="604">
        <v>90907</v>
      </c>
      <c r="M69" s="604">
        <v>90907</v>
      </c>
      <c r="N69" s="604">
        <v>90907</v>
      </c>
      <c r="O69" s="604">
        <v>90907</v>
      </c>
      <c r="P69" s="604">
        <v>75572</v>
      </c>
      <c r="Q69" s="604">
        <v>145449</v>
      </c>
      <c r="R69" s="604">
        <v>145449</v>
      </c>
      <c r="S69" s="604">
        <v>145449</v>
      </c>
      <c r="T69" s="604">
        <v>145449</v>
      </c>
      <c r="U69" s="604">
        <v>145449</v>
      </c>
      <c r="V69" s="604">
        <v>145449</v>
      </c>
      <c r="W69" s="604">
        <v>145449</v>
      </c>
      <c r="X69" s="604">
        <v>145449</v>
      </c>
      <c r="Y69" s="604">
        <v>145449</v>
      </c>
      <c r="Z69" s="604">
        <v>145449</v>
      </c>
      <c r="AA69" s="604">
        <v>145449</v>
      </c>
      <c r="AB69" s="604">
        <v>145449</v>
      </c>
      <c r="AC69" s="604">
        <v>218903</v>
      </c>
      <c r="AD69" s="604">
        <v>218903</v>
      </c>
      <c r="AE69" s="604">
        <v>218903</v>
      </c>
      <c r="AF69" s="604">
        <v>218903</v>
      </c>
      <c r="AG69" s="604">
        <v>218903</v>
      </c>
      <c r="AH69" s="604">
        <v>218903</v>
      </c>
      <c r="AI69" s="604">
        <v>218903</v>
      </c>
      <c r="AJ69" s="604">
        <v>218903</v>
      </c>
      <c r="AK69" s="604">
        <v>218903</v>
      </c>
      <c r="AL69" s="604">
        <v>218903</v>
      </c>
      <c r="AM69" s="604">
        <v>218903</v>
      </c>
      <c r="AN69" s="604">
        <v>218899</v>
      </c>
      <c r="AO69" s="345">
        <v>-10642</v>
      </c>
      <c r="AP69" s="345">
        <v>-10642</v>
      </c>
      <c r="AQ69" s="345">
        <v>-10642</v>
      </c>
      <c r="AR69" s="345">
        <v>-10642</v>
      </c>
      <c r="AS69" s="345">
        <v>-10642</v>
      </c>
      <c r="AT69" s="345">
        <v>-10642</v>
      </c>
      <c r="AU69" s="345">
        <v>-10642</v>
      </c>
      <c r="AV69" s="345">
        <v>-10642</v>
      </c>
      <c r="AW69" s="345">
        <v>-10642</v>
      </c>
      <c r="AX69" s="345">
        <v>-10642</v>
      </c>
      <c r="AY69" s="345">
        <v>-10642</v>
      </c>
      <c r="AZ69" s="345">
        <v>-10644</v>
      </c>
      <c r="BA69" s="345">
        <v>35251</v>
      </c>
      <c r="BB69" s="345">
        <v>35251</v>
      </c>
      <c r="BC69" s="345">
        <v>35251</v>
      </c>
      <c r="BD69" s="345">
        <v>35251</v>
      </c>
      <c r="BE69" s="345">
        <v>35251</v>
      </c>
      <c r="BF69" s="345">
        <v>35251</v>
      </c>
      <c r="BG69" s="345">
        <v>35251</v>
      </c>
      <c r="BH69" s="587">
        <v>35251</v>
      </c>
      <c r="BI69" s="587">
        <v>35251</v>
      </c>
      <c r="BJ69" s="587">
        <v>35251</v>
      </c>
      <c r="BK69" s="587">
        <v>35251</v>
      </c>
      <c r="BL69" s="587">
        <v>35251</v>
      </c>
      <c r="BM69" s="587">
        <v>44816</v>
      </c>
      <c r="BN69" s="587">
        <v>44816</v>
      </c>
      <c r="BO69" s="587">
        <v>44816</v>
      </c>
      <c r="BP69" s="587">
        <v>44816</v>
      </c>
      <c r="BQ69" s="587">
        <v>44816</v>
      </c>
      <c r="BR69" s="587">
        <v>44816</v>
      </c>
      <c r="BS69" s="587">
        <v>44816</v>
      </c>
      <c r="BT69" s="587">
        <v>44816</v>
      </c>
      <c r="BU69" s="587">
        <v>44816</v>
      </c>
      <c r="BV69" s="587">
        <v>44816</v>
      </c>
      <c r="BW69" s="587">
        <v>44816</v>
      </c>
      <c r="BX69" s="1100"/>
      <c r="BY69" s="587">
        <v>0</v>
      </c>
      <c r="BZ69" s="587">
        <v>0</v>
      </c>
      <c r="CA69" s="587">
        <v>0</v>
      </c>
      <c r="CB69" s="587">
        <v>0</v>
      </c>
      <c r="CC69" s="587">
        <v>0</v>
      </c>
      <c r="CD69" s="587">
        <v>0</v>
      </c>
      <c r="CE69" s="587">
        <v>0</v>
      </c>
      <c r="CF69" s="587">
        <v>0</v>
      </c>
      <c r="CG69" s="587">
        <v>0</v>
      </c>
      <c r="CH69" s="587">
        <v>0</v>
      </c>
      <c r="CI69" s="587">
        <v>0</v>
      </c>
      <c r="CJ69" s="587">
        <v>0</v>
      </c>
    </row>
    <row r="70" spans="1:89" ht="12.75" customHeight="1">
      <c r="A70" s="610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</row>
    <row r="71" spans="1:89" ht="12.75" customHeight="1">
      <c r="A71" s="608" t="s">
        <v>197</v>
      </c>
      <c r="B71" s="578"/>
      <c r="C71" s="578"/>
      <c r="D71" s="577"/>
      <c r="E71" s="577"/>
      <c r="F71" s="577"/>
      <c r="G71" s="577"/>
      <c r="H71" s="577"/>
      <c r="I71" s="577"/>
      <c r="J71" s="577"/>
      <c r="K71" s="577"/>
      <c r="L71" s="577"/>
      <c r="M71" s="577"/>
      <c r="N71" s="577"/>
      <c r="O71" s="577"/>
      <c r="P71" s="577"/>
      <c r="Q71" s="577"/>
      <c r="R71" s="577"/>
      <c r="S71" s="577"/>
      <c r="T71" s="577"/>
      <c r="U71" s="577"/>
      <c r="V71" s="577"/>
      <c r="W71" s="577"/>
      <c r="X71" s="577"/>
      <c r="Y71" s="577"/>
      <c r="Z71" s="577"/>
      <c r="AA71" s="577"/>
      <c r="AB71" s="577"/>
      <c r="AC71" s="577"/>
      <c r="AD71" s="577"/>
      <c r="AE71" s="577"/>
      <c r="AF71" s="577"/>
      <c r="AG71" s="577"/>
      <c r="AH71" s="577"/>
      <c r="AI71" s="577"/>
      <c r="AJ71" s="577"/>
      <c r="AK71" s="577"/>
      <c r="AL71" s="577"/>
      <c r="AM71" s="577"/>
      <c r="AN71" s="577"/>
      <c r="AO71" s="577"/>
      <c r="AP71" s="577"/>
      <c r="AQ71" s="577"/>
      <c r="AR71" s="577"/>
      <c r="AS71" s="577"/>
      <c r="AT71" s="577"/>
      <c r="AU71" s="577"/>
      <c r="AV71" s="577"/>
      <c r="AW71" s="577"/>
      <c r="AX71" s="577"/>
      <c r="AY71" s="577"/>
      <c r="AZ71" s="577"/>
      <c r="BA71" s="577"/>
      <c r="BB71" s="577"/>
      <c r="BC71" s="577"/>
      <c r="BD71" s="577"/>
      <c r="BE71" s="577"/>
      <c r="BF71" s="577"/>
      <c r="BG71" s="577"/>
      <c r="BH71" s="577"/>
      <c r="BI71" s="577"/>
      <c r="BJ71" s="577"/>
      <c r="BK71" s="577"/>
      <c r="BL71" s="577"/>
      <c r="BM71" s="577"/>
      <c r="BN71" s="577"/>
      <c r="BO71" s="577"/>
      <c r="BP71" s="577"/>
      <c r="BQ71" s="577"/>
      <c r="BR71" s="577"/>
      <c r="BS71" s="577"/>
      <c r="BT71" s="577"/>
      <c r="BU71" s="577"/>
      <c r="BV71" s="577"/>
      <c r="BW71" s="577"/>
      <c r="BX71" s="577"/>
      <c r="BY71" s="577"/>
      <c r="BZ71" s="577"/>
      <c r="CA71" s="577"/>
      <c r="CB71" s="577"/>
      <c r="CC71" s="577"/>
      <c r="CD71" s="577"/>
      <c r="CE71" s="577"/>
      <c r="CF71" s="577"/>
      <c r="CG71" s="577"/>
      <c r="CH71" s="577"/>
      <c r="CI71" s="577"/>
      <c r="CJ71" s="577"/>
    </row>
    <row r="72" spans="1:89" ht="12.75" customHeight="1">
      <c r="A72" s="610" t="s">
        <v>198</v>
      </c>
      <c r="B72" s="618">
        <f ca="1">+B63-B65-B67</f>
        <v>421954.9700000002</v>
      </c>
      <c r="C72" s="618"/>
      <c r="D72" s="619"/>
      <c r="E72" s="619"/>
      <c r="F72" s="619"/>
      <c r="G72" s="619"/>
      <c r="H72" s="619"/>
      <c r="I72" s="619"/>
      <c r="J72" s="619"/>
      <c r="K72" s="619"/>
      <c r="L72" s="619"/>
      <c r="M72" s="619"/>
      <c r="N72" s="619"/>
      <c r="O72" s="619"/>
      <c r="P72" s="619"/>
      <c r="Q72" s="619"/>
      <c r="R72" s="619"/>
      <c r="S72" s="619"/>
      <c r="T72" s="619"/>
      <c r="U72" s="619"/>
      <c r="V72" s="619"/>
      <c r="W72" s="619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</row>
    <row r="73" spans="1:89" ht="12.75" customHeight="1">
      <c r="A73" s="610"/>
      <c r="B73" s="618"/>
      <c r="C73" s="618"/>
      <c r="D73" s="619"/>
      <c r="E73" s="619"/>
      <c r="F73" s="619"/>
      <c r="G73" s="619"/>
      <c r="H73" s="619"/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19"/>
      <c r="T73" s="619"/>
      <c r="U73" s="619"/>
      <c r="V73" s="619"/>
      <c r="W73" s="619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</row>
    <row r="74" spans="1:89" ht="12.75" customHeight="1">
      <c r="A74" s="765" t="s">
        <v>199</v>
      </c>
      <c r="B74" s="618">
        <f ca="1">+B63-B64-B65-B66-B67-B68-B69</f>
        <v>-0.38999999989755452</v>
      </c>
      <c r="C74" s="618">
        <f>+C63-C64-C65-C66-C67-C68-C69</f>
        <v>-0.38999999989755452</v>
      </c>
      <c r="D74" s="618">
        <f t="shared" ref="D74:R74" si="132">+D63-D65-D66-D67-D68-D69</f>
        <v>-0.41999999999825377</v>
      </c>
      <c r="E74" s="618">
        <f t="shared" si="132"/>
        <v>-0.34000000002561137</v>
      </c>
      <c r="F74" s="618">
        <f t="shared" si="132"/>
        <v>0.32999999991443474</v>
      </c>
      <c r="G74" s="618">
        <f t="shared" si="132"/>
        <v>-0.26000000003841706</v>
      </c>
      <c r="H74" s="618">
        <f t="shared" si="132"/>
        <v>0.20000000005529728</v>
      </c>
      <c r="I74" s="618">
        <f t="shared" si="132"/>
        <v>0.39999999997962732</v>
      </c>
      <c r="J74" s="618">
        <f t="shared" si="132"/>
        <v>0.38999999998486601</v>
      </c>
      <c r="K74" s="618">
        <f t="shared" si="132"/>
        <v>-0.35999999998603016</v>
      </c>
      <c r="L74" s="618">
        <f t="shared" si="132"/>
        <v>-0.29944999993313104</v>
      </c>
      <c r="M74" s="618">
        <f t="shared" si="132"/>
        <v>0.3729000000457745</v>
      </c>
      <c r="N74" s="618">
        <f t="shared" si="132"/>
        <v>8.3550000068498775E-2</v>
      </c>
      <c r="O74" s="618">
        <f t="shared" si="132"/>
        <v>0.20334999990882352</v>
      </c>
      <c r="P74" s="618">
        <f t="shared" si="132"/>
        <v>-0.12000000002444722</v>
      </c>
      <c r="Q74" s="618">
        <f t="shared" si="132"/>
        <v>-0.19000000000232831</v>
      </c>
      <c r="R74" s="618">
        <f t="shared" si="132"/>
        <v>-0.17000000010011718</v>
      </c>
      <c r="S74" s="618">
        <f t="shared" ref="S74:AH74" si="133">+S63-S64-S65-S66-S67-S68-S69</f>
        <v>-0.16999999992549419</v>
      </c>
      <c r="T74" s="618">
        <f t="shared" si="133"/>
        <v>-0.36999999999534339</v>
      </c>
      <c r="U74" s="618">
        <f t="shared" si="133"/>
        <v>-0.34000000002561137</v>
      </c>
      <c r="V74" s="618">
        <f t="shared" si="133"/>
        <v>0.26999999996041879</v>
      </c>
      <c r="W74" s="618">
        <f t="shared" si="133"/>
        <v>-0.33000000004540198</v>
      </c>
      <c r="X74" s="618">
        <f t="shared" ref="X74:AA74" si="134">+X63-X64-X65-X66-X67-X68-X69</f>
        <v>0.41000000003259629</v>
      </c>
      <c r="Y74" s="618">
        <f t="shared" si="134"/>
        <v>-0.21999999991385266</v>
      </c>
      <c r="Z74" s="618">
        <f t="shared" si="134"/>
        <v>-0.38000000003376044</v>
      </c>
      <c r="AA74" s="618">
        <f t="shared" si="134"/>
        <v>0.47999999995226972</v>
      </c>
      <c r="AB74" s="618">
        <f t="shared" si="133"/>
        <v>-0.3099999999103602</v>
      </c>
      <c r="AC74" s="618">
        <f t="shared" si="133"/>
        <v>-7.0000000006984919E-2</v>
      </c>
      <c r="AD74" s="618">
        <f t="shared" si="133"/>
        <v>-0.17999999996391125</v>
      </c>
      <c r="AE74" s="618">
        <f t="shared" si="133"/>
        <v>-0.17000000010011718</v>
      </c>
      <c r="AF74" s="618">
        <f t="shared" si="133"/>
        <v>0.27999999999883585</v>
      </c>
      <c r="AG74" s="618">
        <f t="shared" si="133"/>
        <v>-9.0000000083819032E-2</v>
      </c>
      <c r="AH74" s="618">
        <f t="shared" si="133"/>
        <v>-0.23999999981606379</v>
      </c>
      <c r="AI74" s="618">
        <f t="shared" ref="AI74" si="135">+AI63-AI64-AI65-AI66-AI67-AI68-AI69</f>
        <v>0.10999999981140718</v>
      </c>
      <c r="AJ74" s="618">
        <f t="shared" ref="AJ74:AN74" si="136">+AJ63-AJ64-AJ65-AJ66-AJ67-AJ68-AJ69</f>
        <v>4.0000000066356733E-2</v>
      </c>
      <c r="AK74" s="618">
        <f t="shared" si="136"/>
        <v>0.24999999997089617</v>
      </c>
      <c r="AL74" s="618">
        <f t="shared" si="136"/>
        <v>4.0000000095460564E-2</v>
      </c>
      <c r="AM74" s="618">
        <f t="shared" si="136"/>
        <v>-0.23999999984516762</v>
      </c>
      <c r="AN74" s="618">
        <f t="shared" si="136"/>
        <v>-0.23999999999068677</v>
      </c>
      <c r="AO74" s="618">
        <f>+AO63-AO64-AO65-AO66-AO67-AO68-AO69</f>
        <v>0.49000000000523869</v>
      </c>
      <c r="AP74" s="618">
        <f t="shared" ref="AP74:AZ74" si="137">+AP63-AP64-AP65-AP66-AP67-AP68-AP69</f>
        <v>0.16000000001986336</v>
      </c>
      <c r="AQ74" s="618">
        <f t="shared" si="137"/>
        <v>0.27000000001135049</v>
      </c>
      <c r="AR74" s="618">
        <f t="shared" si="137"/>
        <v>-3.9999999964493327E-2</v>
      </c>
      <c r="AS74" s="618">
        <f t="shared" si="137"/>
        <v>0.2699999999767897</v>
      </c>
      <c r="AT74" s="618">
        <f t="shared" si="137"/>
        <v>0.1099999999969441</v>
      </c>
      <c r="AU74" s="618">
        <f t="shared" si="137"/>
        <v>-0.19000000000960426</v>
      </c>
      <c r="AV74" s="618">
        <f t="shared" si="137"/>
        <v>-0.37000000003536115</v>
      </c>
      <c r="AW74" s="618">
        <f t="shared" si="137"/>
        <v>0</v>
      </c>
      <c r="AX74" s="618">
        <f t="shared" si="137"/>
        <v>1</v>
      </c>
      <c r="AY74" s="618">
        <f t="shared" si="137"/>
        <v>0</v>
      </c>
      <c r="AZ74" s="618">
        <f t="shared" si="137"/>
        <v>-2</v>
      </c>
      <c r="BA74" s="907">
        <f t="shared" ref="BA74:BL74" si="138">+BA63-BA64-BA65-BA66-BA67-BA68-BA69</f>
        <v>-0.41999999994732207</v>
      </c>
      <c r="BB74" s="907">
        <f t="shared" si="138"/>
        <v>-0.17999999996391125</v>
      </c>
      <c r="BC74" s="907">
        <f t="shared" si="138"/>
        <v>-8.0000000052677933E-2</v>
      </c>
      <c r="BD74" s="907">
        <f t="shared" si="138"/>
        <v>0.16999999998370185</v>
      </c>
      <c r="BE74" s="907">
        <f t="shared" si="138"/>
        <v>0.23999999997613486</v>
      </c>
      <c r="BF74" s="907">
        <f t="shared" si="138"/>
        <v>-0.13000000003376044</v>
      </c>
      <c r="BG74" s="907">
        <f t="shared" si="138"/>
        <v>0.28000000002793968</v>
      </c>
      <c r="BH74" s="907">
        <f t="shared" si="138"/>
        <v>156.80999999997584</v>
      </c>
      <c r="BI74" s="907">
        <f t="shared" si="138"/>
        <v>153.05999999995402</v>
      </c>
      <c r="BJ74" s="907">
        <f t="shared" si="138"/>
        <v>-16.69999999999709</v>
      </c>
      <c r="BK74" s="907">
        <f t="shared" si="138"/>
        <v>80.460000000013679</v>
      </c>
      <c r="BL74" s="907">
        <f t="shared" si="138"/>
        <v>318.15000000003056</v>
      </c>
      <c r="BM74" s="907">
        <f>+BM63-BM64-BM65-BM66-BM67-BM68-BM69</f>
        <v>1.9999999960418791E-2</v>
      </c>
      <c r="BN74" s="907">
        <f t="shared" ref="BN74:BX74" si="139">+BN63-BN64-BN65-BN66-BN67-BN68-BN69</f>
        <v>0.4200000000273576</v>
      </c>
      <c r="BO74" s="907">
        <f t="shared" si="139"/>
        <v>0.38999999999941792</v>
      </c>
      <c r="BP74" s="907">
        <f t="shared" si="139"/>
        <v>0.36000000007334165</v>
      </c>
      <c r="BQ74" s="907">
        <f t="shared" si="139"/>
        <v>-5.9999999968567863E-2</v>
      </c>
      <c r="BR74" s="907">
        <f t="shared" si="139"/>
        <v>-0.17000000004190952</v>
      </c>
      <c r="BS74" s="907">
        <f t="shared" si="139"/>
        <v>-0.33999999996740371</v>
      </c>
      <c r="BT74" s="907">
        <f t="shared" si="139"/>
        <v>-0.26999999994586688</v>
      </c>
      <c r="BU74" s="907">
        <f t="shared" si="139"/>
        <v>0.23999999999068677</v>
      </c>
      <c r="BV74" s="907">
        <f t="shared" si="139"/>
        <v>0.11000000000058208</v>
      </c>
      <c r="BW74" s="907">
        <f t="shared" si="139"/>
        <v>-0.29999999993015081</v>
      </c>
      <c r="BX74" s="907">
        <f t="shared" si="139"/>
        <v>0</v>
      </c>
      <c r="BY74" s="907">
        <f t="shared" ref="BY74:CI74" si="140">+BY63-BY64-BY65-BY66-BY67-BY68-BY69</f>
        <v>0.1200000000098953</v>
      </c>
      <c r="BZ74" s="907">
        <f t="shared" si="140"/>
        <v>0.38999999999305146</v>
      </c>
      <c r="CA74" s="907">
        <f t="shared" si="140"/>
        <v>-0.50000000000090949</v>
      </c>
      <c r="CB74" s="907">
        <f t="shared" si="140"/>
        <v>-0.17000000000280124</v>
      </c>
      <c r="CC74" s="907">
        <f t="shared" si="140"/>
        <v>-4.9999999991996447E-2</v>
      </c>
      <c r="CD74" s="907">
        <f t="shared" si="140"/>
        <v>0.27999999999883585</v>
      </c>
      <c r="CE74" s="907">
        <f t="shared" si="140"/>
        <v>0.28000000000247383</v>
      </c>
      <c r="CF74" s="907">
        <f t="shared" si="140"/>
        <v>-0.16000000000349246</v>
      </c>
      <c r="CG74" s="907">
        <f t="shared" si="140"/>
        <v>0.29999999999199645</v>
      </c>
      <c r="CH74" s="907">
        <f t="shared" si="140"/>
        <v>-0.25999999999294232</v>
      </c>
      <c r="CI74" s="907">
        <f t="shared" si="140"/>
        <v>-0.45999999999185093</v>
      </c>
      <c r="CJ74" s="907">
        <f t="shared" ref="CJ74" si="141">+CJ63-CJ64-CJ65-CJ66-CJ67-CJ68-CJ69</f>
        <v>-0.16000000000349246</v>
      </c>
    </row>
    <row r="75" spans="1:89" ht="12.75" customHeight="1">
      <c r="A75" s="610" t="s">
        <v>200</v>
      </c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620">
        <v>-509000</v>
      </c>
      <c r="Y75" s="620">
        <v>-517900</v>
      </c>
      <c r="Z75" s="620">
        <v>-506000</v>
      </c>
      <c r="AA75" s="620">
        <v>-489800</v>
      </c>
      <c r="AB75" s="620">
        <v>-519300</v>
      </c>
      <c r="AC75" s="620">
        <v>0</v>
      </c>
      <c r="AD75" s="620">
        <v>0</v>
      </c>
      <c r="AE75" s="620">
        <v>0</v>
      </c>
      <c r="AF75" s="620">
        <v>-280200</v>
      </c>
      <c r="AG75" s="620">
        <v>-459200</v>
      </c>
      <c r="AH75" s="620">
        <v>-484300</v>
      </c>
      <c r="AI75" s="620">
        <v>-616600</v>
      </c>
      <c r="AJ75" s="620">
        <v>-651500</v>
      </c>
      <c r="AK75" s="620">
        <v>-688200</v>
      </c>
      <c r="AL75" s="620">
        <v>-636300</v>
      </c>
      <c r="AM75" s="620">
        <v>-473600</v>
      </c>
      <c r="AN75" s="620">
        <v>-115900</v>
      </c>
      <c r="AO75" s="620">
        <v>0</v>
      </c>
      <c r="AP75" s="620">
        <v>0</v>
      </c>
      <c r="AQ75" s="620">
        <v>0</v>
      </c>
      <c r="AR75" s="620">
        <v>0</v>
      </c>
      <c r="AS75" s="620">
        <v>-8200</v>
      </c>
      <c r="AT75" s="620">
        <v>-53000</v>
      </c>
      <c r="AU75" s="620">
        <v>-83300</v>
      </c>
      <c r="AV75" s="620">
        <v>-133200</v>
      </c>
      <c r="AW75" s="620">
        <v>-129100</v>
      </c>
      <c r="AX75" s="620">
        <v>-168100</v>
      </c>
      <c r="AY75" s="620">
        <v>-138900</v>
      </c>
      <c r="AZ75" s="620">
        <v>-61900</v>
      </c>
      <c r="BA75" s="620">
        <v>0</v>
      </c>
      <c r="BB75" s="620">
        <v>0</v>
      </c>
      <c r="BC75" s="620">
        <v>0</v>
      </c>
      <c r="BD75" s="620">
        <v>0</v>
      </c>
      <c r="BE75" s="620">
        <v>-19500</v>
      </c>
      <c r="BF75" s="620">
        <v>-85200</v>
      </c>
      <c r="BG75" s="620">
        <v>-129199.99999999999</v>
      </c>
      <c r="BH75" s="620">
        <v>-152400</v>
      </c>
      <c r="BI75" s="620">
        <v>-153100</v>
      </c>
      <c r="BJ75" s="620">
        <v>-135600</v>
      </c>
      <c r="BK75" s="620">
        <v>-126200</v>
      </c>
      <c r="BL75" s="620">
        <v>-71500</v>
      </c>
      <c r="BM75" s="620">
        <v>0</v>
      </c>
      <c r="BN75" s="620">
        <v>0</v>
      </c>
      <c r="BO75" s="620">
        <v>0</v>
      </c>
      <c r="BP75" s="620">
        <v>0</v>
      </c>
      <c r="BQ75" s="620">
        <v>-8900</v>
      </c>
      <c r="BR75" s="620">
        <v>-73300</v>
      </c>
      <c r="BS75" s="620">
        <v>-122300</v>
      </c>
      <c r="BT75" s="620">
        <v>-159500</v>
      </c>
      <c r="BU75" s="620">
        <v>-158900</v>
      </c>
      <c r="BV75" s="620">
        <v>-163900</v>
      </c>
      <c r="BW75" s="620">
        <v>-98100</v>
      </c>
      <c r="BX75" s="620">
        <v>0</v>
      </c>
      <c r="BY75" s="620">
        <v>-24900</v>
      </c>
      <c r="BZ75" s="620">
        <v>-24900</v>
      </c>
      <c r="CA75" s="620">
        <v>-24900</v>
      </c>
      <c r="CB75" s="620">
        <v>-24900</v>
      </c>
      <c r="CC75" s="620">
        <v>-24900</v>
      </c>
      <c r="CD75" s="620">
        <v>-33300</v>
      </c>
      <c r="CE75" s="620">
        <v>-49400</v>
      </c>
      <c r="CF75" s="620">
        <v>-64200</v>
      </c>
      <c r="CG75" s="620">
        <v>-74700</v>
      </c>
      <c r="CH75" s="620">
        <v>-86100</v>
      </c>
      <c r="CI75" s="620">
        <v>-88700</v>
      </c>
      <c r="CJ75" s="620">
        <v>-77000</v>
      </c>
      <c r="CK75" s="375"/>
    </row>
    <row r="76" spans="1:89" ht="12.75" customHeight="1">
      <c r="A76" s="610" t="s">
        <v>201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620">
        <v>0</v>
      </c>
      <c r="Y76" s="620">
        <v>0</v>
      </c>
      <c r="Z76" s="620">
        <v>24600</v>
      </c>
      <c r="AA76" s="620">
        <v>0</v>
      </c>
      <c r="AB76" s="620">
        <v>-83300</v>
      </c>
      <c r="AC76" s="620">
        <v>638600</v>
      </c>
      <c r="AD76" s="620">
        <v>565800</v>
      </c>
      <c r="AE76" s="620">
        <v>402600</v>
      </c>
      <c r="AF76" s="620">
        <v>179400</v>
      </c>
      <c r="AG76" s="620">
        <v>179400</v>
      </c>
      <c r="AH76" s="620">
        <v>179400</v>
      </c>
      <c r="AI76" s="620">
        <v>179400</v>
      </c>
      <c r="AJ76" s="620">
        <v>179400</v>
      </c>
      <c r="AK76" s="620">
        <v>179400</v>
      </c>
      <c r="AL76" s="620">
        <v>179400</v>
      </c>
      <c r="AM76" s="620">
        <v>179400</v>
      </c>
      <c r="AN76" s="620">
        <v>179400</v>
      </c>
      <c r="AO76" s="620">
        <v>653800</v>
      </c>
      <c r="AP76" s="620">
        <v>570200</v>
      </c>
      <c r="AQ76" s="620">
        <v>462400</v>
      </c>
      <c r="AR76" s="620">
        <v>425100</v>
      </c>
      <c r="AS76" s="620">
        <v>335400</v>
      </c>
      <c r="AT76" s="620">
        <v>335400</v>
      </c>
      <c r="AU76" s="620">
        <v>335400</v>
      </c>
      <c r="AV76" s="620">
        <v>335400</v>
      </c>
      <c r="AW76" s="620">
        <v>336200</v>
      </c>
      <c r="AX76" s="620">
        <v>335400</v>
      </c>
      <c r="AY76" s="620">
        <v>335400</v>
      </c>
      <c r="AZ76" s="620">
        <v>335400</v>
      </c>
      <c r="BA76" s="620">
        <v>204700</v>
      </c>
      <c r="BB76" s="620">
        <v>227400</v>
      </c>
      <c r="BC76" s="620">
        <v>127000</v>
      </c>
      <c r="BD76" s="620">
        <v>59500</v>
      </c>
      <c r="BE76" s="620">
        <v>28700</v>
      </c>
      <c r="BF76" s="620">
        <v>28700</v>
      </c>
      <c r="BG76" s="620">
        <v>28700</v>
      </c>
      <c r="BH76" s="620">
        <v>28700</v>
      </c>
      <c r="BI76" s="620">
        <v>28700</v>
      </c>
      <c r="BJ76" s="620">
        <v>28700</v>
      </c>
      <c r="BK76" s="620">
        <v>28700</v>
      </c>
      <c r="BL76" s="620">
        <v>28700</v>
      </c>
      <c r="BM76" s="620">
        <v>485400</v>
      </c>
      <c r="BN76" s="620">
        <v>424200</v>
      </c>
      <c r="BO76" s="620">
        <v>282000</v>
      </c>
      <c r="BP76" s="620">
        <v>162300</v>
      </c>
      <c r="BQ76" s="620">
        <v>60100</v>
      </c>
      <c r="BR76" s="620">
        <v>60100</v>
      </c>
      <c r="BS76" s="620">
        <v>60100</v>
      </c>
      <c r="BT76" s="620">
        <v>60100</v>
      </c>
      <c r="BU76" s="620">
        <v>60100</v>
      </c>
      <c r="BV76" s="620">
        <v>60100</v>
      </c>
      <c r="BW76" s="620">
        <v>60100</v>
      </c>
      <c r="BX76" s="620">
        <v>143500</v>
      </c>
      <c r="BY76" s="620">
        <v>109500</v>
      </c>
      <c r="BZ76" s="620">
        <v>88700</v>
      </c>
      <c r="CA76" s="620">
        <v>58500</v>
      </c>
      <c r="CB76" s="620">
        <v>32800</v>
      </c>
      <c r="CC76" s="620">
        <v>9500</v>
      </c>
      <c r="CD76" s="620">
        <v>0</v>
      </c>
      <c r="CE76" s="620">
        <v>0</v>
      </c>
      <c r="CF76" s="620">
        <v>0</v>
      </c>
      <c r="CG76" s="620">
        <v>0</v>
      </c>
      <c r="CH76" s="620">
        <v>0</v>
      </c>
      <c r="CI76" s="620">
        <v>0</v>
      </c>
      <c r="CJ76" s="620">
        <v>0</v>
      </c>
    </row>
    <row r="77" spans="1:89" ht="12.75" customHeight="1">
      <c r="A77" s="610" t="s">
        <v>202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620">
        <v>673000</v>
      </c>
      <c r="Y77" s="620">
        <v>691000</v>
      </c>
      <c r="Z77" s="620">
        <v>689100</v>
      </c>
      <c r="AA77" s="620">
        <v>775400</v>
      </c>
      <c r="AB77" s="620">
        <v>1058400</v>
      </c>
      <c r="AC77" s="620">
        <v>2113100</v>
      </c>
      <c r="AD77" s="620">
        <v>2057699.9999999998</v>
      </c>
      <c r="AE77" s="620">
        <v>1918400</v>
      </c>
      <c r="AF77" s="620">
        <v>1444400</v>
      </c>
      <c r="AG77" s="620">
        <v>1285400</v>
      </c>
      <c r="AH77" s="620">
        <v>1282800</v>
      </c>
      <c r="AI77" s="620">
        <v>1174800</v>
      </c>
      <c r="AJ77" s="620">
        <v>1166800</v>
      </c>
      <c r="AK77" s="620">
        <v>1155500</v>
      </c>
      <c r="AL77" s="620">
        <v>1233500</v>
      </c>
      <c r="AM77" s="620">
        <v>1427100</v>
      </c>
      <c r="AN77" s="620">
        <v>1822800</v>
      </c>
      <c r="AO77" s="620">
        <v>629600</v>
      </c>
      <c r="AP77" s="620">
        <v>575400</v>
      </c>
      <c r="AQ77" s="620">
        <v>493900</v>
      </c>
      <c r="AR77" s="620">
        <v>482300</v>
      </c>
      <c r="AS77" s="620">
        <v>400100</v>
      </c>
      <c r="AT77" s="620">
        <v>371800</v>
      </c>
      <c r="AU77" s="620">
        <v>361000</v>
      </c>
      <c r="AV77" s="620">
        <v>325600</v>
      </c>
      <c r="AW77" s="620">
        <v>347600</v>
      </c>
      <c r="AX77" s="620">
        <v>339900</v>
      </c>
      <c r="AY77" s="620">
        <v>392200</v>
      </c>
      <c r="AZ77" s="620">
        <v>513000</v>
      </c>
      <c r="BA77" s="620">
        <v>543400</v>
      </c>
      <c r="BB77" s="620">
        <v>586600</v>
      </c>
      <c r="BC77" s="620">
        <v>503100</v>
      </c>
      <c r="BD77" s="620">
        <v>451700</v>
      </c>
      <c r="BE77" s="620">
        <v>418500</v>
      </c>
      <c r="BF77" s="620">
        <v>363700</v>
      </c>
      <c r="BG77" s="620">
        <v>333400</v>
      </c>
      <c r="BH77" s="620">
        <v>321200</v>
      </c>
      <c r="BI77" s="620">
        <v>334000</v>
      </c>
      <c r="BJ77" s="620">
        <v>365600</v>
      </c>
      <c r="BK77" s="620">
        <v>389800</v>
      </c>
      <c r="BL77" s="620">
        <v>467200</v>
      </c>
      <c r="BM77" s="620">
        <v>1007500</v>
      </c>
      <c r="BN77" s="620">
        <v>973300</v>
      </c>
      <c r="BO77" s="620">
        <v>858100</v>
      </c>
      <c r="BP77" s="620">
        <v>762500</v>
      </c>
      <c r="BQ77" s="620">
        <v>672400</v>
      </c>
      <c r="BR77" s="620">
        <v>626800</v>
      </c>
      <c r="BS77" s="620">
        <v>595800</v>
      </c>
      <c r="BT77" s="620">
        <v>574900</v>
      </c>
      <c r="BU77" s="620">
        <v>589100</v>
      </c>
      <c r="BV77" s="620">
        <v>596300</v>
      </c>
      <c r="BW77" s="620">
        <v>674200</v>
      </c>
      <c r="BX77" s="620">
        <v>868200</v>
      </c>
      <c r="BY77" s="620">
        <v>92400</v>
      </c>
      <c r="BZ77" s="620">
        <v>88100</v>
      </c>
      <c r="CA77" s="620">
        <v>73900</v>
      </c>
      <c r="CB77" s="620">
        <v>62000</v>
      </c>
      <c r="CC77" s="620">
        <v>50800</v>
      </c>
      <c r="CD77" s="620">
        <v>45200</v>
      </c>
      <c r="CE77" s="620">
        <v>41400</v>
      </c>
      <c r="CF77" s="620">
        <v>38800</v>
      </c>
      <c r="CG77" s="620">
        <v>40500</v>
      </c>
      <c r="CH77" s="620">
        <v>41400</v>
      </c>
      <c r="CI77" s="620">
        <v>51100</v>
      </c>
      <c r="CJ77" s="620">
        <v>75100</v>
      </c>
    </row>
    <row r="78" spans="1:89" ht="12.75" customHeight="1">
      <c r="A78" s="765" t="s">
        <v>199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621">
        <f t="shared" ref="X78:AA78" si="142">(+X65-X75)/1000</f>
        <v>2E-3</v>
      </c>
      <c r="Y78" s="621">
        <f t="shared" si="142"/>
        <v>2.1999999999999999E-2</v>
      </c>
      <c r="Z78" s="621">
        <f t="shared" si="142"/>
        <v>1.4999999999999999E-2</v>
      </c>
      <c r="AA78" s="621">
        <f t="shared" si="142"/>
        <v>0.02</v>
      </c>
      <c r="AB78" s="621">
        <f t="shared" ref="AB78:AH78" si="143">(+AB65-AB75)/1000</f>
        <v>2.1999999999999999E-2</v>
      </c>
      <c r="AC78" s="621">
        <f t="shared" si="143"/>
        <v>0</v>
      </c>
      <c r="AD78" s="621">
        <f t="shared" si="143"/>
        <v>0</v>
      </c>
      <c r="AE78" s="621">
        <f t="shared" si="143"/>
        <v>0</v>
      </c>
      <c r="AF78" s="621">
        <f t="shared" si="143"/>
        <v>0.02</v>
      </c>
      <c r="AG78" s="621">
        <f t="shared" si="143"/>
        <v>-1.0999999999999999E-2</v>
      </c>
      <c r="AH78" s="621">
        <f t="shared" si="143"/>
        <v>-4.9000000000000002E-2</v>
      </c>
      <c r="AI78" s="621">
        <f t="shared" ref="AI78" si="144">(+AI65-AI75)/1000</f>
        <v>3.5000000000000003E-2</v>
      </c>
      <c r="AJ78" s="621">
        <f t="shared" ref="AJ78:AN78" si="145">(+AJ65-AJ75)/1000</f>
        <v>2.7E-2</v>
      </c>
      <c r="AK78" s="621">
        <f t="shared" si="145"/>
        <v>1E-3</v>
      </c>
      <c r="AL78" s="621">
        <f t="shared" si="145"/>
        <v>2E-3</v>
      </c>
      <c r="AM78" s="621">
        <f t="shared" si="145"/>
        <v>-3.1E-2</v>
      </c>
      <c r="AN78" s="621">
        <f t="shared" si="145"/>
        <v>50.186999999999998</v>
      </c>
      <c r="AO78" s="621">
        <f t="shared" ref="AO78:AZ78" si="146">(+AO65-AO75)/1000</f>
        <v>0</v>
      </c>
      <c r="AP78" s="621">
        <f t="shared" si="146"/>
        <v>0</v>
      </c>
      <c r="AQ78" s="621">
        <f t="shared" si="146"/>
        <v>0</v>
      </c>
      <c r="AR78" s="621">
        <f t="shared" si="146"/>
        <v>0</v>
      </c>
      <c r="AS78" s="621">
        <f t="shared" si="146"/>
        <v>3.4000000000000002E-2</v>
      </c>
      <c r="AT78" s="621">
        <f t="shared" si="146"/>
        <v>-3.7999999999999999E-2</v>
      </c>
      <c r="AU78" s="621">
        <f t="shared" si="146"/>
        <v>-4.0000000000000001E-3</v>
      </c>
      <c r="AV78" s="621">
        <f t="shared" si="146"/>
        <v>-1.2999999999999999E-2</v>
      </c>
      <c r="AW78" s="621">
        <f t="shared" si="146"/>
        <v>-2.3E-2</v>
      </c>
      <c r="AX78" s="621">
        <f t="shared" si="146"/>
        <v>3.5999999999999997E-2</v>
      </c>
      <c r="AY78" s="621">
        <f t="shared" si="146"/>
        <v>-0.03</v>
      </c>
      <c r="AZ78" s="621">
        <f t="shared" si="146"/>
        <v>-2.7E-2</v>
      </c>
      <c r="BA78" s="908">
        <f t="shared" ref="BA78:BL78" si="147">(+BA65-BA75)/1000</f>
        <v>0</v>
      </c>
      <c r="BB78" s="908">
        <f t="shared" si="147"/>
        <v>0</v>
      </c>
      <c r="BC78" s="908">
        <f t="shared" si="147"/>
        <v>0</v>
      </c>
      <c r="BD78" s="908">
        <f t="shared" si="147"/>
        <v>0</v>
      </c>
      <c r="BE78" s="908">
        <f t="shared" si="147"/>
        <v>3.6999999999999998E-2</v>
      </c>
      <c r="BF78" s="908">
        <f t="shared" si="147"/>
        <v>2.5000000000000001E-2</v>
      </c>
      <c r="BG78" s="908">
        <f t="shared" si="147"/>
        <v>2.0999999999985447E-2</v>
      </c>
      <c r="BH78" s="908">
        <f t="shared" si="147"/>
        <v>-4.9000000000000002E-2</v>
      </c>
      <c r="BI78" s="908">
        <f t="shared" si="147"/>
        <v>-0.01</v>
      </c>
      <c r="BJ78" s="908">
        <f t="shared" si="147"/>
        <v>3.5999999999999997E-2</v>
      </c>
      <c r="BK78" s="908">
        <f t="shared" si="147"/>
        <v>4.9000000000000002E-2</v>
      </c>
      <c r="BL78" s="908">
        <f t="shared" si="147"/>
        <v>-3.2000000000000001E-2</v>
      </c>
      <c r="BM78" s="908">
        <f t="shared" ref="BM78:BW78" si="148">(+BM65-BM75)/1000</f>
        <v>0</v>
      </c>
      <c r="BN78" s="908">
        <f t="shared" si="148"/>
        <v>0</v>
      </c>
      <c r="BO78" s="908">
        <f t="shared" si="148"/>
        <v>0</v>
      </c>
      <c r="BP78" s="908">
        <f t="shared" si="148"/>
        <v>0</v>
      </c>
      <c r="BQ78" s="908">
        <f t="shared" si="148"/>
        <v>1.2999999999999999E-2</v>
      </c>
      <c r="BR78" s="908">
        <f t="shared" si="148"/>
        <v>3.5999999999999997E-2</v>
      </c>
      <c r="BS78" s="908">
        <f t="shared" si="148"/>
        <v>-4.8000000000000001E-2</v>
      </c>
      <c r="BT78" s="908">
        <f t="shared" si="148"/>
        <v>-1.9E-2</v>
      </c>
      <c r="BU78" s="908">
        <f t="shared" si="148"/>
        <v>-0.01</v>
      </c>
      <c r="BV78" s="908">
        <f t="shared" si="148"/>
        <v>1.2999999999999999E-2</v>
      </c>
      <c r="BW78" s="908">
        <f t="shared" si="148"/>
        <v>3.6999999999999998E-2</v>
      </c>
      <c r="BX78" s="41"/>
      <c r="BY78" s="908">
        <f t="shared" ref="BY78:CI78" si="149">(+BY65-BY75)/1000</f>
        <v>1.6E-2</v>
      </c>
      <c r="BZ78" s="908">
        <f t="shared" si="149"/>
        <v>1.6E-2</v>
      </c>
      <c r="CA78" s="908">
        <f t="shared" si="149"/>
        <v>1.6E-2</v>
      </c>
      <c r="CB78" s="908">
        <f t="shared" si="149"/>
        <v>1.6E-2</v>
      </c>
      <c r="CC78" s="908">
        <f t="shared" si="149"/>
        <v>1.6E-2</v>
      </c>
      <c r="CD78" s="908">
        <f t="shared" si="149"/>
        <v>3.6999999999999998E-2</v>
      </c>
      <c r="CE78" s="908">
        <f t="shared" si="149"/>
        <v>0.06</v>
      </c>
      <c r="CF78" s="908">
        <f t="shared" si="149"/>
        <v>2.8000000000000001E-2</v>
      </c>
      <c r="CG78" s="908">
        <f t="shared" si="149"/>
        <v>2.4E-2</v>
      </c>
      <c r="CH78" s="908">
        <f t="shared" si="149"/>
        <v>0.05</v>
      </c>
      <c r="CI78" s="908">
        <f t="shared" si="149"/>
        <v>1.4999999999999999E-2</v>
      </c>
      <c r="CJ78" s="908">
        <f t="shared" ref="CJ78" si="150">(+CJ65-CJ75)/1000</f>
        <v>-1.6E-2</v>
      </c>
    </row>
    <row r="79" spans="1:89" ht="12.75" customHeight="1">
      <c r="A79" s="765" t="s">
        <v>199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618">
        <f t="shared" ref="X79:AA79" si="151">(+X66-X76)/1000</f>
        <v>0</v>
      </c>
      <c r="Y79" s="618">
        <f t="shared" si="151"/>
        <v>0</v>
      </c>
      <c r="Z79" s="618">
        <f t="shared" si="151"/>
        <v>-2.3E-2</v>
      </c>
      <c r="AA79" s="618">
        <f t="shared" si="151"/>
        <v>0</v>
      </c>
      <c r="AB79" s="618">
        <f t="shared" ref="AB79:AH79" si="152">(+AB66-AB76)/1000</f>
        <v>3.5999999999999997E-2</v>
      </c>
      <c r="AC79" s="618">
        <f t="shared" si="152"/>
        <v>-1.0999999999999999E-2</v>
      </c>
      <c r="AD79" s="618">
        <f t="shared" si="152"/>
        <v>0.03</v>
      </c>
      <c r="AE79" s="618">
        <f t="shared" si="152"/>
        <v>8.9999999999999993E-3</v>
      </c>
      <c r="AF79" s="618">
        <f t="shared" si="152"/>
        <v>3.3000000000000002E-2</v>
      </c>
      <c r="AG79" s="618">
        <f t="shared" si="152"/>
        <v>3.3000000000000002E-2</v>
      </c>
      <c r="AH79" s="618">
        <f t="shared" si="152"/>
        <v>3.3000000000000002E-2</v>
      </c>
      <c r="AI79" s="618">
        <f t="shared" ref="AI79" si="153">(+AI66-AI76)/1000</f>
        <v>3.3000000000000002E-2</v>
      </c>
      <c r="AJ79" s="618">
        <f t="shared" ref="AJ79:AN79" si="154">(+AJ66-AJ76)/1000</f>
        <v>3.3000000000000002E-2</v>
      </c>
      <c r="AK79" s="618">
        <f t="shared" si="154"/>
        <v>3.3000000000000002E-2</v>
      </c>
      <c r="AL79" s="618">
        <f t="shared" si="154"/>
        <v>3.3000000000000002E-2</v>
      </c>
      <c r="AM79" s="618">
        <f t="shared" si="154"/>
        <v>3.3000000000000002E-2</v>
      </c>
      <c r="AN79" s="618">
        <f t="shared" si="154"/>
        <v>3.3000000000000002E-2</v>
      </c>
      <c r="AO79" s="618">
        <f t="shared" ref="AO79:AZ79" si="155">(+AO66-AO76)/1000</f>
        <v>-8.4000000000000005E-2</v>
      </c>
      <c r="AP79" s="618">
        <f t="shared" si="155"/>
        <v>-7.2999999999999995E-2</v>
      </c>
      <c r="AQ79" s="618">
        <f t="shared" si="155"/>
        <v>-0.03</v>
      </c>
      <c r="AR79" s="618">
        <f t="shared" si="155"/>
        <v>-1.2999999999999999E-2</v>
      </c>
      <c r="AS79" s="618">
        <f t="shared" si="155"/>
        <v>-3.7999999999999999E-2</v>
      </c>
      <c r="AT79" s="618">
        <f t="shared" si="155"/>
        <v>-3.7999999999999999E-2</v>
      </c>
      <c r="AU79" s="618">
        <f t="shared" si="155"/>
        <v>-3.7999999999999999E-2</v>
      </c>
      <c r="AV79" s="618">
        <f t="shared" si="155"/>
        <v>-3.7999999999999999E-2</v>
      </c>
      <c r="AW79" s="618">
        <f t="shared" si="155"/>
        <v>-1.4999999999999999E-2</v>
      </c>
      <c r="AX79" s="618">
        <f t="shared" si="155"/>
        <v>-3.7999999999999999E-2</v>
      </c>
      <c r="AY79" s="618">
        <f t="shared" si="155"/>
        <v>-3.7999999999999999E-2</v>
      </c>
      <c r="AZ79" s="618">
        <f t="shared" si="155"/>
        <v>-4.1000000000000002E-2</v>
      </c>
      <c r="BA79" s="907">
        <f t="shared" ref="BA79:BL79" si="156">(+BA66-BA76)/1000</f>
        <v>4.1000000000000002E-2</v>
      </c>
      <c r="BB79" s="907">
        <f t="shared" si="156"/>
        <v>6.0000000000000001E-3</v>
      </c>
      <c r="BC79" s="907">
        <f t="shared" si="156"/>
        <v>7.0000000000000007E-2</v>
      </c>
      <c r="BD79" s="907">
        <f t="shared" si="156"/>
        <v>7.0999999999999994E-2</v>
      </c>
      <c r="BE79" s="907">
        <f t="shared" si="156"/>
        <v>3.9E-2</v>
      </c>
      <c r="BF79" s="907">
        <f t="shared" si="156"/>
        <v>3.9E-2</v>
      </c>
      <c r="BG79" s="907">
        <f t="shared" si="156"/>
        <v>3.9E-2</v>
      </c>
      <c r="BH79" s="907">
        <f t="shared" si="156"/>
        <v>3.9E-2</v>
      </c>
      <c r="BI79" s="907">
        <f t="shared" si="156"/>
        <v>3.9E-2</v>
      </c>
      <c r="BJ79" s="907">
        <f t="shared" si="156"/>
        <v>3.9E-2</v>
      </c>
      <c r="BK79" s="907">
        <f t="shared" si="156"/>
        <v>3.9E-2</v>
      </c>
      <c r="BL79" s="907">
        <f t="shared" si="156"/>
        <v>4.1000000000000002E-2</v>
      </c>
      <c r="BM79" s="907">
        <f t="shared" ref="BM79:BW79" si="157">(+BM66-BM76)/1000</f>
        <v>7.0000000000000001E-3</v>
      </c>
      <c r="BN79" s="907">
        <f t="shared" si="157"/>
        <v>-3.9E-2</v>
      </c>
      <c r="BO79" s="907">
        <f t="shared" si="157"/>
        <v>-2.9000000000000001E-2</v>
      </c>
      <c r="BP79" s="907">
        <f t="shared" si="157"/>
        <v>-4.8000000000000001E-2</v>
      </c>
      <c r="BQ79" s="907">
        <f t="shared" si="157"/>
        <v>-3.0000000000000001E-3</v>
      </c>
      <c r="BR79" s="907">
        <f t="shared" si="157"/>
        <v>-3.0000000000000001E-3</v>
      </c>
      <c r="BS79" s="907">
        <f t="shared" si="157"/>
        <v>-3.0000000000000001E-3</v>
      </c>
      <c r="BT79" s="907">
        <f t="shared" si="157"/>
        <v>-3.0000000000000001E-3</v>
      </c>
      <c r="BU79" s="907">
        <f t="shared" si="157"/>
        <v>-3.0000000000000001E-3</v>
      </c>
      <c r="BV79" s="907">
        <f t="shared" si="157"/>
        <v>-3.0000000000000001E-3</v>
      </c>
      <c r="BW79" s="907">
        <f t="shared" si="157"/>
        <v>-3.0000000000000001E-3</v>
      </c>
      <c r="BX79" s="41"/>
      <c r="BY79" s="907">
        <f t="shared" ref="BY79:CI79" si="158">(+BY66-BY76)/1000</f>
        <v>-1.9E-2</v>
      </c>
      <c r="BZ79" s="907">
        <f t="shared" si="158"/>
        <v>4.1000000000000002E-2</v>
      </c>
      <c r="CA79" s="907">
        <f t="shared" si="158"/>
        <v>0.01</v>
      </c>
      <c r="CB79" s="907">
        <f t="shared" si="158"/>
        <v>0.01</v>
      </c>
      <c r="CC79" s="907">
        <f t="shared" si="158"/>
        <v>-2.8000000000000001E-2</v>
      </c>
      <c r="CD79" s="907">
        <f t="shared" si="158"/>
        <v>0</v>
      </c>
      <c r="CE79" s="907">
        <f t="shared" si="158"/>
        <v>0</v>
      </c>
      <c r="CF79" s="907">
        <f t="shared" si="158"/>
        <v>0</v>
      </c>
      <c r="CG79" s="907">
        <f t="shared" si="158"/>
        <v>0</v>
      </c>
      <c r="CH79" s="907">
        <f t="shared" si="158"/>
        <v>0</v>
      </c>
      <c r="CI79" s="907">
        <f t="shared" si="158"/>
        <v>0</v>
      </c>
      <c r="CJ79" s="907">
        <f t="shared" ref="CJ79" si="159">(+CJ66-CJ76)/1000</f>
        <v>0</v>
      </c>
    </row>
    <row r="80" spans="1:89" ht="12.75" customHeight="1">
      <c r="A80" s="765" t="s">
        <v>199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621">
        <f t="shared" ref="X80:AA80" si="160">(+X63-X77)/1000</f>
        <v>-6.9699999999720602E-3</v>
      </c>
      <c r="Y80" s="621">
        <f t="shared" si="160"/>
        <v>-1.371999999997206E-2</v>
      </c>
      <c r="Z80" s="621">
        <f t="shared" si="160"/>
        <v>-1.5869999999995343E-2</v>
      </c>
      <c r="AA80" s="621">
        <f t="shared" si="160"/>
        <v>6.9699999999720602E-3</v>
      </c>
      <c r="AB80" s="621">
        <f t="shared" ref="AB80:AH80" si="161">(+AB63-AB77)/1000</f>
        <v>6.8500000000931323E-3</v>
      </c>
      <c r="AC80" s="621">
        <f t="shared" si="161"/>
        <v>-4.5729999999981376E-2</v>
      </c>
      <c r="AD80" s="621">
        <f t="shared" si="161"/>
        <v>-3.7199999997392296E-3</v>
      </c>
      <c r="AE80" s="621">
        <f t="shared" si="161"/>
        <v>2.1299999998882413E-3</v>
      </c>
      <c r="AF80" s="621">
        <f t="shared" si="161"/>
        <v>-3.8459999999962746E-2</v>
      </c>
      <c r="AG80" s="621">
        <f t="shared" si="161"/>
        <v>4.1379999999888242E-2</v>
      </c>
      <c r="AH80" s="621">
        <f t="shared" si="161"/>
        <v>2.5820000000065194E-2</v>
      </c>
      <c r="AI80" s="621">
        <f t="shared" ref="AI80" si="162">(+AI63-AI77)/1000</f>
        <v>1.6129999999888241E-2</v>
      </c>
      <c r="AJ80" s="621">
        <f t="shared" ref="AJ80:AN80" si="163">(+AJ63-AJ77)/1000</f>
        <v>2.7979999999981374E-2</v>
      </c>
      <c r="AK80" s="621">
        <f t="shared" si="163"/>
        <v>4.8959999999962749E-2</v>
      </c>
      <c r="AL80" s="621">
        <f t="shared" si="163"/>
        <v>-1.2469999999972061E-2</v>
      </c>
      <c r="AM80" s="621">
        <f t="shared" si="163"/>
        <v>2.8080000000074507E-2</v>
      </c>
      <c r="AN80" s="621">
        <f t="shared" si="163"/>
        <v>51.526409999999913</v>
      </c>
      <c r="AO80" s="621">
        <f t="shared" ref="AO80:AZ80" si="164">(+AO63-AO77)/1000</f>
        <v>-2.7510000000009312E-2</v>
      </c>
      <c r="AP80" s="621">
        <f t="shared" si="164"/>
        <v>2.2130000000004656E-2</v>
      </c>
      <c r="AQ80" s="621">
        <f t="shared" si="164"/>
        <v>2.4820000000006986E-2</v>
      </c>
      <c r="AR80" s="621">
        <f t="shared" si="164"/>
        <v>8.8900000000139701E-3</v>
      </c>
      <c r="AS80" s="621">
        <f t="shared" si="164"/>
        <v>-3.4820000000006984E-2</v>
      </c>
      <c r="AT80" s="621">
        <f t="shared" si="164"/>
        <v>-8.9799999999813744E-3</v>
      </c>
      <c r="AU80" s="621">
        <f t="shared" si="164"/>
        <v>-2.8400000000023282E-2</v>
      </c>
      <c r="AV80" s="621">
        <f t="shared" si="164"/>
        <v>4.1359999999986033E-2</v>
      </c>
      <c r="AW80" s="621">
        <f t="shared" si="164"/>
        <v>-3.2000000000000001E-2</v>
      </c>
      <c r="AX80" s="621">
        <f t="shared" si="164"/>
        <v>-4.2999999999999997E-2</v>
      </c>
      <c r="AY80" s="621">
        <f t="shared" si="164"/>
        <v>-0.02</v>
      </c>
      <c r="AZ80" s="621">
        <f t="shared" si="164"/>
        <v>-2.1000000000000001E-2</v>
      </c>
      <c r="BA80" s="908">
        <f t="shared" ref="BA80:BL80" si="165">(+BA63-BA77)/1000</f>
        <v>-2.4439999999944121E-2</v>
      </c>
      <c r="BB80" s="908">
        <f t="shared" si="165"/>
        <v>-3.060999999998603E-2</v>
      </c>
      <c r="BC80" s="908">
        <f t="shared" si="165"/>
        <v>-4.4090000000025609E-2</v>
      </c>
      <c r="BD80" s="908">
        <f t="shared" si="165"/>
        <v>3.3469999999972064E-2</v>
      </c>
      <c r="BE80" s="908">
        <f t="shared" si="165"/>
        <v>1.3729999999981373E-2</v>
      </c>
      <c r="BF80" s="908">
        <f t="shared" si="165"/>
        <v>-4.6390000000013969E-2</v>
      </c>
      <c r="BG80" s="908">
        <f t="shared" si="165"/>
        <v>-2.7739999999990685E-2</v>
      </c>
      <c r="BH80" s="908">
        <f t="shared" si="165"/>
        <v>0.17329999999998835</v>
      </c>
      <c r="BI80" s="908">
        <f t="shared" si="165"/>
        <v>0.17140999999997439</v>
      </c>
      <c r="BJ80" s="908">
        <f t="shared" si="165"/>
        <v>-6.6369999999995349E-2</v>
      </c>
      <c r="BK80" s="908">
        <f t="shared" si="165"/>
        <v>6.7520000000018621E-2</v>
      </c>
      <c r="BL80" s="908">
        <f t="shared" si="165"/>
        <v>0.27758000000001631</v>
      </c>
      <c r="BM80" s="908">
        <f t="shared" ref="BM80:BW80" si="166">(+BM63-BM77)/1000</f>
        <v>2.1189999999944122E-2</v>
      </c>
      <c r="BN80" s="908">
        <f t="shared" si="166"/>
        <v>-3.5530000000027942E-2</v>
      </c>
      <c r="BO80" s="908">
        <f t="shared" si="166"/>
        <v>-3.3430000000051224E-2</v>
      </c>
      <c r="BP80" s="908">
        <f t="shared" si="166"/>
        <v>4.354000000003725E-2</v>
      </c>
      <c r="BQ80" s="908">
        <f t="shared" si="166"/>
        <v>-4.5089999999967406E-2</v>
      </c>
      <c r="BR80" s="908">
        <f t="shared" si="166"/>
        <v>3.6010000000009312E-2</v>
      </c>
      <c r="BS80" s="908">
        <f t="shared" si="166"/>
        <v>-5.4799999999813739E-3</v>
      </c>
      <c r="BT80" s="908">
        <f t="shared" si="166"/>
        <v>-1.6999999999534339E-3</v>
      </c>
      <c r="BU80" s="908">
        <f t="shared" si="166"/>
        <v>3.239000000001397E-2</v>
      </c>
      <c r="BV80" s="908">
        <f t="shared" si="166"/>
        <v>-2.3489999999990688E-2</v>
      </c>
      <c r="BW80" s="908">
        <f t="shared" si="166"/>
        <v>4.3800000000046566E-2</v>
      </c>
      <c r="BX80" s="41"/>
      <c r="BY80" s="908">
        <f t="shared" ref="BY80:CI80" si="167">(+BY63-BY77)/1000</f>
        <v>-4.899999999994179E-3</v>
      </c>
      <c r="BZ80" s="908">
        <f t="shared" si="167"/>
        <v>4.8669999999998256E-2</v>
      </c>
      <c r="CA80" s="908">
        <f t="shared" si="167"/>
        <v>-3.1130000000004657E-2</v>
      </c>
      <c r="CB80" s="908">
        <f t="shared" si="167"/>
        <v>2.7949999999997088E-2</v>
      </c>
      <c r="CC80" s="908">
        <f t="shared" si="167"/>
        <v>4.8279999999998838E-2</v>
      </c>
      <c r="CD80" s="908">
        <f t="shared" si="167"/>
        <v>5.8099999999976721E-3</v>
      </c>
      <c r="CE80" s="908">
        <f t="shared" si="167"/>
        <v>-4.2050000000002911E-2</v>
      </c>
      <c r="CF80" s="908">
        <f t="shared" si="167"/>
        <v>-3.231999999999971E-2</v>
      </c>
      <c r="CG80" s="908">
        <f t="shared" si="167"/>
        <v>3.2120000000002619E-2</v>
      </c>
      <c r="CH80" s="908">
        <f t="shared" si="167"/>
        <v>1.7690000000002329E-2</v>
      </c>
      <c r="CI80" s="908">
        <f t="shared" si="167"/>
        <v>-1.7580000000001747E-2</v>
      </c>
      <c r="CJ80" s="908">
        <f t="shared" ref="CJ80" si="168">(+CJ63-CJ77)/1000</f>
        <v>1.8429999999993014E-2</v>
      </c>
    </row>
    <row r="81" spans="2:87" ht="12.75" customHeight="1"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</row>
    <row r="82" spans="2:87" ht="12.75" customHeight="1"/>
    <row r="83" spans="2:87" ht="12.75" customHeight="1"/>
    <row r="84" spans="2:87" ht="12.75" customHeight="1"/>
    <row r="85" spans="2:87" ht="12.75" customHeight="1">
      <c r="B85" s="450"/>
    </row>
    <row r="86" spans="2:87" ht="12.75" customHeight="1"/>
    <row r="87" spans="2:87" ht="12.75" customHeight="1"/>
    <row r="88" spans="2:87" ht="12.75" customHeight="1"/>
    <row r="89" spans="2:87" ht="12.75" customHeight="1"/>
    <row r="94" spans="2:87" hidden="1"/>
    <row r="95" spans="2:87" hidden="1"/>
    <row r="98" spans="1:3">
      <c r="A98" s="26"/>
      <c r="B98" s="26"/>
      <c r="C98" s="26"/>
    </row>
    <row r="100" spans="1:3" ht="12.75" customHeight="1"/>
  </sheetData>
  <pageMargins left="0.25" right="0.25" top="0.75" bottom="0.75" header="0.3" footer="0.3"/>
  <pageSetup paperSize="5" scale="67" orientation="landscape" r:id="rId1"/>
  <headerFooter alignWithMargins="0">
    <oddFooter>&amp;L&amp;Z&amp;F
&amp;D</oddFooter>
  </headerFooter>
  <customProperties>
    <customPr name="FPMExcelClientCellBasedFunctionStatus" r:id="rId2"/>
  </customProperties>
  <ignoredErrors>
    <ignoredError sqref="B56" formulaRange="1"/>
  </ignoredErrors>
  <drawing r:id="rId3"/>
  <legacy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X62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2.85546875" style="43" customWidth="1"/>
    <col min="4" max="4" width="21.28515625" style="43" bestFit="1" customWidth="1"/>
    <col min="5" max="5" width="1.7109375" style="43" customWidth="1"/>
    <col min="6" max="6" width="12.42578125" style="43" bestFit="1" customWidth="1"/>
    <col min="7" max="7" width="1.7109375" style="43" customWidth="1"/>
    <col min="8" max="8" width="11.5703125" style="46" customWidth="1"/>
    <col min="9" max="9" width="14.5703125" style="43" bestFit="1" customWidth="1"/>
    <col min="10" max="10" width="7.7109375" style="43" customWidth="1"/>
    <col min="11" max="11" width="10.85546875" style="43" customWidth="1"/>
    <col min="12" max="14" width="9.140625" style="43"/>
    <col min="15" max="15" width="30.7109375" style="43" customWidth="1"/>
    <col min="16" max="16" width="7.140625" style="43" customWidth="1"/>
    <col min="17" max="17" width="8.140625" style="43" customWidth="1"/>
    <col min="18" max="18" width="1.7109375" style="43" customWidth="1"/>
    <col min="19" max="19" width="7.7109375" style="43" customWidth="1"/>
    <col min="20" max="20" width="13" style="43" customWidth="1"/>
    <col min="21" max="21" width="1.7109375" style="43" customWidth="1"/>
    <col min="22" max="22" width="9.140625" style="43"/>
    <col min="23" max="23" width="1.42578125" style="43" customWidth="1"/>
    <col min="24" max="24" width="8.7109375" style="47" customWidth="1"/>
    <col min="25" max="25" width="6.85546875" style="43" customWidth="1"/>
    <col min="26" max="26" width="6.28515625" style="43" customWidth="1"/>
    <col min="27" max="16384" width="9.140625" style="43"/>
  </cols>
  <sheetData>
    <row r="1" spans="1:24" ht="18">
      <c r="A1" s="45" t="s">
        <v>1046</v>
      </c>
      <c r="B1" s="45"/>
      <c r="C1" s="45"/>
      <c r="D1" s="76"/>
      <c r="E1" s="76"/>
      <c r="F1" s="76"/>
      <c r="G1" s="76"/>
      <c r="H1" s="31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972"/>
    </row>
    <row r="2" spans="1:24" ht="18">
      <c r="A2" s="45" t="s">
        <v>1047</v>
      </c>
      <c r="B2" s="45"/>
      <c r="C2" s="45"/>
      <c r="D2" s="76"/>
      <c r="E2" s="76"/>
      <c r="F2" s="76"/>
      <c r="G2" s="76"/>
      <c r="H2" s="31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972"/>
    </row>
    <row r="3" spans="1:24" ht="18">
      <c r="A3" s="48" t="s">
        <v>1048</v>
      </c>
      <c r="B3" s="48"/>
      <c r="C3" s="48"/>
      <c r="D3" s="76"/>
      <c r="E3" s="76"/>
      <c r="F3" s="76"/>
      <c r="G3" s="76"/>
      <c r="H3" s="31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972"/>
    </row>
    <row r="4" spans="1:24" ht="15.75" customHeight="1">
      <c r="A4" s="48"/>
      <c r="B4" s="48"/>
      <c r="C4" s="48"/>
      <c r="D4" s="49"/>
      <c r="E4" s="76"/>
      <c r="F4" s="76"/>
      <c r="G4" s="76"/>
      <c r="H4" s="31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972"/>
    </row>
    <row r="5" spans="1:24" ht="15.75" customHeight="1">
      <c r="A5" s="375"/>
      <c r="B5" s="375"/>
      <c r="C5" s="375"/>
      <c r="D5" s="183"/>
      <c r="E5" s="76"/>
      <c r="F5" s="76"/>
      <c r="G5" s="76"/>
      <c r="H5" s="316"/>
      <c r="I5" s="76"/>
      <c r="J5" s="76"/>
      <c r="K5" s="50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972"/>
    </row>
    <row r="6" spans="1:24" s="52" customFormat="1" ht="15.75">
      <c r="A6" s="51" t="s">
        <v>1049</v>
      </c>
      <c r="B6" s="430" t="s">
        <v>1141</v>
      </c>
      <c r="C6" s="51"/>
      <c r="D6" s="257" t="str">
        <f>'COMP Act to Prior'!D6</f>
        <v>2024</v>
      </c>
      <c r="H6" s="53" t="s">
        <v>1051</v>
      </c>
      <c r="X6" s="54"/>
    </row>
    <row r="7" spans="1:24" s="52" customFormat="1" ht="15.75">
      <c r="A7" s="55" t="s">
        <v>1052</v>
      </c>
      <c r="B7" s="461" t="s">
        <v>1112</v>
      </c>
      <c r="C7" s="55"/>
      <c r="D7" s="342" t="str">
        <f>'COMP Act to Prior'!D7</f>
        <v>Budget</v>
      </c>
      <c r="F7" s="56" t="s">
        <v>1054</v>
      </c>
      <c r="G7" s="55"/>
      <c r="H7" s="57" t="s">
        <v>1055</v>
      </c>
      <c r="K7" s="303"/>
      <c r="X7" s="54"/>
    </row>
    <row r="8" spans="1:24" ht="15.75">
      <c r="A8" s="52" t="s">
        <v>1056</v>
      </c>
      <c r="B8" s="76"/>
      <c r="C8" s="52"/>
      <c r="D8" s="76"/>
      <c r="E8" s="76"/>
      <c r="F8" s="76"/>
      <c r="G8" s="76"/>
      <c r="H8" s="31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972"/>
    </row>
    <row r="9" spans="1:24">
      <c r="A9" s="76" t="s">
        <v>472</v>
      </c>
      <c r="B9" s="432">
        <v>1057504.1898664278</v>
      </c>
      <c r="C9" s="76"/>
      <c r="D9" s="432">
        <f ca="1">+'COMP Act to Prior'!D9</f>
        <v>2370525.9425286599</v>
      </c>
      <c r="E9" s="432">
        <f ca="1">Report!$J$92</f>
        <v>2370525.9425286599</v>
      </c>
      <c r="F9" s="303">
        <f ca="1">D9-B9</f>
        <v>1313021.7526622321</v>
      </c>
      <c r="G9" s="303"/>
      <c r="H9" s="316">
        <f ca="1">ROUND((((B17/(D9+D10+D11+D13))-B20)/B23)-(((B17/(B9+D10+D11+D13))-B20)/B23),4)*10000</f>
        <v>-572</v>
      </c>
      <c r="I9" s="316">
        <f ca="1">ROUND((((B17/(D9+D10+D11+D13))-B20)/B23)-(((B17/(B9+D10+D11+D13))-B20)/B23),4)*10000</f>
        <v>-572</v>
      </c>
      <c r="J9" s="76"/>
      <c r="K9" s="58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972"/>
    </row>
    <row r="10" spans="1:24">
      <c r="A10" s="76" t="s">
        <v>190</v>
      </c>
      <c r="B10" s="303">
        <v>54559.842273846152</v>
      </c>
      <c r="C10" s="76"/>
      <c r="D10" s="303">
        <f ca="1">+'COMP Act to Prior'!D10</f>
        <v>24309.450432307684</v>
      </c>
      <c r="E10" s="76"/>
      <c r="F10" s="303">
        <f ca="1">D10-B10</f>
        <v>-30250.391841538469</v>
      </c>
      <c r="G10" s="303"/>
      <c r="H10" s="316">
        <f ca="1">ROUND((((B17/(D9+D11+D13+D10))-B20)/B23)-(((B17/(B10+D9+D11+D13))-B20)/B23),4)*10000</f>
        <v>5.9999999999999991</v>
      </c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972"/>
    </row>
    <row r="11" spans="1:24">
      <c r="A11" s="76" t="s">
        <v>1057</v>
      </c>
      <c r="B11" s="303">
        <v>0</v>
      </c>
      <c r="C11" s="76"/>
      <c r="D11" s="303">
        <f ca="1">+'COMP Act to Prior'!D11</f>
        <v>0</v>
      </c>
      <c r="E11" s="76"/>
      <c r="F11" s="303">
        <f ca="1">D11-B11</f>
        <v>0</v>
      </c>
      <c r="G11" s="190"/>
      <c r="H11" s="316">
        <f ca="1">ROUND((((B17/(D9+D10+D11+D13))-B20)/B23)-(((B17/(B11+D9+D10+D13))-B20)/B23),4)*10000</f>
        <v>0</v>
      </c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972"/>
    </row>
    <row r="12" spans="1:24">
      <c r="A12" s="76" t="s">
        <v>478</v>
      </c>
      <c r="B12" s="303">
        <v>8635.2361569230779</v>
      </c>
      <c r="C12" s="76"/>
      <c r="D12" s="303">
        <f ca="1">+'COMP Act to Prior'!D12</f>
        <v>1000</v>
      </c>
      <c r="E12" s="76"/>
      <c r="F12" s="303">
        <f ca="1">D12-B12</f>
        <v>-7635.2361569230779</v>
      </c>
      <c r="G12" s="190"/>
      <c r="H12" s="316">
        <f ca="1">ROUND((((B17/(D9+D10+D11+D12+D13))-B20)/B23)-(((B17/(B12+D9+D10+D11+D13))-B20)/B23),4)*10000</f>
        <v>1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972"/>
    </row>
    <row r="13" spans="1:24" ht="15.75">
      <c r="A13" s="76" t="s">
        <v>1058</v>
      </c>
      <c r="B13" s="191">
        <v>-52078.199629699673</v>
      </c>
      <c r="C13" s="76"/>
      <c r="D13" s="315">
        <f ca="1">+'COMP Act to Prior'!D13</f>
        <v>-29047.373783918258</v>
      </c>
      <c r="E13" s="76"/>
      <c r="F13" s="303">
        <f ca="1">D13-B13</f>
        <v>23030.825845781415</v>
      </c>
      <c r="G13" s="190"/>
      <c r="H13" s="316">
        <f ca="1">ROUND((((B17/(D9+D10+D11+D12+D13))-B20)/B23)-(((B17/(B13+D9+D10+D11+D12))-B20)/B23),4)*10000</f>
        <v>-5</v>
      </c>
      <c r="I13" s="59" t="s">
        <v>550</v>
      </c>
      <c r="J13" s="76"/>
      <c r="K13" s="60" t="s">
        <v>316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972"/>
    </row>
    <row r="14" spans="1:24" ht="8.1" customHeight="1">
      <c r="A14" s="76"/>
      <c r="B14" s="300"/>
      <c r="C14" s="76"/>
      <c r="D14" s="300"/>
      <c r="E14" s="76"/>
      <c r="F14" s="303"/>
      <c r="G14" s="76"/>
      <c r="H14" s="316"/>
      <c r="I14" s="59"/>
      <c r="J14" s="76"/>
      <c r="K14" s="60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972"/>
    </row>
    <row r="15" spans="1:24" ht="15.75">
      <c r="A15" s="52" t="s">
        <v>727</v>
      </c>
      <c r="B15" s="61">
        <v>1068621.0686999999</v>
      </c>
      <c r="C15" s="52"/>
      <c r="D15" s="61">
        <f ca="1">+'COMP Act to Prior'!D15</f>
        <v>2366788.0192</v>
      </c>
      <c r="E15" s="52"/>
      <c r="F15" s="50">
        <f ca="1">D15-B15</f>
        <v>1298166.9505</v>
      </c>
      <c r="G15" s="50"/>
      <c r="H15" s="53">
        <f ca="1">ROUND((((B17/D15)-B20)/B23)-(((B17/B15)-B20)/B23),4)*10000</f>
        <v>-557</v>
      </c>
      <c r="I15" s="53">
        <f ca="1">SUM(H9:H13)</f>
        <v>-570</v>
      </c>
      <c r="J15" s="316"/>
      <c r="K15" s="53">
        <f ca="1">H15-I15</f>
        <v>13</v>
      </c>
      <c r="L15" s="76"/>
      <c r="M15" s="76"/>
      <c r="N15" s="76"/>
      <c r="O15" s="973"/>
      <c r="P15" s="76"/>
      <c r="Q15" s="76"/>
      <c r="R15" s="76"/>
      <c r="S15" s="76"/>
      <c r="T15" s="76"/>
      <c r="U15" s="76"/>
      <c r="V15" s="76"/>
      <c r="W15" s="76"/>
      <c r="X15" s="972"/>
    </row>
    <row r="16" spans="1:24" ht="8.1" customHeight="1">
      <c r="A16" s="76"/>
      <c r="B16" s="76"/>
      <c r="C16" s="76"/>
      <c r="D16" s="76"/>
      <c r="E16" s="76"/>
      <c r="F16" s="303"/>
      <c r="G16" s="76"/>
      <c r="H16" s="316"/>
      <c r="I16" s="53"/>
      <c r="J16" s="316"/>
      <c r="K16" s="53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972"/>
    </row>
    <row r="17" spans="1:24" s="52" customFormat="1" ht="15.75">
      <c r="A17" s="52" t="s">
        <v>1059</v>
      </c>
      <c r="B17" s="62">
        <v>51078.476799999997</v>
      </c>
      <c r="D17" s="62">
        <f ca="1">+'COMP Act to Prior'!D17</f>
        <v>72338.710999999996</v>
      </c>
      <c r="F17" s="50">
        <f ca="1">D17-B17</f>
        <v>21260.234199999999</v>
      </c>
      <c r="G17" s="63"/>
      <c r="H17" s="64">
        <f ca="1">ROUND((((D17/B15)-B20)/B23)-(((B17/B15)-B20)/B23),4)*10000</f>
        <v>423</v>
      </c>
      <c r="I17" s="53"/>
      <c r="J17" s="53"/>
      <c r="K17" s="53"/>
      <c r="L17" s="64"/>
      <c r="X17" s="54"/>
    </row>
    <row r="18" spans="1:24" ht="8.1" customHeight="1">
      <c r="A18" s="76"/>
      <c r="B18" s="76"/>
      <c r="C18" s="76"/>
      <c r="D18" s="76"/>
      <c r="E18" s="76"/>
      <c r="F18" s="76"/>
      <c r="G18" s="76"/>
      <c r="H18" s="316"/>
      <c r="I18" s="53"/>
      <c r="J18" s="316"/>
      <c r="K18" s="53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972"/>
    </row>
    <row r="19" spans="1:24" ht="15.75">
      <c r="A19" s="76" t="s">
        <v>1060</v>
      </c>
      <c r="B19" s="298">
        <v>4.7800000000000002E-2</v>
      </c>
      <c r="C19" s="76"/>
      <c r="D19" s="298">
        <f ca="1">+'COMP Act to Prior'!D19</f>
        <v>3.0599999999999999E-2</v>
      </c>
      <c r="E19" s="76"/>
      <c r="F19" s="298">
        <f ca="1">D19-B19</f>
        <v>-1.7200000000000003E-2</v>
      </c>
      <c r="G19" s="298"/>
      <c r="H19" s="316">
        <f ca="1">ROUND((F19/$B$23)*10000,0)</f>
        <v>-365</v>
      </c>
      <c r="I19" s="53">
        <f ca="1">H15+H17</f>
        <v>-134</v>
      </c>
      <c r="J19" s="316"/>
      <c r="K19" s="53">
        <f ca="1">H19-I19</f>
        <v>-231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972"/>
    </row>
    <row r="20" spans="1:24" ht="15.75">
      <c r="A20" s="76" t="s">
        <v>1061</v>
      </c>
      <c r="B20" s="299">
        <v>1.44E-2</v>
      </c>
      <c r="C20" s="76"/>
      <c r="D20" s="299">
        <f ca="1">+'COMP Act to Prior'!D20</f>
        <v>2.18E-2</v>
      </c>
      <c r="E20" s="76"/>
      <c r="F20" s="298">
        <f ca="1">D20-B20</f>
        <v>7.4000000000000003E-3</v>
      </c>
      <c r="G20" s="298"/>
      <c r="H20" s="316">
        <f ca="1">-ROUND((F20/$B$23)*10000,0)</f>
        <v>-157</v>
      </c>
      <c r="I20" s="53"/>
      <c r="J20" s="316"/>
      <c r="K20" s="53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972"/>
    </row>
    <row r="21" spans="1:24" ht="8.1" customHeight="1">
      <c r="A21" s="76"/>
      <c r="B21" s="300"/>
      <c r="C21" s="76"/>
      <c r="D21" s="300"/>
      <c r="E21" s="76"/>
      <c r="F21" s="298"/>
      <c r="G21" s="298"/>
      <c r="H21" s="316"/>
      <c r="I21" s="53"/>
      <c r="J21" s="316"/>
      <c r="K21" s="53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972"/>
    </row>
    <row r="22" spans="1:24" ht="15.75">
      <c r="A22" s="76" t="s">
        <v>1062</v>
      </c>
      <c r="B22" s="298">
        <v>3.3399999999999999E-2</v>
      </c>
      <c r="C22" s="76"/>
      <c r="D22" s="298">
        <f ca="1">+'COMP Act to Prior'!D22</f>
        <v>8.8000000000000005E-3</v>
      </c>
      <c r="E22" s="76"/>
      <c r="F22" s="298">
        <f ca="1">D22-B22</f>
        <v>-2.4599999999999997E-2</v>
      </c>
      <c r="G22" s="298"/>
      <c r="H22" s="316">
        <f ca="1">ROUND((F22/$B$23)*10000,0)</f>
        <v>-523</v>
      </c>
      <c r="I22" s="53">
        <f ca="1">H19+H20</f>
        <v>-522</v>
      </c>
      <c r="J22" s="316"/>
      <c r="K22" s="53">
        <f ca="1">H22-I22</f>
        <v>-1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972"/>
    </row>
    <row r="23" spans="1:24" ht="15.75">
      <c r="A23" s="76" t="s">
        <v>1063</v>
      </c>
      <c r="B23" s="299">
        <v>0.47070000000000001</v>
      </c>
      <c r="C23" s="76"/>
      <c r="D23" s="299">
        <f ca="1">+'COMP Act to Prior'!D23</f>
        <v>0.47489999999999999</v>
      </c>
      <c r="E23" s="76"/>
      <c r="F23" s="298">
        <f ca="1">D23-B23</f>
        <v>4.1999999999999815E-3</v>
      </c>
      <c r="G23" s="298"/>
      <c r="H23" s="316">
        <f ca="1">ROUND((B22/D23)-(B22/B23),4)*10000</f>
        <v>-5.9999999999999991</v>
      </c>
      <c r="I23" s="53"/>
      <c r="J23" s="316"/>
      <c r="K23" s="53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972"/>
    </row>
    <row r="24" spans="1:24" ht="15.75">
      <c r="A24" s="76"/>
      <c r="B24" s="300"/>
      <c r="C24" s="76"/>
      <c r="D24" s="300"/>
      <c r="E24" s="76"/>
      <c r="F24" s="298"/>
      <c r="G24" s="298"/>
      <c r="H24" s="321"/>
      <c r="I24" s="53"/>
      <c r="J24" s="316"/>
      <c r="K24" s="53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972"/>
    </row>
    <row r="25" spans="1:24" s="52" customFormat="1" ht="15.75">
      <c r="A25" s="52" t="s">
        <v>1064</v>
      </c>
      <c r="B25" s="65">
        <v>7.0999999999999994E-2</v>
      </c>
      <c r="D25" s="189">
        <f ca="1">+'COMP Act to Prior'!D25</f>
        <v>1.84E-2</v>
      </c>
      <c r="F25" s="65">
        <f ca="1">D25-B25</f>
        <v>-5.2599999999999994E-2</v>
      </c>
      <c r="G25" s="65"/>
      <c r="H25" s="53">
        <f ca="1">(D25-B25)*10000</f>
        <v>-525.99999999999989</v>
      </c>
      <c r="I25" s="53">
        <f ca="1">H22+H23</f>
        <v>-529</v>
      </c>
      <c r="J25" s="53"/>
      <c r="K25" s="53">
        <f ca="1">H25-I25</f>
        <v>3.0000000000001137</v>
      </c>
      <c r="L25" s="65"/>
      <c r="X25" s="54"/>
    </row>
    <row r="26" spans="1:24" s="66" customFormat="1" ht="4.5" customHeight="1">
      <c r="A26" s="322"/>
      <c r="B26" s="301"/>
      <c r="C26" s="322"/>
      <c r="D26" s="301"/>
      <c r="E26" s="322"/>
      <c r="F26" s="322"/>
      <c r="G26" s="322"/>
      <c r="H26" s="323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974"/>
    </row>
    <row r="27" spans="1:24" ht="4.5" customHeight="1">
      <c r="A27" s="76"/>
      <c r="B27" s="76"/>
      <c r="C27" s="76"/>
      <c r="D27" s="76"/>
      <c r="E27" s="76"/>
      <c r="F27" s="76"/>
      <c r="G27" s="76"/>
      <c r="H27" s="316"/>
      <c r="I27" s="76"/>
      <c r="J27" s="324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972"/>
    </row>
    <row r="28" spans="1:24">
      <c r="A28" s="76" t="s">
        <v>1065</v>
      </c>
      <c r="B28" s="433">
        <v>75852.815251693566</v>
      </c>
      <c r="C28" s="76"/>
      <c r="D28" s="975">
        <f ca="1">+'COMP Act to Prior'!D28</f>
        <v>76241.100000000006</v>
      </c>
      <c r="E28" s="190"/>
      <c r="F28" s="303">
        <f ca="1">D28-B28</f>
        <v>388.28474830643972</v>
      </c>
      <c r="G28" s="303"/>
      <c r="H28" s="325">
        <f ca="1">ROUND((((D28/B15)-B20)/B23)-(((B28/B15)-B20)/B23),4)*10000</f>
        <v>8</v>
      </c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972"/>
    </row>
    <row r="29" spans="1:24">
      <c r="A29" s="76" t="s">
        <v>1066</v>
      </c>
      <c r="B29" s="434">
        <v>13637.210310000002</v>
      </c>
      <c r="C29" s="76"/>
      <c r="D29" s="434">
        <f ca="1">+'COMP Act to Prior'!D29</f>
        <v>6057.0999999999985</v>
      </c>
      <c r="E29" s="190"/>
      <c r="F29" s="303">
        <f ca="1">D29-B29</f>
        <v>-7580.1103100000037</v>
      </c>
      <c r="G29" s="303"/>
      <c r="H29" s="325">
        <f ca="1">-ROUND((((D29/B15)-B20)/B23)-(((B29/B15)-B20)/B23),4)*10000</f>
        <v>151</v>
      </c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972"/>
    </row>
    <row r="30" spans="1:24" ht="15.75">
      <c r="A30" s="976" t="s">
        <v>1067</v>
      </c>
      <c r="B30" s="191">
        <v>0</v>
      </c>
      <c r="C30" s="976"/>
      <c r="D30" s="191">
        <f>+'COMP Act to Prior'!D30</f>
        <v>0</v>
      </c>
      <c r="E30" s="190"/>
      <c r="F30" s="303">
        <f>D30-B30</f>
        <v>0</v>
      </c>
      <c r="G30" s="190"/>
      <c r="H30" s="325">
        <f>-ROUND((((D30/B15)-B20)/B23)-(((B30/B15)-B20)/B23),4)*10000</f>
        <v>0</v>
      </c>
      <c r="I30" s="44" t="s">
        <v>550</v>
      </c>
      <c r="J30" s="76"/>
      <c r="K30" s="60" t="s">
        <v>316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972"/>
    </row>
    <row r="31" spans="1:24" ht="15.75">
      <c r="A31" s="300" t="s">
        <v>1068</v>
      </c>
      <c r="B31" s="191">
        <v>13637.210310000002</v>
      </c>
      <c r="C31" s="300"/>
      <c r="D31" s="191">
        <f ca="1">+'COMP Act to Prior'!D31</f>
        <v>6057.0999999999985</v>
      </c>
      <c r="E31" s="190"/>
      <c r="F31" s="303">
        <f ca="1">D31-B31</f>
        <v>-7580.1103100000037</v>
      </c>
      <c r="G31" s="190"/>
      <c r="H31" s="325">
        <f ca="1">-ROUND((((D31/B15)-B20)/B23)-(((B31/B15)-B20)/B23),4)*10000</f>
        <v>151</v>
      </c>
      <c r="I31" s="316"/>
      <c r="J31" s="76"/>
      <c r="K31" s="53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972"/>
    </row>
    <row r="32" spans="1:24" ht="8.1" customHeight="1">
      <c r="A32" s="76"/>
      <c r="B32" s="302"/>
      <c r="C32" s="76"/>
      <c r="D32" s="302"/>
      <c r="E32" s="190"/>
      <c r="F32" s="303"/>
      <c r="G32" s="76"/>
      <c r="H32" s="325"/>
      <c r="I32" s="53"/>
      <c r="J32" s="76"/>
      <c r="K32" s="53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972"/>
    </row>
    <row r="33" spans="1:24" ht="15.75">
      <c r="A33" s="76" t="s">
        <v>1069</v>
      </c>
      <c r="B33" s="191">
        <v>62215.604941693564</v>
      </c>
      <c r="C33" s="76"/>
      <c r="D33" s="191">
        <f ca="1">+'COMP Act to Prior'!D33</f>
        <v>70184</v>
      </c>
      <c r="E33" s="190"/>
      <c r="F33" s="303">
        <f ca="1">D33-B33</f>
        <v>7968.3950583064361</v>
      </c>
      <c r="G33" s="303"/>
      <c r="H33" s="325">
        <f ca="1">ROUND((((D33/B15)-B20)/B23)-(((B33/B15)-B20)/B23),4)*10000</f>
        <v>158.00000000000003</v>
      </c>
      <c r="I33" s="316">
        <f ca="1">H28+H29+H30</f>
        <v>159</v>
      </c>
      <c r="J33" s="76"/>
      <c r="K33" s="53">
        <f ca="1">I33-H33</f>
        <v>0.99999999999997158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972"/>
    </row>
    <row r="34" spans="1:24" ht="15.75">
      <c r="A34" s="76"/>
      <c r="B34" s="190"/>
      <c r="C34" s="76"/>
      <c r="D34" s="190"/>
      <c r="E34" s="190"/>
      <c r="F34" s="303"/>
      <c r="G34" s="303"/>
      <c r="H34" s="325"/>
      <c r="I34" s="316"/>
      <c r="J34" s="76"/>
      <c r="K34" s="53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972"/>
    </row>
    <row r="35" spans="1:24" ht="15.75">
      <c r="A35" s="76" t="s">
        <v>1070</v>
      </c>
      <c r="B35" s="190">
        <v>0</v>
      </c>
      <c r="C35" s="76"/>
      <c r="D35" s="190">
        <f>+'COMP Act to Prior'!D35</f>
        <v>0</v>
      </c>
      <c r="E35" s="190"/>
      <c r="F35" s="303"/>
      <c r="G35" s="303"/>
      <c r="H35" s="325"/>
      <c r="I35" s="316"/>
      <c r="J35" s="76"/>
      <c r="K35" s="53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972"/>
    </row>
    <row r="36" spans="1:24" ht="15.75">
      <c r="A36" s="976" t="s">
        <v>1071</v>
      </c>
      <c r="B36" s="191">
        <v>-11137.128121939444</v>
      </c>
      <c r="C36" s="976"/>
      <c r="D36" s="191">
        <f ca="1">+'COMP Act to Prior'!D36</f>
        <v>2154.711039144227</v>
      </c>
      <c r="E36" s="190"/>
      <c r="F36" s="303">
        <f ca="1">D36-B36</f>
        <v>13291.839161083672</v>
      </c>
      <c r="G36" s="76"/>
      <c r="H36" s="325">
        <f ca="1">ROUND((((D36/B15)-B20)/B23)-(((B36/B15)-B20)/B23),4)*10000</f>
        <v>264</v>
      </c>
      <c r="I36" s="316">
        <f ca="1">H36</f>
        <v>264</v>
      </c>
      <c r="J36" s="76"/>
      <c r="K36" s="53">
        <f ca="1">H36-I36</f>
        <v>0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972"/>
    </row>
    <row r="37" spans="1:24" s="52" customFormat="1" ht="15.75">
      <c r="A37" s="52" t="s">
        <v>1059</v>
      </c>
      <c r="B37" s="62">
        <v>51078.47681975412</v>
      </c>
      <c r="D37" s="67">
        <f ca="1">+'COMP Act to Prior'!D37</f>
        <v>72338.711039144226</v>
      </c>
      <c r="E37" s="68"/>
      <c r="F37" s="50">
        <f ca="1">D37-B37</f>
        <v>21260.234219390106</v>
      </c>
      <c r="G37" s="63"/>
      <c r="H37" s="326">
        <f ca="1">ROUND((((D37/B15)-B20)/B23)-(((B37/B15)-B20)/B23),4)*10000</f>
        <v>423</v>
      </c>
      <c r="I37" s="53">
        <f ca="1">H33+H36</f>
        <v>422</v>
      </c>
      <c r="K37" s="53">
        <f ca="1">H37-I37</f>
        <v>1</v>
      </c>
      <c r="X37" s="54"/>
    </row>
    <row r="38" spans="1:24" s="66" customFormat="1" ht="14.1" customHeight="1">
      <c r="A38" s="322"/>
      <c r="B38" s="191"/>
      <c r="C38" s="322"/>
      <c r="D38" s="69"/>
      <c r="E38" s="191"/>
      <c r="F38" s="191"/>
      <c r="G38" s="327"/>
      <c r="H38" s="77">
        <f ca="1">D37-D17</f>
        <v>3.9144229958765209E-5</v>
      </c>
      <c r="I38" s="70" t="s">
        <v>1072</v>
      </c>
      <c r="J38" s="299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974"/>
    </row>
    <row r="39" spans="1:24" ht="4.5" customHeight="1">
      <c r="A39" s="76"/>
      <c r="B39" s="190"/>
      <c r="C39" s="76"/>
      <c r="D39" s="71"/>
      <c r="E39" s="190"/>
      <c r="F39" s="190"/>
      <c r="G39" s="328"/>
      <c r="H39" s="72"/>
      <c r="I39" s="73"/>
      <c r="J39" s="298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972"/>
    </row>
    <row r="40" spans="1:24" ht="15.75">
      <c r="A40" s="55" t="s">
        <v>1073</v>
      </c>
      <c r="B40" s="302"/>
      <c r="C40" s="55"/>
      <c r="D40" s="302"/>
      <c r="E40" s="190"/>
      <c r="F40" s="302"/>
      <c r="G40" s="190"/>
      <c r="H40" s="316"/>
      <c r="I40" s="298"/>
      <c r="J40" s="324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972"/>
    </row>
    <row r="41" spans="1:24">
      <c r="A41" s="76" t="s">
        <v>1074</v>
      </c>
      <c r="B41" s="192">
        <v>0</v>
      </c>
      <c r="C41" s="76"/>
      <c r="D41" s="192">
        <f ca="1">+'COMP Act to Prior'!D41</f>
        <v>0</v>
      </c>
      <c r="E41" s="190"/>
      <c r="F41" s="303">
        <f ca="1">D41-B41</f>
        <v>0</v>
      </c>
      <c r="G41" s="298"/>
      <c r="H41" s="325">
        <f ca="1">ROUND((((D41/$B$15)-$B$20)/$B$23)-(((B41/$B$15)-$B$20)/$B$23),4)*10000</f>
        <v>0</v>
      </c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972"/>
    </row>
    <row r="42" spans="1:24">
      <c r="A42" s="76" t="s">
        <v>1075</v>
      </c>
      <c r="B42" s="192">
        <v>33.454936857192898</v>
      </c>
      <c r="C42" s="76"/>
      <c r="D42" s="192">
        <f ca="1">+'COMP Act to Prior'!D42</f>
        <v>32.303351541452763</v>
      </c>
      <c r="E42" s="190"/>
      <c r="F42" s="303">
        <f ca="1">D42-B42</f>
        <v>-1.1515853157401352</v>
      </c>
      <c r="G42" s="298"/>
      <c r="H42" s="325">
        <f ca="1">ROUND((((D42/$B$15)-$B$20)/$B$23)-(((B42/$B$15)-$B$20)/$B$23),4)*10000</f>
        <v>0</v>
      </c>
      <c r="I42" s="369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972"/>
    </row>
    <row r="43" spans="1:24">
      <c r="A43" s="76" t="s">
        <v>1076</v>
      </c>
      <c r="B43" s="192">
        <v>-501.45777550891574</v>
      </c>
      <c r="C43" s="76"/>
      <c r="D43" s="192">
        <f ca="1">+'COMP Act to Prior'!D43</f>
        <v>-325.33788507723699</v>
      </c>
      <c r="E43" s="190"/>
      <c r="F43" s="303">
        <f t="shared" ref="F43:F58" ca="1" si="0">D43-B43</f>
        <v>176.11989043167875</v>
      </c>
      <c r="G43" s="298"/>
      <c r="H43" s="325">
        <f t="shared" ref="H43:H58" ca="1" si="1">ROUND((((D43/$B$15)-$B$20)/$B$23)-(((B43/$B$15)-$B$20)/$B$23),4)*10000</f>
        <v>4</v>
      </c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972"/>
    </row>
    <row r="44" spans="1:24">
      <c r="A44" s="76" t="s">
        <v>1077</v>
      </c>
      <c r="B44" s="192">
        <v>0</v>
      </c>
      <c r="C44" s="76"/>
      <c r="D44" s="192">
        <f>+'COMP Act to Prior'!D44</f>
        <v>3084</v>
      </c>
      <c r="E44" s="190"/>
      <c r="F44" s="303">
        <f t="shared" si="0"/>
        <v>3084</v>
      </c>
      <c r="G44" s="298"/>
      <c r="H44" s="325">
        <f t="shared" si="1"/>
        <v>61.000000000000007</v>
      </c>
      <c r="I44" s="76"/>
      <c r="J44" s="76"/>
      <c r="K44" s="76"/>
      <c r="L44" s="76"/>
      <c r="M44" s="76"/>
      <c r="N44" s="76"/>
      <c r="O44" s="973"/>
      <c r="P44" s="76"/>
      <c r="Q44" s="76"/>
      <c r="R44" s="76"/>
      <c r="S44" s="76"/>
      <c r="T44" s="76"/>
      <c r="U44" s="76"/>
      <c r="V44" s="76"/>
      <c r="W44" s="76"/>
      <c r="X44" s="972"/>
    </row>
    <row r="45" spans="1:24">
      <c r="A45" s="76" t="s">
        <v>1078</v>
      </c>
      <c r="B45" s="192">
        <v>0</v>
      </c>
      <c r="C45" s="76"/>
      <c r="D45" s="192">
        <f ca="1">+'COMP Act to Prior'!D45</f>
        <v>0</v>
      </c>
      <c r="E45" s="190"/>
      <c r="F45" s="303">
        <f t="shared" ca="1" si="0"/>
        <v>0</v>
      </c>
      <c r="G45" s="298"/>
      <c r="H45" s="325">
        <f t="shared" ca="1" si="1"/>
        <v>0</v>
      </c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972"/>
    </row>
    <row r="46" spans="1:24">
      <c r="A46" s="76" t="s">
        <v>1079</v>
      </c>
      <c r="B46" s="192">
        <v>15.348969453788403</v>
      </c>
      <c r="C46" s="76"/>
      <c r="D46" s="192">
        <f ca="1">+'COMP Act to Prior'!D46</f>
        <v>13.751451000000001</v>
      </c>
      <c r="E46" s="190"/>
      <c r="F46" s="303">
        <f t="shared" ca="1" si="0"/>
        <v>-1.5975184537884015</v>
      </c>
      <c r="G46" s="298"/>
      <c r="H46" s="325">
        <f t="shared" ca="1" si="1"/>
        <v>0</v>
      </c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972"/>
    </row>
    <row r="47" spans="1:24">
      <c r="A47" s="76" t="s">
        <v>1080</v>
      </c>
      <c r="B47" s="192">
        <v>65.982534347830011</v>
      </c>
      <c r="C47" s="76"/>
      <c r="D47" s="192">
        <f ca="1">+'COMP Act to Prior'!D47</f>
        <v>59.108476990500002</v>
      </c>
      <c r="E47" s="190"/>
      <c r="F47" s="303">
        <f t="shared" ca="1" si="0"/>
        <v>-6.8740573573300097</v>
      </c>
      <c r="G47" s="298"/>
      <c r="H47" s="325">
        <f t="shared" ca="1" si="1"/>
        <v>0</v>
      </c>
      <c r="I47" s="76"/>
      <c r="J47" s="76"/>
      <c r="K47" s="76"/>
      <c r="L47" s="76"/>
      <c r="M47" s="76"/>
      <c r="N47" s="76"/>
      <c r="O47" s="977"/>
      <c r="P47" s="76"/>
      <c r="Q47" s="76"/>
      <c r="R47" s="76"/>
      <c r="S47" s="76"/>
      <c r="T47" s="76"/>
      <c r="U47" s="76"/>
      <c r="V47" s="76"/>
      <c r="W47" s="76"/>
      <c r="X47" s="972"/>
    </row>
    <row r="48" spans="1:24">
      <c r="A48" s="76" t="s">
        <v>1081</v>
      </c>
      <c r="B48" s="192">
        <v>-70.237322380427941</v>
      </c>
      <c r="C48" s="76"/>
      <c r="D48" s="192">
        <f ca="1">+'COMP Act to Prior'!D48</f>
        <v>0</v>
      </c>
      <c r="E48" s="190"/>
      <c r="F48" s="303">
        <f t="shared" ca="1" si="0"/>
        <v>70.237322380427941</v>
      </c>
      <c r="G48" s="298"/>
      <c r="H48" s="325">
        <f t="shared" ca="1" si="1"/>
        <v>1</v>
      </c>
      <c r="I48" s="76"/>
      <c r="J48" s="76"/>
      <c r="K48" s="76"/>
      <c r="L48" s="76"/>
      <c r="M48" s="76"/>
      <c r="N48" s="76"/>
      <c r="O48" s="978"/>
      <c r="P48" s="76"/>
      <c r="Q48" s="76"/>
      <c r="R48" s="76"/>
      <c r="S48" s="76"/>
      <c r="T48" s="76"/>
      <c r="U48" s="76"/>
      <c r="V48" s="76"/>
      <c r="W48" s="76"/>
      <c r="X48" s="972"/>
    </row>
    <row r="49" spans="1:11">
      <c r="A49" s="76" t="s">
        <v>1082</v>
      </c>
      <c r="B49" s="192">
        <v>29.692076598964093</v>
      </c>
      <c r="C49" s="76"/>
      <c r="D49" s="192">
        <f ca="1">+'COMP Act to Prior'!D49</f>
        <v>28.703727937785594</v>
      </c>
      <c r="E49" s="190"/>
      <c r="F49" s="303">
        <f t="shared" ca="1" si="0"/>
        <v>-0.98834866117849884</v>
      </c>
      <c r="G49" s="298"/>
      <c r="H49" s="325">
        <f t="shared" ca="1" si="1"/>
        <v>0</v>
      </c>
      <c r="I49" s="76"/>
      <c r="J49" s="76"/>
      <c r="K49" s="76"/>
    </row>
    <row r="50" spans="1:11">
      <c r="A50" s="76" t="s">
        <v>1083</v>
      </c>
      <c r="B50" s="192">
        <v>4.8546098080180791</v>
      </c>
      <c r="C50" s="76"/>
      <c r="D50" s="192">
        <f ca="1">+'COMP Act to Prior'!D50</f>
        <v>4.4270182972260006</v>
      </c>
      <c r="E50" s="190"/>
      <c r="F50" s="303">
        <f t="shared" ca="1" si="0"/>
        <v>-0.42759151079207847</v>
      </c>
      <c r="G50" s="298"/>
      <c r="H50" s="325">
        <f t="shared" ca="1" si="1"/>
        <v>0</v>
      </c>
      <c r="I50" s="76"/>
      <c r="J50" s="76"/>
      <c r="K50" s="76"/>
    </row>
    <row r="51" spans="1:11">
      <c r="A51" s="76" t="s">
        <v>1084</v>
      </c>
      <c r="B51" s="192">
        <v>60.114596460999998</v>
      </c>
      <c r="C51" s="76"/>
      <c r="D51" s="192">
        <f>+'COMP Act to Prior'!D51</f>
        <v>0</v>
      </c>
      <c r="E51" s="190"/>
      <c r="F51" s="303">
        <f t="shared" si="0"/>
        <v>-60.114596460999998</v>
      </c>
      <c r="G51" s="298"/>
      <c r="H51" s="325">
        <f t="shared" si="1"/>
        <v>-1</v>
      </c>
      <c r="I51" s="76"/>
      <c r="J51" s="76"/>
      <c r="K51" s="76"/>
    </row>
    <row r="52" spans="1:11">
      <c r="A52" s="76" t="s">
        <v>1085</v>
      </c>
      <c r="B52" s="192">
        <v>0</v>
      </c>
      <c r="C52" s="76"/>
      <c r="D52" s="192">
        <f>+'COMP Act to Prior'!D52</f>
        <v>0</v>
      </c>
      <c r="E52" s="76"/>
      <c r="F52" s="303">
        <f t="shared" si="0"/>
        <v>0</v>
      </c>
      <c r="G52" s="298"/>
      <c r="H52" s="325">
        <f t="shared" si="1"/>
        <v>0</v>
      </c>
      <c r="I52" s="76"/>
      <c r="J52" s="76"/>
      <c r="K52" s="76"/>
    </row>
    <row r="53" spans="1:11">
      <c r="A53" s="200" t="s">
        <v>65</v>
      </c>
      <c r="B53" s="192">
        <v>-80.415622883790007</v>
      </c>
      <c r="C53" s="200"/>
      <c r="D53" s="192">
        <f ca="1">+'COMP Act to Prior'!D53</f>
        <v>-87.940603800000005</v>
      </c>
      <c r="E53" s="76"/>
      <c r="F53" s="303">
        <f ca="1">D53-B53</f>
        <v>-7.5249809162099979</v>
      </c>
      <c r="G53" s="298"/>
      <c r="H53" s="325">
        <f ca="1">ROUND((((D53/$B$15)-$B$20)/$B$23)-(((B53/$B$15)-$B$20)/$B$23),4)*10000</f>
        <v>0</v>
      </c>
      <c r="I53" s="76"/>
      <c r="J53" s="76"/>
      <c r="K53" s="76"/>
    </row>
    <row r="54" spans="1:11">
      <c r="A54" s="76" t="s">
        <v>1086</v>
      </c>
      <c r="B54" s="192">
        <v>0</v>
      </c>
      <c r="C54" s="76"/>
      <c r="D54" s="192">
        <f>+'COMP Act to Prior'!D54</f>
        <v>0</v>
      </c>
      <c r="E54" s="76"/>
      <c r="F54" s="303">
        <f t="shared" si="0"/>
        <v>0</v>
      </c>
      <c r="G54" s="298"/>
      <c r="H54" s="325">
        <f t="shared" si="1"/>
        <v>0</v>
      </c>
      <c r="I54" s="76"/>
      <c r="J54" s="76"/>
      <c r="K54" s="76"/>
    </row>
    <row r="55" spans="1:11">
      <c r="A55" s="76" t="s">
        <v>66</v>
      </c>
      <c r="B55" s="192">
        <v>-2.9436490331136156E-4</v>
      </c>
      <c r="C55" s="76"/>
      <c r="D55" s="192">
        <f ca="1">+'COMP Act to Prior'!D55</f>
        <v>2.9115449990513298E-4</v>
      </c>
      <c r="E55" s="190"/>
      <c r="F55" s="303">
        <f t="shared" ca="1" si="0"/>
        <v>5.8551940321649454E-4</v>
      </c>
      <c r="G55" s="298"/>
      <c r="H55" s="325">
        <f t="shared" ca="1" si="1"/>
        <v>0</v>
      </c>
      <c r="I55" s="76"/>
      <c r="J55" s="76"/>
      <c r="K55" s="76"/>
    </row>
    <row r="56" spans="1:11">
      <c r="A56" s="76" t="s">
        <v>67</v>
      </c>
      <c r="B56" s="192">
        <v>-10694.464830328201</v>
      </c>
      <c r="C56" s="76"/>
      <c r="D56" s="192">
        <f ca="1">+'COMP Act to Prior'!D56</f>
        <v>-654.30478889999995</v>
      </c>
      <c r="E56" s="190"/>
      <c r="F56" s="303">
        <f t="shared" ca="1" si="0"/>
        <v>10040.1600414282</v>
      </c>
      <c r="G56" s="298"/>
      <c r="H56" s="325">
        <f t="shared" ca="1" si="1"/>
        <v>200</v>
      </c>
      <c r="I56" s="76"/>
      <c r="J56" s="76"/>
      <c r="K56" s="76"/>
    </row>
    <row r="57" spans="1:11" ht="15.2" customHeight="1">
      <c r="A57" s="76" t="s">
        <v>1087</v>
      </c>
      <c r="B57" s="191">
        <v>0</v>
      </c>
      <c r="C57" s="76"/>
      <c r="D57" s="191">
        <f>+'COMP Act to Prior'!D57</f>
        <v>0</v>
      </c>
      <c r="E57" s="190"/>
      <c r="F57" s="329">
        <f t="shared" si="0"/>
        <v>0</v>
      </c>
      <c r="G57" s="76"/>
      <c r="H57" s="325">
        <f t="shared" si="1"/>
        <v>0</v>
      </c>
      <c r="I57" s="76"/>
      <c r="J57" s="76"/>
      <c r="K57" s="76"/>
    </row>
    <row r="58" spans="1:11" ht="15.2" customHeight="1">
      <c r="A58" s="76" t="s">
        <v>1088</v>
      </c>
      <c r="B58" s="190">
        <v>-11137.128121939444</v>
      </c>
      <c r="C58" s="76"/>
      <c r="D58" s="190">
        <f ca="1">+'COMP Act to Prior'!D58</f>
        <v>2154.711039144227</v>
      </c>
      <c r="E58" s="190"/>
      <c r="F58" s="303">
        <f t="shared" ca="1" si="0"/>
        <v>13291.839161083672</v>
      </c>
      <c r="G58" s="76"/>
      <c r="H58" s="325">
        <f t="shared" ca="1" si="1"/>
        <v>264</v>
      </c>
      <c r="I58" s="76"/>
      <c r="J58" s="76"/>
      <c r="K58" s="76"/>
    </row>
    <row r="59" spans="1:11" ht="15.75">
      <c r="A59" s="52"/>
      <c r="B59" s="52"/>
      <c r="C59" s="52"/>
      <c r="D59" s="76"/>
      <c r="E59" s="76"/>
      <c r="F59" s="50"/>
      <c r="G59" s="76"/>
      <c r="H59" s="316"/>
      <c r="I59" s="76"/>
      <c r="J59" s="76"/>
      <c r="K59" s="76"/>
    </row>
    <row r="60" spans="1:11">
      <c r="A60" s="76"/>
      <c r="B60" s="76"/>
      <c r="C60" s="76"/>
      <c r="D60" s="977"/>
      <c r="E60" s="76"/>
      <c r="F60" s="303"/>
      <c r="G60" s="76"/>
      <c r="H60" s="74"/>
      <c r="I60" s="76"/>
      <c r="J60" s="76"/>
      <c r="K60" s="76"/>
    </row>
    <row r="61" spans="1:11">
      <c r="A61" s="76"/>
      <c r="B61" s="76"/>
      <c r="C61" s="76"/>
      <c r="D61" s="977"/>
      <c r="E61" s="76"/>
      <c r="F61" s="303"/>
      <c r="G61" s="76"/>
      <c r="H61" s="74"/>
      <c r="I61" s="76"/>
      <c r="J61" s="76"/>
      <c r="K61" s="76"/>
    </row>
    <row r="62" spans="1:11">
      <c r="A62" s="300"/>
      <c r="B62" s="300"/>
      <c r="C62" s="300"/>
      <c r="D62" s="303"/>
      <c r="E62" s="303"/>
      <c r="F62" s="76"/>
      <c r="G62" s="76"/>
      <c r="H62" s="316"/>
      <c r="I62" s="76"/>
      <c r="J62" s="76"/>
      <c r="K62" s="76"/>
    </row>
  </sheetData>
  <conditionalFormatting sqref="K31:K37 K15:K25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horizontalCentered="1"/>
  <pageMargins left="0.5" right="0.5" top="0.5" bottom="0.5" header="0.5" footer="0.25"/>
  <pageSetup scale="81" orientation="portrait" r:id="rId1"/>
  <headerFooter>
    <oddFooter>&amp;Z&amp;F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  <pageSetUpPr fitToPage="1"/>
  </sheetPr>
  <dimension ref="A1:K40"/>
  <sheetViews>
    <sheetView workbookViewId="0"/>
  </sheetViews>
  <sheetFormatPr defaultColWidth="9.140625" defaultRowHeight="15"/>
  <cols>
    <col min="1" max="1" width="41.42578125" style="43" customWidth="1"/>
    <col min="2" max="5" width="20.7109375" style="43" customWidth="1"/>
    <col min="6" max="6" width="6.28515625" customWidth="1"/>
    <col min="7" max="7" width="36.7109375" style="43" bestFit="1" customWidth="1"/>
    <col min="8" max="11" width="20.7109375" style="43" customWidth="1"/>
    <col min="12" max="16384" width="9.140625" style="43"/>
  </cols>
  <sheetData>
    <row r="1" spans="1:11" ht="18">
      <c r="A1" s="45" t="s">
        <v>1046</v>
      </c>
      <c r="B1" s="45"/>
      <c r="C1" s="45"/>
      <c r="D1" s="45"/>
      <c r="E1" s="45"/>
      <c r="G1" s="45" t="s">
        <v>1046</v>
      </c>
      <c r="H1" s="76"/>
      <c r="I1" s="76"/>
      <c r="J1" s="76"/>
      <c r="K1" s="76"/>
    </row>
    <row r="2" spans="1:11" ht="18">
      <c r="A2" s="45" t="s">
        <v>1047</v>
      </c>
      <c r="B2" s="45"/>
      <c r="C2" s="45"/>
      <c r="D2" s="45"/>
      <c r="E2" s="45"/>
      <c r="G2" s="45" t="s">
        <v>1047</v>
      </c>
      <c r="H2" s="76"/>
      <c r="I2" s="76"/>
      <c r="J2" s="76"/>
      <c r="K2" s="76"/>
    </row>
    <row r="3" spans="1:11" ht="18">
      <c r="A3" s="48" t="s">
        <v>1048</v>
      </c>
      <c r="B3" s="48"/>
      <c r="C3" s="48"/>
      <c r="D3" s="48"/>
      <c r="E3" s="48"/>
      <c r="G3" s="48" t="s">
        <v>1048</v>
      </c>
      <c r="H3" s="76"/>
      <c r="I3" s="76"/>
      <c r="J3" s="76"/>
      <c r="K3" s="76"/>
    </row>
    <row r="4" spans="1:11" ht="15.75" customHeight="1">
      <c r="A4" s="51" t="s">
        <v>1049</v>
      </c>
      <c r="B4" s="48"/>
      <c r="C4" s="48"/>
      <c r="D4" s="48"/>
      <c r="E4" s="48"/>
      <c r="G4" s="51" t="s">
        <v>1049</v>
      </c>
      <c r="H4" s="76"/>
      <c r="I4" s="76"/>
      <c r="J4" s="76"/>
      <c r="K4" s="76"/>
    </row>
    <row r="5" spans="1:11" ht="15.75" customHeight="1">
      <c r="A5" s="375"/>
      <c r="B5"/>
      <c r="C5"/>
      <c r="D5"/>
      <c r="E5"/>
      <c r="G5" s="375"/>
      <c r="H5"/>
      <c r="I5"/>
      <c r="J5"/>
      <c r="K5"/>
    </row>
    <row r="6" spans="1:11" s="52" customFormat="1" ht="15.75">
      <c r="B6" s="430" t="s">
        <v>1106</v>
      </c>
      <c r="C6" s="430" t="s">
        <v>1106</v>
      </c>
      <c r="D6" s="430" t="s">
        <v>4</v>
      </c>
      <c r="E6" s="430" t="s">
        <v>4</v>
      </c>
      <c r="F6"/>
      <c r="H6" s="430" t="s">
        <v>1106</v>
      </c>
      <c r="I6" s="430" t="s">
        <v>1106</v>
      </c>
      <c r="J6" s="430" t="s">
        <v>4</v>
      </c>
      <c r="K6" s="430" t="s">
        <v>4</v>
      </c>
    </row>
    <row r="7" spans="1:11" s="52" customFormat="1" ht="15.75">
      <c r="A7" s="484" t="s">
        <v>1143</v>
      </c>
      <c r="B7" s="431" t="s">
        <v>1144</v>
      </c>
      <c r="C7" s="431" t="s">
        <v>1145</v>
      </c>
      <c r="D7" s="431" t="s">
        <v>1146</v>
      </c>
      <c r="E7" s="431" t="s">
        <v>1147</v>
      </c>
      <c r="F7"/>
      <c r="G7" s="485" t="s">
        <v>1143</v>
      </c>
      <c r="H7" s="431" t="s">
        <v>1144</v>
      </c>
      <c r="I7" s="431" t="s">
        <v>1145</v>
      </c>
      <c r="J7" s="431" t="s">
        <v>1146</v>
      </c>
      <c r="K7" s="431" t="s">
        <v>1147</v>
      </c>
    </row>
    <row r="8" spans="1:11" ht="15.75">
      <c r="A8" s="52" t="s">
        <v>727</v>
      </c>
      <c r="B8" s="303">
        <v>967735.9656</v>
      </c>
      <c r="C8" s="303">
        <v>988611.17779999995</v>
      </c>
      <c r="D8" s="303">
        <v>1018025.3029</v>
      </c>
      <c r="E8" s="303">
        <v>1072258.7873</v>
      </c>
      <c r="G8" s="52" t="s">
        <v>727</v>
      </c>
      <c r="H8" s="303">
        <v>967735.9656</v>
      </c>
      <c r="I8" s="303">
        <v>988611.17779999995</v>
      </c>
      <c r="J8" s="303">
        <v>1018025.3029</v>
      </c>
      <c r="K8" s="303">
        <v>1072258.7873</v>
      </c>
    </row>
    <row r="9" spans="1:11">
      <c r="A9" s="76"/>
      <c r="B9" s="76"/>
      <c r="C9" s="76"/>
      <c r="D9" s="76"/>
      <c r="E9" s="76"/>
      <c r="G9" s="76"/>
      <c r="H9" s="76"/>
      <c r="I9" s="76"/>
      <c r="J9" s="76"/>
      <c r="K9" s="76"/>
    </row>
    <row r="10" spans="1:11" s="52" customFormat="1" ht="15.75">
      <c r="A10" s="52" t="s">
        <v>1059</v>
      </c>
      <c r="B10" s="432">
        <v>58512.536</v>
      </c>
      <c r="C10" s="432">
        <v>54693.674500000001</v>
      </c>
      <c r="D10" s="432">
        <v>51592.3658</v>
      </c>
      <c r="E10" s="432">
        <v>49566.5965</v>
      </c>
      <c r="F10"/>
      <c r="G10" s="52" t="s">
        <v>1059</v>
      </c>
      <c r="H10" s="432">
        <v>58512.536</v>
      </c>
      <c r="I10" s="432">
        <v>54693.674500000001</v>
      </c>
      <c r="J10" s="432">
        <v>51592.3658</v>
      </c>
      <c r="K10" s="432">
        <v>49566.5965</v>
      </c>
    </row>
    <row r="11" spans="1:11">
      <c r="A11" s="76"/>
      <c r="B11" s="76"/>
      <c r="C11" s="76"/>
      <c r="D11" s="76"/>
      <c r="E11" s="76"/>
      <c r="G11" s="76"/>
      <c r="H11" s="76"/>
      <c r="I11" s="76"/>
      <c r="J11" s="76"/>
      <c r="K11" s="76"/>
    </row>
    <row r="12" spans="1:11" ht="15.75">
      <c r="A12" s="52" t="s">
        <v>1063</v>
      </c>
      <c r="B12" s="298">
        <v>0.4698</v>
      </c>
      <c r="C12" s="298">
        <v>0.47199999999999998</v>
      </c>
      <c r="D12" s="298">
        <v>0.47360000000000002</v>
      </c>
      <c r="E12" s="298">
        <v>0.47</v>
      </c>
      <c r="G12" s="52" t="s">
        <v>1063</v>
      </c>
      <c r="H12" s="298">
        <v>0.4698</v>
      </c>
      <c r="I12" s="298">
        <v>0.47199999999999998</v>
      </c>
      <c r="J12" s="298">
        <v>0.47360000000000002</v>
      </c>
      <c r="K12" s="298">
        <v>0.47</v>
      </c>
    </row>
    <row r="13" spans="1:11">
      <c r="A13" s="76"/>
      <c r="B13" s="300"/>
      <c r="C13" s="300"/>
      <c r="D13" s="300"/>
      <c r="E13" s="300"/>
      <c r="G13" s="76"/>
      <c r="H13" s="300"/>
      <c r="I13" s="300"/>
      <c r="J13" s="300"/>
      <c r="K13" s="300"/>
    </row>
    <row r="14" spans="1:11" s="52" customFormat="1" ht="15.75">
      <c r="A14" s="52" t="s">
        <v>1064</v>
      </c>
      <c r="B14" s="298">
        <v>9.4600000000000004E-2</v>
      </c>
      <c r="C14" s="298">
        <v>8.4600000000000009E-2</v>
      </c>
      <c r="D14" s="298">
        <v>7.51E-2</v>
      </c>
      <c r="E14" s="298">
        <v>6.5799999999999997E-2</v>
      </c>
      <c r="F14"/>
      <c r="G14" s="52" t="s">
        <v>1064</v>
      </c>
      <c r="H14" s="298">
        <v>9.4600000000000004E-2</v>
      </c>
      <c r="I14" s="298">
        <v>8.4600000000000009E-2</v>
      </c>
      <c r="J14" s="298">
        <v>7.51E-2</v>
      </c>
      <c r="K14" s="298">
        <v>6.5799999999999997E-2</v>
      </c>
    </row>
    <row r="15" spans="1:11" ht="9" customHeight="1">
      <c r="A15" s="983"/>
      <c r="B15" s="983"/>
      <c r="C15" s="983"/>
      <c r="D15" s="983"/>
      <c r="E15" s="983"/>
      <c r="G15" s="983"/>
      <c r="H15" s="983"/>
      <c r="I15" s="983"/>
      <c r="J15" s="983"/>
      <c r="K15" s="983"/>
    </row>
    <row r="16" spans="1:11" customFormat="1" ht="15.75">
      <c r="A16" s="486" t="s">
        <v>316</v>
      </c>
      <c r="B16" s="431" t="s">
        <v>1144</v>
      </c>
      <c r="C16" s="431" t="s">
        <v>1145</v>
      </c>
      <c r="D16" s="431" t="s">
        <v>1146</v>
      </c>
      <c r="E16" s="431" t="s">
        <v>1147</v>
      </c>
      <c r="G16" s="486" t="s">
        <v>316</v>
      </c>
      <c r="H16" s="431" t="s">
        <v>1144</v>
      </c>
      <c r="I16" s="431" t="s">
        <v>1145</v>
      </c>
      <c r="J16" s="431" t="s">
        <v>1146</v>
      </c>
      <c r="K16" s="431" t="s">
        <v>1147</v>
      </c>
    </row>
    <row r="17" spans="1:11" ht="15.75">
      <c r="A17" s="52" t="s">
        <v>727</v>
      </c>
      <c r="B17" s="984">
        <f>+B8-B27</f>
        <v>-14552.42200000002</v>
      </c>
      <c r="C17" s="984">
        <f>+C8-C27</f>
        <v>-35536.222400000086</v>
      </c>
      <c r="D17" s="984">
        <f>+D8-D27</f>
        <v>-51457.81660000002</v>
      </c>
      <c r="E17" s="984">
        <f>+E8-E27</f>
        <v>-51644.756500000134</v>
      </c>
      <c r="G17" s="52" t="s">
        <v>727</v>
      </c>
      <c r="H17" s="984">
        <f>+H8-H27</f>
        <v>-3364.3473999999696</v>
      </c>
      <c r="I17" s="984">
        <f>+I8-I27</f>
        <v>-19420.701000000001</v>
      </c>
      <c r="J17" s="984">
        <f>+J8-J27</f>
        <v>-36940.87229999993</v>
      </c>
      <c r="K17" s="984">
        <f>+K8-K27</f>
        <v>-38556.877400000114</v>
      </c>
    </row>
    <row r="18" spans="1:11">
      <c r="A18" s="76"/>
      <c r="B18" s="76"/>
      <c r="C18" s="76"/>
      <c r="D18" s="76"/>
      <c r="E18" s="76"/>
      <c r="G18" s="76"/>
      <c r="H18" s="76"/>
      <c r="I18" s="76"/>
      <c r="J18" s="76"/>
      <c r="K18" s="76"/>
    </row>
    <row r="19" spans="1:11" ht="15.75">
      <c r="A19" s="52" t="s">
        <v>1059</v>
      </c>
      <c r="B19" s="984">
        <f>+B10-B29</f>
        <v>-1879.9700000000012</v>
      </c>
      <c r="C19" s="984">
        <f>+C10-C29</f>
        <v>-4467.5807999999961</v>
      </c>
      <c r="D19" s="984">
        <f>+D10-D29</f>
        <v>-6336.3151999999973</v>
      </c>
      <c r="E19" s="984">
        <f>+E10-E29</f>
        <v>-8552.4781999999977</v>
      </c>
      <c r="G19" s="52" t="s">
        <v>1059</v>
      </c>
      <c r="H19" s="984">
        <f>+H10-H29</f>
        <v>-1601.6328999999969</v>
      </c>
      <c r="I19" s="984">
        <f>+I10-I29</f>
        <v>-3976.2842000000019</v>
      </c>
      <c r="J19" s="984">
        <f>+J10-J29</f>
        <v>-5455.2477999999974</v>
      </c>
      <c r="K19" s="984">
        <f>+K10-K29</f>
        <v>-7377.8888000000006</v>
      </c>
    </row>
    <row r="20" spans="1:11">
      <c r="A20" s="76"/>
      <c r="B20" s="76"/>
      <c r="C20" s="76"/>
      <c r="D20" s="76"/>
      <c r="E20" s="76"/>
      <c r="G20" s="76"/>
      <c r="H20" s="76"/>
      <c r="I20" s="76"/>
      <c r="J20" s="76"/>
      <c r="K20" s="76"/>
    </row>
    <row r="21" spans="1:11" ht="15.75">
      <c r="A21" s="52" t="s">
        <v>1063</v>
      </c>
      <c r="B21" s="902">
        <f>+B12-B31</f>
        <v>4.500000000000004E-3</v>
      </c>
      <c r="C21" s="902">
        <f>+C12-C31</f>
        <v>7.6999999999999846E-3</v>
      </c>
      <c r="D21" s="902">
        <f>+D12-D31</f>
        <v>1.0000000000000009E-2</v>
      </c>
      <c r="E21" s="902">
        <f>+E12-E31</f>
        <v>5.2999999999999714E-3</v>
      </c>
      <c r="G21" s="52" t="s">
        <v>1063</v>
      </c>
      <c r="H21" s="902">
        <f>+H12-H31</f>
        <v>1.2999999999999678E-3</v>
      </c>
      <c r="I21" s="902">
        <f>+I12-I31</f>
        <v>3.1999999999999806E-3</v>
      </c>
      <c r="J21" s="902">
        <f>+J12-J31</f>
        <v>6.0000000000000053E-3</v>
      </c>
      <c r="K21" s="902">
        <f>+K12-K31</f>
        <v>2.5999999999999912E-3</v>
      </c>
    </row>
    <row r="22" spans="1:11">
      <c r="A22" s="76"/>
      <c r="B22" s="76"/>
      <c r="C22" s="76"/>
      <c r="D22" s="76"/>
      <c r="E22" s="76"/>
      <c r="G22" s="76"/>
      <c r="H22" s="76"/>
      <c r="I22" s="76"/>
      <c r="J22" s="76"/>
      <c r="K22" s="76"/>
    </row>
    <row r="23" spans="1:11" ht="15.75">
      <c r="A23" s="52" t="s">
        <v>1064</v>
      </c>
      <c r="B23" s="902">
        <f>+B14-B33</f>
        <v>-2.6999999999999941E-3</v>
      </c>
      <c r="C23" s="902">
        <f>+C14-C33</f>
        <v>-4.8999999999999877E-3</v>
      </c>
      <c r="D23" s="902">
        <f>+D14-D33</f>
        <v>-6.4000000000000029E-3</v>
      </c>
      <c r="E23" s="902">
        <f>+E14-E33</f>
        <v>-9.3000000000000027E-3</v>
      </c>
      <c r="G23" s="52" t="s">
        <v>1064</v>
      </c>
      <c r="H23" s="902">
        <f>+H14-H33</f>
        <v>-3.5999999999999921E-3</v>
      </c>
      <c r="I23" s="902">
        <f>+I14-I33</f>
        <v>-6.0999999999999943E-3</v>
      </c>
      <c r="J23" s="902">
        <f>+J14-J33</f>
        <v>-6.4999999999999919E-3</v>
      </c>
      <c r="K23" s="902">
        <f>+K14-K33</f>
        <v>-9.5999999999999974E-3</v>
      </c>
    </row>
    <row r="24" spans="1:11" ht="9" customHeight="1">
      <c r="A24" s="482"/>
      <c r="B24" s="983"/>
      <c r="C24" s="983"/>
      <c r="D24" s="983"/>
      <c r="E24" s="983"/>
      <c r="G24" s="482"/>
      <c r="H24" s="983"/>
      <c r="I24" s="983"/>
      <c r="J24" s="983"/>
      <c r="K24" s="983"/>
    </row>
    <row r="25" spans="1:11" ht="15.75">
      <c r="A25" s="76"/>
      <c r="B25" s="476" t="s">
        <v>3</v>
      </c>
      <c r="C25" s="476" t="str">
        <f>+B25</f>
        <v>Budget</v>
      </c>
      <c r="D25" s="476" t="str">
        <f>+B25</f>
        <v>Budget</v>
      </c>
      <c r="E25" s="476" t="s">
        <v>3</v>
      </c>
      <c r="G25" s="76"/>
      <c r="H25" s="476" t="s">
        <v>4</v>
      </c>
      <c r="I25" s="476" t="str">
        <f>+H25</f>
        <v>Forecast</v>
      </c>
      <c r="J25" s="476" t="str">
        <f>+H25</f>
        <v>Forecast</v>
      </c>
      <c r="K25" s="476" t="s">
        <v>4</v>
      </c>
    </row>
    <row r="26" spans="1:11" ht="15.75">
      <c r="A26" s="485" t="s">
        <v>1148</v>
      </c>
      <c r="B26" s="483" t="s">
        <v>1144</v>
      </c>
      <c r="C26" s="483" t="s">
        <v>1145</v>
      </c>
      <c r="D26" s="483" t="s">
        <v>1146</v>
      </c>
      <c r="E26" s="483" t="s">
        <v>1147</v>
      </c>
      <c r="G26" s="485" t="s">
        <v>1149</v>
      </c>
      <c r="H26" s="483" t="s">
        <v>1144</v>
      </c>
      <c r="I26" s="483" t="s">
        <v>1145</v>
      </c>
      <c r="J26" s="483" t="s">
        <v>1146</v>
      </c>
      <c r="K26" s="483" t="s">
        <v>1147</v>
      </c>
    </row>
    <row r="27" spans="1:11" ht="15.75">
      <c r="A27" s="52" t="s">
        <v>727</v>
      </c>
      <c r="B27" s="477">
        <v>982288.38760000002</v>
      </c>
      <c r="C27" s="477">
        <v>1024147.4002</v>
      </c>
      <c r="D27" s="477">
        <v>1069483.1195</v>
      </c>
      <c r="E27" s="477">
        <v>1123903.5438000001</v>
      </c>
      <c r="G27" s="52" t="s">
        <v>727</v>
      </c>
      <c r="H27" s="477">
        <v>971100.31299999997</v>
      </c>
      <c r="I27" s="477">
        <v>1008031.8787999999</v>
      </c>
      <c r="J27" s="477">
        <v>1054966.1751999999</v>
      </c>
      <c r="K27" s="477">
        <v>1110815.6647000001</v>
      </c>
    </row>
    <row r="28" spans="1:11">
      <c r="A28" s="76"/>
      <c r="B28" s="478"/>
      <c r="C28" s="478"/>
      <c r="D28" s="478"/>
      <c r="E28" s="478"/>
      <c r="G28" s="76"/>
      <c r="H28" s="478"/>
      <c r="I28" s="478"/>
      <c r="J28" s="478"/>
      <c r="K28" s="478"/>
    </row>
    <row r="29" spans="1:11" ht="15.75">
      <c r="A29" s="52" t="s">
        <v>1059</v>
      </c>
      <c r="B29" s="479">
        <v>60392.506000000001</v>
      </c>
      <c r="C29" s="479">
        <v>59161.255299999997</v>
      </c>
      <c r="D29" s="479">
        <v>57928.680999999997</v>
      </c>
      <c r="E29" s="479">
        <v>58119.074699999997</v>
      </c>
      <c r="G29" s="52" t="s">
        <v>1059</v>
      </c>
      <c r="H29" s="479">
        <v>60114.168899999997</v>
      </c>
      <c r="I29" s="479">
        <v>58669.958700000003</v>
      </c>
      <c r="J29" s="479">
        <v>57047.613599999997</v>
      </c>
      <c r="K29" s="479">
        <v>56944.4853</v>
      </c>
    </row>
    <row r="30" spans="1:11">
      <c r="A30" s="76"/>
      <c r="B30" s="478"/>
      <c r="C30" s="478"/>
      <c r="D30" s="478"/>
      <c r="E30" s="478"/>
      <c r="G30" s="76"/>
      <c r="H30" s="478"/>
      <c r="I30" s="478"/>
      <c r="J30" s="478"/>
      <c r="K30" s="478"/>
    </row>
    <row r="31" spans="1:11" ht="15.75">
      <c r="A31" s="52" t="s">
        <v>1063</v>
      </c>
      <c r="B31" s="480">
        <v>0.46529999999999999</v>
      </c>
      <c r="C31" s="480">
        <v>0.46429999999999999</v>
      </c>
      <c r="D31" s="480">
        <v>0.46360000000000001</v>
      </c>
      <c r="E31" s="480">
        <v>0.4647</v>
      </c>
      <c r="G31" s="52" t="s">
        <v>1063</v>
      </c>
      <c r="H31" s="480">
        <v>0.46850000000000003</v>
      </c>
      <c r="I31" s="480">
        <v>0.46879999999999999</v>
      </c>
      <c r="J31" s="480">
        <v>0.46760000000000002</v>
      </c>
      <c r="K31" s="480">
        <v>0.46739999999999998</v>
      </c>
    </row>
    <row r="32" spans="1:11">
      <c r="A32" s="76"/>
      <c r="B32" s="481"/>
      <c r="C32" s="481"/>
      <c r="D32" s="481"/>
      <c r="E32" s="481"/>
      <c r="G32" s="76"/>
      <c r="H32" s="481"/>
      <c r="I32" s="481"/>
      <c r="J32" s="481"/>
      <c r="K32" s="481"/>
    </row>
    <row r="33" spans="1:11" ht="15.75">
      <c r="A33" s="52" t="s">
        <v>1064</v>
      </c>
      <c r="B33" s="480">
        <v>9.7299999999999998E-2</v>
      </c>
      <c r="C33" s="480">
        <v>8.9499999999999996E-2</v>
      </c>
      <c r="D33" s="480">
        <v>8.1500000000000003E-2</v>
      </c>
      <c r="E33" s="480">
        <v>7.51E-2</v>
      </c>
      <c r="G33" s="52" t="s">
        <v>1064</v>
      </c>
      <c r="H33" s="480">
        <v>9.8199999999999996E-2</v>
      </c>
      <c r="I33" s="480">
        <v>9.0700000000000003E-2</v>
      </c>
      <c r="J33" s="480">
        <v>8.1599999999999992E-2</v>
      </c>
      <c r="K33" s="480">
        <v>7.5399999999999995E-2</v>
      </c>
    </row>
    <row r="34" spans="1:11">
      <c r="A34" s="76"/>
      <c r="B34" s="76"/>
      <c r="C34" s="76"/>
      <c r="D34" s="76"/>
      <c r="E34" s="76"/>
      <c r="G34" s="76"/>
      <c r="H34" s="76"/>
      <c r="I34" s="76"/>
      <c r="J34" s="76"/>
      <c r="K34" s="76"/>
    </row>
    <row r="37" spans="1:11">
      <c r="A37" s="322" t="s">
        <v>1150</v>
      </c>
      <c r="B37" s="322" t="s">
        <v>760</v>
      </c>
      <c r="C37" s="322" t="s">
        <v>761</v>
      </c>
      <c r="D37" s="322" t="s">
        <v>762</v>
      </c>
      <c r="E37" s="322" t="s">
        <v>763</v>
      </c>
      <c r="G37" s="76"/>
      <c r="H37" s="76"/>
      <c r="I37" s="76"/>
      <c r="J37" s="76"/>
      <c r="K37" s="76"/>
    </row>
    <row r="38" spans="1:11">
      <c r="A38" s="76" t="s">
        <v>1151</v>
      </c>
      <c r="B38" s="902">
        <v>0.57340000000000002</v>
      </c>
      <c r="C38" s="902">
        <v>0.57120000000000004</v>
      </c>
      <c r="D38" s="902">
        <v>0.56799999999999995</v>
      </c>
      <c r="E38" s="902">
        <v>0.55769999999999997</v>
      </c>
      <c r="G38" s="76"/>
      <c r="H38" s="76"/>
      <c r="I38" s="76"/>
      <c r="J38" s="76"/>
      <c r="K38" s="76"/>
    </row>
    <row r="39" spans="1:11">
      <c r="A39" s="76" t="s">
        <v>1097</v>
      </c>
      <c r="B39" s="902">
        <v>0.57150000000000001</v>
      </c>
      <c r="C39" s="902">
        <v>0.56589999999999996</v>
      </c>
      <c r="D39" s="902">
        <v>0.5585</v>
      </c>
      <c r="E39" s="902">
        <v>0.55249999999999999</v>
      </c>
      <c r="G39" s="76"/>
      <c r="H39" s="76"/>
      <c r="I39" s="76"/>
      <c r="J39" s="76"/>
      <c r="K39" s="76"/>
    </row>
    <row r="40" spans="1:11">
      <c r="A40" s="76" t="s">
        <v>1152</v>
      </c>
      <c r="B40" s="902">
        <v>0.56659999999999999</v>
      </c>
      <c r="C40" s="902">
        <v>0.55879999999999996</v>
      </c>
      <c r="D40" s="902">
        <v>0.5514</v>
      </c>
      <c r="E40" s="902">
        <v>0.54690000000000005</v>
      </c>
      <c r="G40" s="76"/>
      <c r="H40" s="76"/>
      <c r="I40" s="76"/>
      <c r="J40" s="76"/>
      <c r="K40" s="76"/>
    </row>
  </sheetData>
  <printOptions horizontalCentered="1"/>
  <pageMargins left="0.5" right="0.5" top="0.5" bottom="0.5" header="0.5" footer="0.25"/>
  <pageSetup scale="78" orientation="portrait" r:id="rId1"/>
  <headerFooter>
    <oddFooter>&amp;Z&amp;F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rgb="FFFF0000"/>
    <pageSetUpPr fitToPage="1"/>
  </sheetPr>
  <dimension ref="A1:W64"/>
  <sheetViews>
    <sheetView workbookViewId="0"/>
  </sheetViews>
  <sheetFormatPr defaultColWidth="9.140625" defaultRowHeight="15"/>
  <cols>
    <col min="1" max="1" width="47" style="43" bestFit="1" customWidth="1"/>
    <col min="2" max="2" width="20.7109375" style="43" customWidth="1"/>
    <col min="3" max="3" width="1.7109375" style="43" customWidth="1"/>
    <col min="4" max="4" width="20.7109375" style="43" customWidth="1"/>
    <col min="5" max="5" width="1.7109375" style="43" customWidth="1"/>
    <col min="6" max="6" width="20.7109375" style="43" customWidth="1"/>
    <col min="7" max="7" width="1.7109375" style="43" customWidth="1"/>
    <col min="8" max="8" width="20.7109375" style="43" customWidth="1"/>
    <col min="9" max="9" width="1.7109375" style="43" customWidth="1"/>
    <col min="10" max="10" width="20.7109375" style="43" customWidth="1"/>
    <col min="11" max="11" width="1.7109375" style="43" customWidth="1"/>
    <col min="12" max="12" width="20.7109375" style="43" customWidth="1"/>
    <col min="13" max="13" width="1.7109375" style="43" customWidth="1"/>
    <col min="14" max="14" width="20.7109375" style="43" customWidth="1"/>
    <col min="15" max="15" width="1.7109375" style="43" customWidth="1"/>
    <col min="16" max="16" width="20.7109375" style="43" customWidth="1"/>
    <col min="17" max="17" width="1.7109375" style="43" customWidth="1"/>
    <col min="18" max="18" width="20.7109375" style="43" customWidth="1"/>
    <col min="19" max="19" width="1.7109375" style="43" customWidth="1"/>
    <col min="20" max="20" width="20.7109375" style="43" customWidth="1"/>
    <col min="21" max="16384" width="9.140625" style="43"/>
  </cols>
  <sheetData>
    <row r="1" spans="1:23" ht="18">
      <c r="A1" s="45" t="s">
        <v>1046</v>
      </c>
      <c r="B1" s="45"/>
      <c r="C1" s="76"/>
      <c r="D1" s="45"/>
      <c r="E1" s="76"/>
      <c r="F1" s="45"/>
      <c r="G1" s="76"/>
      <c r="H1" s="45"/>
      <c r="I1" s="76"/>
      <c r="J1" s="45"/>
      <c r="K1" s="76"/>
      <c r="L1" s="45"/>
      <c r="M1" s="76"/>
      <c r="N1" s="45"/>
      <c r="O1" s="76"/>
      <c r="P1" s="45"/>
      <c r="Q1" s="76"/>
      <c r="R1" s="45"/>
      <c r="S1" s="76"/>
      <c r="T1" s="45"/>
      <c r="U1" s="76"/>
      <c r="V1" s="76"/>
      <c r="W1" s="76"/>
    </row>
    <row r="2" spans="1:23" ht="18">
      <c r="A2" s="45" t="s">
        <v>1047</v>
      </c>
      <c r="B2" s="45"/>
      <c r="C2" s="76"/>
      <c r="D2" s="45"/>
      <c r="E2" s="76"/>
      <c r="F2" s="45"/>
      <c r="G2" s="76"/>
      <c r="H2" s="45"/>
      <c r="I2" s="76"/>
      <c r="J2" s="45"/>
      <c r="K2" s="76"/>
      <c r="L2" s="45"/>
      <c r="M2" s="76"/>
      <c r="N2" s="45"/>
      <c r="O2" s="76"/>
      <c r="P2" s="45"/>
      <c r="Q2" s="76"/>
      <c r="R2" s="45"/>
      <c r="S2" s="76"/>
      <c r="T2" s="45"/>
      <c r="U2" s="76"/>
      <c r="V2" s="76"/>
      <c r="W2" s="76"/>
    </row>
    <row r="3" spans="1:23" ht="18">
      <c r="A3" s="48" t="s">
        <v>1048</v>
      </c>
      <c r="B3" s="48"/>
      <c r="C3" s="76"/>
      <c r="D3" s="48"/>
      <c r="E3" s="76"/>
      <c r="F3" s="48"/>
      <c r="G3" s="76"/>
      <c r="H3" s="48"/>
      <c r="I3" s="76"/>
      <c r="J3" s="48"/>
      <c r="K3" s="76"/>
      <c r="L3" s="48"/>
      <c r="M3" s="76"/>
      <c r="N3" s="48"/>
      <c r="O3" s="76"/>
      <c r="P3" s="48"/>
      <c r="Q3" s="76"/>
      <c r="R3" s="48"/>
      <c r="S3" s="76"/>
      <c r="T3" s="48"/>
      <c r="U3" s="76"/>
      <c r="V3" s="76" t="s">
        <v>1153</v>
      </c>
      <c r="W3" s="76" t="s">
        <v>1154</v>
      </c>
    </row>
    <row r="4" spans="1:23" ht="15.75" customHeight="1">
      <c r="A4" s="48"/>
      <c r="B4" s="48"/>
      <c r="C4" s="76"/>
      <c r="D4" s="48"/>
      <c r="E4" s="76"/>
      <c r="F4" s="48"/>
      <c r="G4" s="76"/>
      <c r="H4" s="48"/>
      <c r="I4" s="76"/>
      <c r="J4" s="48"/>
      <c r="K4" s="76"/>
      <c r="L4" s="48"/>
      <c r="M4" s="76"/>
      <c r="N4" s="48"/>
      <c r="O4" s="76"/>
      <c r="P4" s="48"/>
      <c r="Q4" s="76"/>
      <c r="R4" s="48"/>
      <c r="S4" s="76"/>
      <c r="T4" s="48"/>
      <c r="U4" s="76"/>
      <c r="V4" s="76"/>
      <c r="W4" s="76"/>
    </row>
    <row r="5" spans="1:23" ht="15.75" customHeight="1">
      <c r="A5" s="375"/>
      <c r="B5" s="257"/>
      <c r="C5" s="76"/>
      <c r="D5" s="257"/>
      <c r="E5" s="76"/>
      <c r="F5" s="257"/>
      <c r="G5" s="76"/>
      <c r="H5" s="257"/>
      <c r="I5" s="76"/>
      <c r="J5" s="257"/>
      <c r="K5" s="76"/>
      <c r="L5" s="257"/>
      <c r="M5" s="76"/>
      <c r="N5" s="257"/>
      <c r="O5" s="76"/>
      <c r="P5" s="257"/>
      <c r="Q5" s="76"/>
      <c r="R5" s="257"/>
      <c r="S5" s="76"/>
      <c r="T5" s="257"/>
      <c r="U5" s="76"/>
      <c r="V5" s="76"/>
      <c r="W5" s="76"/>
    </row>
    <row r="6" spans="1:23" s="52" customFormat="1" ht="15.75">
      <c r="A6" s="51" t="s">
        <v>1049</v>
      </c>
      <c r="B6" s="257" t="s">
        <v>2</v>
      </c>
      <c r="D6" s="257" t="s">
        <v>2</v>
      </c>
      <c r="F6" s="257" t="s">
        <v>4</v>
      </c>
      <c r="H6" s="257" t="s">
        <v>4</v>
      </c>
      <c r="J6" s="257" t="s">
        <v>4</v>
      </c>
      <c r="L6" s="257" t="s">
        <v>4</v>
      </c>
      <c r="N6" s="257" t="s">
        <v>4</v>
      </c>
      <c r="P6" s="257" t="s">
        <v>4</v>
      </c>
      <c r="R6" s="257" t="s">
        <v>4</v>
      </c>
      <c r="T6" s="257" t="s">
        <v>4</v>
      </c>
    </row>
    <row r="7" spans="1:23" s="52" customFormat="1" ht="15.75">
      <c r="A7" s="55" t="s">
        <v>1052</v>
      </c>
      <c r="B7" s="187">
        <v>43891</v>
      </c>
      <c r="C7" s="55"/>
      <c r="D7" s="187">
        <v>43922</v>
      </c>
      <c r="E7" s="55"/>
      <c r="F7" s="187">
        <v>43952</v>
      </c>
      <c r="G7" s="55"/>
      <c r="H7" s="187">
        <v>43983</v>
      </c>
      <c r="I7" s="55"/>
      <c r="J7" s="187">
        <v>44013</v>
      </c>
      <c r="K7" s="55"/>
      <c r="L7" s="187">
        <v>44044</v>
      </c>
      <c r="M7" s="55"/>
      <c r="N7" s="187">
        <v>44075</v>
      </c>
      <c r="O7" s="55"/>
      <c r="P7" s="187">
        <v>44105</v>
      </c>
      <c r="Q7" s="55"/>
      <c r="R7" s="187">
        <v>44136</v>
      </c>
      <c r="S7" s="55"/>
      <c r="T7" s="187">
        <v>44166</v>
      </c>
    </row>
    <row r="8" spans="1:23" ht="15.75">
      <c r="A8" s="52" t="s">
        <v>1056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</row>
    <row r="9" spans="1:23">
      <c r="A9" s="76" t="s">
        <v>472</v>
      </c>
      <c r="B9" s="985">
        <v>972065.25577456749</v>
      </c>
      <c r="C9" s="303"/>
      <c r="D9" s="985">
        <v>980140.30828429805</v>
      </c>
      <c r="E9" s="303"/>
      <c r="F9" s="432">
        <v>987983.70960321953</v>
      </c>
      <c r="G9" s="303"/>
      <c r="H9" s="432">
        <v>997013.5937955603</v>
      </c>
      <c r="I9" s="303"/>
      <c r="J9" s="432">
        <v>1008583.7181381381</v>
      </c>
      <c r="K9" s="303"/>
      <c r="L9" s="432">
        <v>1020718.1321693565</v>
      </c>
      <c r="M9" s="303"/>
      <c r="N9" s="432">
        <v>1033060.750217122</v>
      </c>
      <c r="O9" s="303"/>
      <c r="P9" s="432">
        <v>1045456.9804358113</v>
      </c>
      <c r="Q9" s="303"/>
      <c r="R9" s="432">
        <v>1058014.4265154491</v>
      </c>
      <c r="S9" s="303"/>
      <c r="T9" s="432">
        <f ca="1">+'COMP Act to Prior'!D9</f>
        <v>2370525.9425286599</v>
      </c>
      <c r="U9" s="76"/>
      <c r="V9" s="76" t="s">
        <v>1155</v>
      </c>
      <c r="W9" s="76" t="s">
        <v>1156</v>
      </c>
    </row>
    <row r="10" spans="1:23">
      <c r="A10" s="76" t="s">
        <v>190</v>
      </c>
      <c r="B10" s="986">
        <v>28608.593929556158</v>
      </c>
      <c r="C10" s="303"/>
      <c r="D10" s="986">
        <v>29605.743088229319</v>
      </c>
      <c r="E10" s="303"/>
      <c r="F10" s="303">
        <v>31448.56479658153</v>
      </c>
      <c r="G10" s="303"/>
      <c r="H10" s="303">
        <v>33157.685300765195</v>
      </c>
      <c r="I10" s="303"/>
      <c r="J10" s="303">
        <v>35138.773691211092</v>
      </c>
      <c r="K10" s="303"/>
      <c r="L10" s="303">
        <v>38680.572622255713</v>
      </c>
      <c r="M10" s="303"/>
      <c r="N10" s="303">
        <v>42595.271533663385</v>
      </c>
      <c r="O10" s="303"/>
      <c r="P10" s="303">
        <v>46883.063652791672</v>
      </c>
      <c r="Q10" s="303"/>
      <c r="R10" s="303">
        <v>50842.823989417229</v>
      </c>
      <c r="S10" s="303"/>
      <c r="T10" s="303">
        <f ca="1">+'COMP Act to Prior'!D10</f>
        <v>24309.450432307684</v>
      </c>
      <c r="U10" s="76"/>
      <c r="V10" s="76"/>
      <c r="W10" s="76"/>
    </row>
    <row r="11" spans="1:23">
      <c r="A11" s="76" t="s">
        <v>1057</v>
      </c>
      <c r="B11" s="986">
        <v>0</v>
      </c>
      <c r="C11" s="190"/>
      <c r="D11" s="986">
        <v>0</v>
      </c>
      <c r="E11" s="190"/>
      <c r="F11" s="303">
        <v>0</v>
      </c>
      <c r="G11" s="190"/>
      <c r="H11" s="303">
        <v>0</v>
      </c>
      <c r="I11" s="190"/>
      <c r="J11" s="303">
        <v>0</v>
      </c>
      <c r="K11" s="190"/>
      <c r="L11" s="303">
        <v>0</v>
      </c>
      <c r="M11" s="190"/>
      <c r="N11" s="303">
        <v>0</v>
      </c>
      <c r="O11" s="190"/>
      <c r="P11" s="303">
        <v>0</v>
      </c>
      <c r="Q11" s="190"/>
      <c r="R11" s="303">
        <v>0</v>
      </c>
      <c r="S11" s="190"/>
      <c r="T11" s="303">
        <f ca="1">+'COMP Act to Prior'!D11</f>
        <v>0</v>
      </c>
      <c r="U11" s="76"/>
      <c r="V11" s="76"/>
      <c r="W11" s="76"/>
    </row>
    <row r="12" spans="1:23">
      <c r="A12" s="76" t="s">
        <v>478</v>
      </c>
      <c r="B12" s="986">
        <v>8084.7627215384618</v>
      </c>
      <c r="C12" s="190"/>
      <c r="D12" s="986">
        <v>8093.0358207692325</v>
      </c>
      <c r="E12" s="190"/>
      <c r="F12" s="303">
        <v>8182.3182400000014</v>
      </c>
      <c r="G12" s="190"/>
      <c r="H12" s="303">
        <v>8238.0998953846156</v>
      </c>
      <c r="I12" s="190"/>
      <c r="J12" s="303">
        <v>8298.3332607692319</v>
      </c>
      <c r="K12" s="190"/>
      <c r="L12" s="303">
        <v>8423.9089299999996</v>
      </c>
      <c r="M12" s="190"/>
      <c r="N12" s="303">
        <v>8497.5651392307682</v>
      </c>
      <c r="O12" s="190"/>
      <c r="P12" s="303">
        <v>8537.6991938461524</v>
      </c>
      <c r="Q12" s="190"/>
      <c r="R12" s="303">
        <v>8674.9885592307674</v>
      </c>
      <c r="S12" s="190"/>
      <c r="T12" s="303">
        <f ca="1">+'COMP Act to Prior'!D12</f>
        <v>1000</v>
      </c>
      <c r="U12" s="76"/>
      <c r="V12" s="76"/>
      <c r="W12" s="76"/>
    </row>
    <row r="13" spans="1:23">
      <c r="A13" s="76" t="s">
        <v>1058</v>
      </c>
      <c r="B13" s="987">
        <v>-41022.646777692309</v>
      </c>
      <c r="C13" s="190"/>
      <c r="D13" s="987">
        <v>-43398.699700769241</v>
      </c>
      <c r="E13" s="190"/>
      <c r="F13" s="191">
        <v>-44970.973878566867</v>
      </c>
      <c r="G13" s="190"/>
      <c r="H13" s="191">
        <v>-45516.880699117464</v>
      </c>
      <c r="I13" s="190"/>
      <c r="J13" s="191">
        <v>-46473.877967056178</v>
      </c>
      <c r="K13" s="190"/>
      <c r="L13" s="191">
        <v>-47583.580797054638</v>
      </c>
      <c r="M13" s="190"/>
      <c r="N13" s="191">
        <v>-47790.678957108095</v>
      </c>
      <c r="O13" s="190"/>
      <c r="P13" s="191">
        <v>-48557.48158208414</v>
      </c>
      <c r="Q13" s="190"/>
      <c r="R13" s="191">
        <v>-47053.320032387579</v>
      </c>
      <c r="S13" s="190"/>
      <c r="T13" s="191">
        <f ca="1">+'COMP Act to Prior'!D13</f>
        <v>-29047.373783918258</v>
      </c>
      <c r="U13" s="76"/>
      <c r="V13" s="76"/>
      <c r="W13" s="76"/>
    </row>
    <row r="14" spans="1:23" ht="8.1" customHeight="1">
      <c r="A14" s="76"/>
      <c r="B14" s="988"/>
      <c r="C14" s="76"/>
      <c r="D14" s="988"/>
      <c r="E14" s="76"/>
      <c r="F14" s="300"/>
      <c r="G14" s="76"/>
      <c r="H14" s="300"/>
      <c r="I14" s="76"/>
      <c r="J14" s="300"/>
      <c r="K14" s="76"/>
      <c r="L14" s="300"/>
      <c r="M14" s="76"/>
      <c r="N14" s="300"/>
      <c r="O14" s="76"/>
      <c r="P14" s="300"/>
      <c r="Q14" s="76"/>
      <c r="R14" s="300"/>
      <c r="S14" s="76"/>
      <c r="T14" s="300"/>
      <c r="U14" s="76"/>
      <c r="V14" s="76"/>
      <c r="W14" s="76"/>
    </row>
    <row r="15" spans="1:23" ht="15.75">
      <c r="A15" s="52" t="s">
        <v>727</v>
      </c>
      <c r="B15" s="468">
        <v>967735.9656</v>
      </c>
      <c r="C15" s="50"/>
      <c r="D15" s="468">
        <v>974440.38749999995</v>
      </c>
      <c r="E15" s="50"/>
      <c r="F15" s="61">
        <v>982643.61880000005</v>
      </c>
      <c r="G15" s="50"/>
      <c r="H15" s="61">
        <v>992892.49829999998</v>
      </c>
      <c r="I15" s="50"/>
      <c r="J15" s="61">
        <v>1005546.9471</v>
      </c>
      <c r="K15" s="50"/>
      <c r="L15" s="61">
        <v>1020239.0329</v>
      </c>
      <c r="M15" s="50"/>
      <c r="N15" s="61">
        <v>1036362.9079</v>
      </c>
      <c r="O15" s="50"/>
      <c r="P15" s="61">
        <v>1052320.2616999999</v>
      </c>
      <c r="Q15" s="50"/>
      <c r="R15" s="61">
        <v>1070478.919</v>
      </c>
      <c r="S15" s="50"/>
      <c r="T15" s="61">
        <f ca="1">+'COMP Act to Prior'!D15</f>
        <v>2366788.0192</v>
      </c>
      <c r="U15" s="76"/>
      <c r="V15" s="76"/>
      <c r="W15" s="76"/>
    </row>
    <row r="16" spans="1:23" ht="8.1" customHeight="1">
      <c r="A16" s="76"/>
      <c r="B16" s="989"/>
      <c r="C16" s="76"/>
      <c r="D16" s="989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</row>
    <row r="17" spans="1:23" s="52" customFormat="1" ht="15.75">
      <c r="A17" s="52" t="s">
        <v>1059</v>
      </c>
      <c r="B17" s="469">
        <v>58519.081299999998</v>
      </c>
      <c r="C17" s="63"/>
      <c r="D17" s="469">
        <v>56567.8894</v>
      </c>
      <c r="E17" s="63"/>
      <c r="F17" s="62">
        <v>54902.758600000001</v>
      </c>
      <c r="G17" s="63"/>
      <c r="H17" s="62">
        <v>53461.9761</v>
      </c>
      <c r="I17" s="63"/>
      <c r="J17" s="62">
        <v>52631.655899999998</v>
      </c>
      <c r="K17" s="63"/>
      <c r="L17" s="62">
        <v>51376.035000000003</v>
      </c>
      <c r="M17" s="63"/>
      <c r="N17" s="62">
        <v>49780.717199999999</v>
      </c>
      <c r="O17" s="63"/>
      <c r="P17" s="62">
        <v>48848.286</v>
      </c>
      <c r="Q17" s="63"/>
      <c r="R17" s="62">
        <v>47761.976799999997</v>
      </c>
      <c r="S17" s="63"/>
      <c r="T17" s="62">
        <f ca="1">+'COMP Act to Prior'!D17</f>
        <v>72338.710999999996</v>
      </c>
    </row>
    <row r="18" spans="1:23" ht="8.1" customHeight="1">
      <c r="A18" s="76"/>
      <c r="B18" s="989"/>
      <c r="C18" s="76"/>
      <c r="D18" s="989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</row>
    <row r="19" spans="1:23">
      <c r="A19" s="76" t="s">
        <v>1060</v>
      </c>
      <c r="B19" s="990">
        <v>6.0499999999999998E-2</v>
      </c>
      <c r="C19" s="298"/>
      <c r="D19" s="990">
        <v>5.8099999999999999E-2</v>
      </c>
      <c r="E19" s="298"/>
      <c r="F19" s="298">
        <v>5.5899999999999998E-2</v>
      </c>
      <c r="G19" s="298"/>
      <c r="H19" s="298">
        <v>5.3800000000000001E-2</v>
      </c>
      <c r="I19" s="298"/>
      <c r="J19" s="298">
        <v>5.2299999999999999E-2</v>
      </c>
      <c r="K19" s="298"/>
      <c r="L19" s="298">
        <v>5.04E-2</v>
      </c>
      <c r="M19" s="298"/>
      <c r="N19" s="298">
        <v>4.8000000000000001E-2</v>
      </c>
      <c r="O19" s="298"/>
      <c r="P19" s="298">
        <v>4.6399999999999997E-2</v>
      </c>
      <c r="Q19" s="298"/>
      <c r="R19" s="298">
        <v>4.4600000000000001E-2</v>
      </c>
      <c r="S19" s="298"/>
      <c r="T19" s="298">
        <f ca="1">+'COMP Act to Prior'!D19</f>
        <v>3.0599999999999999E-2</v>
      </c>
      <c r="U19" s="76"/>
      <c r="V19" s="76" t="s">
        <v>1157</v>
      </c>
      <c r="W19" s="76" t="s">
        <v>1158</v>
      </c>
    </row>
    <row r="20" spans="1:23">
      <c r="A20" s="76" t="s">
        <v>1061</v>
      </c>
      <c r="B20" s="991">
        <v>1.6E-2</v>
      </c>
      <c r="C20" s="298"/>
      <c r="D20" s="991">
        <v>1.5800000000000002E-2</v>
      </c>
      <c r="E20" s="298"/>
      <c r="F20" s="299">
        <v>1.5800000000000002E-2</v>
      </c>
      <c r="G20" s="298"/>
      <c r="H20" s="299">
        <v>1.5800000000000002E-2</v>
      </c>
      <c r="I20" s="298"/>
      <c r="J20" s="299">
        <v>1.5900000000000001E-2</v>
      </c>
      <c r="K20" s="298"/>
      <c r="L20" s="299">
        <v>1.5800000000000002E-2</v>
      </c>
      <c r="M20" s="298"/>
      <c r="N20" s="299">
        <v>1.5900000000000001E-2</v>
      </c>
      <c r="O20" s="298"/>
      <c r="P20" s="299">
        <v>1.6E-2</v>
      </c>
      <c r="Q20" s="298"/>
      <c r="R20" s="299">
        <v>1.6E-2</v>
      </c>
      <c r="S20" s="298"/>
      <c r="T20" s="299">
        <f ca="1">+'COMP Act to Prior'!D20</f>
        <v>2.18E-2</v>
      </c>
      <c r="U20" s="76"/>
      <c r="V20" s="76"/>
      <c r="W20" s="76"/>
    </row>
    <row r="21" spans="1:23" ht="8.1" customHeight="1">
      <c r="A21" s="76"/>
      <c r="B21" s="988"/>
      <c r="C21" s="298"/>
      <c r="D21" s="988"/>
      <c r="E21" s="298"/>
      <c r="F21" s="300"/>
      <c r="G21" s="298"/>
      <c r="H21" s="300"/>
      <c r="I21" s="298"/>
      <c r="J21" s="300"/>
      <c r="K21" s="298"/>
      <c r="L21" s="300"/>
      <c r="M21" s="298"/>
      <c r="N21" s="300"/>
      <c r="O21" s="298"/>
      <c r="P21" s="300"/>
      <c r="Q21" s="298"/>
      <c r="R21" s="300"/>
      <c r="S21" s="298"/>
      <c r="T21" s="300"/>
      <c r="U21" s="76"/>
      <c r="V21" s="76"/>
      <c r="W21" s="76"/>
    </row>
    <row r="22" spans="1:23">
      <c r="A22" s="76" t="s">
        <v>1062</v>
      </c>
      <c r="B22" s="990">
        <v>4.4499999999999998E-2</v>
      </c>
      <c r="C22" s="298"/>
      <c r="D22" s="990">
        <v>4.2299999999999997E-2</v>
      </c>
      <c r="E22" s="298"/>
      <c r="F22" s="298">
        <v>4.0099999999999997E-2</v>
      </c>
      <c r="G22" s="298"/>
      <c r="H22" s="298">
        <v>3.7999999999999999E-2</v>
      </c>
      <c r="I22" s="298"/>
      <c r="J22" s="298">
        <v>3.6400000000000002E-2</v>
      </c>
      <c r="K22" s="298"/>
      <c r="L22" s="298">
        <v>3.4599999999999999E-2</v>
      </c>
      <c r="M22" s="298"/>
      <c r="N22" s="298">
        <v>3.2099999999999997E-2</v>
      </c>
      <c r="O22" s="298"/>
      <c r="P22" s="298">
        <v>3.04E-2</v>
      </c>
      <c r="Q22" s="298"/>
      <c r="R22" s="298">
        <v>2.86E-2</v>
      </c>
      <c r="S22" s="298"/>
      <c r="T22" s="298">
        <f ca="1">+'COMP Act to Prior'!D22</f>
        <v>8.8000000000000005E-3</v>
      </c>
      <c r="U22" s="76"/>
      <c r="V22" s="76"/>
      <c r="W22" s="76"/>
    </row>
    <row r="23" spans="1:23">
      <c r="A23" s="76" t="s">
        <v>1063</v>
      </c>
      <c r="B23" s="991">
        <v>0.4698</v>
      </c>
      <c r="C23" s="298"/>
      <c r="D23" s="991">
        <v>0.47099999999999997</v>
      </c>
      <c r="E23" s="298"/>
      <c r="F23" s="299">
        <v>0.47199999999999998</v>
      </c>
      <c r="G23" s="298"/>
      <c r="H23" s="299">
        <v>0.4708</v>
      </c>
      <c r="I23" s="298"/>
      <c r="J23" s="299">
        <v>0.46929999999999999</v>
      </c>
      <c r="K23" s="298"/>
      <c r="L23" s="299">
        <v>0.46970000000000001</v>
      </c>
      <c r="M23" s="298"/>
      <c r="N23" s="299">
        <v>0.46970000000000001</v>
      </c>
      <c r="O23" s="298"/>
      <c r="P23" s="299">
        <v>0.46779999999999999</v>
      </c>
      <c r="Q23" s="298"/>
      <c r="R23" s="299">
        <v>0.46739999999999998</v>
      </c>
      <c r="S23" s="298"/>
      <c r="T23" s="299">
        <f ca="1">+'COMP Act to Prior'!D23</f>
        <v>0.47489999999999999</v>
      </c>
      <c r="U23" s="76"/>
      <c r="V23" s="76"/>
      <c r="W23" s="76"/>
    </row>
    <row r="24" spans="1:23">
      <c r="A24" s="76"/>
      <c r="B24" s="988"/>
      <c r="C24" s="298"/>
      <c r="D24" s="988"/>
      <c r="E24" s="298"/>
      <c r="F24" s="300"/>
      <c r="G24" s="298"/>
      <c r="H24" s="300"/>
      <c r="I24" s="298"/>
      <c r="J24" s="300"/>
      <c r="K24" s="298"/>
      <c r="L24" s="300"/>
      <c r="M24" s="298"/>
      <c r="N24" s="300"/>
      <c r="O24" s="298"/>
      <c r="P24" s="300"/>
      <c r="Q24" s="298"/>
      <c r="R24" s="300"/>
      <c r="S24" s="298"/>
      <c r="T24" s="300"/>
      <c r="U24" s="76"/>
      <c r="V24" s="76"/>
      <c r="W24" s="76"/>
    </row>
    <row r="25" spans="1:23" s="52" customFormat="1" ht="15.75">
      <c r="A25" s="52" t="s">
        <v>1064</v>
      </c>
      <c r="B25" s="470">
        <v>9.4700000000000006E-2</v>
      </c>
      <c r="C25" s="65"/>
      <c r="D25" s="470">
        <v>8.9700000000000002E-2</v>
      </c>
      <c r="E25" s="65"/>
      <c r="F25" s="65">
        <v>8.4900000000000003E-2</v>
      </c>
      <c r="G25" s="65"/>
      <c r="H25" s="65">
        <v>8.0799999999999997E-2</v>
      </c>
      <c r="I25" s="65"/>
      <c r="J25" s="65">
        <v>7.7700000000000005E-2</v>
      </c>
      <c r="K25" s="65"/>
      <c r="L25" s="65">
        <v>7.3599999999999999E-2</v>
      </c>
      <c r="M25" s="65"/>
      <c r="N25" s="65">
        <v>6.8400000000000002E-2</v>
      </c>
      <c r="O25" s="65"/>
      <c r="P25" s="65">
        <v>6.5000000000000002E-2</v>
      </c>
      <c r="Q25" s="65"/>
      <c r="R25" s="65">
        <v>6.1199999999999997E-2</v>
      </c>
      <c r="S25" s="65"/>
      <c r="T25" s="65">
        <f ca="1">+'COMP Act to Prior'!D25</f>
        <v>1.84E-2</v>
      </c>
      <c r="V25" s="76" t="s">
        <v>1159</v>
      </c>
      <c r="W25" s="76" t="s">
        <v>1160</v>
      </c>
    </row>
    <row r="26" spans="1:23" s="66" customFormat="1" ht="4.5" customHeight="1">
      <c r="A26" s="322"/>
      <c r="B26" s="992"/>
      <c r="C26" s="322"/>
      <c r="D26" s="992"/>
      <c r="E26" s="322"/>
      <c r="F26" s="301"/>
      <c r="G26" s="322"/>
      <c r="H26" s="301"/>
      <c r="I26" s="322"/>
      <c r="J26" s="301"/>
      <c r="K26" s="322"/>
      <c r="L26" s="301"/>
      <c r="M26" s="322"/>
      <c r="N26" s="301"/>
      <c r="O26" s="322"/>
      <c r="P26" s="301"/>
      <c r="Q26" s="322"/>
      <c r="R26" s="301"/>
      <c r="S26" s="322"/>
      <c r="T26" s="301"/>
      <c r="U26" s="322"/>
      <c r="V26" s="322"/>
      <c r="W26" s="322"/>
    </row>
    <row r="27" spans="1:23" ht="4.5" customHeight="1">
      <c r="A27" s="76"/>
      <c r="B27" s="989"/>
      <c r="C27" s="76"/>
      <c r="D27" s="989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</row>
    <row r="28" spans="1:23">
      <c r="A28" s="76" t="s">
        <v>1065</v>
      </c>
      <c r="B28" s="993">
        <v>84075.414849999914</v>
      </c>
      <c r="C28" s="303"/>
      <c r="D28" s="993">
        <v>81704.028350000066</v>
      </c>
      <c r="E28" s="303"/>
      <c r="F28" s="433">
        <v>79764.021240000031</v>
      </c>
      <c r="G28" s="303"/>
      <c r="H28" s="433">
        <v>77971.02151000002</v>
      </c>
      <c r="I28" s="303"/>
      <c r="J28" s="433">
        <v>77119.931708079981</v>
      </c>
      <c r="K28" s="303"/>
      <c r="L28" s="433">
        <v>75673.97136808002</v>
      </c>
      <c r="M28" s="303"/>
      <c r="N28" s="433">
        <v>74303.477988080092</v>
      </c>
      <c r="O28" s="303"/>
      <c r="P28" s="433">
        <v>73414.264916160027</v>
      </c>
      <c r="Q28" s="303"/>
      <c r="R28" s="433">
        <v>72271.131236160087</v>
      </c>
      <c r="S28" s="303"/>
      <c r="T28" s="433">
        <f ca="1">+'COMP Act to Prior'!D28</f>
        <v>76241.100000000006</v>
      </c>
      <c r="U28" s="76"/>
      <c r="V28" s="76"/>
      <c r="W28" s="76"/>
    </row>
    <row r="29" spans="1:23">
      <c r="A29" s="76" t="s">
        <v>1066</v>
      </c>
      <c r="B29" s="994">
        <v>16647.994719999999</v>
      </c>
      <c r="C29" s="303"/>
      <c r="D29" s="994">
        <v>15988.296700000001</v>
      </c>
      <c r="E29" s="303"/>
      <c r="F29" s="434">
        <v>15470.965166669772</v>
      </c>
      <c r="G29" s="303"/>
      <c r="H29" s="434">
        <v>14768.205895717656</v>
      </c>
      <c r="I29" s="303"/>
      <c r="J29" s="434">
        <v>14479.800064890132</v>
      </c>
      <c r="K29" s="303"/>
      <c r="L29" s="434">
        <v>14021.770864407472</v>
      </c>
      <c r="M29" s="303"/>
      <c r="N29" s="434">
        <v>13974.840713012898</v>
      </c>
      <c r="O29" s="303"/>
      <c r="P29" s="434">
        <v>13708.760079941632</v>
      </c>
      <c r="Q29" s="303"/>
      <c r="R29" s="434">
        <v>13379.732991519668</v>
      </c>
      <c r="S29" s="303"/>
      <c r="T29" s="434">
        <f ca="1">+'COMP Act to Prior'!D29</f>
        <v>6057.0999999999985</v>
      </c>
      <c r="U29" s="76"/>
      <c r="V29" s="76"/>
      <c r="W29" s="76"/>
    </row>
    <row r="30" spans="1:23">
      <c r="A30" s="976" t="s">
        <v>1067</v>
      </c>
      <c r="B30" s="987">
        <v>0</v>
      </c>
      <c r="C30" s="190"/>
      <c r="D30" s="987">
        <v>0</v>
      </c>
      <c r="E30" s="190"/>
      <c r="F30" s="191">
        <v>0</v>
      </c>
      <c r="G30" s="190"/>
      <c r="H30" s="191">
        <v>0</v>
      </c>
      <c r="I30" s="190"/>
      <c r="J30" s="191">
        <v>0</v>
      </c>
      <c r="K30" s="190"/>
      <c r="L30" s="191">
        <v>0</v>
      </c>
      <c r="M30" s="190"/>
      <c r="N30" s="191">
        <v>0</v>
      </c>
      <c r="O30" s="190"/>
      <c r="P30" s="191">
        <v>0</v>
      </c>
      <c r="Q30" s="190"/>
      <c r="R30" s="191">
        <v>0</v>
      </c>
      <c r="S30" s="190"/>
      <c r="T30" s="191">
        <f>+'COMP Act to Prior'!D30</f>
        <v>0</v>
      </c>
      <c r="U30" s="76"/>
      <c r="V30" s="76"/>
      <c r="W30" s="76"/>
    </row>
    <row r="31" spans="1:23">
      <c r="A31" s="300" t="s">
        <v>1068</v>
      </c>
      <c r="B31" s="987">
        <v>16647.994719999999</v>
      </c>
      <c r="C31" s="190"/>
      <c r="D31" s="987">
        <v>15988.296700000001</v>
      </c>
      <c r="E31" s="190"/>
      <c r="F31" s="191">
        <v>15470.965166669772</v>
      </c>
      <c r="G31" s="190"/>
      <c r="H31" s="191">
        <v>14768.205895717656</v>
      </c>
      <c r="I31" s="190"/>
      <c r="J31" s="191">
        <v>14479.800064890132</v>
      </c>
      <c r="K31" s="190"/>
      <c r="L31" s="191">
        <v>14021.770864407472</v>
      </c>
      <c r="M31" s="190"/>
      <c r="N31" s="191">
        <v>13974.840713012898</v>
      </c>
      <c r="O31" s="190"/>
      <c r="P31" s="191">
        <v>13708.760079941632</v>
      </c>
      <c r="Q31" s="190"/>
      <c r="R31" s="191">
        <v>13379.732991519668</v>
      </c>
      <c r="S31" s="190"/>
      <c r="T31" s="191">
        <f ca="1">+'COMP Act to Prior'!D31</f>
        <v>6057.0999999999985</v>
      </c>
      <c r="U31" s="76"/>
      <c r="V31" s="76"/>
      <c r="W31" s="76"/>
    </row>
    <row r="32" spans="1:23" ht="8.1" customHeight="1">
      <c r="A32" s="76"/>
      <c r="B32" s="995"/>
      <c r="C32" s="76"/>
      <c r="D32" s="995"/>
      <c r="E32" s="76"/>
      <c r="F32" s="302"/>
      <c r="G32" s="76"/>
      <c r="H32" s="302"/>
      <c r="I32" s="76"/>
      <c r="J32" s="302"/>
      <c r="K32" s="76"/>
      <c r="L32" s="302"/>
      <c r="M32" s="76"/>
      <c r="N32" s="302"/>
      <c r="O32" s="76"/>
      <c r="P32" s="302"/>
      <c r="Q32" s="76"/>
      <c r="R32" s="302"/>
      <c r="S32" s="76"/>
      <c r="T32" s="302"/>
      <c r="U32" s="76"/>
      <c r="V32" s="76"/>
      <c r="W32" s="76"/>
    </row>
    <row r="33" spans="1:23">
      <c r="A33" s="76" t="s">
        <v>1069</v>
      </c>
      <c r="B33" s="987">
        <v>67427.420129999911</v>
      </c>
      <c r="C33" s="303"/>
      <c r="D33" s="987">
        <v>65715.73165000006</v>
      </c>
      <c r="E33" s="303"/>
      <c r="F33" s="191">
        <v>64293.056073330255</v>
      </c>
      <c r="G33" s="303"/>
      <c r="H33" s="191">
        <v>63202.815614282365</v>
      </c>
      <c r="I33" s="303"/>
      <c r="J33" s="191">
        <v>62640.131643189845</v>
      </c>
      <c r="K33" s="303"/>
      <c r="L33" s="191">
        <v>61652.200503672546</v>
      </c>
      <c r="M33" s="303"/>
      <c r="N33" s="191">
        <v>60328.637275067194</v>
      </c>
      <c r="O33" s="303"/>
      <c r="P33" s="191">
        <v>59705.504836218395</v>
      </c>
      <c r="Q33" s="303"/>
      <c r="R33" s="191">
        <v>58891.398244640419</v>
      </c>
      <c r="S33" s="303"/>
      <c r="T33" s="191">
        <f ca="1">+'COMP Act to Prior'!D33</f>
        <v>70184</v>
      </c>
      <c r="U33" s="76"/>
      <c r="V33" s="76"/>
      <c r="W33" s="76"/>
    </row>
    <row r="34" spans="1:23">
      <c r="A34" s="76"/>
      <c r="B34" s="996"/>
      <c r="C34" s="303"/>
      <c r="D34" s="996"/>
      <c r="E34" s="303"/>
      <c r="F34" s="190"/>
      <c r="G34" s="303"/>
      <c r="H34" s="190"/>
      <c r="I34" s="303"/>
      <c r="J34" s="190"/>
      <c r="K34" s="303"/>
      <c r="L34" s="190"/>
      <c r="M34" s="303"/>
      <c r="N34" s="190"/>
      <c r="O34" s="303"/>
      <c r="P34" s="190"/>
      <c r="Q34" s="303"/>
      <c r="R34" s="190"/>
      <c r="S34" s="303"/>
      <c r="T34" s="190"/>
      <c r="U34" s="76"/>
      <c r="V34" s="76"/>
      <c r="W34" s="76"/>
    </row>
    <row r="35" spans="1:23">
      <c r="A35" s="76" t="s">
        <v>1070</v>
      </c>
      <c r="B35" s="996">
        <v>0</v>
      </c>
      <c r="C35" s="303"/>
      <c r="D35" s="996">
        <v>0</v>
      </c>
      <c r="E35" s="303"/>
      <c r="F35" s="190">
        <v>0</v>
      </c>
      <c r="G35" s="303"/>
      <c r="H35" s="190">
        <v>0</v>
      </c>
      <c r="I35" s="303"/>
      <c r="J35" s="190">
        <v>0</v>
      </c>
      <c r="K35" s="303"/>
      <c r="L35" s="190">
        <v>0</v>
      </c>
      <c r="M35" s="303"/>
      <c r="N35" s="190">
        <v>0</v>
      </c>
      <c r="O35" s="303"/>
      <c r="P35" s="190">
        <v>0</v>
      </c>
      <c r="Q35" s="303"/>
      <c r="R35" s="190">
        <v>0</v>
      </c>
      <c r="S35" s="303"/>
      <c r="T35" s="190">
        <f>+'COMP Act to Prior'!D35</f>
        <v>0</v>
      </c>
      <c r="U35" s="76"/>
      <c r="V35" s="76"/>
      <c r="W35" s="76"/>
    </row>
    <row r="36" spans="1:23">
      <c r="A36" s="976" t="s">
        <v>1071</v>
      </c>
      <c r="B36" s="987">
        <v>-8908.3388383027141</v>
      </c>
      <c r="C36" s="76"/>
      <c r="D36" s="987">
        <v>-9147.842233165029</v>
      </c>
      <c r="E36" s="76"/>
      <c r="F36" s="191">
        <v>-9390.2975042249345</v>
      </c>
      <c r="G36" s="76"/>
      <c r="H36" s="191">
        <v>-9740.8395097481934</v>
      </c>
      <c r="I36" s="76"/>
      <c r="J36" s="191">
        <v>-10008.475750152371</v>
      </c>
      <c r="K36" s="76"/>
      <c r="L36" s="191">
        <v>-10276.165549431937</v>
      </c>
      <c r="M36" s="76"/>
      <c r="N36" s="191">
        <v>-10547.920032962063</v>
      </c>
      <c r="O36" s="76"/>
      <c r="P36" s="191">
        <v>-10857.218879655087</v>
      </c>
      <c r="Q36" s="76"/>
      <c r="R36" s="191">
        <v>-11129.421447021965</v>
      </c>
      <c r="S36" s="76"/>
      <c r="T36" s="191">
        <f ca="1">+'COMP Act to Prior'!D36</f>
        <v>2154.711039144227</v>
      </c>
      <c r="U36" s="76"/>
      <c r="V36" s="76"/>
      <c r="W36" s="76"/>
    </row>
    <row r="37" spans="1:23" s="52" customFormat="1" ht="15.75">
      <c r="A37" s="52" t="s">
        <v>1059</v>
      </c>
      <c r="B37" s="469">
        <v>58519.081291697199</v>
      </c>
      <c r="C37" s="63"/>
      <c r="D37" s="469">
        <v>56567.889416835031</v>
      </c>
      <c r="E37" s="63"/>
      <c r="F37" s="62">
        <v>54902.758569105325</v>
      </c>
      <c r="G37" s="63"/>
      <c r="H37" s="62">
        <v>53461.976104534173</v>
      </c>
      <c r="I37" s="63"/>
      <c r="J37" s="62">
        <v>52631.655893037474</v>
      </c>
      <c r="K37" s="63"/>
      <c r="L37" s="62">
        <v>51376.034954240611</v>
      </c>
      <c r="M37" s="63"/>
      <c r="N37" s="62">
        <v>49780.717242105129</v>
      </c>
      <c r="O37" s="63"/>
      <c r="P37" s="62">
        <v>48848.285956563312</v>
      </c>
      <c r="Q37" s="63"/>
      <c r="R37" s="62">
        <v>47761.976797618452</v>
      </c>
      <c r="S37" s="63"/>
      <c r="T37" s="62">
        <f ca="1">+'COMP Act to Prior'!D37</f>
        <v>72338.711039144226</v>
      </c>
    </row>
    <row r="38" spans="1:23" s="66" customFormat="1" ht="14.1" customHeight="1">
      <c r="A38" s="322"/>
      <c r="B38" s="471"/>
      <c r="C38" s="327"/>
      <c r="D38" s="471"/>
      <c r="E38" s="327"/>
      <c r="F38" s="69"/>
      <c r="G38" s="327"/>
      <c r="H38" s="69"/>
      <c r="I38" s="327"/>
      <c r="J38" s="69"/>
      <c r="K38" s="327"/>
      <c r="L38" s="69"/>
      <c r="M38" s="327"/>
      <c r="N38" s="69"/>
      <c r="O38" s="327"/>
      <c r="P38" s="69"/>
      <c r="Q38" s="327"/>
      <c r="R38" s="69"/>
      <c r="S38" s="327"/>
      <c r="T38" s="69"/>
      <c r="U38" s="322"/>
      <c r="V38" s="322"/>
      <c r="W38" s="322"/>
    </row>
    <row r="39" spans="1:23" ht="4.5" customHeight="1">
      <c r="A39" s="76"/>
      <c r="B39" s="472"/>
      <c r="C39" s="328"/>
      <c r="D39" s="472"/>
      <c r="E39" s="328"/>
      <c r="F39" s="71"/>
      <c r="G39" s="328"/>
      <c r="H39" s="71"/>
      <c r="I39" s="328"/>
      <c r="J39" s="71"/>
      <c r="K39" s="328"/>
      <c r="L39" s="71"/>
      <c r="M39" s="328"/>
      <c r="N39" s="71"/>
      <c r="O39" s="328"/>
      <c r="P39" s="71"/>
      <c r="Q39" s="328"/>
      <c r="R39" s="71"/>
      <c r="S39" s="328"/>
      <c r="T39" s="71"/>
      <c r="U39" s="76"/>
      <c r="V39" s="76"/>
      <c r="W39" s="76"/>
    </row>
    <row r="40" spans="1:23" ht="15.75">
      <c r="A40" s="55" t="s">
        <v>1073</v>
      </c>
      <c r="B40" s="995"/>
      <c r="C40" s="190"/>
      <c r="D40" s="995"/>
      <c r="E40" s="190"/>
      <c r="F40" s="302"/>
      <c r="G40" s="190"/>
      <c r="H40" s="302"/>
      <c r="I40" s="190"/>
      <c r="J40" s="302"/>
      <c r="K40" s="190"/>
      <c r="L40" s="302"/>
      <c r="M40" s="190"/>
      <c r="N40" s="302"/>
      <c r="O40" s="190"/>
      <c r="P40" s="302"/>
      <c r="Q40" s="190"/>
      <c r="R40" s="302"/>
      <c r="S40" s="190"/>
      <c r="T40" s="302"/>
      <c r="U40" s="76"/>
      <c r="V40" s="76"/>
      <c r="W40" s="76"/>
    </row>
    <row r="41" spans="1:23">
      <c r="A41" s="76" t="s">
        <v>1074</v>
      </c>
      <c r="B41" s="997">
        <v>-6.8215752617106773E-4</v>
      </c>
      <c r="C41" s="298"/>
      <c r="D41" s="997">
        <v>-4.8189626249950379E-4</v>
      </c>
      <c r="E41" s="298"/>
      <c r="F41" s="192">
        <v>0</v>
      </c>
      <c r="G41" s="298"/>
      <c r="H41" s="192">
        <v>0</v>
      </c>
      <c r="I41" s="298"/>
      <c r="J41" s="192">
        <v>0</v>
      </c>
      <c r="K41" s="298"/>
      <c r="L41" s="192">
        <v>0</v>
      </c>
      <c r="M41" s="298"/>
      <c r="N41" s="192">
        <v>0</v>
      </c>
      <c r="O41" s="298"/>
      <c r="P41" s="192">
        <v>0</v>
      </c>
      <c r="Q41" s="298"/>
      <c r="R41" s="192">
        <v>0</v>
      </c>
      <c r="S41" s="298"/>
      <c r="T41" s="192">
        <f ca="1">+'COMP Act to Prior'!D41</f>
        <v>0</v>
      </c>
      <c r="U41" s="76"/>
      <c r="V41" s="76"/>
      <c r="W41" s="76"/>
    </row>
    <row r="42" spans="1:23">
      <c r="A42" s="76" t="s">
        <v>1075</v>
      </c>
      <c r="B42" s="997">
        <v>30.851372110759712</v>
      </c>
      <c r="C42" s="298"/>
      <c r="D42" s="997">
        <v>31.179314367791171</v>
      </c>
      <c r="E42" s="298"/>
      <c r="F42" s="192">
        <v>31.495297147013652</v>
      </c>
      <c r="G42" s="298"/>
      <c r="H42" s="192">
        <v>31.780643228658121</v>
      </c>
      <c r="I42" s="298"/>
      <c r="J42" s="192">
        <v>32.07164786146727</v>
      </c>
      <c r="K42" s="298"/>
      <c r="L42" s="192">
        <v>32.374358407874311</v>
      </c>
      <c r="M42" s="298"/>
      <c r="N42" s="192">
        <v>32.688965006906486</v>
      </c>
      <c r="O42" s="298"/>
      <c r="P42" s="192">
        <v>33.001340793440349</v>
      </c>
      <c r="Q42" s="298"/>
      <c r="R42" s="192">
        <v>33.299778594883961</v>
      </c>
      <c r="S42" s="298"/>
      <c r="T42" s="192">
        <f ca="1">+'COMP Act to Prior'!D42</f>
        <v>32.303351541452763</v>
      </c>
      <c r="U42" s="76"/>
      <c r="V42" s="76" t="s">
        <v>1161</v>
      </c>
      <c r="W42" s="76" t="s">
        <v>1162</v>
      </c>
    </row>
    <row r="43" spans="1:23">
      <c r="A43" s="76" t="s">
        <v>1076</v>
      </c>
      <c r="B43" s="997">
        <v>-314.07090351903634</v>
      </c>
      <c r="C43" s="298"/>
      <c r="D43" s="997">
        <v>-292.78910790087048</v>
      </c>
      <c r="E43" s="298"/>
      <c r="F43" s="192">
        <v>-262.24084080900604</v>
      </c>
      <c r="G43" s="298"/>
      <c r="H43" s="192">
        <v>-355.44436036668657</v>
      </c>
      <c r="I43" s="298"/>
      <c r="J43" s="192">
        <v>-369.14033338070811</v>
      </c>
      <c r="K43" s="298"/>
      <c r="L43" s="192">
        <v>-387.31701225808712</v>
      </c>
      <c r="M43" s="298"/>
      <c r="N43" s="192">
        <v>-402.44202909346075</v>
      </c>
      <c r="O43" s="298"/>
      <c r="P43" s="192">
        <v>-407.46838511430417</v>
      </c>
      <c r="Q43" s="298"/>
      <c r="R43" s="192">
        <v>-420.56641903206139</v>
      </c>
      <c r="S43" s="298"/>
      <c r="T43" s="192">
        <f ca="1">+'COMP Act to Prior'!D43</f>
        <v>-325.33788507723699</v>
      </c>
      <c r="U43" s="76"/>
      <c r="V43" s="76"/>
      <c r="W43" s="76"/>
    </row>
    <row r="44" spans="1:23">
      <c r="A44" s="76" t="s">
        <v>1077</v>
      </c>
      <c r="B44" s="997">
        <v>0</v>
      </c>
      <c r="C44" s="298"/>
      <c r="D44" s="997">
        <v>0</v>
      </c>
      <c r="E44" s="298"/>
      <c r="F44" s="192">
        <v>0</v>
      </c>
      <c r="G44" s="298"/>
      <c r="H44" s="192">
        <v>0</v>
      </c>
      <c r="I44" s="298"/>
      <c r="J44" s="192">
        <v>0</v>
      </c>
      <c r="K44" s="298"/>
      <c r="L44" s="192">
        <v>0</v>
      </c>
      <c r="M44" s="298"/>
      <c r="N44" s="192">
        <v>0</v>
      </c>
      <c r="O44" s="298"/>
      <c r="P44" s="192">
        <v>0</v>
      </c>
      <c r="Q44" s="298"/>
      <c r="R44" s="192">
        <v>0</v>
      </c>
      <c r="S44" s="298"/>
      <c r="T44" s="192">
        <f>+'COMP Act to Prior'!D44</f>
        <v>3084</v>
      </c>
      <c r="U44" s="76"/>
      <c r="V44" s="76"/>
      <c r="W44" s="76"/>
    </row>
    <row r="45" spans="1:23">
      <c r="A45" s="76" t="s">
        <v>1078</v>
      </c>
      <c r="B45" s="997">
        <v>0</v>
      </c>
      <c r="C45" s="298"/>
      <c r="D45" s="997">
        <v>0</v>
      </c>
      <c r="E45" s="298"/>
      <c r="F45" s="192">
        <v>0</v>
      </c>
      <c r="G45" s="298"/>
      <c r="H45" s="192">
        <v>0</v>
      </c>
      <c r="I45" s="298"/>
      <c r="J45" s="192">
        <v>0</v>
      </c>
      <c r="K45" s="298"/>
      <c r="L45" s="192">
        <v>0</v>
      </c>
      <c r="M45" s="298"/>
      <c r="N45" s="192">
        <v>0</v>
      </c>
      <c r="O45" s="298"/>
      <c r="P45" s="192">
        <v>0</v>
      </c>
      <c r="Q45" s="298"/>
      <c r="R45" s="192">
        <v>0</v>
      </c>
      <c r="S45" s="298"/>
      <c r="T45" s="192">
        <f ca="1">+'COMP Act to Prior'!D45</f>
        <v>0</v>
      </c>
      <c r="U45" s="76"/>
      <c r="V45" s="76"/>
      <c r="W45" s="76"/>
    </row>
    <row r="46" spans="1:23">
      <c r="A46" s="76" t="s">
        <v>1079</v>
      </c>
      <c r="B46" s="997">
        <v>11.888604361326403</v>
      </c>
      <c r="C46" s="298"/>
      <c r="D46" s="997">
        <v>10.172703041533198</v>
      </c>
      <c r="E46" s="298"/>
      <c r="F46" s="192">
        <v>9.5460454520831988</v>
      </c>
      <c r="G46" s="298"/>
      <c r="H46" s="192">
        <v>7.7182484852217996</v>
      </c>
      <c r="I46" s="298"/>
      <c r="J46" s="192">
        <v>8.6951270942172005</v>
      </c>
      <c r="K46" s="298"/>
      <c r="L46" s="192">
        <v>11.338561653267199</v>
      </c>
      <c r="M46" s="298"/>
      <c r="N46" s="192">
        <v>12.215995495767199</v>
      </c>
      <c r="O46" s="298"/>
      <c r="P46" s="192">
        <v>12.569044682717198</v>
      </c>
      <c r="Q46" s="298"/>
      <c r="R46" s="192">
        <v>12.809820076917202</v>
      </c>
      <c r="S46" s="298"/>
      <c r="T46" s="192">
        <f ca="1">+'COMP Act to Prior'!D46</f>
        <v>13.751451000000001</v>
      </c>
      <c r="U46" s="76"/>
      <c r="V46" s="76"/>
      <c r="W46" s="76"/>
    </row>
    <row r="47" spans="1:23">
      <c r="A47" s="76" t="s">
        <v>1080</v>
      </c>
      <c r="B47" s="997">
        <v>67.325917638923997</v>
      </c>
      <c r="C47" s="298"/>
      <c r="D47" s="997">
        <v>65.345974021163997</v>
      </c>
      <c r="E47" s="298"/>
      <c r="F47" s="192">
        <v>53.406156205144001</v>
      </c>
      <c r="G47" s="298"/>
      <c r="H47" s="192">
        <v>54.467575659211988</v>
      </c>
      <c r="I47" s="298"/>
      <c r="J47" s="192">
        <v>54.758778025470008</v>
      </c>
      <c r="K47" s="298"/>
      <c r="L47" s="192">
        <v>57.248984331302012</v>
      </c>
      <c r="M47" s="298"/>
      <c r="N47" s="192">
        <v>52.637373202753999</v>
      </c>
      <c r="O47" s="298"/>
      <c r="P47" s="192">
        <v>61.195285494422002</v>
      </c>
      <c r="Q47" s="298"/>
      <c r="R47" s="192">
        <v>64.529247278838</v>
      </c>
      <c r="S47" s="298"/>
      <c r="T47" s="192">
        <f ca="1">+'COMP Act to Prior'!D47</f>
        <v>59.108476990500002</v>
      </c>
      <c r="U47" s="76"/>
      <c r="V47" s="76"/>
      <c r="W47" s="76"/>
    </row>
    <row r="48" spans="1:23">
      <c r="A48" s="76" t="s">
        <v>1081</v>
      </c>
      <c r="B48" s="997">
        <v>-142.67471294277129</v>
      </c>
      <c r="C48" s="298"/>
      <c r="D48" s="997">
        <v>-132.34483715833267</v>
      </c>
      <c r="E48" s="298"/>
      <c r="F48" s="192">
        <v>-120.65193866036498</v>
      </c>
      <c r="G48" s="298"/>
      <c r="H48" s="192">
        <v>-109.95834107432529</v>
      </c>
      <c r="I48" s="298"/>
      <c r="J48" s="192">
        <v>-100.03003939875634</v>
      </c>
      <c r="K48" s="298"/>
      <c r="L48" s="192">
        <v>-90.511818222948932</v>
      </c>
      <c r="M48" s="298"/>
      <c r="N48" s="192">
        <v>-75.210119243729423</v>
      </c>
      <c r="O48" s="298"/>
      <c r="P48" s="192">
        <v>-65.478309914153215</v>
      </c>
      <c r="Q48" s="298"/>
      <c r="R48" s="192">
        <v>-55.763822826895193</v>
      </c>
      <c r="S48" s="298"/>
      <c r="T48" s="192">
        <f ca="1">+'COMP Act to Prior'!D48</f>
        <v>0</v>
      </c>
      <c r="U48" s="76"/>
      <c r="V48" s="76"/>
      <c r="W48" s="76"/>
    </row>
    <row r="49" spans="1:20">
      <c r="A49" s="76" t="s">
        <v>1082</v>
      </c>
      <c r="B49" s="997">
        <v>23.930496307758538</v>
      </c>
      <c r="C49" s="298"/>
      <c r="D49" s="997">
        <v>32.704933905048797</v>
      </c>
      <c r="E49" s="298"/>
      <c r="F49" s="192">
        <v>32.704933905048804</v>
      </c>
      <c r="G49" s="298"/>
      <c r="H49" s="192">
        <v>32.704933905048804</v>
      </c>
      <c r="I49" s="298"/>
      <c r="J49" s="192">
        <v>32.704933905048804</v>
      </c>
      <c r="K49" s="298"/>
      <c r="L49" s="192">
        <v>32.704933905048804</v>
      </c>
      <c r="M49" s="298"/>
      <c r="N49" s="192">
        <v>32.70493390504879</v>
      </c>
      <c r="O49" s="298"/>
      <c r="P49" s="192">
        <v>32.70493390504879</v>
      </c>
      <c r="Q49" s="298"/>
      <c r="R49" s="192">
        <v>32.70493390504879</v>
      </c>
      <c r="S49" s="298"/>
      <c r="T49" s="192">
        <f ca="1">+'COMP Act to Prior'!D49</f>
        <v>28.703727937785594</v>
      </c>
    </row>
    <row r="50" spans="1:20">
      <c r="A50" s="76" t="s">
        <v>1083</v>
      </c>
      <c r="B50" s="997">
        <v>4.9765506498192122</v>
      </c>
      <c r="C50" s="298"/>
      <c r="D50" s="997">
        <v>4.8218791858692498</v>
      </c>
      <c r="E50" s="298"/>
      <c r="F50" s="192">
        <v>5.1510748148983998</v>
      </c>
      <c r="G50" s="298"/>
      <c r="H50" s="192">
        <v>5.1510748148983998</v>
      </c>
      <c r="I50" s="298"/>
      <c r="J50" s="192">
        <v>5.1510748148983998</v>
      </c>
      <c r="K50" s="298"/>
      <c r="L50" s="192">
        <v>5.1510748148983998</v>
      </c>
      <c r="M50" s="298"/>
      <c r="N50" s="192">
        <v>5.1510748148983998</v>
      </c>
      <c r="O50" s="298"/>
      <c r="P50" s="192">
        <v>5.1510748148983998</v>
      </c>
      <c r="Q50" s="298"/>
      <c r="R50" s="192">
        <v>5.1510748148983998</v>
      </c>
      <c r="S50" s="298"/>
      <c r="T50" s="192">
        <f ca="1">+'COMP Act to Prior'!D50</f>
        <v>4.4270182972260006</v>
      </c>
    </row>
    <row r="51" spans="1:20">
      <c r="A51" s="76" t="s">
        <v>1084</v>
      </c>
      <c r="B51" s="997">
        <v>60.114596460999998</v>
      </c>
      <c r="C51" s="298"/>
      <c r="D51" s="997">
        <v>60.114596460999998</v>
      </c>
      <c r="E51" s="298"/>
      <c r="F51" s="192">
        <v>60.114596460999998</v>
      </c>
      <c r="G51" s="298"/>
      <c r="H51" s="192">
        <v>60.114596460999998</v>
      </c>
      <c r="I51" s="298"/>
      <c r="J51" s="192">
        <v>60.114596460999998</v>
      </c>
      <c r="K51" s="298"/>
      <c r="L51" s="192">
        <v>60.114596460999998</v>
      </c>
      <c r="M51" s="298"/>
      <c r="N51" s="192">
        <v>60.114596460999998</v>
      </c>
      <c r="O51" s="298"/>
      <c r="P51" s="192">
        <v>60.114596460999998</v>
      </c>
      <c r="Q51" s="298"/>
      <c r="R51" s="192">
        <v>60.114596460999998</v>
      </c>
      <c r="S51" s="298"/>
      <c r="T51" s="192">
        <f>+'COMP Act to Prior'!D51</f>
        <v>0</v>
      </c>
    </row>
    <row r="52" spans="1:20">
      <c r="A52" s="76" t="s">
        <v>1085</v>
      </c>
      <c r="B52" s="997">
        <v>0</v>
      </c>
      <c r="C52" s="298"/>
      <c r="D52" s="997">
        <v>0</v>
      </c>
      <c r="E52" s="298"/>
      <c r="F52" s="192">
        <v>0</v>
      </c>
      <c r="G52" s="298"/>
      <c r="H52" s="192">
        <v>0</v>
      </c>
      <c r="I52" s="298"/>
      <c r="J52" s="192">
        <v>0</v>
      </c>
      <c r="K52" s="298"/>
      <c r="L52" s="192">
        <v>0</v>
      </c>
      <c r="M52" s="298"/>
      <c r="N52" s="192">
        <v>0</v>
      </c>
      <c r="O52" s="298"/>
      <c r="P52" s="192">
        <v>0</v>
      </c>
      <c r="Q52" s="298"/>
      <c r="R52" s="192">
        <v>0</v>
      </c>
      <c r="S52" s="298"/>
      <c r="T52" s="192">
        <f>+'COMP Act to Prior'!D52</f>
        <v>0</v>
      </c>
    </row>
    <row r="53" spans="1:20">
      <c r="A53" s="200" t="s">
        <v>65</v>
      </c>
      <c r="B53" s="997">
        <v>-77.900848430367986</v>
      </c>
      <c r="C53" s="298"/>
      <c r="D53" s="997">
        <v>-77.900848430367986</v>
      </c>
      <c r="E53" s="298"/>
      <c r="F53" s="192">
        <v>-77.900848430367986</v>
      </c>
      <c r="G53" s="298"/>
      <c r="H53" s="192">
        <v>-77.900848430367986</v>
      </c>
      <c r="I53" s="298"/>
      <c r="J53" s="192">
        <v>-77.900848430367986</v>
      </c>
      <c r="K53" s="298"/>
      <c r="L53" s="192">
        <v>-77.900848430367986</v>
      </c>
      <c r="M53" s="298"/>
      <c r="N53" s="192">
        <v>-77.900848430367986</v>
      </c>
      <c r="O53" s="298"/>
      <c r="P53" s="192">
        <v>-77.900848430367986</v>
      </c>
      <c r="Q53" s="298"/>
      <c r="R53" s="192">
        <v>-77.900848430367986</v>
      </c>
      <c r="S53" s="298"/>
      <c r="T53" s="192">
        <f ca="1">+'COMP Act to Prior'!D53</f>
        <v>-87.940603800000005</v>
      </c>
    </row>
    <row r="54" spans="1:20">
      <c r="A54" s="76" t="s">
        <v>1086</v>
      </c>
      <c r="B54" s="997">
        <v>0</v>
      </c>
      <c r="C54" s="298"/>
      <c r="D54" s="997">
        <v>0</v>
      </c>
      <c r="E54" s="298"/>
      <c r="F54" s="192">
        <v>0</v>
      </c>
      <c r="G54" s="298"/>
      <c r="H54" s="192">
        <v>0</v>
      </c>
      <c r="I54" s="298"/>
      <c r="J54" s="192">
        <v>0</v>
      </c>
      <c r="K54" s="298"/>
      <c r="L54" s="192">
        <v>0</v>
      </c>
      <c r="M54" s="298"/>
      <c r="N54" s="192">
        <v>0</v>
      </c>
      <c r="O54" s="298"/>
      <c r="P54" s="192">
        <v>0</v>
      </c>
      <c r="Q54" s="298"/>
      <c r="R54" s="192">
        <v>0</v>
      </c>
      <c r="S54" s="298"/>
      <c r="T54" s="192">
        <f>+'COMP Act to Prior'!D54</f>
        <v>0</v>
      </c>
    </row>
    <row r="55" spans="1:20">
      <c r="A55" s="76" t="s">
        <v>66</v>
      </c>
      <c r="B55" s="997">
        <v>7.5478180042409804E-4</v>
      </c>
      <c r="C55" s="298"/>
      <c r="D55" s="997">
        <v>7.5478179860510863E-4</v>
      </c>
      <c r="E55" s="298"/>
      <c r="F55" s="192">
        <v>2.5662581538199447E-4</v>
      </c>
      <c r="G55" s="298"/>
      <c r="H55" s="192">
        <v>4.8306034932465991E-4</v>
      </c>
      <c r="I55" s="298"/>
      <c r="J55" s="192">
        <v>1.5095635899342597E-4</v>
      </c>
      <c r="K55" s="298"/>
      <c r="L55" s="192">
        <v>4.528690778897726E-4</v>
      </c>
      <c r="M55" s="298"/>
      <c r="N55" s="192">
        <v>2.1888671926717507E-4</v>
      </c>
      <c r="O55" s="298"/>
      <c r="P55" s="192">
        <v>-4.1512998905091081E-4</v>
      </c>
      <c r="Q55" s="298"/>
      <c r="R55" s="192">
        <v>2.415301742075826E-4</v>
      </c>
      <c r="S55" s="298"/>
      <c r="T55" s="192">
        <f ca="1">+'COMP Act to Prior'!D55</f>
        <v>2.9115449990513298E-4</v>
      </c>
    </row>
    <row r="56" spans="1:20">
      <c r="A56" s="76" t="s">
        <v>67</v>
      </c>
      <c r="B56" s="997">
        <v>-8572.7799835644</v>
      </c>
      <c r="C56" s="298"/>
      <c r="D56" s="997">
        <v>-8849.1471135434003</v>
      </c>
      <c r="E56" s="298"/>
      <c r="F56" s="192">
        <v>-9121.9222369361996</v>
      </c>
      <c r="G56" s="298"/>
      <c r="H56" s="192">
        <v>-9389.4735154912014</v>
      </c>
      <c r="I56" s="298"/>
      <c r="J56" s="192">
        <v>-9654.9008380609994</v>
      </c>
      <c r="K56" s="298"/>
      <c r="L56" s="192">
        <v>-9919.3688329630004</v>
      </c>
      <c r="M56" s="298"/>
      <c r="N56" s="192">
        <v>-10187.8801939676</v>
      </c>
      <c r="O56" s="298"/>
      <c r="P56" s="192">
        <v>-10511.1071972178</v>
      </c>
      <c r="Q56" s="298"/>
      <c r="R56" s="192">
        <v>-10783.8000493944</v>
      </c>
      <c r="S56" s="298"/>
      <c r="T56" s="192">
        <f ca="1">+'COMP Act to Prior'!D56</f>
        <v>-654.30478889999995</v>
      </c>
    </row>
    <row r="57" spans="1:20" ht="15.2" customHeight="1">
      <c r="A57" s="76" t="s">
        <v>1087</v>
      </c>
      <c r="B57" s="987">
        <v>0</v>
      </c>
      <c r="C57" s="76"/>
      <c r="D57" s="987">
        <v>0</v>
      </c>
      <c r="E57" s="76"/>
      <c r="F57" s="191">
        <v>0</v>
      </c>
      <c r="G57" s="76"/>
      <c r="H57" s="191">
        <v>0</v>
      </c>
      <c r="I57" s="76"/>
      <c r="J57" s="191">
        <v>0</v>
      </c>
      <c r="K57" s="76"/>
      <c r="L57" s="191">
        <v>0</v>
      </c>
      <c r="M57" s="76"/>
      <c r="N57" s="191">
        <v>0</v>
      </c>
      <c r="O57" s="76"/>
      <c r="P57" s="191">
        <v>0</v>
      </c>
      <c r="Q57" s="76"/>
      <c r="R57" s="191">
        <v>0</v>
      </c>
      <c r="S57" s="76"/>
      <c r="T57" s="191">
        <f>+'COMP Act to Prior'!D57</f>
        <v>0</v>
      </c>
    </row>
    <row r="58" spans="1:20" ht="15.2" customHeight="1">
      <c r="A58" s="76" t="s">
        <v>1088</v>
      </c>
      <c r="B58" s="996">
        <v>-8908.3388383027141</v>
      </c>
      <c r="C58" s="76"/>
      <c r="D58" s="996">
        <v>-9147.842233165029</v>
      </c>
      <c r="E58" s="76"/>
      <c r="F58" s="190">
        <v>-9390.2975042249345</v>
      </c>
      <c r="G58" s="76"/>
      <c r="H58" s="190">
        <v>-9740.8395097481934</v>
      </c>
      <c r="I58" s="76"/>
      <c r="J58" s="190">
        <v>-10008.475750152371</v>
      </c>
      <c r="K58" s="76"/>
      <c r="L58" s="190">
        <v>-10276.165549431937</v>
      </c>
      <c r="M58" s="76"/>
      <c r="N58" s="190">
        <v>-10547.920032962063</v>
      </c>
      <c r="O58" s="76"/>
      <c r="P58" s="190">
        <v>-10857.218879655087</v>
      </c>
      <c r="Q58" s="76"/>
      <c r="R58" s="190">
        <v>-11129.421447021965</v>
      </c>
      <c r="S58" s="76"/>
      <c r="T58" s="190">
        <f ca="1">+'COMP Act to Prior'!D58</f>
        <v>2154.711039144227</v>
      </c>
    </row>
    <row r="59" spans="1:20" ht="15.75">
      <c r="A59" s="52"/>
      <c r="B59" s="52"/>
      <c r="C59" s="76"/>
      <c r="D59" s="52"/>
      <c r="E59" s="76"/>
      <c r="F59" s="52"/>
      <c r="G59" s="76"/>
      <c r="H59" s="52"/>
      <c r="I59" s="76"/>
      <c r="J59" s="52"/>
      <c r="K59" s="76"/>
      <c r="L59" s="52"/>
      <c r="M59" s="76"/>
      <c r="N59" s="52"/>
      <c r="O59" s="76"/>
      <c r="P59" s="52"/>
      <c r="Q59" s="76"/>
      <c r="R59" s="52"/>
      <c r="S59" s="76"/>
      <c r="T59" s="52"/>
    </row>
    <row r="60" spans="1:20" hidden="1">
      <c r="A60" s="76" t="s">
        <v>1094</v>
      </c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</row>
    <row r="61" spans="1:20" hidden="1">
      <c r="A61" s="76" t="s">
        <v>1095</v>
      </c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</row>
    <row r="62" spans="1:20">
      <c r="A62" s="300"/>
      <c r="B62" s="300"/>
      <c r="C62" s="76"/>
      <c r="D62" s="300"/>
      <c r="E62" s="76"/>
      <c r="F62" s="300"/>
      <c r="G62" s="76"/>
      <c r="H62" s="300"/>
      <c r="I62" s="76"/>
      <c r="J62" s="300"/>
      <c r="K62" s="76"/>
      <c r="L62" s="300"/>
      <c r="M62" s="76"/>
      <c r="N62" s="300"/>
      <c r="O62" s="76"/>
      <c r="P62" s="300"/>
      <c r="Q62" s="76"/>
      <c r="R62" s="300"/>
      <c r="S62" s="76"/>
      <c r="T62" s="300"/>
    </row>
    <row r="64" spans="1:20">
      <c r="A64" s="76"/>
      <c r="B64" s="432"/>
      <c r="C64" s="432"/>
      <c r="D64" s="432"/>
      <c r="E64" s="432"/>
      <c r="F64" s="432"/>
      <c r="G64" s="432"/>
      <c r="H64" s="432"/>
      <c r="I64" s="432"/>
      <c r="J64" s="432"/>
      <c r="K64" s="432"/>
      <c r="L64" s="432"/>
      <c r="M64" s="432"/>
      <c r="N64" s="432"/>
      <c r="O64" s="432"/>
      <c r="P64" s="432"/>
      <c r="Q64" s="432"/>
      <c r="R64" s="432"/>
      <c r="S64" s="432"/>
      <c r="T64" s="432"/>
    </row>
  </sheetData>
  <printOptions horizontalCentered="1"/>
  <pageMargins left="0.5" right="0.5" top="0.5" bottom="0.5" header="0.5" footer="0.25"/>
  <pageSetup scale="36" orientation="portrait" r:id="rId1"/>
  <headerFooter>
    <oddFooter>&amp;Z&amp;F</odd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  <pageSetUpPr fitToPage="1"/>
  </sheetPr>
  <dimension ref="A1:IW119"/>
  <sheetViews>
    <sheetView workbookViewId="0">
      <selection sqref="A1:N1"/>
    </sheetView>
  </sheetViews>
  <sheetFormatPr defaultColWidth="9.140625" defaultRowHeight="12.75"/>
  <cols>
    <col min="1" max="1" width="5.85546875" style="375" customWidth="1"/>
    <col min="2" max="2" width="40.140625" style="375" bestFit="1" customWidth="1"/>
    <col min="3" max="3" width="11.7109375" style="375" hidden="1" customWidth="1"/>
    <col min="4" max="7" width="14.85546875" style="375" hidden="1" customWidth="1"/>
    <col min="8" max="8" width="11.7109375" style="375" hidden="1" customWidth="1"/>
    <col min="9" max="9" width="14.85546875" style="375" hidden="1" customWidth="1"/>
    <col min="10" max="12" width="12.28515625" style="375" hidden="1" customWidth="1"/>
    <col min="13" max="13" width="14.7109375" style="375" bestFit="1" customWidth="1"/>
    <col min="14" max="14" width="14.85546875" style="375" bestFit="1" customWidth="1"/>
    <col min="15" max="17" width="12.28515625" style="375" customWidth="1"/>
    <col min="18" max="18" width="11" style="375" customWidth="1"/>
    <col min="19" max="19" width="9.140625" style="375"/>
    <col min="20" max="20" width="12.42578125" style="375" bestFit="1" customWidth="1"/>
    <col min="21" max="23" width="9.140625" style="375"/>
    <col min="24" max="24" width="21.85546875" style="375" customWidth="1"/>
    <col min="25" max="257" width="9.140625" style="375"/>
    <col min="258" max="258" width="4.7109375" style="375" customWidth="1"/>
    <col min="259" max="259" width="40.140625" style="375" bestFit="1" customWidth="1"/>
    <col min="260" max="260" width="11.28515625" style="375" customWidth="1"/>
    <col min="261" max="261" width="11.85546875" style="375" customWidth="1"/>
    <col min="262" max="262" width="5.42578125" style="375" customWidth="1"/>
    <col min="263" max="263" width="11.28515625" style="375" customWidth="1"/>
    <col min="264" max="264" width="11.85546875" style="375" customWidth="1"/>
    <col min="265" max="265" width="7.140625" style="375" customWidth="1"/>
    <col min="266" max="266" width="11.28515625" style="375" bestFit="1" customWidth="1"/>
    <col min="267" max="267" width="12.28515625" style="375" bestFit="1" customWidth="1"/>
    <col min="268" max="268" width="5.5703125" style="375" customWidth="1"/>
    <col min="269" max="269" width="11.28515625" style="375" bestFit="1" customWidth="1"/>
    <col min="270" max="270" width="14.85546875" style="375" bestFit="1" customWidth="1"/>
    <col min="271" max="271" width="12.85546875" style="375" bestFit="1" customWidth="1"/>
    <col min="272" max="272" width="11" style="375" customWidth="1"/>
    <col min="273" max="273" width="12.28515625" style="375" bestFit="1" customWidth="1"/>
    <col min="274" max="274" width="11" style="375" customWidth="1"/>
    <col min="275" max="279" width="9.140625" style="375"/>
    <col min="280" max="280" width="21.85546875" style="375" customWidth="1"/>
    <col min="281" max="513" width="9.140625" style="375"/>
    <col min="514" max="514" width="4.7109375" style="375" customWidth="1"/>
    <col min="515" max="515" width="40.140625" style="375" bestFit="1" customWidth="1"/>
    <col min="516" max="516" width="11.28515625" style="375" customWidth="1"/>
    <col min="517" max="517" width="11.85546875" style="375" customWidth="1"/>
    <col min="518" max="518" width="5.42578125" style="375" customWidth="1"/>
    <col min="519" max="519" width="11.28515625" style="375" customWidth="1"/>
    <col min="520" max="520" width="11.85546875" style="375" customWidth="1"/>
    <col min="521" max="521" width="7.140625" style="375" customWidth="1"/>
    <col min="522" max="522" width="11.28515625" style="375" bestFit="1" customWidth="1"/>
    <col min="523" max="523" width="12.28515625" style="375" bestFit="1" customWidth="1"/>
    <col min="524" max="524" width="5.5703125" style="375" customWidth="1"/>
    <col min="525" max="525" width="11.28515625" style="375" bestFit="1" customWidth="1"/>
    <col min="526" max="526" width="14.85546875" style="375" bestFit="1" customWidth="1"/>
    <col min="527" max="527" width="12.85546875" style="375" bestFit="1" customWidth="1"/>
    <col min="528" max="528" width="11" style="375" customWidth="1"/>
    <col min="529" max="529" width="12.28515625" style="375" bestFit="1" customWidth="1"/>
    <col min="530" max="530" width="11" style="375" customWidth="1"/>
    <col min="531" max="535" width="9.140625" style="375"/>
    <col min="536" max="536" width="21.85546875" style="375" customWidth="1"/>
    <col min="537" max="769" width="9.140625" style="375"/>
    <col min="770" max="770" width="4.7109375" style="375" customWidth="1"/>
    <col min="771" max="771" width="40.140625" style="375" bestFit="1" customWidth="1"/>
    <col min="772" max="772" width="11.28515625" style="375" customWidth="1"/>
    <col min="773" max="773" width="11.85546875" style="375" customWidth="1"/>
    <col min="774" max="774" width="5.42578125" style="375" customWidth="1"/>
    <col min="775" max="775" width="11.28515625" style="375" customWidth="1"/>
    <col min="776" max="776" width="11.85546875" style="375" customWidth="1"/>
    <col min="777" max="777" width="7.140625" style="375" customWidth="1"/>
    <col min="778" max="778" width="11.28515625" style="375" bestFit="1" customWidth="1"/>
    <col min="779" max="779" width="12.28515625" style="375" bestFit="1" customWidth="1"/>
    <col min="780" max="780" width="5.5703125" style="375" customWidth="1"/>
    <col min="781" max="781" width="11.28515625" style="375" bestFit="1" customWidth="1"/>
    <col min="782" max="782" width="14.85546875" style="375" bestFit="1" customWidth="1"/>
    <col min="783" max="783" width="12.85546875" style="375" bestFit="1" customWidth="1"/>
    <col min="784" max="784" width="11" style="375" customWidth="1"/>
    <col min="785" max="785" width="12.28515625" style="375" bestFit="1" customWidth="1"/>
    <col min="786" max="786" width="11" style="375" customWidth="1"/>
    <col min="787" max="791" width="9.140625" style="375"/>
    <col min="792" max="792" width="21.85546875" style="375" customWidth="1"/>
    <col min="793" max="1025" width="9.140625" style="375"/>
    <col min="1026" max="1026" width="4.7109375" style="375" customWidth="1"/>
    <col min="1027" max="1027" width="40.140625" style="375" bestFit="1" customWidth="1"/>
    <col min="1028" max="1028" width="11.28515625" style="375" customWidth="1"/>
    <col min="1029" max="1029" width="11.85546875" style="375" customWidth="1"/>
    <col min="1030" max="1030" width="5.42578125" style="375" customWidth="1"/>
    <col min="1031" max="1031" width="11.28515625" style="375" customWidth="1"/>
    <col min="1032" max="1032" width="11.85546875" style="375" customWidth="1"/>
    <col min="1033" max="1033" width="7.140625" style="375" customWidth="1"/>
    <col min="1034" max="1034" width="11.28515625" style="375" bestFit="1" customWidth="1"/>
    <col min="1035" max="1035" width="12.28515625" style="375" bestFit="1" customWidth="1"/>
    <col min="1036" max="1036" width="5.5703125" style="375" customWidth="1"/>
    <col min="1037" max="1037" width="11.28515625" style="375" bestFit="1" customWidth="1"/>
    <col min="1038" max="1038" width="14.85546875" style="375" bestFit="1" customWidth="1"/>
    <col min="1039" max="1039" width="12.85546875" style="375" bestFit="1" customWidth="1"/>
    <col min="1040" max="1040" width="11" style="375" customWidth="1"/>
    <col min="1041" max="1041" width="12.28515625" style="375" bestFit="1" customWidth="1"/>
    <col min="1042" max="1042" width="11" style="375" customWidth="1"/>
    <col min="1043" max="1047" width="9.140625" style="375"/>
    <col min="1048" max="1048" width="21.85546875" style="375" customWidth="1"/>
    <col min="1049" max="1281" width="9.140625" style="375"/>
    <col min="1282" max="1282" width="4.7109375" style="375" customWidth="1"/>
    <col min="1283" max="1283" width="40.140625" style="375" bestFit="1" customWidth="1"/>
    <col min="1284" max="1284" width="11.28515625" style="375" customWidth="1"/>
    <col min="1285" max="1285" width="11.85546875" style="375" customWidth="1"/>
    <col min="1286" max="1286" width="5.42578125" style="375" customWidth="1"/>
    <col min="1287" max="1287" width="11.28515625" style="375" customWidth="1"/>
    <col min="1288" max="1288" width="11.85546875" style="375" customWidth="1"/>
    <col min="1289" max="1289" width="7.140625" style="375" customWidth="1"/>
    <col min="1290" max="1290" width="11.28515625" style="375" bestFit="1" customWidth="1"/>
    <col min="1291" max="1291" width="12.28515625" style="375" bestFit="1" customWidth="1"/>
    <col min="1292" max="1292" width="5.5703125" style="375" customWidth="1"/>
    <col min="1293" max="1293" width="11.28515625" style="375" bestFit="1" customWidth="1"/>
    <col min="1294" max="1294" width="14.85546875" style="375" bestFit="1" customWidth="1"/>
    <col min="1295" max="1295" width="12.85546875" style="375" bestFit="1" customWidth="1"/>
    <col min="1296" max="1296" width="11" style="375" customWidth="1"/>
    <col min="1297" max="1297" width="12.28515625" style="375" bestFit="1" customWidth="1"/>
    <col min="1298" max="1298" width="11" style="375" customWidth="1"/>
    <col min="1299" max="1303" width="9.140625" style="375"/>
    <col min="1304" max="1304" width="21.85546875" style="375" customWidth="1"/>
    <col min="1305" max="1537" width="9.140625" style="375"/>
    <col min="1538" max="1538" width="4.7109375" style="375" customWidth="1"/>
    <col min="1539" max="1539" width="40.140625" style="375" bestFit="1" customWidth="1"/>
    <col min="1540" max="1540" width="11.28515625" style="375" customWidth="1"/>
    <col min="1541" max="1541" width="11.85546875" style="375" customWidth="1"/>
    <col min="1542" max="1542" width="5.42578125" style="375" customWidth="1"/>
    <col min="1543" max="1543" width="11.28515625" style="375" customWidth="1"/>
    <col min="1544" max="1544" width="11.85546875" style="375" customWidth="1"/>
    <col min="1545" max="1545" width="7.140625" style="375" customWidth="1"/>
    <col min="1546" max="1546" width="11.28515625" style="375" bestFit="1" customWidth="1"/>
    <col min="1547" max="1547" width="12.28515625" style="375" bestFit="1" customWidth="1"/>
    <col min="1548" max="1548" width="5.5703125" style="375" customWidth="1"/>
    <col min="1549" max="1549" width="11.28515625" style="375" bestFit="1" customWidth="1"/>
    <col min="1550" max="1550" width="14.85546875" style="375" bestFit="1" customWidth="1"/>
    <col min="1551" max="1551" width="12.85546875" style="375" bestFit="1" customWidth="1"/>
    <col min="1552" max="1552" width="11" style="375" customWidth="1"/>
    <col min="1553" max="1553" width="12.28515625" style="375" bestFit="1" customWidth="1"/>
    <col min="1554" max="1554" width="11" style="375" customWidth="1"/>
    <col min="1555" max="1559" width="9.140625" style="375"/>
    <col min="1560" max="1560" width="21.85546875" style="375" customWidth="1"/>
    <col min="1561" max="1793" width="9.140625" style="375"/>
    <col min="1794" max="1794" width="4.7109375" style="375" customWidth="1"/>
    <col min="1795" max="1795" width="40.140625" style="375" bestFit="1" customWidth="1"/>
    <col min="1796" max="1796" width="11.28515625" style="375" customWidth="1"/>
    <col min="1797" max="1797" width="11.85546875" style="375" customWidth="1"/>
    <col min="1798" max="1798" width="5.42578125" style="375" customWidth="1"/>
    <col min="1799" max="1799" width="11.28515625" style="375" customWidth="1"/>
    <col min="1800" max="1800" width="11.85546875" style="375" customWidth="1"/>
    <col min="1801" max="1801" width="7.140625" style="375" customWidth="1"/>
    <col min="1802" max="1802" width="11.28515625" style="375" bestFit="1" customWidth="1"/>
    <col min="1803" max="1803" width="12.28515625" style="375" bestFit="1" customWidth="1"/>
    <col min="1804" max="1804" width="5.5703125" style="375" customWidth="1"/>
    <col min="1805" max="1805" width="11.28515625" style="375" bestFit="1" customWidth="1"/>
    <col min="1806" max="1806" width="14.85546875" style="375" bestFit="1" customWidth="1"/>
    <col min="1807" max="1807" width="12.85546875" style="375" bestFit="1" customWidth="1"/>
    <col min="1808" max="1808" width="11" style="375" customWidth="1"/>
    <col min="1809" max="1809" width="12.28515625" style="375" bestFit="1" customWidth="1"/>
    <col min="1810" max="1810" width="11" style="375" customWidth="1"/>
    <col min="1811" max="1815" width="9.140625" style="375"/>
    <col min="1816" max="1816" width="21.85546875" style="375" customWidth="1"/>
    <col min="1817" max="2049" width="9.140625" style="375"/>
    <col min="2050" max="2050" width="4.7109375" style="375" customWidth="1"/>
    <col min="2051" max="2051" width="40.140625" style="375" bestFit="1" customWidth="1"/>
    <col min="2052" max="2052" width="11.28515625" style="375" customWidth="1"/>
    <col min="2053" max="2053" width="11.85546875" style="375" customWidth="1"/>
    <col min="2054" max="2054" width="5.42578125" style="375" customWidth="1"/>
    <col min="2055" max="2055" width="11.28515625" style="375" customWidth="1"/>
    <col min="2056" max="2056" width="11.85546875" style="375" customWidth="1"/>
    <col min="2057" max="2057" width="7.140625" style="375" customWidth="1"/>
    <col min="2058" max="2058" width="11.28515625" style="375" bestFit="1" customWidth="1"/>
    <col min="2059" max="2059" width="12.28515625" style="375" bestFit="1" customWidth="1"/>
    <col min="2060" max="2060" width="5.5703125" style="375" customWidth="1"/>
    <col min="2061" max="2061" width="11.28515625" style="375" bestFit="1" customWidth="1"/>
    <col min="2062" max="2062" width="14.85546875" style="375" bestFit="1" customWidth="1"/>
    <col min="2063" max="2063" width="12.85546875" style="375" bestFit="1" customWidth="1"/>
    <col min="2064" max="2064" width="11" style="375" customWidth="1"/>
    <col min="2065" max="2065" width="12.28515625" style="375" bestFit="1" customWidth="1"/>
    <col min="2066" max="2066" width="11" style="375" customWidth="1"/>
    <col min="2067" max="2071" width="9.140625" style="375"/>
    <col min="2072" max="2072" width="21.85546875" style="375" customWidth="1"/>
    <col min="2073" max="2305" width="9.140625" style="375"/>
    <col min="2306" max="2306" width="4.7109375" style="375" customWidth="1"/>
    <col min="2307" max="2307" width="40.140625" style="375" bestFit="1" customWidth="1"/>
    <col min="2308" max="2308" width="11.28515625" style="375" customWidth="1"/>
    <col min="2309" max="2309" width="11.85546875" style="375" customWidth="1"/>
    <col min="2310" max="2310" width="5.42578125" style="375" customWidth="1"/>
    <col min="2311" max="2311" width="11.28515625" style="375" customWidth="1"/>
    <col min="2312" max="2312" width="11.85546875" style="375" customWidth="1"/>
    <col min="2313" max="2313" width="7.140625" style="375" customWidth="1"/>
    <col min="2314" max="2314" width="11.28515625" style="375" bestFit="1" customWidth="1"/>
    <col min="2315" max="2315" width="12.28515625" style="375" bestFit="1" customWidth="1"/>
    <col min="2316" max="2316" width="5.5703125" style="375" customWidth="1"/>
    <col min="2317" max="2317" width="11.28515625" style="375" bestFit="1" customWidth="1"/>
    <col min="2318" max="2318" width="14.85546875" style="375" bestFit="1" customWidth="1"/>
    <col min="2319" max="2319" width="12.85546875" style="375" bestFit="1" customWidth="1"/>
    <col min="2320" max="2320" width="11" style="375" customWidth="1"/>
    <col min="2321" max="2321" width="12.28515625" style="375" bestFit="1" customWidth="1"/>
    <col min="2322" max="2322" width="11" style="375" customWidth="1"/>
    <col min="2323" max="2327" width="9.140625" style="375"/>
    <col min="2328" max="2328" width="21.85546875" style="375" customWidth="1"/>
    <col min="2329" max="2561" width="9.140625" style="375"/>
    <col min="2562" max="2562" width="4.7109375" style="375" customWidth="1"/>
    <col min="2563" max="2563" width="40.140625" style="375" bestFit="1" customWidth="1"/>
    <col min="2564" max="2564" width="11.28515625" style="375" customWidth="1"/>
    <col min="2565" max="2565" width="11.85546875" style="375" customWidth="1"/>
    <col min="2566" max="2566" width="5.42578125" style="375" customWidth="1"/>
    <col min="2567" max="2567" width="11.28515625" style="375" customWidth="1"/>
    <col min="2568" max="2568" width="11.85546875" style="375" customWidth="1"/>
    <col min="2569" max="2569" width="7.140625" style="375" customWidth="1"/>
    <col min="2570" max="2570" width="11.28515625" style="375" bestFit="1" customWidth="1"/>
    <col min="2571" max="2571" width="12.28515625" style="375" bestFit="1" customWidth="1"/>
    <col min="2572" max="2572" width="5.5703125" style="375" customWidth="1"/>
    <col min="2573" max="2573" width="11.28515625" style="375" bestFit="1" customWidth="1"/>
    <col min="2574" max="2574" width="14.85546875" style="375" bestFit="1" customWidth="1"/>
    <col min="2575" max="2575" width="12.85546875" style="375" bestFit="1" customWidth="1"/>
    <col min="2576" max="2576" width="11" style="375" customWidth="1"/>
    <col min="2577" max="2577" width="12.28515625" style="375" bestFit="1" customWidth="1"/>
    <col min="2578" max="2578" width="11" style="375" customWidth="1"/>
    <col min="2579" max="2583" width="9.140625" style="375"/>
    <col min="2584" max="2584" width="21.85546875" style="375" customWidth="1"/>
    <col min="2585" max="2817" width="9.140625" style="375"/>
    <col min="2818" max="2818" width="4.7109375" style="375" customWidth="1"/>
    <col min="2819" max="2819" width="40.140625" style="375" bestFit="1" customWidth="1"/>
    <col min="2820" max="2820" width="11.28515625" style="375" customWidth="1"/>
    <col min="2821" max="2821" width="11.85546875" style="375" customWidth="1"/>
    <col min="2822" max="2822" width="5.42578125" style="375" customWidth="1"/>
    <col min="2823" max="2823" width="11.28515625" style="375" customWidth="1"/>
    <col min="2824" max="2824" width="11.85546875" style="375" customWidth="1"/>
    <col min="2825" max="2825" width="7.140625" style="375" customWidth="1"/>
    <col min="2826" max="2826" width="11.28515625" style="375" bestFit="1" customWidth="1"/>
    <col min="2827" max="2827" width="12.28515625" style="375" bestFit="1" customWidth="1"/>
    <col min="2828" max="2828" width="5.5703125" style="375" customWidth="1"/>
    <col min="2829" max="2829" width="11.28515625" style="375" bestFit="1" customWidth="1"/>
    <col min="2830" max="2830" width="14.85546875" style="375" bestFit="1" customWidth="1"/>
    <col min="2831" max="2831" width="12.85546875" style="375" bestFit="1" customWidth="1"/>
    <col min="2832" max="2832" width="11" style="375" customWidth="1"/>
    <col min="2833" max="2833" width="12.28515625" style="375" bestFit="1" customWidth="1"/>
    <col min="2834" max="2834" width="11" style="375" customWidth="1"/>
    <col min="2835" max="2839" width="9.140625" style="375"/>
    <col min="2840" max="2840" width="21.85546875" style="375" customWidth="1"/>
    <col min="2841" max="3073" width="9.140625" style="375"/>
    <col min="3074" max="3074" width="4.7109375" style="375" customWidth="1"/>
    <col min="3075" max="3075" width="40.140625" style="375" bestFit="1" customWidth="1"/>
    <col min="3076" max="3076" width="11.28515625" style="375" customWidth="1"/>
    <col min="3077" max="3077" width="11.85546875" style="375" customWidth="1"/>
    <col min="3078" max="3078" width="5.42578125" style="375" customWidth="1"/>
    <col min="3079" max="3079" width="11.28515625" style="375" customWidth="1"/>
    <col min="3080" max="3080" width="11.85546875" style="375" customWidth="1"/>
    <col min="3081" max="3081" width="7.140625" style="375" customWidth="1"/>
    <col min="3082" max="3082" width="11.28515625" style="375" bestFit="1" customWidth="1"/>
    <col min="3083" max="3083" width="12.28515625" style="375" bestFit="1" customWidth="1"/>
    <col min="3084" max="3084" width="5.5703125" style="375" customWidth="1"/>
    <col min="3085" max="3085" width="11.28515625" style="375" bestFit="1" customWidth="1"/>
    <col min="3086" max="3086" width="14.85546875" style="375" bestFit="1" customWidth="1"/>
    <col min="3087" max="3087" width="12.85546875" style="375" bestFit="1" customWidth="1"/>
    <col min="3088" max="3088" width="11" style="375" customWidth="1"/>
    <col min="3089" max="3089" width="12.28515625" style="375" bestFit="1" customWidth="1"/>
    <col min="3090" max="3090" width="11" style="375" customWidth="1"/>
    <col min="3091" max="3095" width="9.140625" style="375"/>
    <col min="3096" max="3096" width="21.85546875" style="375" customWidth="1"/>
    <col min="3097" max="3329" width="9.140625" style="375"/>
    <col min="3330" max="3330" width="4.7109375" style="375" customWidth="1"/>
    <col min="3331" max="3331" width="40.140625" style="375" bestFit="1" customWidth="1"/>
    <col min="3332" max="3332" width="11.28515625" style="375" customWidth="1"/>
    <col min="3333" max="3333" width="11.85546875" style="375" customWidth="1"/>
    <col min="3334" max="3334" width="5.42578125" style="375" customWidth="1"/>
    <col min="3335" max="3335" width="11.28515625" style="375" customWidth="1"/>
    <col min="3336" max="3336" width="11.85546875" style="375" customWidth="1"/>
    <col min="3337" max="3337" width="7.140625" style="375" customWidth="1"/>
    <col min="3338" max="3338" width="11.28515625" style="375" bestFit="1" customWidth="1"/>
    <col min="3339" max="3339" width="12.28515625" style="375" bestFit="1" customWidth="1"/>
    <col min="3340" max="3340" width="5.5703125" style="375" customWidth="1"/>
    <col min="3341" max="3341" width="11.28515625" style="375" bestFit="1" customWidth="1"/>
    <col min="3342" max="3342" width="14.85546875" style="375" bestFit="1" customWidth="1"/>
    <col min="3343" max="3343" width="12.85546875" style="375" bestFit="1" customWidth="1"/>
    <col min="3344" max="3344" width="11" style="375" customWidth="1"/>
    <col min="3345" max="3345" width="12.28515625" style="375" bestFit="1" customWidth="1"/>
    <col min="3346" max="3346" width="11" style="375" customWidth="1"/>
    <col min="3347" max="3351" width="9.140625" style="375"/>
    <col min="3352" max="3352" width="21.85546875" style="375" customWidth="1"/>
    <col min="3353" max="3585" width="9.140625" style="375"/>
    <col min="3586" max="3586" width="4.7109375" style="375" customWidth="1"/>
    <col min="3587" max="3587" width="40.140625" style="375" bestFit="1" customWidth="1"/>
    <col min="3588" max="3588" width="11.28515625" style="375" customWidth="1"/>
    <col min="3589" max="3589" width="11.85546875" style="375" customWidth="1"/>
    <col min="3590" max="3590" width="5.42578125" style="375" customWidth="1"/>
    <col min="3591" max="3591" width="11.28515625" style="375" customWidth="1"/>
    <col min="3592" max="3592" width="11.85546875" style="375" customWidth="1"/>
    <col min="3593" max="3593" width="7.140625" style="375" customWidth="1"/>
    <col min="3594" max="3594" width="11.28515625" style="375" bestFit="1" customWidth="1"/>
    <col min="3595" max="3595" width="12.28515625" style="375" bestFit="1" customWidth="1"/>
    <col min="3596" max="3596" width="5.5703125" style="375" customWidth="1"/>
    <col min="3597" max="3597" width="11.28515625" style="375" bestFit="1" customWidth="1"/>
    <col min="3598" max="3598" width="14.85546875" style="375" bestFit="1" customWidth="1"/>
    <col min="3599" max="3599" width="12.85546875" style="375" bestFit="1" customWidth="1"/>
    <col min="3600" max="3600" width="11" style="375" customWidth="1"/>
    <col min="3601" max="3601" width="12.28515625" style="375" bestFit="1" customWidth="1"/>
    <col min="3602" max="3602" width="11" style="375" customWidth="1"/>
    <col min="3603" max="3607" width="9.140625" style="375"/>
    <col min="3608" max="3608" width="21.85546875" style="375" customWidth="1"/>
    <col min="3609" max="3841" width="9.140625" style="375"/>
    <col min="3842" max="3842" width="4.7109375" style="375" customWidth="1"/>
    <col min="3843" max="3843" width="40.140625" style="375" bestFit="1" customWidth="1"/>
    <col min="3844" max="3844" width="11.28515625" style="375" customWidth="1"/>
    <col min="3845" max="3845" width="11.85546875" style="375" customWidth="1"/>
    <col min="3846" max="3846" width="5.42578125" style="375" customWidth="1"/>
    <col min="3847" max="3847" width="11.28515625" style="375" customWidth="1"/>
    <col min="3848" max="3848" width="11.85546875" style="375" customWidth="1"/>
    <col min="3849" max="3849" width="7.140625" style="375" customWidth="1"/>
    <col min="3850" max="3850" width="11.28515625" style="375" bestFit="1" customWidth="1"/>
    <col min="3851" max="3851" width="12.28515625" style="375" bestFit="1" customWidth="1"/>
    <col min="3852" max="3852" width="5.5703125" style="375" customWidth="1"/>
    <col min="3853" max="3853" width="11.28515625" style="375" bestFit="1" customWidth="1"/>
    <col min="3854" max="3854" width="14.85546875" style="375" bestFit="1" customWidth="1"/>
    <col min="3855" max="3855" width="12.85546875" style="375" bestFit="1" customWidth="1"/>
    <col min="3856" max="3856" width="11" style="375" customWidth="1"/>
    <col min="3857" max="3857" width="12.28515625" style="375" bestFit="1" customWidth="1"/>
    <col min="3858" max="3858" width="11" style="375" customWidth="1"/>
    <col min="3859" max="3863" width="9.140625" style="375"/>
    <col min="3864" max="3864" width="21.85546875" style="375" customWidth="1"/>
    <col min="3865" max="4097" width="9.140625" style="375"/>
    <col min="4098" max="4098" width="4.7109375" style="375" customWidth="1"/>
    <col min="4099" max="4099" width="40.140625" style="375" bestFit="1" customWidth="1"/>
    <col min="4100" max="4100" width="11.28515625" style="375" customWidth="1"/>
    <col min="4101" max="4101" width="11.85546875" style="375" customWidth="1"/>
    <col min="4102" max="4102" width="5.42578125" style="375" customWidth="1"/>
    <col min="4103" max="4103" width="11.28515625" style="375" customWidth="1"/>
    <col min="4104" max="4104" width="11.85546875" style="375" customWidth="1"/>
    <col min="4105" max="4105" width="7.140625" style="375" customWidth="1"/>
    <col min="4106" max="4106" width="11.28515625" style="375" bestFit="1" customWidth="1"/>
    <col min="4107" max="4107" width="12.28515625" style="375" bestFit="1" customWidth="1"/>
    <col min="4108" max="4108" width="5.5703125" style="375" customWidth="1"/>
    <col min="4109" max="4109" width="11.28515625" style="375" bestFit="1" customWidth="1"/>
    <col min="4110" max="4110" width="14.85546875" style="375" bestFit="1" customWidth="1"/>
    <col min="4111" max="4111" width="12.85546875" style="375" bestFit="1" customWidth="1"/>
    <col min="4112" max="4112" width="11" style="375" customWidth="1"/>
    <col min="4113" max="4113" width="12.28515625" style="375" bestFit="1" customWidth="1"/>
    <col min="4114" max="4114" width="11" style="375" customWidth="1"/>
    <col min="4115" max="4119" width="9.140625" style="375"/>
    <col min="4120" max="4120" width="21.85546875" style="375" customWidth="1"/>
    <col min="4121" max="4353" width="9.140625" style="375"/>
    <col min="4354" max="4354" width="4.7109375" style="375" customWidth="1"/>
    <col min="4355" max="4355" width="40.140625" style="375" bestFit="1" customWidth="1"/>
    <col min="4356" max="4356" width="11.28515625" style="375" customWidth="1"/>
    <col min="4357" max="4357" width="11.85546875" style="375" customWidth="1"/>
    <col min="4358" max="4358" width="5.42578125" style="375" customWidth="1"/>
    <col min="4359" max="4359" width="11.28515625" style="375" customWidth="1"/>
    <col min="4360" max="4360" width="11.85546875" style="375" customWidth="1"/>
    <col min="4361" max="4361" width="7.140625" style="375" customWidth="1"/>
    <col min="4362" max="4362" width="11.28515625" style="375" bestFit="1" customWidth="1"/>
    <col min="4363" max="4363" width="12.28515625" style="375" bestFit="1" customWidth="1"/>
    <col min="4364" max="4364" width="5.5703125" style="375" customWidth="1"/>
    <col min="4365" max="4365" width="11.28515625" style="375" bestFit="1" customWidth="1"/>
    <col min="4366" max="4366" width="14.85546875" style="375" bestFit="1" customWidth="1"/>
    <col min="4367" max="4367" width="12.85546875" style="375" bestFit="1" customWidth="1"/>
    <col min="4368" max="4368" width="11" style="375" customWidth="1"/>
    <col min="4369" max="4369" width="12.28515625" style="375" bestFit="1" customWidth="1"/>
    <col min="4370" max="4370" width="11" style="375" customWidth="1"/>
    <col min="4371" max="4375" width="9.140625" style="375"/>
    <col min="4376" max="4376" width="21.85546875" style="375" customWidth="1"/>
    <col min="4377" max="4609" width="9.140625" style="375"/>
    <col min="4610" max="4610" width="4.7109375" style="375" customWidth="1"/>
    <col min="4611" max="4611" width="40.140625" style="375" bestFit="1" customWidth="1"/>
    <col min="4612" max="4612" width="11.28515625" style="375" customWidth="1"/>
    <col min="4613" max="4613" width="11.85546875" style="375" customWidth="1"/>
    <col min="4614" max="4614" width="5.42578125" style="375" customWidth="1"/>
    <col min="4615" max="4615" width="11.28515625" style="375" customWidth="1"/>
    <col min="4616" max="4616" width="11.85546875" style="375" customWidth="1"/>
    <col min="4617" max="4617" width="7.140625" style="375" customWidth="1"/>
    <col min="4618" max="4618" width="11.28515625" style="375" bestFit="1" customWidth="1"/>
    <col min="4619" max="4619" width="12.28515625" style="375" bestFit="1" customWidth="1"/>
    <col min="4620" max="4620" width="5.5703125" style="375" customWidth="1"/>
    <col min="4621" max="4621" width="11.28515625" style="375" bestFit="1" customWidth="1"/>
    <col min="4622" max="4622" width="14.85546875" style="375" bestFit="1" customWidth="1"/>
    <col min="4623" max="4623" width="12.85546875" style="375" bestFit="1" customWidth="1"/>
    <col min="4624" max="4624" width="11" style="375" customWidth="1"/>
    <col min="4625" max="4625" width="12.28515625" style="375" bestFit="1" customWidth="1"/>
    <col min="4626" max="4626" width="11" style="375" customWidth="1"/>
    <col min="4627" max="4631" width="9.140625" style="375"/>
    <col min="4632" max="4632" width="21.85546875" style="375" customWidth="1"/>
    <col min="4633" max="4865" width="9.140625" style="375"/>
    <col min="4866" max="4866" width="4.7109375" style="375" customWidth="1"/>
    <col min="4867" max="4867" width="40.140625" style="375" bestFit="1" customWidth="1"/>
    <col min="4868" max="4868" width="11.28515625" style="375" customWidth="1"/>
    <col min="4869" max="4869" width="11.85546875" style="375" customWidth="1"/>
    <col min="4870" max="4870" width="5.42578125" style="375" customWidth="1"/>
    <col min="4871" max="4871" width="11.28515625" style="375" customWidth="1"/>
    <col min="4872" max="4872" width="11.85546875" style="375" customWidth="1"/>
    <col min="4873" max="4873" width="7.140625" style="375" customWidth="1"/>
    <col min="4874" max="4874" width="11.28515625" style="375" bestFit="1" customWidth="1"/>
    <col min="4875" max="4875" width="12.28515625" style="375" bestFit="1" customWidth="1"/>
    <col min="4876" max="4876" width="5.5703125" style="375" customWidth="1"/>
    <col min="4877" max="4877" width="11.28515625" style="375" bestFit="1" customWidth="1"/>
    <col min="4878" max="4878" width="14.85546875" style="375" bestFit="1" customWidth="1"/>
    <col min="4879" max="4879" width="12.85546875" style="375" bestFit="1" customWidth="1"/>
    <col min="4880" max="4880" width="11" style="375" customWidth="1"/>
    <col min="4881" max="4881" width="12.28515625" style="375" bestFit="1" customWidth="1"/>
    <col min="4882" max="4882" width="11" style="375" customWidth="1"/>
    <col min="4883" max="4887" width="9.140625" style="375"/>
    <col min="4888" max="4888" width="21.85546875" style="375" customWidth="1"/>
    <col min="4889" max="5121" width="9.140625" style="375"/>
    <col min="5122" max="5122" width="4.7109375" style="375" customWidth="1"/>
    <col min="5123" max="5123" width="40.140625" style="375" bestFit="1" customWidth="1"/>
    <col min="5124" max="5124" width="11.28515625" style="375" customWidth="1"/>
    <col min="5125" max="5125" width="11.85546875" style="375" customWidth="1"/>
    <col min="5126" max="5126" width="5.42578125" style="375" customWidth="1"/>
    <col min="5127" max="5127" width="11.28515625" style="375" customWidth="1"/>
    <col min="5128" max="5128" width="11.85546875" style="375" customWidth="1"/>
    <col min="5129" max="5129" width="7.140625" style="375" customWidth="1"/>
    <col min="5130" max="5130" width="11.28515625" style="375" bestFit="1" customWidth="1"/>
    <col min="5131" max="5131" width="12.28515625" style="375" bestFit="1" customWidth="1"/>
    <col min="5132" max="5132" width="5.5703125" style="375" customWidth="1"/>
    <col min="5133" max="5133" width="11.28515625" style="375" bestFit="1" customWidth="1"/>
    <col min="5134" max="5134" width="14.85546875" style="375" bestFit="1" customWidth="1"/>
    <col min="5135" max="5135" width="12.85546875" style="375" bestFit="1" customWidth="1"/>
    <col min="5136" max="5136" width="11" style="375" customWidth="1"/>
    <col min="5137" max="5137" width="12.28515625" style="375" bestFit="1" customWidth="1"/>
    <col min="5138" max="5138" width="11" style="375" customWidth="1"/>
    <col min="5139" max="5143" width="9.140625" style="375"/>
    <col min="5144" max="5144" width="21.85546875" style="375" customWidth="1"/>
    <col min="5145" max="5377" width="9.140625" style="375"/>
    <col min="5378" max="5378" width="4.7109375" style="375" customWidth="1"/>
    <col min="5379" max="5379" width="40.140625" style="375" bestFit="1" customWidth="1"/>
    <col min="5380" max="5380" width="11.28515625" style="375" customWidth="1"/>
    <col min="5381" max="5381" width="11.85546875" style="375" customWidth="1"/>
    <col min="5382" max="5382" width="5.42578125" style="375" customWidth="1"/>
    <col min="5383" max="5383" width="11.28515625" style="375" customWidth="1"/>
    <col min="5384" max="5384" width="11.85546875" style="375" customWidth="1"/>
    <col min="5385" max="5385" width="7.140625" style="375" customWidth="1"/>
    <col min="5386" max="5386" width="11.28515625" style="375" bestFit="1" customWidth="1"/>
    <col min="5387" max="5387" width="12.28515625" style="375" bestFit="1" customWidth="1"/>
    <col min="5388" max="5388" width="5.5703125" style="375" customWidth="1"/>
    <col min="5389" max="5389" width="11.28515625" style="375" bestFit="1" customWidth="1"/>
    <col min="5390" max="5390" width="14.85546875" style="375" bestFit="1" customWidth="1"/>
    <col min="5391" max="5391" width="12.85546875" style="375" bestFit="1" customWidth="1"/>
    <col min="5392" max="5392" width="11" style="375" customWidth="1"/>
    <col min="5393" max="5393" width="12.28515625" style="375" bestFit="1" customWidth="1"/>
    <col min="5394" max="5394" width="11" style="375" customWidth="1"/>
    <col min="5395" max="5399" width="9.140625" style="375"/>
    <col min="5400" max="5400" width="21.85546875" style="375" customWidth="1"/>
    <col min="5401" max="5633" width="9.140625" style="375"/>
    <col min="5634" max="5634" width="4.7109375" style="375" customWidth="1"/>
    <col min="5635" max="5635" width="40.140625" style="375" bestFit="1" customWidth="1"/>
    <col min="5636" max="5636" width="11.28515625" style="375" customWidth="1"/>
    <col min="5637" max="5637" width="11.85546875" style="375" customWidth="1"/>
    <col min="5638" max="5638" width="5.42578125" style="375" customWidth="1"/>
    <col min="5639" max="5639" width="11.28515625" style="375" customWidth="1"/>
    <col min="5640" max="5640" width="11.85546875" style="375" customWidth="1"/>
    <col min="5641" max="5641" width="7.140625" style="375" customWidth="1"/>
    <col min="5642" max="5642" width="11.28515625" style="375" bestFit="1" customWidth="1"/>
    <col min="5643" max="5643" width="12.28515625" style="375" bestFit="1" customWidth="1"/>
    <col min="5644" max="5644" width="5.5703125" style="375" customWidth="1"/>
    <col min="5645" max="5645" width="11.28515625" style="375" bestFit="1" customWidth="1"/>
    <col min="5646" max="5646" width="14.85546875" style="375" bestFit="1" customWidth="1"/>
    <col min="5647" max="5647" width="12.85546875" style="375" bestFit="1" customWidth="1"/>
    <col min="5648" max="5648" width="11" style="375" customWidth="1"/>
    <col min="5649" max="5649" width="12.28515625" style="375" bestFit="1" customWidth="1"/>
    <col min="5650" max="5650" width="11" style="375" customWidth="1"/>
    <col min="5651" max="5655" width="9.140625" style="375"/>
    <col min="5656" max="5656" width="21.85546875" style="375" customWidth="1"/>
    <col min="5657" max="5889" width="9.140625" style="375"/>
    <col min="5890" max="5890" width="4.7109375" style="375" customWidth="1"/>
    <col min="5891" max="5891" width="40.140625" style="375" bestFit="1" customWidth="1"/>
    <col min="5892" max="5892" width="11.28515625" style="375" customWidth="1"/>
    <col min="5893" max="5893" width="11.85546875" style="375" customWidth="1"/>
    <col min="5894" max="5894" width="5.42578125" style="375" customWidth="1"/>
    <col min="5895" max="5895" width="11.28515625" style="375" customWidth="1"/>
    <col min="5896" max="5896" width="11.85546875" style="375" customWidth="1"/>
    <col min="5897" max="5897" width="7.140625" style="375" customWidth="1"/>
    <col min="5898" max="5898" width="11.28515625" style="375" bestFit="1" customWidth="1"/>
    <col min="5899" max="5899" width="12.28515625" style="375" bestFit="1" customWidth="1"/>
    <col min="5900" max="5900" width="5.5703125" style="375" customWidth="1"/>
    <col min="5901" max="5901" width="11.28515625" style="375" bestFit="1" customWidth="1"/>
    <col min="5902" max="5902" width="14.85546875" style="375" bestFit="1" customWidth="1"/>
    <col min="5903" max="5903" width="12.85546875" style="375" bestFit="1" customWidth="1"/>
    <col min="5904" max="5904" width="11" style="375" customWidth="1"/>
    <col min="5905" max="5905" width="12.28515625" style="375" bestFit="1" customWidth="1"/>
    <col min="5906" max="5906" width="11" style="375" customWidth="1"/>
    <col min="5907" max="5911" width="9.140625" style="375"/>
    <col min="5912" max="5912" width="21.85546875" style="375" customWidth="1"/>
    <col min="5913" max="6145" width="9.140625" style="375"/>
    <col min="6146" max="6146" width="4.7109375" style="375" customWidth="1"/>
    <col min="6147" max="6147" width="40.140625" style="375" bestFit="1" customWidth="1"/>
    <col min="6148" max="6148" width="11.28515625" style="375" customWidth="1"/>
    <col min="6149" max="6149" width="11.85546875" style="375" customWidth="1"/>
    <col min="6150" max="6150" width="5.42578125" style="375" customWidth="1"/>
    <col min="6151" max="6151" width="11.28515625" style="375" customWidth="1"/>
    <col min="6152" max="6152" width="11.85546875" style="375" customWidth="1"/>
    <col min="6153" max="6153" width="7.140625" style="375" customWidth="1"/>
    <col min="6154" max="6154" width="11.28515625" style="375" bestFit="1" customWidth="1"/>
    <col min="6155" max="6155" width="12.28515625" style="375" bestFit="1" customWidth="1"/>
    <col min="6156" max="6156" width="5.5703125" style="375" customWidth="1"/>
    <col min="6157" max="6157" width="11.28515625" style="375" bestFit="1" customWidth="1"/>
    <col min="6158" max="6158" width="14.85546875" style="375" bestFit="1" customWidth="1"/>
    <col min="6159" max="6159" width="12.85546875" style="375" bestFit="1" customWidth="1"/>
    <col min="6160" max="6160" width="11" style="375" customWidth="1"/>
    <col min="6161" max="6161" width="12.28515625" style="375" bestFit="1" customWidth="1"/>
    <col min="6162" max="6162" width="11" style="375" customWidth="1"/>
    <col min="6163" max="6167" width="9.140625" style="375"/>
    <col min="6168" max="6168" width="21.85546875" style="375" customWidth="1"/>
    <col min="6169" max="6401" width="9.140625" style="375"/>
    <col min="6402" max="6402" width="4.7109375" style="375" customWidth="1"/>
    <col min="6403" max="6403" width="40.140625" style="375" bestFit="1" customWidth="1"/>
    <col min="6404" max="6404" width="11.28515625" style="375" customWidth="1"/>
    <col min="6405" max="6405" width="11.85546875" style="375" customWidth="1"/>
    <col min="6406" max="6406" width="5.42578125" style="375" customWidth="1"/>
    <col min="6407" max="6407" width="11.28515625" style="375" customWidth="1"/>
    <col min="6408" max="6408" width="11.85546875" style="375" customWidth="1"/>
    <col min="6409" max="6409" width="7.140625" style="375" customWidth="1"/>
    <col min="6410" max="6410" width="11.28515625" style="375" bestFit="1" customWidth="1"/>
    <col min="6411" max="6411" width="12.28515625" style="375" bestFit="1" customWidth="1"/>
    <col min="6412" max="6412" width="5.5703125" style="375" customWidth="1"/>
    <col min="6413" max="6413" width="11.28515625" style="375" bestFit="1" customWidth="1"/>
    <col min="6414" max="6414" width="14.85546875" style="375" bestFit="1" customWidth="1"/>
    <col min="6415" max="6415" width="12.85546875" style="375" bestFit="1" customWidth="1"/>
    <col min="6416" max="6416" width="11" style="375" customWidth="1"/>
    <col min="6417" max="6417" width="12.28515625" style="375" bestFit="1" customWidth="1"/>
    <col min="6418" max="6418" width="11" style="375" customWidth="1"/>
    <col min="6419" max="6423" width="9.140625" style="375"/>
    <col min="6424" max="6424" width="21.85546875" style="375" customWidth="1"/>
    <col min="6425" max="6657" width="9.140625" style="375"/>
    <col min="6658" max="6658" width="4.7109375" style="375" customWidth="1"/>
    <col min="6659" max="6659" width="40.140625" style="375" bestFit="1" customWidth="1"/>
    <col min="6660" max="6660" width="11.28515625" style="375" customWidth="1"/>
    <col min="6661" max="6661" width="11.85546875" style="375" customWidth="1"/>
    <col min="6662" max="6662" width="5.42578125" style="375" customWidth="1"/>
    <col min="6663" max="6663" width="11.28515625" style="375" customWidth="1"/>
    <col min="6664" max="6664" width="11.85546875" style="375" customWidth="1"/>
    <col min="6665" max="6665" width="7.140625" style="375" customWidth="1"/>
    <col min="6666" max="6666" width="11.28515625" style="375" bestFit="1" customWidth="1"/>
    <col min="6667" max="6667" width="12.28515625" style="375" bestFit="1" customWidth="1"/>
    <col min="6668" max="6668" width="5.5703125" style="375" customWidth="1"/>
    <col min="6669" max="6669" width="11.28515625" style="375" bestFit="1" customWidth="1"/>
    <col min="6670" max="6670" width="14.85546875" style="375" bestFit="1" customWidth="1"/>
    <col min="6671" max="6671" width="12.85546875" style="375" bestFit="1" customWidth="1"/>
    <col min="6672" max="6672" width="11" style="375" customWidth="1"/>
    <col min="6673" max="6673" width="12.28515625" style="375" bestFit="1" customWidth="1"/>
    <col min="6674" max="6674" width="11" style="375" customWidth="1"/>
    <col min="6675" max="6679" width="9.140625" style="375"/>
    <col min="6680" max="6680" width="21.85546875" style="375" customWidth="1"/>
    <col min="6681" max="6913" width="9.140625" style="375"/>
    <col min="6914" max="6914" width="4.7109375" style="375" customWidth="1"/>
    <col min="6915" max="6915" width="40.140625" style="375" bestFit="1" customWidth="1"/>
    <col min="6916" max="6916" width="11.28515625" style="375" customWidth="1"/>
    <col min="6917" max="6917" width="11.85546875" style="375" customWidth="1"/>
    <col min="6918" max="6918" width="5.42578125" style="375" customWidth="1"/>
    <col min="6919" max="6919" width="11.28515625" style="375" customWidth="1"/>
    <col min="6920" max="6920" width="11.85546875" style="375" customWidth="1"/>
    <col min="6921" max="6921" width="7.140625" style="375" customWidth="1"/>
    <col min="6922" max="6922" width="11.28515625" style="375" bestFit="1" customWidth="1"/>
    <col min="6923" max="6923" width="12.28515625" style="375" bestFit="1" customWidth="1"/>
    <col min="6924" max="6924" width="5.5703125" style="375" customWidth="1"/>
    <col min="6925" max="6925" width="11.28515625" style="375" bestFit="1" customWidth="1"/>
    <col min="6926" max="6926" width="14.85546875" style="375" bestFit="1" customWidth="1"/>
    <col min="6927" max="6927" width="12.85546875" style="375" bestFit="1" customWidth="1"/>
    <col min="6928" max="6928" width="11" style="375" customWidth="1"/>
    <col min="6929" max="6929" width="12.28515625" style="375" bestFit="1" customWidth="1"/>
    <col min="6930" max="6930" width="11" style="375" customWidth="1"/>
    <col min="6931" max="6935" width="9.140625" style="375"/>
    <col min="6936" max="6936" width="21.85546875" style="375" customWidth="1"/>
    <col min="6937" max="7169" width="9.140625" style="375"/>
    <col min="7170" max="7170" width="4.7109375" style="375" customWidth="1"/>
    <col min="7171" max="7171" width="40.140625" style="375" bestFit="1" customWidth="1"/>
    <col min="7172" max="7172" width="11.28515625" style="375" customWidth="1"/>
    <col min="7173" max="7173" width="11.85546875" style="375" customWidth="1"/>
    <col min="7174" max="7174" width="5.42578125" style="375" customWidth="1"/>
    <col min="7175" max="7175" width="11.28515625" style="375" customWidth="1"/>
    <col min="7176" max="7176" width="11.85546875" style="375" customWidth="1"/>
    <col min="7177" max="7177" width="7.140625" style="375" customWidth="1"/>
    <col min="7178" max="7178" width="11.28515625" style="375" bestFit="1" customWidth="1"/>
    <col min="7179" max="7179" width="12.28515625" style="375" bestFit="1" customWidth="1"/>
    <col min="7180" max="7180" width="5.5703125" style="375" customWidth="1"/>
    <col min="7181" max="7181" width="11.28515625" style="375" bestFit="1" customWidth="1"/>
    <col min="7182" max="7182" width="14.85546875" style="375" bestFit="1" customWidth="1"/>
    <col min="7183" max="7183" width="12.85546875" style="375" bestFit="1" customWidth="1"/>
    <col min="7184" max="7184" width="11" style="375" customWidth="1"/>
    <col min="7185" max="7185" width="12.28515625" style="375" bestFit="1" customWidth="1"/>
    <col min="7186" max="7186" width="11" style="375" customWidth="1"/>
    <col min="7187" max="7191" width="9.140625" style="375"/>
    <col min="7192" max="7192" width="21.85546875" style="375" customWidth="1"/>
    <col min="7193" max="7425" width="9.140625" style="375"/>
    <col min="7426" max="7426" width="4.7109375" style="375" customWidth="1"/>
    <col min="7427" max="7427" width="40.140625" style="375" bestFit="1" customWidth="1"/>
    <col min="7428" max="7428" width="11.28515625" style="375" customWidth="1"/>
    <col min="7429" max="7429" width="11.85546875" style="375" customWidth="1"/>
    <col min="7430" max="7430" width="5.42578125" style="375" customWidth="1"/>
    <col min="7431" max="7431" width="11.28515625" style="375" customWidth="1"/>
    <col min="7432" max="7432" width="11.85546875" style="375" customWidth="1"/>
    <col min="7433" max="7433" width="7.140625" style="375" customWidth="1"/>
    <col min="7434" max="7434" width="11.28515625" style="375" bestFit="1" customWidth="1"/>
    <col min="7435" max="7435" width="12.28515625" style="375" bestFit="1" customWidth="1"/>
    <col min="7436" max="7436" width="5.5703125" style="375" customWidth="1"/>
    <col min="7437" max="7437" width="11.28515625" style="375" bestFit="1" customWidth="1"/>
    <col min="7438" max="7438" width="14.85546875" style="375" bestFit="1" customWidth="1"/>
    <col min="7439" max="7439" width="12.85546875" style="375" bestFit="1" customWidth="1"/>
    <col min="7440" max="7440" width="11" style="375" customWidth="1"/>
    <col min="7441" max="7441" width="12.28515625" style="375" bestFit="1" customWidth="1"/>
    <col min="7442" max="7442" width="11" style="375" customWidth="1"/>
    <col min="7443" max="7447" width="9.140625" style="375"/>
    <col min="7448" max="7448" width="21.85546875" style="375" customWidth="1"/>
    <col min="7449" max="7681" width="9.140625" style="375"/>
    <col min="7682" max="7682" width="4.7109375" style="375" customWidth="1"/>
    <col min="7683" max="7683" width="40.140625" style="375" bestFit="1" customWidth="1"/>
    <col min="7684" max="7684" width="11.28515625" style="375" customWidth="1"/>
    <col min="7685" max="7685" width="11.85546875" style="375" customWidth="1"/>
    <col min="7686" max="7686" width="5.42578125" style="375" customWidth="1"/>
    <col min="7687" max="7687" width="11.28515625" style="375" customWidth="1"/>
    <col min="7688" max="7688" width="11.85546875" style="375" customWidth="1"/>
    <col min="7689" max="7689" width="7.140625" style="375" customWidth="1"/>
    <col min="7690" max="7690" width="11.28515625" style="375" bestFit="1" customWidth="1"/>
    <col min="7691" max="7691" width="12.28515625" style="375" bestFit="1" customWidth="1"/>
    <col min="7692" max="7692" width="5.5703125" style="375" customWidth="1"/>
    <col min="7693" max="7693" width="11.28515625" style="375" bestFit="1" customWidth="1"/>
    <col min="7694" max="7694" width="14.85546875" style="375" bestFit="1" customWidth="1"/>
    <col min="7695" max="7695" width="12.85546875" style="375" bestFit="1" customWidth="1"/>
    <col min="7696" max="7696" width="11" style="375" customWidth="1"/>
    <col min="7697" max="7697" width="12.28515625" style="375" bestFit="1" customWidth="1"/>
    <col min="7698" max="7698" width="11" style="375" customWidth="1"/>
    <col min="7699" max="7703" width="9.140625" style="375"/>
    <col min="7704" max="7704" width="21.85546875" style="375" customWidth="1"/>
    <col min="7705" max="7937" width="9.140625" style="375"/>
    <col min="7938" max="7938" width="4.7109375" style="375" customWidth="1"/>
    <col min="7939" max="7939" width="40.140625" style="375" bestFit="1" customWidth="1"/>
    <col min="7940" max="7940" width="11.28515625" style="375" customWidth="1"/>
    <col min="7941" max="7941" width="11.85546875" style="375" customWidth="1"/>
    <col min="7942" max="7942" width="5.42578125" style="375" customWidth="1"/>
    <col min="7943" max="7943" width="11.28515625" style="375" customWidth="1"/>
    <col min="7944" max="7944" width="11.85546875" style="375" customWidth="1"/>
    <col min="7945" max="7945" width="7.140625" style="375" customWidth="1"/>
    <col min="7946" max="7946" width="11.28515625" style="375" bestFit="1" customWidth="1"/>
    <col min="7947" max="7947" width="12.28515625" style="375" bestFit="1" customWidth="1"/>
    <col min="7948" max="7948" width="5.5703125" style="375" customWidth="1"/>
    <col min="7949" max="7949" width="11.28515625" style="375" bestFit="1" customWidth="1"/>
    <col min="7950" max="7950" width="14.85546875" style="375" bestFit="1" customWidth="1"/>
    <col min="7951" max="7951" width="12.85546875" style="375" bestFit="1" customWidth="1"/>
    <col min="7952" max="7952" width="11" style="375" customWidth="1"/>
    <col min="7953" max="7953" width="12.28515625" style="375" bestFit="1" customWidth="1"/>
    <col min="7954" max="7954" width="11" style="375" customWidth="1"/>
    <col min="7955" max="7959" width="9.140625" style="375"/>
    <col min="7960" max="7960" width="21.85546875" style="375" customWidth="1"/>
    <col min="7961" max="8193" width="9.140625" style="375"/>
    <col min="8194" max="8194" width="4.7109375" style="375" customWidth="1"/>
    <col min="8195" max="8195" width="40.140625" style="375" bestFit="1" customWidth="1"/>
    <col min="8196" max="8196" width="11.28515625" style="375" customWidth="1"/>
    <col min="8197" max="8197" width="11.85546875" style="375" customWidth="1"/>
    <col min="8198" max="8198" width="5.42578125" style="375" customWidth="1"/>
    <col min="8199" max="8199" width="11.28515625" style="375" customWidth="1"/>
    <col min="8200" max="8200" width="11.85546875" style="375" customWidth="1"/>
    <col min="8201" max="8201" width="7.140625" style="375" customWidth="1"/>
    <col min="8202" max="8202" width="11.28515625" style="375" bestFit="1" customWidth="1"/>
    <col min="8203" max="8203" width="12.28515625" style="375" bestFit="1" customWidth="1"/>
    <col min="8204" max="8204" width="5.5703125" style="375" customWidth="1"/>
    <col min="8205" max="8205" width="11.28515625" style="375" bestFit="1" customWidth="1"/>
    <col min="8206" max="8206" width="14.85546875" style="375" bestFit="1" customWidth="1"/>
    <col min="8207" max="8207" width="12.85546875" style="375" bestFit="1" customWidth="1"/>
    <col min="8208" max="8208" width="11" style="375" customWidth="1"/>
    <col min="8209" max="8209" width="12.28515625" style="375" bestFit="1" customWidth="1"/>
    <col min="8210" max="8210" width="11" style="375" customWidth="1"/>
    <col min="8211" max="8215" width="9.140625" style="375"/>
    <col min="8216" max="8216" width="21.85546875" style="375" customWidth="1"/>
    <col min="8217" max="8449" width="9.140625" style="375"/>
    <col min="8450" max="8450" width="4.7109375" style="375" customWidth="1"/>
    <col min="8451" max="8451" width="40.140625" style="375" bestFit="1" customWidth="1"/>
    <col min="8452" max="8452" width="11.28515625" style="375" customWidth="1"/>
    <col min="8453" max="8453" width="11.85546875" style="375" customWidth="1"/>
    <col min="8454" max="8454" width="5.42578125" style="375" customWidth="1"/>
    <col min="8455" max="8455" width="11.28515625" style="375" customWidth="1"/>
    <col min="8456" max="8456" width="11.85546875" style="375" customWidth="1"/>
    <col min="8457" max="8457" width="7.140625" style="375" customWidth="1"/>
    <col min="8458" max="8458" width="11.28515625" style="375" bestFit="1" customWidth="1"/>
    <col min="8459" max="8459" width="12.28515625" style="375" bestFit="1" customWidth="1"/>
    <col min="8460" max="8460" width="5.5703125" style="375" customWidth="1"/>
    <col min="8461" max="8461" width="11.28515625" style="375" bestFit="1" customWidth="1"/>
    <col min="8462" max="8462" width="14.85546875" style="375" bestFit="1" customWidth="1"/>
    <col min="8463" max="8463" width="12.85546875" style="375" bestFit="1" customWidth="1"/>
    <col min="8464" max="8464" width="11" style="375" customWidth="1"/>
    <col min="8465" max="8465" width="12.28515625" style="375" bestFit="1" customWidth="1"/>
    <col min="8466" max="8466" width="11" style="375" customWidth="1"/>
    <col min="8467" max="8471" width="9.140625" style="375"/>
    <col min="8472" max="8472" width="21.85546875" style="375" customWidth="1"/>
    <col min="8473" max="8705" width="9.140625" style="375"/>
    <col min="8706" max="8706" width="4.7109375" style="375" customWidth="1"/>
    <col min="8707" max="8707" width="40.140625" style="375" bestFit="1" customWidth="1"/>
    <col min="8708" max="8708" width="11.28515625" style="375" customWidth="1"/>
    <col min="8709" max="8709" width="11.85546875" style="375" customWidth="1"/>
    <col min="8710" max="8710" width="5.42578125" style="375" customWidth="1"/>
    <col min="8711" max="8711" width="11.28515625" style="375" customWidth="1"/>
    <col min="8712" max="8712" width="11.85546875" style="375" customWidth="1"/>
    <col min="8713" max="8713" width="7.140625" style="375" customWidth="1"/>
    <col min="8714" max="8714" width="11.28515625" style="375" bestFit="1" customWidth="1"/>
    <col min="8715" max="8715" width="12.28515625" style="375" bestFit="1" customWidth="1"/>
    <col min="8716" max="8716" width="5.5703125" style="375" customWidth="1"/>
    <col min="8717" max="8717" width="11.28515625" style="375" bestFit="1" customWidth="1"/>
    <col min="8718" max="8718" width="14.85546875" style="375" bestFit="1" customWidth="1"/>
    <col min="8719" max="8719" width="12.85546875" style="375" bestFit="1" customWidth="1"/>
    <col min="8720" max="8720" width="11" style="375" customWidth="1"/>
    <col min="8721" max="8721" width="12.28515625" style="375" bestFit="1" customWidth="1"/>
    <col min="8722" max="8722" width="11" style="375" customWidth="1"/>
    <col min="8723" max="8727" width="9.140625" style="375"/>
    <col min="8728" max="8728" width="21.85546875" style="375" customWidth="1"/>
    <col min="8729" max="8961" width="9.140625" style="375"/>
    <col min="8962" max="8962" width="4.7109375" style="375" customWidth="1"/>
    <col min="8963" max="8963" width="40.140625" style="375" bestFit="1" customWidth="1"/>
    <col min="8964" max="8964" width="11.28515625" style="375" customWidth="1"/>
    <col min="8965" max="8965" width="11.85546875" style="375" customWidth="1"/>
    <col min="8966" max="8966" width="5.42578125" style="375" customWidth="1"/>
    <col min="8967" max="8967" width="11.28515625" style="375" customWidth="1"/>
    <col min="8968" max="8968" width="11.85546875" style="375" customWidth="1"/>
    <col min="8969" max="8969" width="7.140625" style="375" customWidth="1"/>
    <col min="8970" max="8970" width="11.28515625" style="375" bestFit="1" customWidth="1"/>
    <col min="8971" max="8971" width="12.28515625" style="375" bestFit="1" customWidth="1"/>
    <col min="8972" max="8972" width="5.5703125" style="375" customWidth="1"/>
    <col min="8973" max="8973" width="11.28515625" style="375" bestFit="1" customWidth="1"/>
    <col min="8974" max="8974" width="14.85546875" style="375" bestFit="1" customWidth="1"/>
    <col min="8975" max="8975" width="12.85546875" style="375" bestFit="1" customWidth="1"/>
    <col min="8976" max="8976" width="11" style="375" customWidth="1"/>
    <col min="8977" max="8977" width="12.28515625" style="375" bestFit="1" customWidth="1"/>
    <col min="8978" max="8978" width="11" style="375" customWidth="1"/>
    <col min="8979" max="8983" width="9.140625" style="375"/>
    <col min="8984" max="8984" width="21.85546875" style="375" customWidth="1"/>
    <col min="8985" max="9217" width="9.140625" style="375"/>
    <col min="9218" max="9218" width="4.7109375" style="375" customWidth="1"/>
    <col min="9219" max="9219" width="40.140625" style="375" bestFit="1" customWidth="1"/>
    <col min="9220" max="9220" width="11.28515625" style="375" customWidth="1"/>
    <col min="9221" max="9221" width="11.85546875" style="375" customWidth="1"/>
    <col min="9222" max="9222" width="5.42578125" style="375" customWidth="1"/>
    <col min="9223" max="9223" width="11.28515625" style="375" customWidth="1"/>
    <col min="9224" max="9224" width="11.85546875" style="375" customWidth="1"/>
    <col min="9225" max="9225" width="7.140625" style="375" customWidth="1"/>
    <col min="9226" max="9226" width="11.28515625" style="375" bestFit="1" customWidth="1"/>
    <col min="9227" max="9227" width="12.28515625" style="375" bestFit="1" customWidth="1"/>
    <col min="9228" max="9228" width="5.5703125" style="375" customWidth="1"/>
    <col min="9229" max="9229" width="11.28515625" style="375" bestFit="1" customWidth="1"/>
    <col min="9230" max="9230" width="14.85546875" style="375" bestFit="1" customWidth="1"/>
    <col min="9231" max="9231" width="12.85546875" style="375" bestFit="1" customWidth="1"/>
    <col min="9232" max="9232" width="11" style="375" customWidth="1"/>
    <col min="9233" max="9233" width="12.28515625" style="375" bestFit="1" customWidth="1"/>
    <col min="9234" max="9234" width="11" style="375" customWidth="1"/>
    <col min="9235" max="9239" width="9.140625" style="375"/>
    <col min="9240" max="9240" width="21.85546875" style="375" customWidth="1"/>
    <col min="9241" max="9473" width="9.140625" style="375"/>
    <col min="9474" max="9474" width="4.7109375" style="375" customWidth="1"/>
    <col min="9475" max="9475" width="40.140625" style="375" bestFit="1" customWidth="1"/>
    <col min="9476" max="9476" width="11.28515625" style="375" customWidth="1"/>
    <col min="9477" max="9477" width="11.85546875" style="375" customWidth="1"/>
    <col min="9478" max="9478" width="5.42578125" style="375" customWidth="1"/>
    <col min="9479" max="9479" width="11.28515625" style="375" customWidth="1"/>
    <col min="9480" max="9480" width="11.85546875" style="375" customWidth="1"/>
    <col min="9481" max="9481" width="7.140625" style="375" customWidth="1"/>
    <col min="9482" max="9482" width="11.28515625" style="375" bestFit="1" customWidth="1"/>
    <col min="9483" max="9483" width="12.28515625" style="375" bestFit="1" customWidth="1"/>
    <col min="9484" max="9484" width="5.5703125" style="375" customWidth="1"/>
    <col min="9485" max="9485" width="11.28515625" style="375" bestFit="1" customWidth="1"/>
    <col min="9486" max="9486" width="14.85546875" style="375" bestFit="1" customWidth="1"/>
    <col min="9487" max="9487" width="12.85546875" style="375" bestFit="1" customWidth="1"/>
    <col min="9488" max="9488" width="11" style="375" customWidth="1"/>
    <col min="9489" max="9489" width="12.28515625" style="375" bestFit="1" customWidth="1"/>
    <col min="9490" max="9490" width="11" style="375" customWidth="1"/>
    <col min="9491" max="9495" width="9.140625" style="375"/>
    <col min="9496" max="9496" width="21.85546875" style="375" customWidth="1"/>
    <col min="9497" max="9729" width="9.140625" style="375"/>
    <col min="9730" max="9730" width="4.7109375" style="375" customWidth="1"/>
    <col min="9731" max="9731" width="40.140625" style="375" bestFit="1" customWidth="1"/>
    <col min="9732" max="9732" width="11.28515625" style="375" customWidth="1"/>
    <col min="9733" max="9733" width="11.85546875" style="375" customWidth="1"/>
    <col min="9734" max="9734" width="5.42578125" style="375" customWidth="1"/>
    <col min="9735" max="9735" width="11.28515625" style="375" customWidth="1"/>
    <col min="9736" max="9736" width="11.85546875" style="375" customWidth="1"/>
    <col min="9737" max="9737" width="7.140625" style="375" customWidth="1"/>
    <col min="9738" max="9738" width="11.28515625" style="375" bestFit="1" customWidth="1"/>
    <col min="9739" max="9739" width="12.28515625" style="375" bestFit="1" customWidth="1"/>
    <col min="9740" max="9740" width="5.5703125" style="375" customWidth="1"/>
    <col min="9741" max="9741" width="11.28515625" style="375" bestFit="1" customWidth="1"/>
    <col min="9742" max="9742" width="14.85546875" style="375" bestFit="1" customWidth="1"/>
    <col min="9743" max="9743" width="12.85546875" style="375" bestFit="1" customWidth="1"/>
    <col min="9744" max="9744" width="11" style="375" customWidth="1"/>
    <col min="9745" max="9745" width="12.28515625" style="375" bestFit="1" customWidth="1"/>
    <col min="9746" max="9746" width="11" style="375" customWidth="1"/>
    <col min="9747" max="9751" width="9.140625" style="375"/>
    <col min="9752" max="9752" width="21.85546875" style="375" customWidth="1"/>
    <col min="9753" max="9985" width="9.140625" style="375"/>
    <col min="9986" max="9986" width="4.7109375" style="375" customWidth="1"/>
    <col min="9987" max="9987" width="40.140625" style="375" bestFit="1" customWidth="1"/>
    <col min="9988" max="9988" width="11.28515625" style="375" customWidth="1"/>
    <col min="9989" max="9989" width="11.85546875" style="375" customWidth="1"/>
    <col min="9990" max="9990" width="5.42578125" style="375" customWidth="1"/>
    <col min="9991" max="9991" width="11.28515625" style="375" customWidth="1"/>
    <col min="9992" max="9992" width="11.85546875" style="375" customWidth="1"/>
    <col min="9993" max="9993" width="7.140625" style="375" customWidth="1"/>
    <col min="9994" max="9994" width="11.28515625" style="375" bestFit="1" customWidth="1"/>
    <col min="9995" max="9995" width="12.28515625" style="375" bestFit="1" customWidth="1"/>
    <col min="9996" max="9996" width="5.5703125" style="375" customWidth="1"/>
    <col min="9997" max="9997" width="11.28515625" style="375" bestFit="1" customWidth="1"/>
    <col min="9998" max="9998" width="14.85546875" style="375" bestFit="1" customWidth="1"/>
    <col min="9999" max="9999" width="12.85546875" style="375" bestFit="1" customWidth="1"/>
    <col min="10000" max="10000" width="11" style="375" customWidth="1"/>
    <col min="10001" max="10001" width="12.28515625" style="375" bestFit="1" customWidth="1"/>
    <col min="10002" max="10002" width="11" style="375" customWidth="1"/>
    <col min="10003" max="10007" width="9.140625" style="375"/>
    <col min="10008" max="10008" width="21.85546875" style="375" customWidth="1"/>
    <col min="10009" max="10241" width="9.140625" style="375"/>
    <col min="10242" max="10242" width="4.7109375" style="375" customWidth="1"/>
    <col min="10243" max="10243" width="40.140625" style="375" bestFit="1" customWidth="1"/>
    <col min="10244" max="10244" width="11.28515625" style="375" customWidth="1"/>
    <col min="10245" max="10245" width="11.85546875" style="375" customWidth="1"/>
    <col min="10246" max="10246" width="5.42578125" style="375" customWidth="1"/>
    <col min="10247" max="10247" width="11.28515625" style="375" customWidth="1"/>
    <col min="10248" max="10248" width="11.85546875" style="375" customWidth="1"/>
    <col min="10249" max="10249" width="7.140625" style="375" customWidth="1"/>
    <col min="10250" max="10250" width="11.28515625" style="375" bestFit="1" customWidth="1"/>
    <col min="10251" max="10251" width="12.28515625" style="375" bestFit="1" customWidth="1"/>
    <col min="10252" max="10252" width="5.5703125" style="375" customWidth="1"/>
    <col min="10253" max="10253" width="11.28515625" style="375" bestFit="1" customWidth="1"/>
    <col min="10254" max="10254" width="14.85546875" style="375" bestFit="1" customWidth="1"/>
    <col min="10255" max="10255" width="12.85546875" style="375" bestFit="1" customWidth="1"/>
    <col min="10256" max="10256" width="11" style="375" customWidth="1"/>
    <col min="10257" max="10257" width="12.28515625" style="375" bestFit="1" customWidth="1"/>
    <col min="10258" max="10258" width="11" style="375" customWidth="1"/>
    <col min="10259" max="10263" width="9.140625" style="375"/>
    <col min="10264" max="10264" width="21.85546875" style="375" customWidth="1"/>
    <col min="10265" max="10497" width="9.140625" style="375"/>
    <col min="10498" max="10498" width="4.7109375" style="375" customWidth="1"/>
    <col min="10499" max="10499" width="40.140625" style="375" bestFit="1" customWidth="1"/>
    <col min="10500" max="10500" width="11.28515625" style="375" customWidth="1"/>
    <col min="10501" max="10501" width="11.85546875" style="375" customWidth="1"/>
    <col min="10502" max="10502" width="5.42578125" style="375" customWidth="1"/>
    <col min="10503" max="10503" width="11.28515625" style="375" customWidth="1"/>
    <col min="10504" max="10504" width="11.85546875" style="375" customWidth="1"/>
    <col min="10505" max="10505" width="7.140625" style="375" customWidth="1"/>
    <col min="10506" max="10506" width="11.28515625" style="375" bestFit="1" customWidth="1"/>
    <col min="10507" max="10507" width="12.28515625" style="375" bestFit="1" customWidth="1"/>
    <col min="10508" max="10508" width="5.5703125" style="375" customWidth="1"/>
    <col min="10509" max="10509" width="11.28515625" style="375" bestFit="1" customWidth="1"/>
    <col min="10510" max="10510" width="14.85546875" style="375" bestFit="1" customWidth="1"/>
    <col min="10511" max="10511" width="12.85546875" style="375" bestFit="1" customWidth="1"/>
    <col min="10512" max="10512" width="11" style="375" customWidth="1"/>
    <col min="10513" max="10513" width="12.28515625" style="375" bestFit="1" customWidth="1"/>
    <col min="10514" max="10514" width="11" style="375" customWidth="1"/>
    <col min="10515" max="10519" width="9.140625" style="375"/>
    <col min="10520" max="10520" width="21.85546875" style="375" customWidth="1"/>
    <col min="10521" max="10753" width="9.140625" style="375"/>
    <col min="10754" max="10754" width="4.7109375" style="375" customWidth="1"/>
    <col min="10755" max="10755" width="40.140625" style="375" bestFit="1" customWidth="1"/>
    <col min="10756" max="10756" width="11.28515625" style="375" customWidth="1"/>
    <col min="10757" max="10757" width="11.85546875" style="375" customWidth="1"/>
    <col min="10758" max="10758" width="5.42578125" style="375" customWidth="1"/>
    <col min="10759" max="10759" width="11.28515625" style="375" customWidth="1"/>
    <col min="10760" max="10760" width="11.85546875" style="375" customWidth="1"/>
    <col min="10761" max="10761" width="7.140625" style="375" customWidth="1"/>
    <col min="10762" max="10762" width="11.28515625" style="375" bestFit="1" customWidth="1"/>
    <col min="10763" max="10763" width="12.28515625" style="375" bestFit="1" customWidth="1"/>
    <col min="10764" max="10764" width="5.5703125" style="375" customWidth="1"/>
    <col min="10765" max="10765" width="11.28515625" style="375" bestFit="1" customWidth="1"/>
    <col min="10766" max="10766" width="14.85546875" style="375" bestFit="1" customWidth="1"/>
    <col min="10767" max="10767" width="12.85546875" style="375" bestFit="1" customWidth="1"/>
    <col min="10768" max="10768" width="11" style="375" customWidth="1"/>
    <col min="10769" max="10769" width="12.28515625" style="375" bestFit="1" customWidth="1"/>
    <col min="10770" max="10770" width="11" style="375" customWidth="1"/>
    <col min="10771" max="10775" width="9.140625" style="375"/>
    <col min="10776" max="10776" width="21.85546875" style="375" customWidth="1"/>
    <col min="10777" max="11009" width="9.140625" style="375"/>
    <col min="11010" max="11010" width="4.7109375" style="375" customWidth="1"/>
    <col min="11011" max="11011" width="40.140625" style="375" bestFit="1" customWidth="1"/>
    <col min="11012" max="11012" width="11.28515625" style="375" customWidth="1"/>
    <col min="11013" max="11013" width="11.85546875" style="375" customWidth="1"/>
    <col min="11014" max="11014" width="5.42578125" style="375" customWidth="1"/>
    <col min="11015" max="11015" width="11.28515625" style="375" customWidth="1"/>
    <col min="11016" max="11016" width="11.85546875" style="375" customWidth="1"/>
    <col min="11017" max="11017" width="7.140625" style="375" customWidth="1"/>
    <col min="11018" max="11018" width="11.28515625" style="375" bestFit="1" customWidth="1"/>
    <col min="11019" max="11019" width="12.28515625" style="375" bestFit="1" customWidth="1"/>
    <col min="11020" max="11020" width="5.5703125" style="375" customWidth="1"/>
    <col min="11021" max="11021" width="11.28515625" style="375" bestFit="1" customWidth="1"/>
    <col min="11022" max="11022" width="14.85546875" style="375" bestFit="1" customWidth="1"/>
    <col min="11023" max="11023" width="12.85546875" style="375" bestFit="1" customWidth="1"/>
    <col min="11024" max="11024" width="11" style="375" customWidth="1"/>
    <col min="11025" max="11025" width="12.28515625" style="375" bestFit="1" customWidth="1"/>
    <col min="11026" max="11026" width="11" style="375" customWidth="1"/>
    <col min="11027" max="11031" width="9.140625" style="375"/>
    <col min="11032" max="11032" width="21.85546875" style="375" customWidth="1"/>
    <col min="11033" max="11265" width="9.140625" style="375"/>
    <col min="11266" max="11266" width="4.7109375" style="375" customWidth="1"/>
    <col min="11267" max="11267" width="40.140625" style="375" bestFit="1" customWidth="1"/>
    <col min="11268" max="11268" width="11.28515625" style="375" customWidth="1"/>
    <col min="11269" max="11269" width="11.85546875" style="375" customWidth="1"/>
    <col min="11270" max="11270" width="5.42578125" style="375" customWidth="1"/>
    <col min="11271" max="11271" width="11.28515625" style="375" customWidth="1"/>
    <col min="11272" max="11272" width="11.85546875" style="375" customWidth="1"/>
    <col min="11273" max="11273" width="7.140625" style="375" customWidth="1"/>
    <col min="11274" max="11274" width="11.28515625" style="375" bestFit="1" customWidth="1"/>
    <col min="11275" max="11275" width="12.28515625" style="375" bestFit="1" customWidth="1"/>
    <col min="11276" max="11276" width="5.5703125" style="375" customWidth="1"/>
    <col min="11277" max="11277" width="11.28515625" style="375" bestFit="1" customWidth="1"/>
    <col min="11278" max="11278" width="14.85546875" style="375" bestFit="1" customWidth="1"/>
    <col min="11279" max="11279" width="12.85546875" style="375" bestFit="1" customWidth="1"/>
    <col min="11280" max="11280" width="11" style="375" customWidth="1"/>
    <col min="11281" max="11281" width="12.28515625" style="375" bestFit="1" customWidth="1"/>
    <col min="11282" max="11282" width="11" style="375" customWidth="1"/>
    <col min="11283" max="11287" width="9.140625" style="375"/>
    <col min="11288" max="11288" width="21.85546875" style="375" customWidth="1"/>
    <col min="11289" max="11521" width="9.140625" style="375"/>
    <col min="11522" max="11522" width="4.7109375" style="375" customWidth="1"/>
    <col min="11523" max="11523" width="40.140625" style="375" bestFit="1" customWidth="1"/>
    <col min="11524" max="11524" width="11.28515625" style="375" customWidth="1"/>
    <col min="11525" max="11525" width="11.85546875" style="375" customWidth="1"/>
    <col min="11526" max="11526" width="5.42578125" style="375" customWidth="1"/>
    <col min="11527" max="11527" width="11.28515625" style="375" customWidth="1"/>
    <col min="11528" max="11528" width="11.85546875" style="375" customWidth="1"/>
    <col min="11529" max="11529" width="7.140625" style="375" customWidth="1"/>
    <col min="11530" max="11530" width="11.28515625" style="375" bestFit="1" customWidth="1"/>
    <col min="11531" max="11531" width="12.28515625" style="375" bestFit="1" customWidth="1"/>
    <col min="11532" max="11532" width="5.5703125" style="375" customWidth="1"/>
    <col min="11533" max="11533" width="11.28515625" style="375" bestFit="1" customWidth="1"/>
    <col min="11534" max="11534" width="14.85546875" style="375" bestFit="1" customWidth="1"/>
    <col min="11535" max="11535" width="12.85546875" style="375" bestFit="1" customWidth="1"/>
    <col min="11536" max="11536" width="11" style="375" customWidth="1"/>
    <col min="11537" max="11537" width="12.28515625" style="375" bestFit="1" customWidth="1"/>
    <col min="11538" max="11538" width="11" style="375" customWidth="1"/>
    <col min="11539" max="11543" width="9.140625" style="375"/>
    <col min="11544" max="11544" width="21.85546875" style="375" customWidth="1"/>
    <col min="11545" max="11777" width="9.140625" style="375"/>
    <col min="11778" max="11778" width="4.7109375" style="375" customWidth="1"/>
    <col min="11779" max="11779" width="40.140625" style="375" bestFit="1" customWidth="1"/>
    <col min="11780" max="11780" width="11.28515625" style="375" customWidth="1"/>
    <col min="11781" max="11781" width="11.85546875" style="375" customWidth="1"/>
    <col min="11782" max="11782" width="5.42578125" style="375" customWidth="1"/>
    <col min="11783" max="11783" width="11.28515625" style="375" customWidth="1"/>
    <col min="11784" max="11784" width="11.85546875" style="375" customWidth="1"/>
    <col min="11785" max="11785" width="7.140625" style="375" customWidth="1"/>
    <col min="11786" max="11786" width="11.28515625" style="375" bestFit="1" customWidth="1"/>
    <col min="11787" max="11787" width="12.28515625" style="375" bestFit="1" customWidth="1"/>
    <col min="11788" max="11788" width="5.5703125" style="375" customWidth="1"/>
    <col min="11789" max="11789" width="11.28515625" style="375" bestFit="1" customWidth="1"/>
    <col min="11790" max="11790" width="14.85546875" style="375" bestFit="1" customWidth="1"/>
    <col min="11791" max="11791" width="12.85546875" style="375" bestFit="1" customWidth="1"/>
    <col min="11792" max="11792" width="11" style="375" customWidth="1"/>
    <col min="11793" max="11793" width="12.28515625" style="375" bestFit="1" customWidth="1"/>
    <col min="11794" max="11794" width="11" style="375" customWidth="1"/>
    <col min="11795" max="11799" width="9.140625" style="375"/>
    <col min="11800" max="11800" width="21.85546875" style="375" customWidth="1"/>
    <col min="11801" max="12033" width="9.140625" style="375"/>
    <col min="12034" max="12034" width="4.7109375" style="375" customWidth="1"/>
    <col min="12035" max="12035" width="40.140625" style="375" bestFit="1" customWidth="1"/>
    <col min="12036" max="12036" width="11.28515625" style="375" customWidth="1"/>
    <col min="12037" max="12037" width="11.85546875" style="375" customWidth="1"/>
    <col min="12038" max="12038" width="5.42578125" style="375" customWidth="1"/>
    <col min="12039" max="12039" width="11.28515625" style="375" customWidth="1"/>
    <col min="12040" max="12040" width="11.85546875" style="375" customWidth="1"/>
    <col min="12041" max="12041" width="7.140625" style="375" customWidth="1"/>
    <col min="12042" max="12042" width="11.28515625" style="375" bestFit="1" customWidth="1"/>
    <col min="12043" max="12043" width="12.28515625" style="375" bestFit="1" customWidth="1"/>
    <col min="12044" max="12044" width="5.5703125" style="375" customWidth="1"/>
    <col min="12045" max="12045" width="11.28515625" style="375" bestFit="1" customWidth="1"/>
    <col min="12046" max="12046" width="14.85546875" style="375" bestFit="1" customWidth="1"/>
    <col min="12047" max="12047" width="12.85546875" style="375" bestFit="1" customWidth="1"/>
    <col min="12048" max="12048" width="11" style="375" customWidth="1"/>
    <col min="12049" max="12049" width="12.28515625" style="375" bestFit="1" customWidth="1"/>
    <col min="12050" max="12050" width="11" style="375" customWidth="1"/>
    <col min="12051" max="12055" width="9.140625" style="375"/>
    <col min="12056" max="12056" width="21.85546875" style="375" customWidth="1"/>
    <col min="12057" max="12289" width="9.140625" style="375"/>
    <col min="12290" max="12290" width="4.7109375" style="375" customWidth="1"/>
    <col min="12291" max="12291" width="40.140625" style="375" bestFit="1" customWidth="1"/>
    <col min="12292" max="12292" width="11.28515625" style="375" customWidth="1"/>
    <col min="12293" max="12293" width="11.85546875" style="375" customWidth="1"/>
    <col min="12294" max="12294" width="5.42578125" style="375" customWidth="1"/>
    <col min="12295" max="12295" width="11.28515625" style="375" customWidth="1"/>
    <col min="12296" max="12296" width="11.85546875" style="375" customWidth="1"/>
    <col min="12297" max="12297" width="7.140625" style="375" customWidth="1"/>
    <col min="12298" max="12298" width="11.28515625" style="375" bestFit="1" customWidth="1"/>
    <col min="12299" max="12299" width="12.28515625" style="375" bestFit="1" customWidth="1"/>
    <col min="12300" max="12300" width="5.5703125" style="375" customWidth="1"/>
    <col min="12301" max="12301" width="11.28515625" style="375" bestFit="1" customWidth="1"/>
    <col min="12302" max="12302" width="14.85546875" style="375" bestFit="1" customWidth="1"/>
    <col min="12303" max="12303" width="12.85546875" style="375" bestFit="1" customWidth="1"/>
    <col min="12304" max="12304" width="11" style="375" customWidth="1"/>
    <col min="12305" max="12305" width="12.28515625" style="375" bestFit="1" customWidth="1"/>
    <col min="12306" max="12306" width="11" style="375" customWidth="1"/>
    <col min="12307" max="12311" width="9.140625" style="375"/>
    <col min="12312" max="12312" width="21.85546875" style="375" customWidth="1"/>
    <col min="12313" max="12545" width="9.140625" style="375"/>
    <col min="12546" max="12546" width="4.7109375" style="375" customWidth="1"/>
    <col min="12547" max="12547" width="40.140625" style="375" bestFit="1" customWidth="1"/>
    <col min="12548" max="12548" width="11.28515625" style="375" customWidth="1"/>
    <col min="12549" max="12549" width="11.85546875" style="375" customWidth="1"/>
    <col min="12550" max="12550" width="5.42578125" style="375" customWidth="1"/>
    <col min="12551" max="12551" width="11.28515625" style="375" customWidth="1"/>
    <col min="12552" max="12552" width="11.85546875" style="375" customWidth="1"/>
    <col min="12553" max="12553" width="7.140625" style="375" customWidth="1"/>
    <col min="12554" max="12554" width="11.28515625" style="375" bestFit="1" customWidth="1"/>
    <col min="12555" max="12555" width="12.28515625" style="375" bestFit="1" customWidth="1"/>
    <col min="12556" max="12556" width="5.5703125" style="375" customWidth="1"/>
    <col min="12557" max="12557" width="11.28515625" style="375" bestFit="1" customWidth="1"/>
    <col min="12558" max="12558" width="14.85546875" style="375" bestFit="1" customWidth="1"/>
    <col min="12559" max="12559" width="12.85546875" style="375" bestFit="1" customWidth="1"/>
    <col min="12560" max="12560" width="11" style="375" customWidth="1"/>
    <col min="12561" max="12561" width="12.28515625" style="375" bestFit="1" customWidth="1"/>
    <col min="12562" max="12562" width="11" style="375" customWidth="1"/>
    <col min="12563" max="12567" width="9.140625" style="375"/>
    <col min="12568" max="12568" width="21.85546875" style="375" customWidth="1"/>
    <col min="12569" max="12801" width="9.140625" style="375"/>
    <col min="12802" max="12802" width="4.7109375" style="375" customWidth="1"/>
    <col min="12803" max="12803" width="40.140625" style="375" bestFit="1" customWidth="1"/>
    <col min="12804" max="12804" width="11.28515625" style="375" customWidth="1"/>
    <col min="12805" max="12805" width="11.85546875" style="375" customWidth="1"/>
    <col min="12806" max="12806" width="5.42578125" style="375" customWidth="1"/>
    <col min="12807" max="12807" width="11.28515625" style="375" customWidth="1"/>
    <col min="12808" max="12808" width="11.85546875" style="375" customWidth="1"/>
    <col min="12809" max="12809" width="7.140625" style="375" customWidth="1"/>
    <col min="12810" max="12810" width="11.28515625" style="375" bestFit="1" customWidth="1"/>
    <col min="12811" max="12811" width="12.28515625" style="375" bestFit="1" customWidth="1"/>
    <col min="12812" max="12812" width="5.5703125" style="375" customWidth="1"/>
    <col min="12813" max="12813" width="11.28515625" style="375" bestFit="1" customWidth="1"/>
    <col min="12814" max="12814" width="14.85546875" style="375" bestFit="1" customWidth="1"/>
    <col min="12815" max="12815" width="12.85546875" style="375" bestFit="1" customWidth="1"/>
    <col min="12816" max="12816" width="11" style="375" customWidth="1"/>
    <col min="12817" max="12817" width="12.28515625" style="375" bestFit="1" customWidth="1"/>
    <col min="12818" max="12818" width="11" style="375" customWidth="1"/>
    <col min="12819" max="12823" width="9.140625" style="375"/>
    <col min="12824" max="12824" width="21.85546875" style="375" customWidth="1"/>
    <col min="12825" max="13057" width="9.140625" style="375"/>
    <col min="13058" max="13058" width="4.7109375" style="375" customWidth="1"/>
    <col min="13059" max="13059" width="40.140625" style="375" bestFit="1" customWidth="1"/>
    <col min="13060" max="13060" width="11.28515625" style="375" customWidth="1"/>
    <col min="13061" max="13061" width="11.85546875" style="375" customWidth="1"/>
    <col min="13062" max="13062" width="5.42578125" style="375" customWidth="1"/>
    <col min="13063" max="13063" width="11.28515625" style="375" customWidth="1"/>
    <col min="13064" max="13064" width="11.85546875" style="375" customWidth="1"/>
    <col min="13065" max="13065" width="7.140625" style="375" customWidth="1"/>
    <col min="13066" max="13066" width="11.28515625" style="375" bestFit="1" customWidth="1"/>
    <col min="13067" max="13067" width="12.28515625" style="375" bestFit="1" customWidth="1"/>
    <col min="13068" max="13068" width="5.5703125" style="375" customWidth="1"/>
    <col min="13069" max="13069" width="11.28515625" style="375" bestFit="1" customWidth="1"/>
    <col min="13070" max="13070" width="14.85546875" style="375" bestFit="1" customWidth="1"/>
    <col min="13071" max="13071" width="12.85546875" style="375" bestFit="1" customWidth="1"/>
    <col min="13072" max="13072" width="11" style="375" customWidth="1"/>
    <col min="13073" max="13073" width="12.28515625" style="375" bestFit="1" customWidth="1"/>
    <col min="13074" max="13074" width="11" style="375" customWidth="1"/>
    <col min="13075" max="13079" width="9.140625" style="375"/>
    <col min="13080" max="13080" width="21.85546875" style="375" customWidth="1"/>
    <col min="13081" max="13313" width="9.140625" style="375"/>
    <col min="13314" max="13314" width="4.7109375" style="375" customWidth="1"/>
    <col min="13315" max="13315" width="40.140625" style="375" bestFit="1" customWidth="1"/>
    <col min="13316" max="13316" width="11.28515625" style="375" customWidth="1"/>
    <col min="13317" max="13317" width="11.85546875" style="375" customWidth="1"/>
    <col min="13318" max="13318" width="5.42578125" style="375" customWidth="1"/>
    <col min="13319" max="13319" width="11.28515625" style="375" customWidth="1"/>
    <col min="13320" max="13320" width="11.85546875" style="375" customWidth="1"/>
    <col min="13321" max="13321" width="7.140625" style="375" customWidth="1"/>
    <col min="13322" max="13322" width="11.28515625" style="375" bestFit="1" customWidth="1"/>
    <col min="13323" max="13323" width="12.28515625" style="375" bestFit="1" customWidth="1"/>
    <col min="13324" max="13324" width="5.5703125" style="375" customWidth="1"/>
    <col min="13325" max="13325" width="11.28515625" style="375" bestFit="1" customWidth="1"/>
    <col min="13326" max="13326" width="14.85546875" style="375" bestFit="1" customWidth="1"/>
    <col min="13327" max="13327" width="12.85546875" style="375" bestFit="1" customWidth="1"/>
    <col min="13328" max="13328" width="11" style="375" customWidth="1"/>
    <col min="13329" max="13329" width="12.28515625" style="375" bestFit="1" customWidth="1"/>
    <col min="13330" max="13330" width="11" style="375" customWidth="1"/>
    <col min="13331" max="13335" width="9.140625" style="375"/>
    <col min="13336" max="13336" width="21.85546875" style="375" customWidth="1"/>
    <col min="13337" max="13569" width="9.140625" style="375"/>
    <col min="13570" max="13570" width="4.7109375" style="375" customWidth="1"/>
    <col min="13571" max="13571" width="40.140625" style="375" bestFit="1" customWidth="1"/>
    <col min="13572" max="13572" width="11.28515625" style="375" customWidth="1"/>
    <col min="13573" max="13573" width="11.85546875" style="375" customWidth="1"/>
    <col min="13574" max="13574" width="5.42578125" style="375" customWidth="1"/>
    <col min="13575" max="13575" width="11.28515625" style="375" customWidth="1"/>
    <col min="13576" max="13576" width="11.85546875" style="375" customWidth="1"/>
    <col min="13577" max="13577" width="7.140625" style="375" customWidth="1"/>
    <col min="13578" max="13578" width="11.28515625" style="375" bestFit="1" customWidth="1"/>
    <col min="13579" max="13579" width="12.28515625" style="375" bestFit="1" customWidth="1"/>
    <col min="13580" max="13580" width="5.5703125" style="375" customWidth="1"/>
    <col min="13581" max="13581" width="11.28515625" style="375" bestFit="1" customWidth="1"/>
    <col min="13582" max="13582" width="14.85546875" style="375" bestFit="1" customWidth="1"/>
    <col min="13583" max="13583" width="12.85546875" style="375" bestFit="1" customWidth="1"/>
    <col min="13584" max="13584" width="11" style="375" customWidth="1"/>
    <col min="13585" max="13585" width="12.28515625" style="375" bestFit="1" customWidth="1"/>
    <col min="13586" max="13586" width="11" style="375" customWidth="1"/>
    <col min="13587" max="13591" width="9.140625" style="375"/>
    <col min="13592" max="13592" width="21.85546875" style="375" customWidth="1"/>
    <col min="13593" max="13825" width="9.140625" style="375"/>
    <col min="13826" max="13826" width="4.7109375" style="375" customWidth="1"/>
    <col min="13827" max="13827" width="40.140625" style="375" bestFit="1" customWidth="1"/>
    <col min="13828" max="13828" width="11.28515625" style="375" customWidth="1"/>
    <col min="13829" max="13829" width="11.85546875" style="375" customWidth="1"/>
    <col min="13830" max="13830" width="5.42578125" style="375" customWidth="1"/>
    <col min="13831" max="13831" width="11.28515625" style="375" customWidth="1"/>
    <col min="13832" max="13832" width="11.85546875" style="375" customWidth="1"/>
    <col min="13833" max="13833" width="7.140625" style="375" customWidth="1"/>
    <col min="13834" max="13834" width="11.28515625" style="375" bestFit="1" customWidth="1"/>
    <col min="13835" max="13835" width="12.28515625" style="375" bestFit="1" customWidth="1"/>
    <col min="13836" max="13836" width="5.5703125" style="375" customWidth="1"/>
    <col min="13837" max="13837" width="11.28515625" style="375" bestFit="1" customWidth="1"/>
    <col min="13838" max="13838" width="14.85546875" style="375" bestFit="1" customWidth="1"/>
    <col min="13839" max="13839" width="12.85546875" style="375" bestFit="1" customWidth="1"/>
    <col min="13840" max="13840" width="11" style="375" customWidth="1"/>
    <col min="13841" max="13841" width="12.28515625" style="375" bestFit="1" customWidth="1"/>
    <col min="13842" max="13842" width="11" style="375" customWidth="1"/>
    <col min="13843" max="13847" width="9.140625" style="375"/>
    <col min="13848" max="13848" width="21.85546875" style="375" customWidth="1"/>
    <col min="13849" max="14081" width="9.140625" style="375"/>
    <col min="14082" max="14082" width="4.7109375" style="375" customWidth="1"/>
    <col min="14083" max="14083" width="40.140625" style="375" bestFit="1" customWidth="1"/>
    <col min="14084" max="14084" width="11.28515625" style="375" customWidth="1"/>
    <col min="14085" max="14085" width="11.85546875" style="375" customWidth="1"/>
    <col min="14086" max="14086" width="5.42578125" style="375" customWidth="1"/>
    <col min="14087" max="14087" width="11.28515625" style="375" customWidth="1"/>
    <col min="14088" max="14088" width="11.85546875" style="375" customWidth="1"/>
    <col min="14089" max="14089" width="7.140625" style="375" customWidth="1"/>
    <col min="14090" max="14090" width="11.28515625" style="375" bestFit="1" customWidth="1"/>
    <col min="14091" max="14091" width="12.28515625" style="375" bestFit="1" customWidth="1"/>
    <col min="14092" max="14092" width="5.5703125" style="375" customWidth="1"/>
    <col min="14093" max="14093" width="11.28515625" style="375" bestFit="1" customWidth="1"/>
    <col min="14094" max="14094" width="14.85546875" style="375" bestFit="1" customWidth="1"/>
    <col min="14095" max="14095" width="12.85546875" style="375" bestFit="1" customWidth="1"/>
    <col min="14096" max="14096" width="11" style="375" customWidth="1"/>
    <col min="14097" max="14097" width="12.28515625" style="375" bestFit="1" customWidth="1"/>
    <col min="14098" max="14098" width="11" style="375" customWidth="1"/>
    <col min="14099" max="14103" width="9.140625" style="375"/>
    <col min="14104" max="14104" width="21.85546875" style="375" customWidth="1"/>
    <col min="14105" max="14337" width="9.140625" style="375"/>
    <col min="14338" max="14338" width="4.7109375" style="375" customWidth="1"/>
    <col min="14339" max="14339" width="40.140625" style="375" bestFit="1" customWidth="1"/>
    <col min="14340" max="14340" width="11.28515625" style="375" customWidth="1"/>
    <col min="14341" max="14341" width="11.85546875" style="375" customWidth="1"/>
    <col min="14342" max="14342" width="5.42578125" style="375" customWidth="1"/>
    <col min="14343" max="14343" width="11.28515625" style="375" customWidth="1"/>
    <col min="14344" max="14344" width="11.85546875" style="375" customWidth="1"/>
    <col min="14345" max="14345" width="7.140625" style="375" customWidth="1"/>
    <col min="14346" max="14346" width="11.28515625" style="375" bestFit="1" customWidth="1"/>
    <col min="14347" max="14347" width="12.28515625" style="375" bestFit="1" customWidth="1"/>
    <col min="14348" max="14348" width="5.5703125" style="375" customWidth="1"/>
    <col min="14349" max="14349" width="11.28515625" style="375" bestFit="1" customWidth="1"/>
    <col min="14350" max="14350" width="14.85546875" style="375" bestFit="1" customWidth="1"/>
    <col min="14351" max="14351" width="12.85546875" style="375" bestFit="1" customWidth="1"/>
    <col min="14352" max="14352" width="11" style="375" customWidth="1"/>
    <col min="14353" max="14353" width="12.28515625" style="375" bestFit="1" customWidth="1"/>
    <col min="14354" max="14354" width="11" style="375" customWidth="1"/>
    <col min="14355" max="14359" width="9.140625" style="375"/>
    <col min="14360" max="14360" width="21.85546875" style="375" customWidth="1"/>
    <col min="14361" max="14593" width="9.140625" style="375"/>
    <col min="14594" max="14594" width="4.7109375" style="375" customWidth="1"/>
    <col min="14595" max="14595" width="40.140625" style="375" bestFit="1" customWidth="1"/>
    <col min="14596" max="14596" width="11.28515625" style="375" customWidth="1"/>
    <col min="14597" max="14597" width="11.85546875" style="375" customWidth="1"/>
    <col min="14598" max="14598" width="5.42578125" style="375" customWidth="1"/>
    <col min="14599" max="14599" width="11.28515625" style="375" customWidth="1"/>
    <col min="14600" max="14600" width="11.85546875" style="375" customWidth="1"/>
    <col min="14601" max="14601" width="7.140625" style="375" customWidth="1"/>
    <col min="14602" max="14602" width="11.28515625" style="375" bestFit="1" customWidth="1"/>
    <col min="14603" max="14603" width="12.28515625" style="375" bestFit="1" customWidth="1"/>
    <col min="14604" max="14604" width="5.5703125" style="375" customWidth="1"/>
    <col min="14605" max="14605" width="11.28515625" style="375" bestFit="1" customWidth="1"/>
    <col min="14606" max="14606" width="14.85546875" style="375" bestFit="1" customWidth="1"/>
    <col min="14607" max="14607" width="12.85546875" style="375" bestFit="1" customWidth="1"/>
    <col min="14608" max="14608" width="11" style="375" customWidth="1"/>
    <col min="14609" max="14609" width="12.28515625" style="375" bestFit="1" customWidth="1"/>
    <col min="14610" max="14610" width="11" style="375" customWidth="1"/>
    <col min="14611" max="14615" width="9.140625" style="375"/>
    <col min="14616" max="14616" width="21.85546875" style="375" customWidth="1"/>
    <col min="14617" max="14849" width="9.140625" style="375"/>
    <col min="14850" max="14850" width="4.7109375" style="375" customWidth="1"/>
    <col min="14851" max="14851" width="40.140625" style="375" bestFit="1" customWidth="1"/>
    <col min="14852" max="14852" width="11.28515625" style="375" customWidth="1"/>
    <col min="14853" max="14853" width="11.85546875" style="375" customWidth="1"/>
    <col min="14854" max="14854" width="5.42578125" style="375" customWidth="1"/>
    <col min="14855" max="14855" width="11.28515625" style="375" customWidth="1"/>
    <col min="14856" max="14856" width="11.85546875" style="375" customWidth="1"/>
    <col min="14857" max="14857" width="7.140625" style="375" customWidth="1"/>
    <col min="14858" max="14858" width="11.28515625" style="375" bestFit="1" customWidth="1"/>
    <col min="14859" max="14859" width="12.28515625" style="375" bestFit="1" customWidth="1"/>
    <col min="14860" max="14860" width="5.5703125" style="375" customWidth="1"/>
    <col min="14861" max="14861" width="11.28515625" style="375" bestFit="1" customWidth="1"/>
    <col min="14862" max="14862" width="14.85546875" style="375" bestFit="1" customWidth="1"/>
    <col min="14863" max="14863" width="12.85546875" style="375" bestFit="1" customWidth="1"/>
    <col min="14864" max="14864" width="11" style="375" customWidth="1"/>
    <col min="14865" max="14865" width="12.28515625" style="375" bestFit="1" customWidth="1"/>
    <col min="14866" max="14866" width="11" style="375" customWidth="1"/>
    <col min="14867" max="14871" width="9.140625" style="375"/>
    <col min="14872" max="14872" width="21.85546875" style="375" customWidth="1"/>
    <col min="14873" max="15105" width="9.140625" style="375"/>
    <col min="15106" max="15106" width="4.7109375" style="375" customWidth="1"/>
    <col min="15107" max="15107" width="40.140625" style="375" bestFit="1" customWidth="1"/>
    <col min="15108" max="15108" width="11.28515625" style="375" customWidth="1"/>
    <col min="15109" max="15109" width="11.85546875" style="375" customWidth="1"/>
    <col min="15110" max="15110" width="5.42578125" style="375" customWidth="1"/>
    <col min="15111" max="15111" width="11.28515625" style="375" customWidth="1"/>
    <col min="15112" max="15112" width="11.85546875" style="375" customWidth="1"/>
    <col min="15113" max="15113" width="7.140625" style="375" customWidth="1"/>
    <col min="15114" max="15114" width="11.28515625" style="375" bestFit="1" customWidth="1"/>
    <col min="15115" max="15115" width="12.28515625" style="375" bestFit="1" customWidth="1"/>
    <col min="15116" max="15116" width="5.5703125" style="375" customWidth="1"/>
    <col min="15117" max="15117" width="11.28515625" style="375" bestFit="1" customWidth="1"/>
    <col min="15118" max="15118" width="14.85546875" style="375" bestFit="1" customWidth="1"/>
    <col min="15119" max="15119" width="12.85546875" style="375" bestFit="1" customWidth="1"/>
    <col min="15120" max="15120" width="11" style="375" customWidth="1"/>
    <col min="15121" max="15121" width="12.28515625" style="375" bestFit="1" customWidth="1"/>
    <col min="15122" max="15122" width="11" style="375" customWidth="1"/>
    <col min="15123" max="15127" width="9.140625" style="375"/>
    <col min="15128" max="15128" width="21.85546875" style="375" customWidth="1"/>
    <col min="15129" max="15361" width="9.140625" style="375"/>
    <col min="15362" max="15362" width="4.7109375" style="375" customWidth="1"/>
    <col min="15363" max="15363" width="40.140625" style="375" bestFit="1" customWidth="1"/>
    <col min="15364" max="15364" width="11.28515625" style="375" customWidth="1"/>
    <col min="15365" max="15365" width="11.85546875" style="375" customWidth="1"/>
    <col min="15366" max="15366" width="5.42578125" style="375" customWidth="1"/>
    <col min="15367" max="15367" width="11.28515625" style="375" customWidth="1"/>
    <col min="15368" max="15368" width="11.85546875" style="375" customWidth="1"/>
    <col min="15369" max="15369" width="7.140625" style="375" customWidth="1"/>
    <col min="15370" max="15370" width="11.28515625" style="375" bestFit="1" customWidth="1"/>
    <col min="15371" max="15371" width="12.28515625" style="375" bestFit="1" customWidth="1"/>
    <col min="15372" max="15372" width="5.5703125" style="375" customWidth="1"/>
    <col min="15373" max="15373" width="11.28515625" style="375" bestFit="1" customWidth="1"/>
    <col min="15374" max="15374" width="14.85546875" style="375" bestFit="1" customWidth="1"/>
    <col min="15375" max="15375" width="12.85546875" style="375" bestFit="1" customWidth="1"/>
    <col min="15376" max="15376" width="11" style="375" customWidth="1"/>
    <col min="15377" max="15377" width="12.28515625" style="375" bestFit="1" customWidth="1"/>
    <col min="15378" max="15378" width="11" style="375" customWidth="1"/>
    <col min="15379" max="15383" width="9.140625" style="375"/>
    <col min="15384" max="15384" width="21.85546875" style="375" customWidth="1"/>
    <col min="15385" max="15617" width="9.140625" style="375"/>
    <col min="15618" max="15618" width="4.7109375" style="375" customWidth="1"/>
    <col min="15619" max="15619" width="40.140625" style="375" bestFit="1" customWidth="1"/>
    <col min="15620" max="15620" width="11.28515625" style="375" customWidth="1"/>
    <col min="15621" max="15621" width="11.85546875" style="375" customWidth="1"/>
    <col min="15622" max="15622" width="5.42578125" style="375" customWidth="1"/>
    <col min="15623" max="15623" width="11.28515625" style="375" customWidth="1"/>
    <col min="15624" max="15624" width="11.85546875" style="375" customWidth="1"/>
    <col min="15625" max="15625" width="7.140625" style="375" customWidth="1"/>
    <col min="15626" max="15626" width="11.28515625" style="375" bestFit="1" customWidth="1"/>
    <col min="15627" max="15627" width="12.28515625" style="375" bestFit="1" customWidth="1"/>
    <col min="15628" max="15628" width="5.5703125" style="375" customWidth="1"/>
    <col min="15629" max="15629" width="11.28515625" style="375" bestFit="1" customWidth="1"/>
    <col min="15630" max="15630" width="14.85546875" style="375" bestFit="1" customWidth="1"/>
    <col min="15631" max="15631" width="12.85546875" style="375" bestFit="1" customWidth="1"/>
    <col min="15632" max="15632" width="11" style="375" customWidth="1"/>
    <col min="15633" max="15633" width="12.28515625" style="375" bestFit="1" customWidth="1"/>
    <col min="15634" max="15634" width="11" style="375" customWidth="1"/>
    <col min="15635" max="15639" width="9.140625" style="375"/>
    <col min="15640" max="15640" width="21.85546875" style="375" customWidth="1"/>
    <col min="15641" max="15873" width="9.140625" style="375"/>
    <col min="15874" max="15874" width="4.7109375" style="375" customWidth="1"/>
    <col min="15875" max="15875" width="40.140625" style="375" bestFit="1" customWidth="1"/>
    <col min="15876" max="15876" width="11.28515625" style="375" customWidth="1"/>
    <col min="15877" max="15877" width="11.85546875" style="375" customWidth="1"/>
    <col min="15878" max="15878" width="5.42578125" style="375" customWidth="1"/>
    <col min="15879" max="15879" width="11.28515625" style="375" customWidth="1"/>
    <col min="15880" max="15880" width="11.85546875" style="375" customWidth="1"/>
    <col min="15881" max="15881" width="7.140625" style="375" customWidth="1"/>
    <col min="15882" max="15882" width="11.28515625" style="375" bestFit="1" customWidth="1"/>
    <col min="15883" max="15883" width="12.28515625" style="375" bestFit="1" customWidth="1"/>
    <col min="15884" max="15884" width="5.5703125" style="375" customWidth="1"/>
    <col min="15885" max="15885" width="11.28515625" style="375" bestFit="1" customWidth="1"/>
    <col min="15886" max="15886" width="14.85546875" style="375" bestFit="1" customWidth="1"/>
    <col min="15887" max="15887" width="12.85546875" style="375" bestFit="1" customWidth="1"/>
    <col min="15888" max="15888" width="11" style="375" customWidth="1"/>
    <col min="15889" max="15889" width="12.28515625" style="375" bestFit="1" customWidth="1"/>
    <col min="15890" max="15890" width="11" style="375" customWidth="1"/>
    <col min="15891" max="15895" width="9.140625" style="375"/>
    <col min="15896" max="15896" width="21.85546875" style="375" customWidth="1"/>
    <col min="15897" max="16129" width="9.140625" style="375"/>
    <col min="16130" max="16130" width="4.7109375" style="375" customWidth="1"/>
    <col min="16131" max="16131" width="40.140625" style="375" bestFit="1" customWidth="1"/>
    <col min="16132" max="16132" width="11.28515625" style="375" customWidth="1"/>
    <col min="16133" max="16133" width="11.85546875" style="375" customWidth="1"/>
    <col min="16134" max="16134" width="5.42578125" style="375" customWidth="1"/>
    <col min="16135" max="16135" width="11.28515625" style="375" customWidth="1"/>
    <col min="16136" max="16136" width="11.85546875" style="375" customWidth="1"/>
    <col min="16137" max="16137" width="7.140625" style="375" customWidth="1"/>
    <col min="16138" max="16138" width="11.28515625" style="375" bestFit="1" customWidth="1"/>
    <col min="16139" max="16139" width="12.28515625" style="375" bestFit="1" customWidth="1"/>
    <col min="16140" max="16140" width="5.5703125" style="375" customWidth="1"/>
    <col min="16141" max="16141" width="11.28515625" style="375" bestFit="1" customWidth="1"/>
    <col min="16142" max="16142" width="14.85546875" style="375" bestFit="1" customWidth="1"/>
    <col min="16143" max="16143" width="12.85546875" style="375" bestFit="1" customWidth="1"/>
    <col min="16144" max="16144" width="11" style="375" customWidth="1"/>
    <col min="16145" max="16145" width="12.28515625" style="375" bestFit="1" customWidth="1"/>
    <col min="16146" max="16146" width="11" style="375" customWidth="1"/>
    <col min="16147" max="16151" width="9.140625" style="375"/>
    <col min="16152" max="16152" width="21.85546875" style="375" customWidth="1"/>
    <col min="16153" max="16384" width="9.140625" style="375"/>
  </cols>
  <sheetData>
    <row r="1" spans="1:17" ht="18">
      <c r="A1" s="1138" t="s">
        <v>1109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</row>
    <row r="2" spans="1:17" ht="15.75">
      <c r="A2" s="1139" t="s">
        <v>1110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</row>
    <row r="3" spans="1:17" ht="15.75">
      <c r="A3" s="29"/>
      <c r="B3" s="824"/>
    </row>
    <row r="4" spans="1:17" ht="15.75">
      <c r="A4" s="29"/>
      <c r="B4" s="824"/>
    </row>
    <row r="5" spans="1:17" ht="15.75">
      <c r="A5" s="29"/>
      <c r="B5" s="824"/>
      <c r="D5" s="376"/>
      <c r="E5" s="376"/>
      <c r="F5" s="376"/>
      <c r="G5" s="376"/>
      <c r="I5" s="376"/>
      <c r="J5" s="376"/>
      <c r="K5" s="376"/>
      <c r="L5" s="376"/>
      <c r="N5" s="376"/>
    </row>
    <row r="6" spans="1:17" ht="15.75">
      <c r="A6" s="29"/>
      <c r="B6" s="824"/>
      <c r="C6" s="826"/>
      <c r="D6" s="825" t="s">
        <v>210</v>
      </c>
      <c r="E6" s="825"/>
      <c r="F6" s="825"/>
      <c r="G6" s="825"/>
      <c r="H6" s="826"/>
      <c r="I6" s="825" t="s">
        <v>210</v>
      </c>
      <c r="J6" s="825"/>
      <c r="K6" s="825"/>
      <c r="L6" s="825"/>
      <c r="M6" s="826"/>
      <c r="N6" s="825" t="s">
        <v>210</v>
      </c>
    </row>
    <row r="7" spans="1:17" ht="15.75">
      <c r="A7" s="76"/>
      <c r="B7" s="76"/>
      <c r="C7" s="826"/>
      <c r="D7" s="825" t="s">
        <v>1111</v>
      </c>
      <c r="E7" s="825"/>
      <c r="F7" s="825"/>
      <c r="G7" s="825"/>
      <c r="H7" s="826"/>
      <c r="I7" s="825" t="s">
        <v>1112</v>
      </c>
      <c r="J7" s="825"/>
      <c r="K7" s="825"/>
      <c r="L7" s="825"/>
      <c r="M7" s="826"/>
      <c r="N7" s="825" t="s">
        <v>3</v>
      </c>
      <c r="O7" s="76"/>
    </row>
    <row r="8" spans="1:17" ht="15.75">
      <c r="A8" s="827" t="s">
        <v>1113</v>
      </c>
      <c r="B8" s="76"/>
      <c r="C8" s="829"/>
      <c r="D8" s="828">
        <v>2020</v>
      </c>
      <c r="E8" s="22" t="s">
        <v>1114</v>
      </c>
      <c r="F8" s="28" t="s">
        <v>1115</v>
      </c>
      <c r="G8" s="28" t="s">
        <v>1063</v>
      </c>
      <c r="H8" s="829"/>
      <c r="I8" s="828">
        <v>2021</v>
      </c>
      <c r="J8" s="22" t="s">
        <v>1114</v>
      </c>
      <c r="K8" s="28" t="s">
        <v>1115</v>
      </c>
      <c r="L8" s="28" t="s">
        <v>1063</v>
      </c>
      <c r="N8" s="828">
        <v>2022</v>
      </c>
      <c r="O8" s="22" t="s">
        <v>1114</v>
      </c>
      <c r="P8" s="28" t="s">
        <v>1115</v>
      </c>
      <c r="Q8" s="28" t="s">
        <v>1063</v>
      </c>
    </row>
    <row r="9" spans="1:17" ht="14.25">
      <c r="C9" s="826"/>
      <c r="D9" s="826"/>
      <c r="E9" s="854">
        <v>4.8983000000000002E-4</v>
      </c>
      <c r="F9" s="855">
        <v>1.4000000000000001E-4</v>
      </c>
      <c r="G9" s="855">
        <v>4.7460000000000002E-3</v>
      </c>
      <c r="H9" s="826"/>
      <c r="I9" s="826"/>
      <c r="J9" s="854">
        <v>5.9668000000000004E-4</v>
      </c>
      <c r="K9" s="855">
        <v>1.3300000000000001E-4</v>
      </c>
      <c r="L9" s="855">
        <v>4.5869999999999999E-3</v>
      </c>
      <c r="M9" s="826"/>
      <c r="N9" s="826"/>
      <c r="O9" s="854">
        <f ca="1">+Report!H188/10000</f>
        <v>3.0563999999999998E-4</v>
      </c>
      <c r="P9" s="855">
        <f ca="1">+-Report!H196/10000</f>
        <v>2.1799999999999996E-4</v>
      </c>
      <c r="Q9" s="855">
        <f ca="1">+Report!H200/10000</f>
        <v>4.7490000000000006E-3</v>
      </c>
    </row>
    <row r="10" spans="1:17" ht="15">
      <c r="B10" s="826" t="s">
        <v>1116</v>
      </c>
      <c r="C10" s="856">
        <v>1314032.4536923077</v>
      </c>
      <c r="D10" s="826"/>
      <c r="E10" s="826"/>
      <c r="F10" s="826"/>
      <c r="G10" s="826"/>
      <c r="H10" s="856">
        <v>1607778.6104498494</v>
      </c>
      <c r="I10" s="826"/>
      <c r="J10" s="826"/>
      <c r="K10" s="826"/>
      <c r="L10" s="826"/>
      <c r="M10" s="856">
        <f ca="1">+Report!T55</f>
        <v>2509267.9031391586</v>
      </c>
      <c r="N10" s="826"/>
      <c r="O10" s="830"/>
      <c r="P10" s="830"/>
      <c r="Q10" s="28"/>
    </row>
    <row r="11" spans="1:17" ht="15">
      <c r="C11" s="826"/>
      <c r="D11" s="826"/>
      <c r="E11" s="826"/>
      <c r="F11" s="826"/>
      <c r="G11" s="826"/>
      <c r="H11" s="826"/>
      <c r="I11" s="826"/>
      <c r="J11" s="826"/>
      <c r="K11" s="826"/>
      <c r="L11" s="826"/>
      <c r="M11" s="856"/>
      <c r="N11" s="826"/>
      <c r="O11" s="830"/>
      <c r="P11" s="830"/>
      <c r="Q11" s="28"/>
    </row>
    <row r="12" spans="1:17" ht="14.25">
      <c r="A12" s="826" t="s">
        <v>1163</v>
      </c>
      <c r="C12" s="826"/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30"/>
      <c r="P12" s="830"/>
      <c r="Q12" s="28"/>
    </row>
    <row r="13" spans="1:17">
      <c r="B13" s="375" t="s">
        <v>1121</v>
      </c>
      <c r="D13" s="546">
        <v>51915.389260000069</v>
      </c>
      <c r="E13" s="546"/>
      <c r="F13" s="546"/>
      <c r="G13" s="546"/>
      <c r="I13" s="546">
        <v>74104.479928044238</v>
      </c>
      <c r="J13" s="546"/>
      <c r="K13" s="546"/>
      <c r="L13" s="546"/>
      <c r="N13" s="546">
        <f ca="1">+IncomeStmt!F43</f>
        <v>25950.959299747698</v>
      </c>
    </row>
    <row r="14" spans="1:17" ht="14.25">
      <c r="B14" s="375" t="s">
        <v>1122</v>
      </c>
      <c r="D14" s="831">
        <v>596700.94915500004</v>
      </c>
      <c r="E14" s="546"/>
      <c r="F14" s="546"/>
      <c r="G14" s="546"/>
      <c r="I14" s="831">
        <v>722652.33422646637</v>
      </c>
      <c r="J14" s="546"/>
      <c r="K14" s="546"/>
      <c r="L14" s="546"/>
      <c r="N14" s="831">
        <f>+('Bal Sheet'!BJ63+'Bal Sheet'!BV63)/2</f>
        <v>888784.40915000008</v>
      </c>
      <c r="O14" s="826"/>
      <c r="P14" s="22"/>
    </row>
    <row r="15" spans="1:17" ht="14.25">
      <c r="A15" s="826" t="s">
        <v>1163</v>
      </c>
      <c r="B15" s="826"/>
      <c r="C15" s="832"/>
      <c r="D15" s="849">
        <f>+D13/D14</f>
        <v>8.7004033316049639E-2</v>
      </c>
      <c r="E15" s="859"/>
      <c r="F15" s="859"/>
      <c r="G15" s="859"/>
      <c r="H15" s="832"/>
      <c r="I15" s="849">
        <f>+I13/I14</f>
        <v>0.10254513327956845</v>
      </c>
      <c r="J15" s="859"/>
      <c r="K15" s="859"/>
      <c r="L15" s="859"/>
      <c r="M15" s="832"/>
      <c r="N15" s="849">
        <f ca="1">+N13/N14</f>
        <v>2.9198261167256767E-2</v>
      </c>
      <c r="O15" s="834"/>
      <c r="P15" s="835"/>
    </row>
    <row r="16" spans="1:17" ht="14.25">
      <c r="B16" s="826"/>
      <c r="C16" s="832"/>
      <c r="D16" s="833"/>
      <c r="E16" s="833"/>
      <c r="F16" s="833"/>
      <c r="G16" s="833"/>
      <c r="H16" s="832"/>
      <c r="I16" s="833"/>
      <c r="J16" s="833"/>
      <c r="K16" s="833"/>
      <c r="L16" s="833"/>
      <c r="M16" s="832"/>
      <c r="N16" s="833"/>
      <c r="O16" s="826"/>
    </row>
    <row r="17" spans="1:21" ht="14.25">
      <c r="B17" s="869" t="s">
        <v>1123</v>
      </c>
      <c r="C17" s="870"/>
      <c r="D17" s="871">
        <f>ROUND(+((((C18/C19)-E9+F9)/G9)*(C19/C10))*(0-100),2)/100</f>
        <v>-0.49659999999999999</v>
      </c>
      <c r="E17" s="872"/>
      <c r="F17" s="872"/>
      <c r="G17" s="872"/>
      <c r="H17" s="870"/>
      <c r="I17" s="871">
        <f>ROUND(+((((H18/H19)-J9+K9)/L9)*(H19/H10))*(0-100),2)/100</f>
        <v>-0.43689999999999996</v>
      </c>
      <c r="J17" s="872"/>
      <c r="K17" s="872"/>
      <c r="L17" s="872"/>
      <c r="M17" s="870"/>
      <c r="N17" s="871">
        <f ca="1">ROUND(+((((M18/M19)-O9+P9)/Q9)*(M19/M10))*(0-100),2)/100*0</f>
        <v>0</v>
      </c>
      <c r="O17" s="826"/>
      <c r="P17" s="705">
        <f ca="1">+M18/M19</f>
        <v>4.5952908836399797E-2</v>
      </c>
    </row>
    <row r="18" spans="1:21" ht="14.25">
      <c r="B18" s="853" t="s">
        <v>1124</v>
      </c>
      <c r="C18" s="832">
        <v>3121.6035899999997</v>
      </c>
      <c r="D18" s="836"/>
      <c r="E18" s="844"/>
      <c r="F18" s="844"/>
      <c r="G18" s="844"/>
      <c r="H18" s="832">
        <v>3256.3816200000001</v>
      </c>
      <c r="I18" s="836"/>
      <c r="J18" s="844"/>
      <c r="K18" s="844"/>
      <c r="L18" s="844"/>
      <c r="M18" s="832">
        <f ca="1">+IncomeStmt!F30</f>
        <v>5060.5</v>
      </c>
      <c r="N18" s="836"/>
      <c r="O18" s="826"/>
      <c r="P18" s="868">
        <f ca="1">+O9</f>
        <v>3.0563999999999998E-4</v>
      </c>
    </row>
    <row r="19" spans="1:21" ht="14.25">
      <c r="B19" s="853" t="s">
        <v>1125</v>
      </c>
      <c r="C19" s="832">
        <v>69773.335063846142</v>
      </c>
      <c r="D19" s="836"/>
      <c r="E19" s="844"/>
      <c r="F19" s="844"/>
      <c r="G19" s="844"/>
      <c r="H19" s="832">
        <v>73643.177210769209</v>
      </c>
      <c r="I19" s="836"/>
      <c r="J19" s="844"/>
      <c r="K19" s="844"/>
      <c r="L19" s="844"/>
      <c r="M19" s="832">
        <f ca="1">+-Report!T75</f>
        <v>110123.60540692307</v>
      </c>
      <c r="N19" s="836"/>
      <c r="O19" s="826"/>
      <c r="P19" s="547">
        <f ca="1">+P17-P18</f>
        <v>4.5647268836399794E-2</v>
      </c>
    </row>
    <row r="20" spans="1:21" ht="14.25">
      <c r="B20" s="826"/>
      <c r="C20" s="832"/>
      <c r="D20" s="836"/>
      <c r="E20" s="833"/>
      <c r="F20" s="833"/>
      <c r="G20" s="833"/>
      <c r="H20" s="832"/>
      <c r="I20" s="836"/>
      <c r="J20" s="833"/>
      <c r="K20" s="833"/>
      <c r="L20" s="833"/>
      <c r="M20" s="832"/>
      <c r="N20" s="836"/>
      <c r="O20" s="826"/>
      <c r="P20" s="868">
        <f ca="1">+P9</f>
        <v>2.1799999999999996E-4</v>
      </c>
    </row>
    <row r="21" spans="1:21" ht="14.25">
      <c r="B21" s="863" t="s">
        <v>1126</v>
      </c>
      <c r="C21" s="857"/>
      <c r="D21" s="862">
        <f>ROUND(+((((C22/C23)-E9)/G9)*(C23/C10))*(0-100),2)/100</f>
        <v>-1.6962000000000002</v>
      </c>
      <c r="E21" s="864"/>
      <c r="F21" s="864"/>
      <c r="G21" s="864"/>
      <c r="H21" s="857"/>
      <c r="I21" s="862">
        <f>ROUND(+((((H22/H23)-J9)/L9)*(H23/H10))*(0-100),2)/100</f>
        <v>-0.12470000000000001</v>
      </c>
      <c r="J21" s="864"/>
      <c r="K21" s="864"/>
      <c r="L21" s="864"/>
      <c r="M21" s="857"/>
      <c r="N21" s="862">
        <f ca="1">ROUND(+((((M22/M23)-O9)/Q9)*(M23/M10))*(0-100),2)/100</f>
        <v>-5.4600000000000003E-2</v>
      </c>
      <c r="O21" s="826"/>
      <c r="P21" s="547">
        <f ca="1">+P20+P19</f>
        <v>4.5865268836399797E-2</v>
      </c>
      <c r="Q21" s="874">
        <f ca="1">+Q9</f>
        <v>4.7490000000000006E-3</v>
      </c>
      <c r="R21" s="874">
        <f ca="1">+P21/Q21</f>
        <v>9.6578793085701822</v>
      </c>
      <c r="S21" s="874">
        <f ca="1">+M19/M10</f>
        <v>4.3886746914968952E-2</v>
      </c>
      <c r="T21" s="875">
        <f ca="1">(+R21*S21)</f>
        <v>0.4238529049505349</v>
      </c>
      <c r="U21" s="876">
        <f ca="1">+T21*(0-100)/100</f>
        <v>-0.4238529049505349</v>
      </c>
    </row>
    <row r="22" spans="1:21" ht="14.25">
      <c r="B22" s="853" t="s">
        <v>1127</v>
      </c>
      <c r="C22" s="832">
        <v>10664.6411370648</v>
      </c>
      <c r="D22" s="836"/>
      <c r="E22" s="844"/>
      <c r="F22" s="844"/>
      <c r="G22" s="844"/>
      <c r="H22" s="832">
        <v>928.96128642240001</v>
      </c>
      <c r="I22" s="836"/>
      <c r="J22" s="844"/>
      <c r="K22" s="844"/>
      <c r="L22" s="844"/>
      <c r="M22" s="832">
        <f ca="1">+-Report!V124</f>
        <v>654.30478889999995</v>
      </c>
      <c r="N22" s="836"/>
      <c r="O22" s="826"/>
      <c r="Q22" s="875"/>
      <c r="R22" s="875"/>
      <c r="S22" s="875"/>
      <c r="T22" s="875"/>
      <c r="U22" s="875"/>
    </row>
    <row r="23" spans="1:21" ht="14.25">
      <c r="B23" s="853" t="s">
        <v>1125</v>
      </c>
      <c r="C23" s="832">
        <v>176018.60003999999</v>
      </c>
      <c r="E23" s="833">
        <f>+C23*0.547</f>
        <v>96282.174221880006</v>
      </c>
      <c r="F23" s="844"/>
      <c r="G23" s="844"/>
      <c r="H23" s="832">
        <v>15884.766186923081</v>
      </c>
      <c r="J23" s="833">
        <f>+H23*0.547</f>
        <v>8688.9671042469254</v>
      </c>
      <c r="K23" s="844"/>
      <c r="L23" s="844"/>
      <c r="M23" s="832">
        <f ca="1">+-Report!T74</f>
        <v>10410.406021538463</v>
      </c>
      <c r="O23" s="833">
        <f ca="1">+M23*0.547</f>
        <v>5694.4920937815396</v>
      </c>
      <c r="P23" s="705">
        <f ca="1">+M22/M23</f>
        <v>6.2851034584653589E-2</v>
      </c>
      <c r="Q23" s="875"/>
      <c r="R23" s="875"/>
      <c r="S23" s="875"/>
      <c r="T23" s="875"/>
      <c r="U23" s="875"/>
    </row>
    <row r="24" spans="1:21" ht="14.25">
      <c r="B24" s="826"/>
      <c r="C24" s="865">
        <f>(((C22/C23)-F9)/G9)/100</f>
        <v>0.1273665167206946</v>
      </c>
      <c r="E24" s="833">
        <f>+E23*0.099</f>
        <v>9531.9352479661211</v>
      </c>
      <c r="F24" s="833"/>
      <c r="G24" s="833"/>
      <c r="H24" s="865">
        <f>(((H22/H23)-K9)/L9)/100</f>
        <v>0.12720355162111219</v>
      </c>
      <c r="J24" s="833">
        <f>+J23*0.099</f>
        <v>860.20774332044562</v>
      </c>
      <c r="K24" s="833"/>
      <c r="L24" s="833"/>
      <c r="M24" s="865">
        <f ca="1">(((M22/M23)-P9)/Q9)/100</f>
        <v>0.13188678581733751</v>
      </c>
      <c r="O24" s="833">
        <f ca="1">+O23*0.099</f>
        <v>563.75471728437242</v>
      </c>
      <c r="P24" s="868">
        <f ca="1">+O9</f>
        <v>3.0563999999999998E-4</v>
      </c>
      <c r="Q24" s="875"/>
      <c r="R24" s="875"/>
      <c r="S24" s="875"/>
      <c r="T24" s="875"/>
      <c r="U24" s="875"/>
    </row>
    <row r="25" spans="1:21" ht="14.25">
      <c r="B25" s="826"/>
      <c r="C25" s="832"/>
      <c r="D25" s="833"/>
      <c r="E25" s="833"/>
      <c r="F25" s="833"/>
      <c r="G25" s="833"/>
      <c r="H25" s="832"/>
      <c r="I25" s="833"/>
      <c r="J25" s="833"/>
      <c r="K25" s="833"/>
      <c r="L25" s="833"/>
      <c r="M25" s="832"/>
      <c r="N25" s="833"/>
      <c r="O25" s="826"/>
      <c r="P25" s="547">
        <f ca="1">+P23-P24</f>
        <v>6.2545394584653594E-2</v>
      </c>
      <c r="Q25" s="874">
        <f ca="1">+Q9</f>
        <v>4.7490000000000006E-3</v>
      </c>
      <c r="R25" s="874">
        <f ca="1">+P25/Q25</f>
        <v>13.170224170278708</v>
      </c>
      <c r="S25" s="874">
        <f ca="1">+M23/M10</f>
        <v>4.1487822039706392E-3</v>
      </c>
      <c r="T25" s="875">
        <f ca="1">(+R25*S25)</f>
        <v>5.4640391659956281E-2</v>
      </c>
      <c r="U25" s="876">
        <f ca="1">+T25*(0-100)/100</f>
        <v>-5.4640391659956287E-2</v>
      </c>
    </row>
    <row r="26" spans="1:21" ht="14.25">
      <c r="B26" s="861" t="s">
        <v>1128</v>
      </c>
      <c r="C26" s="857"/>
      <c r="D26" s="864"/>
      <c r="E26" s="864"/>
      <c r="F26" s="864"/>
      <c r="G26" s="864"/>
      <c r="H26" s="857"/>
      <c r="I26" s="864"/>
      <c r="J26" s="864"/>
      <c r="K26" s="864"/>
      <c r="L26" s="864"/>
      <c r="M26" s="857">
        <f ca="1">+IncomeStmt!F28</f>
        <v>3864.7</v>
      </c>
      <c r="N26" s="862">
        <f ca="1">ROUND((-M26)/83/100,2)</f>
        <v>-0.47</v>
      </c>
      <c r="O26" s="826"/>
    </row>
    <row r="27" spans="1:21" ht="14.25">
      <c r="B27" s="826"/>
      <c r="C27" s="832"/>
      <c r="D27" s="833"/>
      <c r="E27" s="833"/>
      <c r="F27" s="833"/>
      <c r="G27" s="833"/>
      <c r="H27" s="832"/>
      <c r="I27" s="833"/>
      <c r="J27" s="833"/>
      <c r="K27" s="833"/>
      <c r="L27" s="833"/>
      <c r="M27" s="832"/>
      <c r="N27" s="836"/>
      <c r="O27" s="826"/>
      <c r="P27" s="547"/>
    </row>
    <row r="28" spans="1:21" ht="14.25">
      <c r="B28" s="873" t="s">
        <v>1129</v>
      </c>
      <c r="C28" s="870"/>
      <c r="D28" s="872"/>
      <c r="E28" s="872"/>
      <c r="F28" s="872"/>
      <c r="G28" s="872"/>
      <c r="H28" s="870"/>
      <c r="I28" s="872"/>
      <c r="J28" s="872"/>
      <c r="K28" s="872"/>
      <c r="L28" s="872"/>
      <c r="M28" s="870">
        <f ca="1">+-(IncomeStmt!F40*'Input Tax Rate'!B37)+IncomeStmt!F30</f>
        <v>6265.207735</v>
      </c>
      <c r="N28" s="871">
        <f ca="1">ROUND((-M28)/83/100,2)</f>
        <v>-0.75</v>
      </c>
      <c r="O28" s="826"/>
    </row>
    <row r="29" spans="1:21" ht="14.25">
      <c r="B29" s="826"/>
      <c r="C29" s="832"/>
      <c r="D29" s="833"/>
      <c r="E29" s="833"/>
      <c r="F29" s="833"/>
      <c r="G29" s="833"/>
      <c r="H29" s="832"/>
      <c r="I29" s="833"/>
      <c r="J29" s="833"/>
      <c r="K29" s="833"/>
      <c r="L29" s="833"/>
      <c r="M29" s="832"/>
      <c r="N29" s="836"/>
      <c r="O29" s="826"/>
    </row>
    <row r="30" spans="1:21" ht="12.75" customHeight="1">
      <c r="A30" s="826"/>
      <c r="B30" s="826"/>
      <c r="C30" s="832"/>
      <c r="D30" s="836"/>
      <c r="E30" s="836"/>
      <c r="F30" s="836"/>
      <c r="G30" s="836"/>
      <c r="H30" s="832"/>
      <c r="I30" s="836"/>
      <c r="J30" s="836"/>
      <c r="K30" s="836"/>
      <c r="L30" s="836"/>
      <c r="M30" s="832"/>
      <c r="N30" s="836"/>
      <c r="O30" s="826"/>
    </row>
    <row r="31" spans="1:21" ht="15.2" customHeight="1">
      <c r="A31" s="826"/>
      <c r="B31" s="829" t="s">
        <v>1131</v>
      </c>
      <c r="C31" s="832"/>
      <c r="D31" s="836"/>
      <c r="E31" s="836"/>
      <c r="F31" s="836"/>
      <c r="G31" s="836"/>
      <c r="H31" s="832"/>
      <c r="I31" s="836"/>
      <c r="J31" s="836"/>
      <c r="K31" s="836"/>
      <c r="L31" s="836"/>
      <c r="M31" s="832"/>
      <c r="N31" s="836"/>
      <c r="O31" s="826"/>
    </row>
    <row r="32" spans="1:21" ht="15.2" customHeight="1">
      <c r="B32" s="826" t="s">
        <v>38</v>
      </c>
      <c r="C32" s="832">
        <v>1939.5515500000001</v>
      </c>
      <c r="D32" s="836">
        <f t="shared" ref="D32:D46" si="0">ROUND((C32)/1000/100,2)</f>
        <v>0.02</v>
      </c>
      <c r="E32" s="836"/>
      <c r="F32" s="836"/>
      <c r="G32" s="836"/>
      <c r="H32" s="832">
        <v>1939.5739115384613</v>
      </c>
      <c r="I32" s="836">
        <f>ROUND((H32)/1200/100,2)</f>
        <v>0.02</v>
      </c>
      <c r="J32" s="836"/>
      <c r="K32" s="836"/>
      <c r="L32" s="836"/>
      <c r="M32" s="832">
        <f ca="1">+-Report!T58</f>
        <v>1939.5999999999997</v>
      </c>
      <c r="N32" s="836">
        <f ca="1">ROUND((M32)/1400/100,2)</f>
        <v>0.01</v>
      </c>
      <c r="O32" s="832"/>
      <c r="P32" s="836"/>
    </row>
    <row r="33" spans="2:18" ht="15.2" customHeight="1">
      <c r="B33" s="826" t="s">
        <v>47</v>
      </c>
      <c r="C33" s="832">
        <v>2.95</v>
      </c>
      <c r="D33" s="836">
        <f t="shared" si="0"/>
        <v>0</v>
      </c>
      <c r="E33" s="836"/>
      <c r="F33" s="836"/>
      <c r="G33" s="836"/>
      <c r="H33" s="832">
        <v>1.5884615384615384</v>
      </c>
      <c r="I33" s="836">
        <f t="shared" ref="I33:I46" si="1">ROUND((H33)/1200/100,2)</f>
        <v>0</v>
      </c>
      <c r="J33" s="836"/>
      <c r="K33" s="836"/>
      <c r="L33" s="836"/>
      <c r="M33" s="832">
        <v>0</v>
      </c>
      <c r="N33" s="836">
        <f>ROUND((M33)/1400/100,2)</f>
        <v>0</v>
      </c>
      <c r="O33" s="832"/>
      <c r="P33" s="836"/>
    </row>
    <row r="34" spans="2:18" ht="15.2" customHeight="1">
      <c r="B34" s="826" t="s">
        <v>48</v>
      </c>
      <c r="C34" s="832">
        <v>1497.4164084615384</v>
      </c>
      <c r="D34" s="836">
        <f t="shared" si="0"/>
        <v>0.01</v>
      </c>
      <c r="E34" s="836"/>
      <c r="F34" s="836"/>
      <c r="G34" s="836"/>
      <c r="H34" s="832">
        <v>9892.5656038461548</v>
      </c>
      <c r="I34" s="836">
        <f t="shared" si="1"/>
        <v>0.08</v>
      </c>
      <c r="J34" s="836"/>
      <c r="K34" s="836"/>
      <c r="L34" s="836"/>
      <c r="M34" s="832">
        <f ca="1">+-Report!T61</f>
        <v>10135.300000000001</v>
      </c>
      <c r="N34" s="836">
        <f t="shared" ref="N34:N46" ca="1" si="2">ROUND((M34)/1400/100,2)</f>
        <v>7.0000000000000007E-2</v>
      </c>
      <c r="O34" s="832"/>
      <c r="P34" s="836"/>
      <c r="Q34" s="832"/>
    </row>
    <row r="35" spans="2:18" ht="15.2" customHeight="1">
      <c r="B35" s="826" t="s">
        <v>49</v>
      </c>
      <c r="C35" s="832">
        <v>1254.8316684615384</v>
      </c>
      <c r="D35" s="836">
        <f t="shared" si="0"/>
        <v>0.01</v>
      </c>
      <c r="E35" s="836"/>
      <c r="F35" s="836"/>
      <c r="G35" s="836"/>
      <c r="H35" s="832">
        <v>333.55803769230766</v>
      </c>
      <c r="I35" s="836">
        <f t="shared" si="1"/>
        <v>0</v>
      </c>
      <c r="J35" s="836"/>
      <c r="K35" s="836"/>
      <c r="L35" s="836"/>
      <c r="M35" s="832">
        <f ca="1">+-Report!T62</f>
        <v>737.36153846153843</v>
      </c>
      <c r="N35" s="836">
        <f t="shared" ca="1" si="2"/>
        <v>0.01</v>
      </c>
      <c r="O35" s="832"/>
      <c r="P35" s="837"/>
      <c r="R35" s="832"/>
    </row>
    <row r="36" spans="2:18" ht="15.2" customHeight="1">
      <c r="B36" s="826" t="s">
        <v>27</v>
      </c>
      <c r="C36" s="832">
        <v>836.91173436282634</v>
      </c>
      <c r="D36" s="836">
        <f t="shared" si="0"/>
        <v>0.01</v>
      </c>
      <c r="E36" s="836"/>
      <c r="F36" s="836"/>
      <c r="G36" s="836"/>
      <c r="H36" s="832">
        <v>896.68184759603946</v>
      </c>
      <c r="I36" s="836">
        <f t="shared" si="1"/>
        <v>0.01</v>
      </c>
      <c r="J36" s="836"/>
      <c r="K36" s="836"/>
      <c r="L36" s="836"/>
      <c r="M36" s="832">
        <f ca="1">+-Report!T63</f>
        <v>1060.1648413400801</v>
      </c>
      <c r="N36" s="836">
        <f t="shared" ca="1" si="2"/>
        <v>0.01</v>
      </c>
      <c r="O36" s="832"/>
      <c r="P36" s="837"/>
      <c r="R36" s="832"/>
    </row>
    <row r="37" spans="2:18" ht="15.2" customHeight="1">
      <c r="B37" s="826" t="s">
        <v>50</v>
      </c>
      <c r="C37" s="832">
        <v>2188.1319815384613</v>
      </c>
      <c r="D37" s="836">
        <f t="shared" si="0"/>
        <v>0.02</v>
      </c>
      <c r="E37" s="836"/>
      <c r="F37" s="836"/>
      <c r="G37" s="836"/>
      <c r="H37" s="832">
        <v>3900.5374723076925</v>
      </c>
      <c r="I37" s="836">
        <f t="shared" si="1"/>
        <v>0.03</v>
      </c>
      <c r="J37" s="836"/>
      <c r="K37" s="836"/>
      <c r="L37" s="836"/>
      <c r="M37" s="832">
        <f ca="1">+-Report!T64</f>
        <v>0</v>
      </c>
      <c r="N37" s="836">
        <f t="shared" ca="1" si="2"/>
        <v>0</v>
      </c>
      <c r="O37" s="832"/>
      <c r="P37" s="837"/>
      <c r="R37" s="832"/>
    </row>
    <row r="38" spans="2:18" ht="15.2" customHeight="1">
      <c r="B38" s="826" t="s">
        <v>51</v>
      </c>
      <c r="C38" s="832">
        <v>0</v>
      </c>
      <c r="D38" s="836">
        <f t="shared" si="0"/>
        <v>0</v>
      </c>
      <c r="E38" s="836"/>
      <c r="F38" s="836"/>
      <c r="G38" s="836"/>
      <c r="H38" s="832">
        <v>0</v>
      </c>
      <c r="I38" s="836">
        <f t="shared" si="1"/>
        <v>0</v>
      </c>
      <c r="J38" s="836"/>
      <c r="K38" s="836"/>
      <c r="L38" s="836"/>
      <c r="M38" s="832">
        <f ca="1">+-Report!T65</f>
        <v>0.10769230768626305</v>
      </c>
      <c r="N38" s="836">
        <f t="shared" ca="1" si="2"/>
        <v>0</v>
      </c>
      <c r="O38" s="832"/>
      <c r="P38" s="837"/>
      <c r="R38" s="832"/>
    </row>
    <row r="39" spans="2:18" ht="15.2" customHeight="1">
      <c r="B39" s="826" t="s">
        <v>52</v>
      </c>
      <c r="C39" s="832">
        <v>0</v>
      </c>
      <c r="D39" s="836">
        <f t="shared" si="0"/>
        <v>0</v>
      </c>
      <c r="E39" s="836"/>
      <c r="F39" s="836"/>
      <c r="G39" s="836"/>
      <c r="H39" s="832">
        <v>-2084.3020000000001</v>
      </c>
      <c r="I39" s="836">
        <f t="shared" si="1"/>
        <v>-0.02</v>
      </c>
      <c r="J39" s="836"/>
      <c r="K39" s="836"/>
      <c r="L39" s="836"/>
      <c r="M39" s="832">
        <v>0</v>
      </c>
      <c r="N39" s="836">
        <f t="shared" ref="N39" si="3">ROUND((M39)/1400/100,2)</f>
        <v>0</v>
      </c>
      <c r="O39" s="832"/>
      <c r="P39" s="837"/>
      <c r="R39" s="832"/>
    </row>
    <row r="40" spans="2:18" ht="15.2" customHeight="1">
      <c r="B40" s="826" t="s">
        <v>53</v>
      </c>
      <c r="C40" s="832">
        <v>1585.1291538461539</v>
      </c>
      <c r="D40" s="836">
        <f t="shared" si="0"/>
        <v>0.02</v>
      </c>
      <c r="E40" s="836"/>
      <c r="F40" s="836"/>
      <c r="G40" s="836"/>
      <c r="H40" s="832">
        <v>480.01299999999992</v>
      </c>
      <c r="I40" s="836">
        <f t="shared" si="1"/>
        <v>0</v>
      </c>
      <c r="J40" s="836"/>
      <c r="K40" s="836"/>
      <c r="L40" s="836"/>
      <c r="M40" s="832">
        <v>0</v>
      </c>
      <c r="N40" s="836">
        <f t="shared" ref="N40" si="4">ROUND((M40)/1400/100,2)</f>
        <v>0</v>
      </c>
      <c r="O40" s="832"/>
      <c r="P40" s="837"/>
      <c r="R40" s="832"/>
    </row>
    <row r="41" spans="2:18" ht="15.2" customHeight="1">
      <c r="B41" s="826" t="s">
        <v>54</v>
      </c>
      <c r="C41" s="832">
        <v>3107.3801538461535</v>
      </c>
      <c r="D41" s="836">
        <f t="shared" si="0"/>
        <v>0.03</v>
      </c>
      <c r="E41" s="836"/>
      <c r="F41" s="836"/>
      <c r="G41" s="836"/>
      <c r="H41" s="832">
        <v>2096.7083846153846</v>
      </c>
      <c r="I41" s="836">
        <f t="shared" si="1"/>
        <v>0.02</v>
      </c>
      <c r="J41" s="836"/>
      <c r="K41" s="836"/>
      <c r="L41" s="836"/>
      <c r="M41" s="832">
        <v>0</v>
      </c>
      <c r="N41" s="836">
        <f t="shared" ref="N41" si="5">ROUND((M41)/1400/100,2)</f>
        <v>0</v>
      </c>
      <c r="O41" s="832"/>
      <c r="P41" s="837"/>
      <c r="R41" s="832"/>
    </row>
    <row r="42" spans="2:18" ht="15.2" customHeight="1">
      <c r="B42" s="826" t="s">
        <v>55</v>
      </c>
      <c r="C42" s="832">
        <v>3060.7063846153846</v>
      </c>
      <c r="D42" s="836">
        <f t="shared" si="0"/>
        <v>0.03</v>
      </c>
      <c r="E42" s="836"/>
      <c r="F42" s="836"/>
      <c r="G42" s="836"/>
      <c r="H42" s="832">
        <v>3275.3941753846157</v>
      </c>
      <c r="I42" s="836">
        <f t="shared" si="1"/>
        <v>0.03</v>
      </c>
      <c r="J42" s="836"/>
      <c r="K42" s="836"/>
      <c r="L42" s="836"/>
      <c r="M42" s="832">
        <f ca="1">+-Report!T69</f>
        <v>3407.6923076923076</v>
      </c>
      <c r="N42" s="836">
        <f t="shared" ca="1" si="2"/>
        <v>0.02</v>
      </c>
      <c r="O42" s="832"/>
      <c r="P42" s="837"/>
      <c r="R42" s="832"/>
    </row>
    <row r="43" spans="2:18" ht="15.2" customHeight="1">
      <c r="B43" s="826" t="s">
        <v>56</v>
      </c>
      <c r="C43" s="832">
        <v>31.549970769230768</v>
      </c>
      <c r="D43" s="836">
        <f t="shared" si="0"/>
        <v>0</v>
      </c>
      <c r="E43" s="836"/>
      <c r="F43" s="836"/>
      <c r="G43" s="836"/>
      <c r="H43" s="832">
        <v>1052.9981476923076</v>
      </c>
      <c r="I43" s="836">
        <f t="shared" si="1"/>
        <v>0.01</v>
      </c>
      <c r="J43" s="836"/>
      <c r="K43" s="836"/>
      <c r="L43" s="836"/>
      <c r="M43" s="832">
        <f ca="1">+-Report!T70</f>
        <v>2653.8076923076924</v>
      </c>
      <c r="N43" s="836">
        <f t="shared" ca="1" si="2"/>
        <v>0.02</v>
      </c>
      <c r="O43" s="832"/>
      <c r="P43" s="837"/>
      <c r="R43" s="832"/>
    </row>
    <row r="44" spans="2:18" ht="15.2" customHeight="1">
      <c r="B44" s="826" t="s">
        <v>28</v>
      </c>
      <c r="C44" s="857">
        <v>0</v>
      </c>
      <c r="D44" s="836">
        <f t="shared" si="0"/>
        <v>0</v>
      </c>
      <c r="E44" s="836"/>
      <c r="F44" s="836"/>
      <c r="G44" s="836"/>
      <c r="H44" s="857">
        <v>0</v>
      </c>
      <c r="I44" s="836">
        <f t="shared" si="1"/>
        <v>0</v>
      </c>
      <c r="J44" s="836"/>
      <c r="K44" s="836"/>
      <c r="L44" s="836"/>
      <c r="M44" s="857">
        <f ca="1">+-Report!T74*0</f>
        <v>0</v>
      </c>
      <c r="N44" s="836">
        <f t="shared" ca="1" si="2"/>
        <v>0</v>
      </c>
      <c r="O44" s="832"/>
      <c r="P44" s="837"/>
      <c r="R44" s="832"/>
    </row>
    <row r="45" spans="2:18" ht="15.2" customHeight="1">
      <c r="B45" s="826" t="s">
        <v>733</v>
      </c>
      <c r="C45" s="857">
        <v>0</v>
      </c>
      <c r="D45" s="836">
        <f t="shared" si="0"/>
        <v>0</v>
      </c>
      <c r="E45" s="836"/>
      <c r="F45" s="836"/>
      <c r="G45" s="836"/>
      <c r="H45" s="857">
        <v>0</v>
      </c>
      <c r="I45" s="836">
        <f t="shared" si="1"/>
        <v>0</v>
      </c>
      <c r="J45" s="836"/>
      <c r="K45" s="836"/>
      <c r="L45" s="836"/>
      <c r="M45" s="870">
        <f ca="1">+-Report!T75</f>
        <v>110123.60540692307</v>
      </c>
      <c r="N45" s="836">
        <f t="shared" ca="1" si="2"/>
        <v>0.79</v>
      </c>
      <c r="O45" s="832"/>
      <c r="P45" s="837"/>
      <c r="R45" s="832"/>
    </row>
    <row r="46" spans="2:18" ht="15.2" customHeight="1">
      <c r="B46" s="826" t="s">
        <v>57</v>
      </c>
      <c r="C46" s="852">
        <v>1068.3906500000003</v>
      </c>
      <c r="D46" s="836">
        <f t="shared" si="0"/>
        <v>0.01</v>
      </c>
      <c r="E46" s="836"/>
      <c r="F46" s="836"/>
      <c r="G46" s="836"/>
      <c r="H46" s="852">
        <v>1155.7747838461537</v>
      </c>
      <c r="I46" s="836">
        <f t="shared" si="1"/>
        <v>0.01</v>
      </c>
      <c r="J46" s="836"/>
      <c r="K46" s="836"/>
      <c r="L46" s="836"/>
      <c r="M46" s="852">
        <f ca="1">+-Report!T76</f>
        <v>1248.8846153846155</v>
      </c>
      <c r="N46" s="836">
        <f t="shared" ca="1" si="2"/>
        <v>0.01</v>
      </c>
      <c r="O46" s="832"/>
      <c r="P46" s="837"/>
      <c r="R46" s="832"/>
    </row>
    <row r="47" spans="2:18" ht="15.2" customHeight="1">
      <c r="B47" s="1"/>
      <c r="C47" s="832">
        <f>SUM(C32:C46)</f>
        <v>16572.949655901288</v>
      </c>
      <c r="D47" s="836"/>
      <c r="E47" s="836"/>
      <c r="F47" s="836"/>
      <c r="G47" s="836"/>
      <c r="H47" s="832">
        <f>SUM(H32:H46)</f>
        <v>22941.091826057575</v>
      </c>
      <c r="I47" s="836"/>
      <c r="J47" s="836"/>
      <c r="K47" s="836"/>
      <c r="L47" s="836"/>
      <c r="M47" s="832">
        <f ca="1">SUM(M32:M46)</f>
        <v>131306.52409441699</v>
      </c>
      <c r="N47" s="836"/>
      <c r="O47" s="832"/>
      <c r="P47" s="837"/>
      <c r="R47" s="832"/>
    </row>
    <row r="48" spans="2:18" ht="15.2" customHeight="1">
      <c r="B48" s="826"/>
      <c r="C48" s="832"/>
      <c r="D48" s="836"/>
      <c r="E48" s="836"/>
      <c r="F48" s="836"/>
      <c r="G48" s="836"/>
      <c r="H48" s="832"/>
      <c r="I48" s="836"/>
      <c r="J48" s="836"/>
      <c r="K48" s="836"/>
      <c r="L48" s="836"/>
      <c r="M48" s="832"/>
      <c r="N48" s="836"/>
      <c r="O48" s="832"/>
      <c r="P48" s="837"/>
      <c r="R48" s="832"/>
    </row>
    <row r="49" spans="1:257" ht="15.2" customHeight="1">
      <c r="A49" s="826"/>
      <c r="B49" s="838"/>
      <c r="C49" s="832"/>
      <c r="D49" s="836"/>
      <c r="E49" s="836"/>
      <c r="F49" s="836"/>
      <c r="G49" s="836"/>
      <c r="H49" s="832"/>
      <c r="I49" s="836"/>
      <c r="J49" s="836"/>
      <c r="K49" s="836"/>
      <c r="L49" s="836"/>
      <c r="M49" s="832"/>
      <c r="N49" s="836"/>
      <c r="O49" s="832"/>
      <c r="P49" s="837"/>
      <c r="R49" s="832"/>
    </row>
    <row r="50" spans="1:257" ht="15.2" customHeight="1">
      <c r="A50" s="826"/>
      <c r="B50" s="829" t="s">
        <v>1132</v>
      </c>
      <c r="C50" s="832"/>
      <c r="D50" s="836"/>
      <c r="E50" s="836"/>
      <c r="F50" s="836"/>
      <c r="G50" s="836"/>
      <c r="H50" s="832"/>
      <c r="I50" s="836"/>
      <c r="J50" s="836"/>
      <c r="K50" s="836"/>
      <c r="L50" s="836"/>
      <c r="M50" s="832"/>
      <c r="N50" s="836"/>
      <c r="O50" s="832"/>
      <c r="P50" s="836"/>
      <c r="Q50" s="832"/>
    </row>
    <row r="51" spans="1:257" ht="15.2" customHeight="1">
      <c r="A51" s="826"/>
      <c r="B51" s="826" t="s">
        <v>80</v>
      </c>
      <c r="C51" s="832">
        <v>-33.47171611050873</v>
      </c>
      <c r="D51" s="836">
        <f t="shared" ref="D51:D59" si="6">ROUND((-C51)/50/100,2)</f>
        <v>0.01</v>
      </c>
      <c r="E51" s="836"/>
      <c r="F51" s="836"/>
      <c r="G51" s="836"/>
      <c r="H51" s="832">
        <v>-31.254105707519564</v>
      </c>
      <c r="I51" s="836">
        <f>ROUND((-H51)/65/100,2)</f>
        <v>0</v>
      </c>
      <c r="J51" s="836"/>
      <c r="K51" s="836"/>
      <c r="L51" s="836"/>
      <c r="M51" s="832">
        <f ca="1">+-Report!V110</f>
        <v>-32.303351541452763</v>
      </c>
      <c r="N51" s="836">
        <f t="shared" ref="N51:N60" ca="1" si="7">ROUND((-M51)/83/100,2)</f>
        <v>0</v>
      </c>
      <c r="O51" s="832"/>
      <c r="P51" s="836"/>
      <c r="Q51" s="832"/>
    </row>
    <row r="52" spans="1:257" ht="15.2" customHeight="1">
      <c r="A52" s="1"/>
      <c r="B52" s="826" t="s">
        <v>86</v>
      </c>
      <c r="C52" s="832">
        <v>502.80144703905319</v>
      </c>
      <c r="D52" s="836">
        <f t="shared" si="6"/>
        <v>-0.1</v>
      </c>
      <c r="E52" s="836"/>
      <c r="F52" s="836"/>
      <c r="G52" s="836"/>
      <c r="H52" s="832">
        <v>158.29872548497175</v>
      </c>
      <c r="I52" s="836">
        <f t="shared" ref="I52:I60" si="8">ROUND((-H52)/65/100,2)</f>
        <v>-0.02</v>
      </c>
      <c r="J52" s="836"/>
      <c r="K52" s="836"/>
      <c r="L52" s="836"/>
      <c r="M52" s="832">
        <f ca="1">+-Report!V111</f>
        <v>325.33788507723699</v>
      </c>
      <c r="N52" s="836">
        <f t="shared" ca="1" si="7"/>
        <v>-0.04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ht="15.2" customHeight="1">
      <c r="A53" s="826"/>
      <c r="B53" s="861" t="s">
        <v>87</v>
      </c>
      <c r="C53" s="857">
        <v>0</v>
      </c>
      <c r="D53" s="862">
        <f t="shared" si="6"/>
        <v>0</v>
      </c>
      <c r="E53" s="862"/>
      <c r="F53" s="862"/>
      <c r="G53" s="862"/>
      <c r="H53" s="857">
        <v>-2099</v>
      </c>
      <c r="I53" s="862">
        <f t="shared" si="8"/>
        <v>0.32</v>
      </c>
      <c r="J53" s="862"/>
      <c r="K53" s="862"/>
      <c r="L53" s="862"/>
      <c r="M53" s="857">
        <f>+-Report!V112</f>
        <v>-3084</v>
      </c>
      <c r="N53" s="862">
        <f t="shared" si="7"/>
        <v>0.37</v>
      </c>
      <c r="O53" s="832"/>
      <c r="P53" s="836"/>
    </row>
    <row r="54" spans="1:257" ht="15.2" customHeight="1">
      <c r="A54" s="826"/>
      <c r="B54" s="826" t="s">
        <v>72</v>
      </c>
      <c r="C54" s="832">
        <v>-13.145924412457202</v>
      </c>
      <c r="D54" s="836">
        <f t="shared" si="6"/>
        <v>0</v>
      </c>
      <c r="E54" s="836"/>
      <c r="F54" s="836"/>
      <c r="G54" s="836"/>
      <c r="H54" s="832">
        <v>-12.244006580537901</v>
      </c>
      <c r="I54" s="836">
        <f t="shared" si="8"/>
        <v>0</v>
      </c>
      <c r="J54" s="836"/>
      <c r="K54" s="836"/>
      <c r="L54" s="836"/>
      <c r="M54" s="832">
        <f ca="1">+-Report!V114</f>
        <v>-13.751451000000001</v>
      </c>
      <c r="N54" s="836">
        <f t="shared" ca="1" si="7"/>
        <v>0</v>
      </c>
      <c r="O54" s="832"/>
      <c r="P54" s="836"/>
    </row>
    <row r="55" spans="1:257" ht="15.2" customHeight="1">
      <c r="A55" s="826"/>
      <c r="B55" s="826" t="s">
        <v>73</v>
      </c>
      <c r="C55" s="832">
        <v>-53.025617865037987</v>
      </c>
      <c r="D55" s="836">
        <f t="shared" si="6"/>
        <v>0.01</v>
      </c>
      <c r="E55" s="836"/>
      <c r="F55" s="836"/>
      <c r="G55" s="836"/>
      <c r="H55" s="832">
        <v>-51.972319863137997</v>
      </c>
      <c r="I55" s="836">
        <f t="shared" si="8"/>
        <v>0.01</v>
      </c>
      <c r="J55" s="836"/>
      <c r="K55" s="836"/>
      <c r="L55" s="836"/>
      <c r="M55" s="832">
        <f ca="1">+-Report!V115</f>
        <v>-59.108476990500002</v>
      </c>
      <c r="N55" s="836">
        <f t="shared" ca="1" si="7"/>
        <v>0.01</v>
      </c>
      <c r="O55" s="832"/>
      <c r="P55" s="836"/>
    </row>
    <row r="56" spans="1:257" ht="15.2" customHeight="1">
      <c r="A56" s="826"/>
      <c r="B56" s="826" t="s">
        <v>64</v>
      </c>
      <c r="C56" s="832">
        <v>133.56389279133145</v>
      </c>
      <c r="D56" s="836">
        <f t="shared" si="6"/>
        <v>-0.03</v>
      </c>
      <c r="E56" s="836"/>
      <c r="F56" s="836"/>
      <c r="G56" s="836"/>
      <c r="H56" s="832">
        <v>86.180714202553645</v>
      </c>
      <c r="I56" s="836">
        <f t="shared" si="8"/>
        <v>-0.01</v>
      </c>
      <c r="J56" s="836"/>
      <c r="K56" s="836"/>
      <c r="L56" s="836"/>
      <c r="M56" s="832">
        <v>0</v>
      </c>
      <c r="N56" s="836">
        <f t="shared" si="7"/>
        <v>0</v>
      </c>
      <c r="O56" s="832"/>
      <c r="P56" s="836"/>
    </row>
    <row r="57" spans="1:257" ht="15.2" customHeight="1">
      <c r="A57" s="826"/>
      <c r="B57" s="826" t="s">
        <v>75</v>
      </c>
      <c r="C57" s="832">
        <v>-25.327401659350883</v>
      </c>
      <c r="D57" s="836">
        <f t="shared" si="6"/>
        <v>0.01</v>
      </c>
      <c r="E57" s="836"/>
      <c r="F57" s="836"/>
      <c r="G57" s="836"/>
      <c r="H57" s="832">
        <v>-29.218590406528659</v>
      </c>
      <c r="I57" s="836">
        <f t="shared" si="8"/>
        <v>0</v>
      </c>
      <c r="J57" s="836"/>
      <c r="K57" s="836"/>
      <c r="L57" s="836"/>
      <c r="M57" s="832">
        <f ca="1">+-Report!V117</f>
        <v>-28.703727937785594</v>
      </c>
      <c r="N57" s="836">
        <f t="shared" ca="1" si="7"/>
        <v>0</v>
      </c>
      <c r="O57" s="832"/>
      <c r="P57" s="836"/>
    </row>
    <row r="58" spans="1:257" ht="15.2" customHeight="1">
      <c r="A58" s="826"/>
      <c r="B58" s="826" t="s">
        <v>76</v>
      </c>
      <c r="C58" s="832">
        <v>-3.7075384398766085</v>
      </c>
      <c r="D58" s="836">
        <f t="shared" si="6"/>
        <v>0</v>
      </c>
      <c r="E58" s="836"/>
      <c r="F58" s="836"/>
      <c r="G58" s="836"/>
      <c r="H58" s="832">
        <v>-4.1375112064257902</v>
      </c>
      <c r="I58" s="836">
        <f t="shared" si="8"/>
        <v>0</v>
      </c>
      <c r="J58" s="836"/>
      <c r="K58" s="836"/>
      <c r="L58" s="836"/>
      <c r="M58" s="832">
        <f ca="1">+-Report!V118</f>
        <v>-4.4270182972260006</v>
      </c>
      <c r="N58" s="836">
        <f t="shared" ca="1" si="7"/>
        <v>0</v>
      </c>
      <c r="O58" s="832"/>
      <c r="P58" s="836"/>
    </row>
    <row r="59" spans="1:257" ht="15.2" customHeight="1">
      <c r="A59" s="826"/>
      <c r="B59" s="826" t="s">
        <v>65</v>
      </c>
      <c r="C59" s="832">
        <v>80.415622883790007</v>
      </c>
      <c r="D59" s="836">
        <f t="shared" si="6"/>
        <v>-0.02</v>
      </c>
      <c r="E59" s="836"/>
      <c r="F59" s="836"/>
      <c r="G59" s="836"/>
      <c r="H59" s="832">
        <v>81.917834909058001</v>
      </c>
      <c r="I59" s="836">
        <f t="shared" si="8"/>
        <v>-0.01</v>
      </c>
      <c r="J59" s="836"/>
      <c r="K59" s="836"/>
      <c r="L59" s="836"/>
      <c r="M59" s="852">
        <f ca="1">+-Report!V121</f>
        <v>87.940603800000005</v>
      </c>
      <c r="N59" s="836">
        <f t="shared" ca="1" si="7"/>
        <v>-0.01</v>
      </c>
      <c r="O59" s="832"/>
      <c r="P59" s="836"/>
    </row>
    <row r="60" spans="1:257" ht="15.2" customHeight="1">
      <c r="A60" s="826"/>
      <c r="B60" s="826" t="s">
        <v>67</v>
      </c>
      <c r="C60" s="858">
        <v>0</v>
      </c>
      <c r="D60" s="836">
        <f t="shared" ref="D60" si="9">ROUND((-C60)/65/100,2)</f>
        <v>0</v>
      </c>
      <c r="E60" s="836"/>
      <c r="F60" s="836"/>
      <c r="G60" s="836"/>
      <c r="H60" s="858">
        <v>0</v>
      </c>
      <c r="I60" s="836">
        <f t="shared" si="8"/>
        <v>0</v>
      </c>
      <c r="J60" s="836"/>
      <c r="K60" s="836"/>
      <c r="L60" s="836"/>
      <c r="M60" s="858">
        <f ca="1">+-Report!V124*0</f>
        <v>0</v>
      </c>
      <c r="N60" s="836">
        <f t="shared" ca="1" si="7"/>
        <v>0</v>
      </c>
      <c r="O60" s="832"/>
      <c r="P60" s="836"/>
    </row>
    <row r="61" spans="1:257" ht="15.2" customHeight="1">
      <c r="A61" s="826"/>
      <c r="B61" s="826"/>
      <c r="C61" s="832">
        <f>SUM(C51:C60)</f>
        <v>588.10276422694324</v>
      </c>
      <c r="D61" s="836"/>
      <c r="E61" s="836"/>
      <c r="F61" s="836"/>
      <c r="G61" s="836"/>
      <c r="H61" s="832">
        <f>SUM(H51:H60)</f>
        <v>-1901.4292591675664</v>
      </c>
      <c r="I61" s="836"/>
      <c r="J61" s="836"/>
      <c r="K61" s="836"/>
      <c r="L61" s="836"/>
      <c r="M61" s="832">
        <f ca="1">SUM(M51:M60)</f>
        <v>-2809.0155368897272</v>
      </c>
      <c r="N61" s="836"/>
      <c r="O61" s="832"/>
      <c r="P61" s="836"/>
    </row>
    <row r="62" spans="1:257" ht="15.6" customHeight="1">
      <c r="A62" s="826"/>
      <c r="B62" s="826"/>
      <c r="C62" s="832"/>
      <c r="D62" s="836"/>
      <c r="E62" s="836"/>
      <c r="F62" s="836"/>
      <c r="G62" s="836"/>
      <c r="H62" s="832"/>
      <c r="I62" s="836"/>
      <c r="J62" s="836"/>
      <c r="K62" s="836"/>
      <c r="L62" s="836"/>
      <c r="M62" s="832"/>
      <c r="N62" s="836"/>
    </row>
    <row r="63" spans="1:257" ht="15.2" customHeight="1">
      <c r="A63" s="826"/>
      <c r="B63" s="826"/>
      <c r="C63" s="832"/>
      <c r="D63" s="836"/>
      <c r="E63" s="836"/>
      <c r="F63" s="836"/>
      <c r="G63" s="836"/>
      <c r="H63" s="832"/>
      <c r="I63" s="836"/>
      <c r="J63" s="836"/>
      <c r="K63" s="836"/>
      <c r="L63" s="836"/>
      <c r="M63" s="832"/>
      <c r="N63" s="836"/>
      <c r="O63" s="826"/>
    </row>
    <row r="64" spans="1:257" ht="15.2" customHeight="1">
      <c r="A64" s="826"/>
      <c r="B64" s="839" t="s">
        <v>1134</v>
      </c>
      <c r="C64" s="832"/>
      <c r="D64" s="836">
        <f>D66*100-SUM(D17:D60)</f>
        <v>0.82239666839503811</v>
      </c>
      <c r="E64" s="836"/>
      <c r="F64" s="836"/>
      <c r="G64" s="836"/>
      <c r="H64" s="832"/>
      <c r="I64" s="836">
        <f>I66*100-SUM(I17:I60)</f>
        <v>-6.2913327956845358E-2</v>
      </c>
      <c r="J64" s="836"/>
      <c r="K64" s="836"/>
      <c r="L64" s="836"/>
      <c r="M64" s="832"/>
      <c r="N64" s="836">
        <f ca="1">N66*100-SUM(N17:N60)</f>
        <v>-1.0752261167256771</v>
      </c>
      <c r="O64" s="840"/>
      <c r="P64" s="835"/>
    </row>
    <row r="65" spans="1:16" ht="14.25">
      <c r="A65" s="826"/>
      <c r="B65" s="826"/>
      <c r="O65" s="826"/>
    </row>
    <row r="66" spans="1:16" ht="14.25">
      <c r="A66" s="826" t="s">
        <v>1135</v>
      </c>
      <c r="B66" s="826"/>
      <c r="D66" s="851">
        <f>+D70-D15</f>
        <v>-1.3304033316049638E-2</v>
      </c>
      <c r="E66" s="860"/>
      <c r="F66" s="860"/>
      <c r="G66" s="860"/>
      <c r="I66" s="851">
        <f>+I70-I15</f>
        <v>-1.4451332795684529E-3</v>
      </c>
      <c r="J66" s="860"/>
      <c r="K66" s="860"/>
      <c r="L66" s="860"/>
      <c r="N66" s="851">
        <f ca="1">+N70-N15</f>
        <v>-1.0798261167256767E-2</v>
      </c>
      <c r="O66" s="840"/>
    </row>
    <row r="67" spans="1:16" ht="14.25">
      <c r="A67" s="826"/>
      <c r="B67" s="826"/>
      <c r="D67" s="836"/>
      <c r="E67" s="836"/>
      <c r="F67" s="836"/>
      <c r="G67" s="836"/>
      <c r="I67" s="836"/>
      <c r="J67" s="836"/>
      <c r="K67" s="836"/>
      <c r="L67" s="836"/>
      <c r="N67" s="836"/>
      <c r="O67" s="826"/>
    </row>
    <row r="68" spans="1:16" ht="14.25">
      <c r="A68" s="826"/>
      <c r="B68" s="826"/>
      <c r="C68" s="832"/>
      <c r="H68" s="832"/>
      <c r="I68" s="547">
        <f>SUM(I15:I64)</f>
        <v>-4.1968194677276811E-2</v>
      </c>
      <c r="M68" s="832"/>
      <c r="O68" s="826"/>
    </row>
    <row r="69" spans="1:16" ht="14.25">
      <c r="A69" s="826"/>
      <c r="B69" s="826"/>
      <c r="C69" s="832"/>
      <c r="H69" s="832"/>
      <c r="M69" s="832"/>
      <c r="O69" s="826"/>
    </row>
    <row r="70" spans="1:16" ht="15">
      <c r="A70" s="839" t="s">
        <v>1136</v>
      </c>
      <c r="B70" s="839"/>
      <c r="C70" s="28"/>
      <c r="D70" s="849">
        <v>7.3700000000000002E-2</v>
      </c>
      <c r="E70" s="859"/>
      <c r="F70" s="859"/>
      <c r="G70" s="859"/>
      <c r="H70" s="28"/>
      <c r="I70" s="849">
        <v>0.1011</v>
      </c>
      <c r="J70" s="859"/>
      <c r="K70" s="859"/>
      <c r="L70" s="859"/>
      <c r="M70" s="28"/>
      <c r="N70" s="850">
        <f ca="1">+'COMP Act to Prior'!D25</f>
        <v>1.84E-2</v>
      </c>
      <c r="O70" s="867"/>
      <c r="P70" s="841"/>
    </row>
    <row r="71" spans="1:16" s="826" customFormat="1" ht="14.25">
      <c r="C71" s="375"/>
      <c r="D71" s="842" t="s">
        <v>745</v>
      </c>
      <c r="E71" s="842"/>
      <c r="F71" s="842"/>
      <c r="G71" s="842"/>
      <c r="H71" s="375"/>
      <c r="I71" s="842" t="s">
        <v>745</v>
      </c>
      <c r="J71" s="842"/>
      <c r="K71" s="842"/>
      <c r="L71" s="842"/>
      <c r="M71" s="375"/>
      <c r="N71" s="842" t="s">
        <v>745</v>
      </c>
    </row>
    <row r="72" spans="1:16" s="826" customFormat="1" ht="14.25">
      <c r="A72" s="843"/>
      <c r="C72" s="832"/>
      <c r="D72" s="866">
        <f>SUM(D15:D64)</f>
        <v>-1.243399298288913</v>
      </c>
      <c r="E72" s="836"/>
      <c r="F72" s="836"/>
      <c r="G72" s="836"/>
      <c r="H72" s="832"/>
      <c r="I72" s="866">
        <f>SUM(I15:I64)</f>
        <v>-4.1968194677276811E-2</v>
      </c>
      <c r="J72" s="836"/>
      <c r="K72" s="836"/>
      <c r="L72" s="836"/>
      <c r="M72" s="832"/>
      <c r="N72" s="866"/>
      <c r="O72" s="844"/>
    </row>
    <row r="73" spans="1:16" s="826" customFormat="1" ht="14.25">
      <c r="A73" s="843"/>
      <c r="C73" s="832"/>
      <c r="D73" s="836"/>
      <c r="E73" s="836"/>
      <c r="F73" s="836"/>
      <c r="G73" s="836"/>
      <c r="H73" s="832"/>
      <c r="I73" s="836"/>
      <c r="J73" s="836"/>
      <c r="K73" s="836"/>
      <c r="L73" s="836"/>
      <c r="M73" s="832"/>
      <c r="N73" s="836"/>
      <c r="O73" s="844"/>
    </row>
    <row r="74" spans="1:16" s="826" customFormat="1" ht="14.25">
      <c r="A74" s="843"/>
      <c r="C74" s="832"/>
      <c r="D74" s="836"/>
      <c r="E74" s="836"/>
      <c r="F74" s="836"/>
      <c r="G74" s="836"/>
      <c r="H74" s="832"/>
      <c r="I74" s="836"/>
      <c r="J74" s="836"/>
      <c r="K74" s="836"/>
      <c r="L74" s="836"/>
      <c r="M74" s="832"/>
      <c r="N74" s="836"/>
      <c r="O74" s="844"/>
    </row>
    <row r="75" spans="1:16">
      <c r="C75" s="845"/>
      <c r="D75" s="846"/>
      <c r="E75" s="846"/>
      <c r="F75" s="846"/>
      <c r="G75" s="846"/>
      <c r="H75" s="845"/>
      <c r="I75" s="846"/>
      <c r="J75" s="846"/>
      <c r="K75" s="846"/>
      <c r="L75" s="846"/>
      <c r="M75" s="845"/>
      <c r="N75" s="846"/>
    </row>
    <row r="76" spans="1:16" ht="14.25">
      <c r="A76" s="826" t="s">
        <v>1137</v>
      </c>
      <c r="C76" s="847">
        <v>56.112032993167858</v>
      </c>
      <c r="D76" s="847"/>
      <c r="E76" s="847"/>
      <c r="F76" s="847"/>
      <c r="G76" s="847"/>
      <c r="H76" s="847">
        <v>56.112032993167858</v>
      </c>
      <c r="I76" s="847"/>
      <c r="J76" s="847"/>
      <c r="K76" s="847"/>
      <c r="L76" s="847"/>
      <c r="M76" s="847">
        <v>56.112032993167858</v>
      </c>
      <c r="N76" s="847"/>
      <c r="O76" s="836"/>
    </row>
    <row r="77" spans="1:16" ht="14.25">
      <c r="A77" s="826" t="s">
        <v>1138</v>
      </c>
      <c r="B77" s="826"/>
      <c r="C77" s="847">
        <v>56.156388080097344</v>
      </c>
      <c r="D77" s="847"/>
      <c r="E77" s="847"/>
      <c r="F77" s="847"/>
      <c r="G77" s="847"/>
      <c r="H77" s="847">
        <v>56.156388080097344</v>
      </c>
      <c r="I77" s="847"/>
      <c r="J77" s="847"/>
      <c r="K77" s="847"/>
      <c r="L77" s="847"/>
      <c r="M77" s="847">
        <v>56.156388080097344</v>
      </c>
      <c r="N77" s="847"/>
      <c r="O77" s="836"/>
    </row>
    <row r="78" spans="1:16" ht="15">
      <c r="A78" s="826" t="s">
        <v>1139</v>
      </c>
      <c r="B78" s="829"/>
      <c r="C78" s="847">
        <v>42.059999999999995</v>
      </c>
      <c r="D78" s="847"/>
      <c r="E78" s="847"/>
      <c r="F78" s="847"/>
      <c r="G78" s="847"/>
      <c r="H78" s="847">
        <v>42.059999999999995</v>
      </c>
      <c r="I78" s="847"/>
      <c r="J78" s="847"/>
      <c r="K78" s="847"/>
      <c r="L78" s="847"/>
      <c r="M78" s="847">
        <v>42.059999999999995</v>
      </c>
      <c r="N78" s="847"/>
      <c r="O78" s="836"/>
    </row>
    <row r="79" spans="1:16" ht="14.25">
      <c r="B79" s="826"/>
      <c r="C79" s="845"/>
      <c r="D79" s="846"/>
      <c r="E79" s="846"/>
      <c r="F79" s="846"/>
      <c r="G79" s="846"/>
      <c r="H79" s="845"/>
      <c r="I79" s="846"/>
      <c r="J79" s="846"/>
      <c r="K79" s="846"/>
      <c r="L79" s="846"/>
      <c r="M79" s="845"/>
      <c r="N79" s="846"/>
    </row>
    <row r="81" spans="1:13" ht="14.25">
      <c r="B81" s="826"/>
    </row>
    <row r="86" spans="1:13" ht="14.25">
      <c r="A86" s="826"/>
      <c r="B86" s="826"/>
      <c r="C86" s="847"/>
      <c r="H86" s="847"/>
      <c r="M86" s="847"/>
    </row>
    <row r="87" spans="1:13" ht="15">
      <c r="A87" s="826"/>
      <c r="B87" s="829"/>
      <c r="C87" s="847"/>
      <c r="H87" s="847"/>
      <c r="M87" s="847"/>
    </row>
    <row r="107" spans="3:13">
      <c r="C107" s="848"/>
      <c r="H107" s="848"/>
      <c r="M107" s="848"/>
    </row>
    <row r="114" spans="1:1">
      <c r="A114" s="598"/>
    </row>
    <row r="115" spans="1:1">
      <c r="A115" s="598"/>
    </row>
    <row r="117" spans="1:1">
      <c r="A117" s="598"/>
    </row>
    <row r="119" spans="1:1">
      <c r="A119" s="598"/>
    </row>
  </sheetData>
  <mergeCells count="2">
    <mergeCell ref="A1:N1"/>
    <mergeCell ref="A2:N2"/>
  </mergeCells>
  <hyperlinks>
    <hyperlink ref="IT65510" location="'SURV REPORT'!GV33" display="'SURV REPORT'!GV33"/>
    <hyperlink ref="IT65509" location="'SURV REPORT'!GV33" display="'SURV REPORT'!GV33"/>
    <hyperlink ref="IT65508" location="WC!c333" display="WC!c333"/>
    <hyperlink ref="IQ65510:IW65510" location="'SURV REPORT'!GV33" display="'SURV REPORT'!GV33"/>
    <hyperlink ref="IQ65509:IW65509" location="'SURV REPORT'!GV33" display="'SURV REPORT'!GV33"/>
    <hyperlink ref="IQ65508:IW65508" location="WC!c333" display="WC!c333"/>
    <hyperlink ref="IT65511" location="'SURV REPORT'!GV33" display="'SURV REPORT'!GV33"/>
    <hyperlink ref="IQ65510" location="'SURV REPORT'!GV33" display="'SURV REPORT'!GV33"/>
    <hyperlink ref="IQ65509" location="'SURV REPORT'!GV33" display="'SURV REPORT'!GV33"/>
    <hyperlink ref="B65511" location="WC!c333" display="WC!c333"/>
    <hyperlink ref="B65510" location="'SURV REPORT'!GV33" display="'SURV REPORT'!GV33"/>
    <hyperlink ref="IQ65508" location="WC!c333" display="WC!c333"/>
    <hyperlink ref="B65509" location="WC!c333" display="WC!c333"/>
    <hyperlink ref="IN65510:IQ65510" location="'SURV REPORT'!GV33" display="'SURV REPORT'!GV33"/>
    <hyperlink ref="IN65509:IQ65509" location="'SURV REPORT'!GV33" display="'SURV REPORT'!GV33"/>
    <hyperlink ref="IN65508:IQ65508" location="WC!c333" display="WC!c333"/>
    <hyperlink ref="B65512" location="'SURV REPORT'!GV33" display="'SURV REPORT'!GV33"/>
    <hyperlink ref="IN65510" location="'SURV REPORT'!GV33" display="'SURV REPORT'!GV33"/>
    <hyperlink ref="IN65509" location="'SURV REPORT'!GV33" display="'SURV REPORT'!GV33"/>
    <hyperlink ref="IN65508" location="WC!c333" display="WC!c333"/>
    <hyperlink ref="IK65510:IN65510" location="'SURV REPORT'!GV33" display="'SURV REPORT'!GV33"/>
    <hyperlink ref="IK65509:IN65509" location="'SURV REPORT'!GV33" display="'SURV REPORT'!GV33"/>
    <hyperlink ref="IK65508:IN65508" location="WC!c333" display="WC!c333"/>
  </hyperlinks>
  <printOptions horizontalCentered="1"/>
  <pageMargins left="0.5" right="0.5" top="0.5" bottom="0.5" header="0.5" footer="0.25"/>
  <pageSetup scale="63" orientation="portrait" r:id="rId1"/>
  <headerFooter>
    <oddFooter>&amp;Z&amp;F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2:G18"/>
  <sheetViews>
    <sheetView workbookViewId="0">
      <selection activeCell="I31" sqref="I31"/>
    </sheetView>
  </sheetViews>
  <sheetFormatPr defaultRowHeight="12.75"/>
  <cols>
    <col min="1" max="1" width="14.28515625" bestFit="1" customWidth="1"/>
    <col min="2" max="2" width="39.28515625" bestFit="1" customWidth="1"/>
    <col min="3" max="3" width="2.28515625" customWidth="1"/>
    <col min="4" max="7" width="11.28515625" customWidth="1"/>
  </cols>
  <sheetData>
    <row r="2" spans="1:7" ht="15">
      <c r="B2" s="375"/>
      <c r="C2" s="826"/>
      <c r="D2" s="897">
        <v>2019</v>
      </c>
      <c r="E2" s="897">
        <v>2020</v>
      </c>
      <c r="F2" s="897" t="s">
        <v>1164</v>
      </c>
      <c r="G2" s="897" t="s">
        <v>1165</v>
      </c>
    </row>
    <row r="3" spans="1:7">
      <c r="A3" s="375"/>
      <c r="B3" s="375" t="s">
        <v>1121</v>
      </c>
      <c r="C3" s="375"/>
      <c r="D3" s="546">
        <f>+'Market ROE Working Tab'!D13</f>
        <v>54029.133070000011</v>
      </c>
      <c r="E3" s="546">
        <f>+'Market ROE Working Tab'!I13</f>
        <v>51915.389260000069</v>
      </c>
      <c r="F3" s="546">
        <f>+'Market ROE Working Tab'!N13</f>
        <v>74104.479928044238</v>
      </c>
      <c r="G3" s="546">
        <f ca="1">+'Market ROE Working Tab'!S13</f>
        <v>25950.959299747698</v>
      </c>
    </row>
    <row r="4" spans="1:7">
      <c r="A4" s="375"/>
      <c r="B4" s="375" t="s">
        <v>1122</v>
      </c>
      <c r="C4" s="375"/>
      <c r="D4" s="831">
        <f>+'Market ROE Working Tab'!D14</f>
        <v>483757.39837999997</v>
      </c>
      <c r="E4" s="831">
        <f>+'Market ROE Working Tab'!I14</f>
        <v>596700.94915500004</v>
      </c>
      <c r="F4" s="831">
        <f>+'Market ROE Working Tab'!N14</f>
        <v>722652.33422646637</v>
      </c>
      <c r="G4" s="831">
        <f>+'Market ROE Working Tab'!S14</f>
        <v>1193722.9116787859</v>
      </c>
    </row>
    <row r="5" spans="1:7" ht="14.25">
      <c r="A5" s="826" t="s">
        <v>1119</v>
      </c>
      <c r="B5" s="826"/>
      <c r="C5" s="832"/>
      <c r="D5" s="849">
        <f>+D3/D4</f>
        <v>0.11168642226647493</v>
      </c>
      <c r="E5" s="849">
        <f>+E3/E4</f>
        <v>8.7004033316049639E-2</v>
      </c>
      <c r="F5" s="849">
        <f>+F3/F4</f>
        <v>0.10254513327956845</v>
      </c>
      <c r="G5" s="849">
        <f ca="1">+G3/G4</f>
        <v>2.1739516805664477E-2</v>
      </c>
    </row>
    <row r="7" spans="1:7">
      <c r="B7" t="s">
        <v>1123</v>
      </c>
      <c r="D7" s="898">
        <f>+'Market ROE Working Tab'!D17</f>
        <v>0.01</v>
      </c>
      <c r="E7" s="898">
        <f>+'Market ROE Working Tab'!I17</f>
        <v>-0.11</v>
      </c>
      <c r="F7" s="898">
        <f>+'Market ROE Working Tab'!N17</f>
        <v>0.02</v>
      </c>
      <c r="G7" s="898">
        <f ca="1">+'Market ROE Working Tab'!S17</f>
        <v>-0.34</v>
      </c>
    </row>
    <row r="8" spans="1:7">
      <c r="B8" t="s">
        <v>1126</v>
      </c>
      <c r="D8" s="898">
        <f>+'Market ROE Working Tab'!D21</f>
        <v>0.06</v>
      </c>
      <c r="E8" s="898">
        <f>+'Market ROE Working Tab'!I21</f>
        <v>-0.33</v>
      </c>
      <c r="F8" s="898">
        <f>+'Market ROE Working Tab'!N21</f>
        <v>0</v>
      </c>
      <c r="G8" s="898">
        <f ca="1">+'Market ROE Working Tab'!S21</f>
        <v>-0.03</v>
      </c>
    </row>
    <row r="9" spans="1:7">
      <c r="B9" t="s">
        <v>1128</v>
      </c>
      <c r="D9" s="898">
        <f>+'Market ROE Working Tab'!D26</f>
        <v>-0.84</v>
      </c>
      <c r="E9" s="898">
        <f>+'Market ROE Working Tab'!I26</f>
        <v>-0.66</v>
      </c>
      <c r="F9" s="898">
        <f>+'Market ROE Working Tab'!N26</f>
        <v>-0.56999999999999995</v>
      </c>
      <c r="G9" s="898">
        <f ca="1">+'Market ROE Working Tab'!S26</f>
        <v>-0.47</v>
      </c>
    </row>
    <row r="10" spans="1:7">
      <c r="B10" t="s">
        <v>1130</v>
      </c>
      <c r="D10" s="898">
        <f>+'Market ROE Working Tab'!D31</f>
        <v>-0.29154264137496305</v>
      </c>
      <c r="E10" s="898">
        <f>+'Market ROE Working Tab'!I31</f>
        <v>-0.10927262755539013</v>
      </c>
      <c r="F10" s="898">
        <f>+'Market ROE Working Tab'!N31</f>
        <v>-8.9554073670169987E-2</v>
      </c>
      <c r="G10" s="898">
        <f ca="1">+'Market ROE Working Tab'!S31</f>
        <v>4.9534566668771318E-3</v>
      </c>
    </row>
    <row r="11" spans="1:7">
      <c r="B11" t="s">
        <v>86</v>
      </c>
      <c r="D11" s="898">
        <f>+'Market ROE Working Tab'!D55</f>
        <v>-0.1</v>
      </c>
      <c r="E11" s="898">
        <f>+'Market ROE Working Tab'!I55</f>
        <v>-0.1</v>
      </c>
      <c r="F11" s="898">
        <f>+'Market ROE Working Tab'!N55</f>
        <v>-0.02</v>
      </c>
      <c r="G11" s="898">
        <f ca="1">+'Market ROE Working Tab'!S55</f>
        <v>-0.03</v>
      </c>
    </row>
    <row r="12" spans="1:7">
      <c r="B12" t="s">
        <v>87</v>
      </c>
      <c r="D12" s="898">
        <f>+'Market ROE Working Tab'!D56</f>
        <v>0</v>
      </c>
      <c r="E12" s="898">
        <f>+'Market ROE Working Tab'!I56</f>
        <v>0</v>
      </c>
      <c r="F12" s="898">
        <f>+'Market ROE Working Tab'!N56</f>
        <v>0.32</v>
      </c>
      <c r="G12" s="898">
        <f ca="1">+'Market ROE Working Tab'!S56</f>
        <v>0.32</v>
      </c>
    </row>
    <row r="13" spans="1:7">
      <c r="B13" t="s">
        <v>1133</v>
      </c>
      <c r="D13" s="898">
        <f>+'Market ROE Working Tab'!D64</f>
        <v>-0.5</v>
      </c>
      <c r="E13" s="898">
        <f>+'Market ROE Working Tab'!I64</f>
        <v>-0.21</v>
      </c>
      <c r="F13" s="898">
        <f>+'Market ROE Working Tab'!N64</f>
        <v>0.01</v>
      </c>
      <c r="G13" s="898">
        <f ca="1">+'Market ROE Working Tab'!S64</f>
        <v>-0.05</v>
      </c>
    </row>
    <row r="14" spans="1:7">
      <c r="B14" s="375" t="s">
        <v>512</v>
      </c>
      <c r="D14" s="898">
        <f>+D18*100-SUM(D7:D13)</f>
        <v>0.49290041472747048</v>
      </c>
      <c r="E14" s="898">
        <f>+E18*100-SUM(E7:E13)</f>
        <v>0.18886929595042656</v>
      </c>
      <c r="F14" s="898">
        <f>+F18*100-SUM(F7:F13)</f>
        <v>0.18504074571332463</v>
      </c>
      <c r="G14" s="898">
        <f ca="1">+G18*100-SUM(G7:G13)</f>
        <v>0.26109486276667521</v>
      </c>
    </row>
    <row r="16" spans="1:7">
      <c r="A16" s="375" t="s">
        <v>1166</v>
      </c>
      <c r="D16" s="425">
        <f>+'Market ROE Working Tab'!D74</f>
        <v>0.1</v>
      </c>
      <c r="E16" s="425">
        <f>+'Market ROE Working Tab'!I74</f>
        <v>7.3700000000000002E-2</v>
      </c>
      <c r="F16" s="425">
        <f>+'Market ROE Working Tab'!N74</f>
        <v>0.1011</v>
      </c>
      <c r="G16" s="425">
        <f ca="1">+'Market ROE Working Tab'!S74</f>
        <v>1.84E-2</v>
      </c>
    </row>
    <row r="18" spans="1:7">
      <c r="A18" s="375" t="s">
        <v>1167</v>
      </c>
      <c r="D18" s="425">
        <f>+D16-D5</f>
        <v>-1.1686422266474927E-2</v>
      </c>
      <c r="E18" s="425">
        <f>+E16-E5</f>
        <v>-1.3304033316049638E-2</v>
      </c>
      <c r="F18" s="425">
        <f>+F16-F5</f>
        <v>-1.4451332795684529E-3</v>
      </c>
      <c r="G18" s="425">
        <f ca="1">+G16-G5</f>
        <v>-3.3395168056644768E-3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2060"/>
    <pageSetUpPr fitToPage="1"/>
  </sheetPr>
  <dimension ref="A1:CN41"/>
  <sheetViews>
    <sheetView zoomScale="85" zoomScaleNormal="85" workbookViewId="0">
      <pane xSplit="62" ySplit="4" topLeftCell="CC5" activePane="bottomRight" state="frozen"/>
      <selection pane="topRight" activeCell="BK1" sqref="BK1"/>
      <selection pane="bottomLeft" activeCell="A5" sqref="A5"/>
      <selection pane="bottomRight" activeCell="CN7" sqref="CN7:CN11"/>
    </sheetView>
  </sheetViews>
  <sheetFormatPr defaultRowHeight="12.75"/>
  <cols>
    <col min="1" max="1" width="34.28515625" bestFit="1" customWidth="1"/>
    <col min="2" max="2" width="15.85546875" bestFit="1" customWidth="1"/>
    <col min="3" max="3" width="16.85546875" hidden="1" customWidth="1"/>
    <col min="4" max="5" width="17.42578125" hidden="1" customWidth="1"/>
    <col min="6" max="6" width="16.85546875" hidden="1" customWidth="1"/>
    <col min="7" max="7" width="17.85546875" hidden="1" customWidth="1"/>
    <col min="8" max="9" width="17.42578125" hidden="1" customWidth="1"/>
    <col min="10" max="10" width="16.85546875" hidden="1" customWidth="1"/>
    <col min="11" max="12" width="17.42578125" hidden="1" customWidth="1"/>
    <col min="13" max="13" width="17.85546875" hidden="1" customWidth="1"/>
    <col min="14" max="14" width="16.85546875" hidden="1" customWidth="1"/>
    <col min="15" max="16" width="17.85546875" hidden="1" customWidth="1"/>
    <col min="17" max="17" width="17.42578125" hidden="1" customWidth="1"/>
    <col min="18" max="19" width="17.85546875" hidden="1" customWidth="1"/>
    <col min="20" max="20" width="16.85546875" hidden="1" customWidth="1"/>
    <col min="21" max="21" width="17.42578125" hidden="1" customWidth="1"/>
    <col min="22" max="23" width="17.85546875" hidden="1" customWidth="1"/>
    <col min="24" max="24" width="17.42578125" hidden="1" customWidth="1"/>
    <col min="25" max="25" width="16.85546875" hidden="1" customWidth="1"/>
    <col min="26" max="26" width="17.85546875" hidden="1" customWidth="1"/>
    <col min="27" max="28" width="17.42578125" hidden="1" customWidth="1"/>
    <col min="29" max="30" width="17.85546875" hidden="1" customWidth="1"/>
    <col min="31" max="31" width="17.42578125" hidden="1" customWidth="1"/>
    <col min="32" max="33" width="17.85546875" hidden="1" customWidth="1"/>
    <col min="34" max="34" width="16.85546875" hidden="1" customWidth="1"/>
    <col min="35" max="35" width="17.85546875" hidden="1" customWidth="1"/>
    <col min="36" max="36" width="17.42578125" hidden="1" customWidth="1"/>
    <col min="37" max="39" width="17.85546875" hidden="1" customWidth="1"/>
    <col min="40" max="41" width="16.85546875" hidden="1" customWidth="1"/>
    <col min="42" max="45" width="17.85546875" hidden="1" customWidth="1"/>
    <col min="46" max="47" width="17.42578125" hidden="1" customWidth="1"/>
    <col min="48" max="48" width="17.85546875" hidden="1" customWidth="1"/>
    <col min="49" max="50" width="17.42578125" hidden="1" customWidth="1"/>
    <col min="51" max="51" width="15.42578125" hidden="1" customWidth="1"/>
    <col min="52" max="62" width="15.28515625" hidden="1" customWidth="1"/>
    <col min="63" max="74" width="21.5703125" hidden="1" customWidth="1"/>
    <col min="75" max="87" width="21.5703125" customWidth="1"/>
    <col min="88" max="88" width="21.5703125" bestFit="1" customWidth="1"/>
    <col min="89" max="89" width="16.140625" bestFit="1" customWidth="1"/>
    <col min="90" max="90" width="15" bestFit="1" customWidth="1"/>
    <col min="91" max="91" width="17" bestFit="1" customWidth="1"/>
    <col min="92" max="92" width="12.7109375" bestFit="1" customWidth="1"/>
  </cols>
  <sheetData>
    <row r="1" spans="1:92">
      <c r="A1" s="28" t="s">
        <v>203</v>
      </c>
      <c r="B1" s="622" t="s">
        <v>151</v>
      </c>
    </row>
    <row r="2" spans="1:92">
      <c r="A2" s="261">
        <f>'Bal Sheet'!A1</f>
        <v>12</v>
      </c>
      <c r="B2" s="623" t="s">
        <v>153</v>
      </c>
      <c r="AM2" s="208" t="str">
        <f>+'Bal Sheet'!AX5</f>
        <v>Actual</v>
      </c>
      <c r="AN2" s="208" t="str">
        <f>+'Bal Sheet'!AY5</f>
        <v>Actual</v>
      </c>
      <c r="AO2" s="208" t="str">
        <f>+'Bal Sheet'!AZ5</f>
        <v>Actual</v>
      </c>
      <c r="AP2" s="208" t="str">
        <f>+'Bal Sheet'!BA5</f>
        <v>Actual</v>
      </c>
      <c r="AQ2" s="208" t="str">
        <f>+'Bal Sheet'!BB5</f>
        <v>Actual</v>
      </c>
      <c r="AR2" s="208" t="str">
        <f>+'Bal Sheet'!BC5</f>
        <v>Actual</v>
      </c>
      <c r="AS2" s="208" t="str">
        <f>+'Bal Sheet'!BD5</f>
        <v>Actual</v>
      </c>
      <c r="AT2" s="208" t="str">
        <f>+'Bal Sheet'!BE5</f>
        <v>Actual</v>
      </c>
      <c r="AU2" s="208" t="str">
        <f>+'Bal Sheet'!BF5</f>
        <v>Actual</v>
      </c>
      <c r="AV2" s="208" t="str">
        <f>+'Bal Sheet'!BG5</f>
        <v>Actual</v>
      </c>
      <c r="AW2" s="208" t="str">
        <f>+'Bal Sheet'!BH5</f>
        <v>Actual</v>
      </c>
      <c r="AX2" s="208" t="str">
        <f>+'Bal Sheet'!BI5</f>
        <v>Actual</v>
      </c>
      <c r="AY2" s="208" t="str">
        <f>+'Bal Sheet'!BJ5</f>
        <v>Actual</v>
      </c>
      <c r="AZ2" s="208" t="str">
        <f>+'Bal Sheet'!BK5</f>
        <v>Actual</v>
      </c>
      <c r="BA2" s="208" t="str">
        <f>+'Bal Sheet'!BL5</f>
        <v>Actual</v>
      </c>
      <c r="BB2" s="208" t="str">
        <f>+'Bal Sheet'!BM5</f>
        <v>Actual</v>
      </c>
      <c r="BC2" s="208" t="str">
        <f>+'Bal Sheet'!BN5</f>
        <v>Actual</v>
      </c>
      <c r="BD2" s="208" t="str">
        <f>+'Bal Sheet'!BO5</f>
        <v>Actual</v>
      </c>
      <c r="BE2" s="208" t="str">
        <f>+'Bal Sheet'!BP5</f>
        <v>Actual</v>
      </c>
      <c r="BF2" s="208" t="str">
        <f>+'Bal Sheet'!BQ5</f>
        <v>Actual</v>
      </c>
      <c r="BG2" s="208" t="str">
        <f>+'Bal Sheet'!BR5</f>
        <v>Actual</v>
      </c>
      <c r="BH2" s="208" t="str">
        <f>+'Bal Sheet'!BS5</f>
        <v>Actual</v>
      </c>
      <c r="BI2" s="208" t="str">
        <f>+'Bal Sheet'!BT5</f>
        <v>Actual</v>
      </c>
      <c r="BJ2" s="208" t="str">
        <f>+'Bal Sheet'!BU5</f>
        <v>Actual</v>
      </c>
      <c r="BK2" s="208" t="str">
        <f>+'Bal Sheet'!BV5</f>
        <v>Actual</v>
      </c>
      <c r="BL2" s="208" t="str">
        <f>+'Bal Sheet'!BW5</f>
        <v>Budget</v>
      </c>
      <c r="BM2" s="208" t="str">
        <f>+'Bal Sheet'!BX5</f>
        <v>Budget</v>
      </c>
      <c r="BN2" s="208" t="str">
        <f>+'Bal Sheet'!BY5</f>
        <v>Budget</v>
      </c>
      <c r="BO2" s="208" t="str">
        <f>+'Bal Sheet'!BZ5</f>
        <v>Budget</v>
      </c>
      <c r="BP2" s="208" t="str">
        <f>+'Bal Sheet'!CA5</f>
        <v>Budget</v>
      </c>
      <c r="BQ2" s="208" t="str">
        <f>+'Bal Sheet'!CB5</f>
        <v>Budget</v>
      </c>
      <c r="BR2" s="208" t="str">
        <f>+'Bal Sheet'!CC5</f>
        <v>Budget</v>
      </c>
      <c r="BS2" s="208" t="str">
        <f>+'Bal Sheet'!CD5</f>
        <v>Budget</v>
      </c>
      <c r="BT2" s="208" t="str">
        <f>+'Bal Sheet'!CE5</f>
        <v>Budget</v>
      </c>
      <c r="BU2" s="208" t="str">
        <f>+'Bal Sheet'!CF5</f>
        <v>Budget</v>
      </c>
      <c r="BV2" s="208" t="str">
        <f>+'Bal Sheet'!CG5</f>
        <v>Budget</v>
      </c>
      <c r="BW2" s="208" t="str">
        <f>+'Bal Sheet'!CH5</f>
        <v>Budget</v>
      </c>
      <c r="BX2" s="208" t="str">
        <f>+'Bal Sheet'!CI5</f>
        <v>Budget</v>
      </c>
      <c r="BY2" s="208" t="str">
        <f>+'Bal Sheet'!CJ5</f>
        <v>Budget</v>
      </c>
      <c r="BZ2" s="208" t="str">
        <f>+'Bal Sheet'!CK5</f>
        <v>Budget</v>
      </c>
      <c r="CA2" s="208" t="str">
        <f>+'Bal Sheet'!CL5</f>
        <v>Budget</v>
      </c>
      <c r="CB2" s="208" t="str">
        <f>+'Bal Sheet'!CM5</f>
        <v>Budget</v>
      </c>
      <c r="CC2" s="208" t="str">
        <f>+'Bal Sheet'!CN5</f>
        <v>Budget</v>
      </c>
      <c r="CD2" s="208" t="str">
        <f>+'Bal Sheet'!CO5</f>
        <v>Budget</v>
      </c>
      <c r="CE2" s="208" t="str">
        <f>+'Bal Sheet'!CP5</f>
        <v>Budget</v>
      </c>
      <c r="CF2" s="208" t="str">
        <f>+'Bal Sheet'!CQ5</f>
        <v>Budget</v>
      </c>
      <c r="CG2" s="208" t="str">
        <f>+'Bal Sheet'!CR5</f>
        <v>Budget</v>
      </c>
      <c r="CH2" s="208" t="str">
        <f>+'Bal Sheet'!CS5</f>
        <v>Budget</v>
      </c>
      <c r="CI2" s="208" t="str">
        <f>+'Bal Sheet'!CT5</f>
        <v>Budget</v>
      </c>
    </row>
    <row r="3" spans="1:92" s="19" customFormat="1">
      <c r="A3" s="627"/>
      <c r="B3" s="628"/>
      <c r="C3" s="627">
        <v>2017</v>
      </c>
      <c r="D3" s="627">
        <v>2018</v>
      </c>
      <c r="E3" s="627">
        <v>2018</v>
      </c>
      <c r="F3" s="627">
        <v>2018</v>
      </c>
      <c r="G3" s="627">
        <v>2018</v>
      </c>
      <c r="H3" s="627">
        <v>2018</v>
      </c>
      <c r="I3" s="627">
        <v>2018</v>
      </c>
      <c r="J3" s="627">
        <v>2018</v>
      </c>
      <c r="K3" s="627">
        <v>2018</v>
      </c>
      <c r="L3" s="627">
        <v>2018</v>
      </c>
      <c r="M3" s="627">
        <v>2018</v>
      </c>
      <c r="N3" s="627">
        <v>2018</v>
      </c>
      <c r="O3" s="627">
        <v>2018</v>
      </c>
      <c r="P3" s="627">
        <v>2019</v>
      </c>
      <c r="Q3" s="627">
        <v>2019</v>
      </c>
      <c r="R3" s="627">
        <v>2019</v>
      </c>
      <c r="S3" s="627">
        <v>2019</v>
      </c>
      <c r="T3" s="627">
        <v>2019</v>
      </c>
      <c r="U3" s="627">
        <v>2019</v>
      </c>
      <c r="V3" s="627">
        <v>2019</v>
      </c>
      <c r="W3" s="627">
        <v>2019</v>
      </c>
      <c r="X3" s="627">
        <v>2019</v>
      </c>
      <c r="Y3" s="627">
        <v>2019</v>
      </c>
      <c r="Z3" s="627">
        <v>2019</v>
      </c>
      <c r="AA3" s="627">
        <v>2019</v>
      </c>
      <c r="AB3" s="627">
        <v>2020</v>
      </c>
      <c r="AC3" s="627">
        <v>2020</v>
      </c>
      <c r="AD3" s="627">
        <v>2020</v>
      </c>
      <c r="AE3" s="627">
        <v>2020</v>
      </c>
      <c r="AF3" s="627">
        <v>2020</v>
      </c>
      <c r="AG3" s="627">
        <v>2020</v>
      </c>
      <c r="AH3" s="627">
        <v>2020</v>
      </c>
      <c r="AI3" s="627">
        <v>2020</v>
      </c>
      <c r="AJ3" s="627">
        <v>2020</v>
      </c>
      <c r="AK3" s="627">
        <v>2020</v>
      </c>
      <c r="AL3" s="627">
        <v>2020</v>
      </c>
      <c r="AM3" s="632">
        <v>2020</v>
      </c>
      <c r="AN3" s="632">
        <v>2021</v>
      </c>
      <c r="AO3" s="632">
        <v>2021</v>
      </c>
      <c r="AP3" s="632">
        <v>2021</v>
      </c>
      <c r="AQ3" s="632">
        <v>2021</v>
      </c>
      <c r="AR3" s="632">
        <v>2021</v>
      </c>
      <c r="AS3" s="632">
        <v>2021</v>
      </c>
      <c r="AT3" s="632">
        <v>2021</v>
      </c>
      <c r="AU3" s="632">
        <v>2021</v>
      </c>
      <c r="AV3" s="632">
        <v>2021</v>
      </c>
      <c r="AW3" s="632">
        <v>2021</v>
      </c>
      <c r="AX3" s="632">
        <v>2021</v>
      </c>
      <c r="AY3" s="632">
        <v>2021</v>
      </c>
      <c r="AZ3" s="632">
        <v>2022</v>
      </c>
      <c r="BA3" s="632">
        <v>2022</v>
      </c>
      <c r="BB3" s="632">
        <v>2022</v>
      </c>
      <c r="BC3" s="632">
        <v>2022</v>
      </c>
      <c r="BD3" s="632">
        <v>2022</v>
      </c>
      <c r="BE3" s="632">
        <v>2022</v>
      </c>
      <c r="BF3" s="632">
        <v>2022</v>
      </c>
      <c r="BG3" s="632">
        <v>2022</v>
      </c>
      <c r="BH3" s="632">
        <v>2022</v>
      </c>
      <c r="BI3" s="632">
        <v>2022</v>
      </c>
      <c r="BJ3" s="632">
        <v>2022</v>
      </c>
      <c r="BK3" s="632">
        <v>2022</v>
      </c>
      <c r="BL3" s="632">
        <v>2023</v>
      </c>
      <c r="BM3" s="632">
        <v>2023</v>
      </c>
      <c r="BN3" s="632">
        <v>2023</v>
      </c>
      <c r="BO3" s="632">
        <v>2023</v>
      </c>
      <c r="BP3" s="632">
        <v>2023</v>
      </c>
      <c r="BQ3" s="632">
        <v>2023</v>
      </c>
      <c r="BR3" s="632">
        <v>2023</v>
      </c>
      <c r="BS3" s="632">
        <v>2023</v>
      </c>
      <c r="BT3" s="632">
        <v>2023</v>
      </c>
      <c r="BU3" s="632">
        <v>2023</v>
      </c>
      <c r="BV3" s="632">
        <v>2023</v>
      </c>
      <c r="BW3" s="632">
        <v>2023</v>
      </c>
      <c r="BX3" s="632">
        <v>2024</v>
      </c>
      <c r="BY3" s="632">
        <v>2024</v>
      </c>
      <c r="BZ3" s="632">
        <v>2024</v>
      </c>
      <c r="CA3" s="632">
        <v>2024</v>
      </c>
      <c r="CB3" s="632">
        <v>2024</v>
      </c>
      <c r="CC3" s="632">
        <v>2024</v>
      </c>
      <c r="CD3" s="632">
        <v>2024</v>
      </c>
      <c r="CE3" s="632">
        <v>2024</v>
      </c>
      <c r="CF3" s="632">
        <v>2024</v>
      </c>
      <c r="CG3" s="632">
        <v>2024</v>
      </c>
      <c r="CH3" s="632">
        <v>2024</v>
      </c>
      <c r="CI3" s="632">
        <v>2024</v>
      </c>
      <c r="CJ3" s="627" t="s">
        <v>204</v>
      </c>
      <c r="CK3" s="627" t="s">
        <v>205</v>
      </c>
      <c r="CL3" s="627" t="s">
        <v>206</v>
      </c>
      <c r="CM3" s="627" t="s">
        <v>207</v>
      </c>
      <c r="CN3" s="375"/>
    </row>
    <row r="4" spans="1:92" s="19" customFormat="1">
      <c r="A4" s="629" t="s">
        <v>208</v>
      </c>
      <c r="B4" s="634" t="s">
        <v>209</v>
      </c>
      <c r="C4" s="630" t="s">
        <v>210</v>
      </c>
      <c r="D4" s="630" t="s">
        <v>211</v>
      </c>
      <c r="E4" s="630" t="s">
        <v>212</v>
      </c>
      <c r="F4" s="630" t="s">
        <v>213</v>
      </c>
      <c r="G4" s="630" t="s">
        <v>214</v>
      </c>
      <c r="H4" s="630" t="s">
        <v>215</v>
      </c>
      <c r="I4" s="630" t="s">
        <v>216</v>
      </c>
      <c r="J4" s="630" t="s">
        <v>217</v>
      </c>
      <c r="K4" s="630" t="s">
        <v>218</v>
      </c>
      <c r="L4" s="630" t="s">
        <v>219</v>
      </c>
      <c r="M4" s="630" t="s">
        <v>220</v>
      </c>
      <c r="N4" s="630" t="s">
        <v>221</v>
      </c>
      <c r="O4" s="630" t="s">
        <v>210</v>
      </c>
      <c r="P4" s="630" t="s">
        <v>211</v>
      </c>
      <c r="Q4" s="630" t="s">
        <v>212</v>
      </c>
      <c r="R4" s="630" t="s">
        <v>213</v>
      </c>
      <c r="S4" s="630" t="s">
        <v>214</v>
      </c>
      <c r="T4" s="630" t="s">
        <v>215</v>
      </c>
      <c r="U4" s="630" t="s">
        <v>216</v>
      </c>
      <c r="V4" s="630" t="s">
        <v>217</v>
      </c>
      <c r="W4" s="630" t="s">
        <v>218</v>
      </c>
      <c r="X4" s="630" t="s">
        <v>219</v>
      </c>
      <c r="Y4" s="630" t="s">
        <v>220</v>
      </c>
      <c r="Z4" s="630" t="s">
        <v>221</v>
      </c>
      <c r="AA4" s="630" t="s">
        <v>210</v>
      </c>
      <c r="AB4" s="630" t="s">
        <v>211</v>
      </c>
      <c r="AC4" s="630" t="s">
        <v>212</v>
      </c>
      <c r="AD4" s="630" t="s">
        <v>213</v>
      </c>
      <c r="AE4" s="630" t="s">
        <v>214</v>
      </c>
      <c r="AF4" s="630" t="s">
        <v>215</v>
      </c>
      <c r="AG4" s="630" t="s">
        <v>216</v>
      </c>
      <c r="AH4" s="630" t="s">
        <v>217</v>
      </c>
      <c r="AI4" s="630" t="s">
        <v>218</v>
      </c>
      <c r="AJ4" s="630" t="s">
        <v>219</v>
      </c>
      <c r="AK4" s="630" t="s">
        <v>220</v>
      </c>
      <c r="AL4" s="630" t="s">
        <v>221</v>
      </c>
      <c r="AM4" s="633" t="s">
        <v>210</v>
      </c>
      <c r="AN4" s="633" t="s">
        <v>211</v>
      </c>
      <c r="AO4" s="633" t="s">
        <v>212</v>
      </c>
      <c r="AP4" s="633" t="s">
        <v>213</v>
      </c>
      <c r="AQ4" s="633" t="s">
        <v>214</v>
      </c>
      <c r="AR4" s="633" t="s">
        <v>215</v>
      </c>
      <c r="AS4" s="633" t="s">
        <v>216</v>
      </c>
      <c r="AT4" s="633" t="s">
        <v>217</v>
      </c>
      <c r="AU4" s="633" t="s">
        <v>218</v>
      </c>
      <c r="AV4" s="633" t="s">
        <v>219</v>
      </c>
      <c r="AW4" s="633" t="s">
        <v>220</v>
      </c>
      <c r="AX4" s="633" t="s">
        <v>221</v>
      </c>
      <c r="AY4" s="633" t="s">
        <v>210</v>
      </c>
      <c r="AZ4" s="633" t="s">
        <v>211</v>
      </c>
      <c r="BA4" s="633" t="s">
        <v>212</v>
      </c>
      <c r="BB4" s="633" t="s">
        <v>213</v>
      </c>
      <c r="BC4" s="633" t="s">
        <v>214</v>
      </c>
      <c r="BD4" s="633" t="s">
        <v>215</v>
      </c>
      <c r="BE4" s="633" t="s">
        <v>216</v>
      </c>
      <c r="BF4" s="633" t="s">
        <v>217</v>
      </c>
      <c r="BG4" s="633" t="s">
        <v>218</v>
      </c>
      <c r="BH4" s="633" t="s">
        <v>219</v>
      </c>
      <c r="BI4" s="633" t="s">
        <v>220</v>
      </c>
      <c r="BJ4" s="633" t="s">
        <v>221</v>
      </c>
      <c r="BK4" s="633" t="s">
        <v>210</v>
      </c>
      <c r="BL4" s="633" t="s">
        <v>211</v>
      </c>
      <c r="BM4" s="633" t="s">
        <v>212</v>
      </c>
      <c r="BN4" s="633" t="s">
        <v>213</v>
      </c>
      <c r="BO4" s="633" t="s">
        <v>214</v>
      </c>
      <c r="BP4" s="633" t="s">
        <v>215</v>
      </c>
      <c r="BQ4" s="633" t="s">
        <v>216</v>
      </c>
      <c r="BR4" s="633" t="s">
        <v>217</v>
      </c>
      <c r="BS4" s="633" t="s">
        <v>218</v>
      </c>
      <c r="BT4" s="633" t="s">
        <v>219</v>
      </c>
      <c r="BU4" s="633" t="s">
        <v>220</v>
      </c>
      <c r="BV4" s="633" t="s">
        <v>221</v>
      </c>
      <c r="BW4" s="633" t="s">
        <v>210</v>
      </c>
      <c r="BX4" s="633" t="s">
        <v>211</v>
      </c>
      <c r="BY4" s="633" t="s">
        <v>212</v>
      </c>
      <c r="BZ4" s="633" t="s">
        <v>213</v>
      </c>
      <c r="CA4" s="633" t="s">
        <v>214</v>
      </c>
      <c r="CB4" s="633" t="s">
        <v>215</v>
      </c>
      <c r="CC4" s="633" t="s">
        <v>216</v>
      </c>
      <c r="CD4" s="633" t="s">
        <v>217</v>
      </c>
      <c r="CE4" s="633" t="s">
        <v>218</v>
      </c>
      <c r="CF4" s="633" t="s">
        <v>219</v>
      </c>
      <c r="CG4" s="633" t="s">
        <v>220</v>
      </c>
      <c r="CH4" s="633" t="s">
        <v>221</v>
      </c>
      <c r="CI4" s="633" t="s">
        <v>210</v>
      </c>
      <c r="CJ4" s="630" t="s">
        <v>222</v>
      </c>
      <c r="CK4" s="630" t="s">
        <v>105</v>
      </c>
      <c r="CL4" s="630" t="s">
        <v>205</v>
      </c>
      <c r="CM4" s="630" t="s">
        <v>205</v>
      </c>
      <c r="CN4" s="375"/>
    </row>
    <row r="5" spans="1:92" s="19" customFormat="1">
      <c r="A5" s="375"/>
      <c r="B5" s="375"/>
      <c r="C5" s="835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835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835"/>
      <c r="AB5" s="835"/>
      <c r="AC5" s="835"/>
      <c r="AD5" s="835"/>
      <c r="AE5" s="835"/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5"/>
      <c r="AR5" s="835"/>
      <c r="AS5" s="835"/>
      <c r="AT5" s="835"/>
      <c r="AU5" s="835"/>
      <c r="AV5" s="835"/>
      <c r="AW5" s="835"/>
      <c r="AX5" s="835"/>
      <c r="AY5" s="835"/>
      <c r="AZ5" s="835"/>
      <c r="BA5" s="835"/>
      <c r="BB5" s="835"/>
      <c r="BC5" s="835"/>
      <c r="BD5" s="835"/>
      <c r="BE5" s="835"/>
      <c r="BF5" s="835"/>
      <c r="BG5" s="835"/>
      <c r="BH5" s="835"/>
      <c r="BI5" s="835"/>
      <c r="BJ5" s="835"/>
      <c r="BK5" s="835"/>
      <c r="BL5" s="835"/>
      <c r="BM5" s="835"/>
      <c r="BN5" s="835"/>
      <c r="BO5" s="835"/>
      <c r="BP5" s="835"/>
      <c r="BQ5" s="835"/>
      <c r="BR5" s="835"/>
      <c r="BS5" s="835"/>
      <c r="BT5" s="835"/>
      <c r="BU5" s="835"/>
      <c r="BV5" s="835"/>
      <c r="BW5" s="835"/>
      <c r="BX5" s="835"/>
      <c r="BY5" s="835"/>
      <c r="BZ5" s="835"/>
      <c r="CA5" s="835"/>
      <c r="CB5" s="835"/>
      <c r="CC5" s="835"/>
      <c r="CD5" s="835"/>
      <c r="CE5" s="835"/>
      <c r="CF5" s="835"/>
      <c r="CG5" s="835"/>
      <c r="CH5" s="835"/>
      <c r="CI5" s="835"/>
      <c r="CJ5" s="375"/>
      <c r="CK5" s="375"/>
      <c r="CL5" s="375"/>
      <c r="CM5" s="375"/>
      <c r="CN5" s="375"/>
    </row>
    <row r="6" spans="1:92" s="19" customFormat="1" ht="15">
      <c r="A6" s="375" t="s">
        <v>223</v>
      </c>
      <c r="B6" s="287">
        <f ca="1">SUM(OFFSET(BL6:BX6,0,'Bal Sheet'!$A$1-1))/13</f>
        <v>112752382.63307691</v>
      </c>
      <c r="C6" s="377">
        <v>27758393.900000006</v>
      </c>
      <c r="D6" s="344">
        <v>27758656.830000006</v>
      </c>
      <c r="E6" s="344">
        <v>27761368.230000004</v>
      </c>
      <c r="F6" s="344">
        <v>27764121.780000005</v>
      </c>
      <c r="G6" s="344">
        <v>27768049.710000008</v>
      </c>
      <c r="H6" s="344">
        <v>27769652.690000009</v>
      </c>
      <c r="I6" s="377">
        <v>27809445.990000006</v>
      </c>
      <c r="J6" s="344">
        <v>28098367.100000005</v>
      </c>
      <c r="K6" s="344">
        <v>28127234.310000006</v>
      </c>
      <c r="L6" s="344">
        <v>28160734.870000005</v>
      </c>
      <c r="M6" s="344">
        <v>28956443.330000006</v>
      </c>
      <c r="N6" s="344">
        <v>28992080.640000008</v>
      </c>
      <c r="O6" s="344">
        <v>29531617.920000009</v>
      </c>
      <c r="P6" s="344">
        <v>29649013.780000009</v>
      </c>
      <c r="Q6" s="344">
        <v>29682459.090000007</v>
      </c>
      <c r="R6" s="344">
        <v>29670926.760000009</v>
      </c>
      <c r="S6" s="344">
        <v>29680125.300000008</v>
      </c>
      <c r="T6" s="344">
        <v>29701149.360000007</v>
      </c>
      <c r="U6" s="344">
        <v>29702336.660000008</v>
      </c>
      <c r="V6" s="344">
        <v>29688764.900000006</v>
      </c>
      <c r="W6" s="344">
        <v>29700701.380000006</v>
      </c>
      <c r="X6" s="344">
        <v>30822508.170000006</v>
      </c>
      <c r="Y6" s="344">
        <v>30937112.410000004</v>
      </c>
      <c r="Z6" s="344">
        <v>31122493.990000002</v>
      </c>
      <c r="AA6" s="344">
        <v>32175006.760000002</v>
      </c>
      <c r="AB6" s="344">
        <v>31792251.930000011</v>
      </c>
      <c r="AC6" s="344">
        <v>31993128.680000011</v>
      </c>
      <c r="AD6" s="344">
        <v>31998986.610000011</v>
      </c>
      <c r="AE6" s="344">
        <v>32001473.000000011</v>
      </c>
      <c r="AF6" s="344">
        <v>32022308.260000013</v>
      </c>
      <c r="AG6" s="344">
        <v>32157124.800000012</v>
      </c>
      <c r="AH6" s="344">
        <v>32177873.220000014</v>
      </c>
      <c r="AI6" s="534">
        <v>32172179.540000014</v>
      </c>
      <c r="AJ6" s="534">
        <v>32203902.220000014</v>
      </c>
      <c r="AK6" s="534">
        <v>48408162.870000012</v>
      </c>
      <c r="AL6" s="534">
        <v>48483373.840000011</v>
      </c>
      <c r="AM6" s="775">
        <v>48478260.140000008</v>
      </c>
      <c r="AN6" s="775">
        <v>48520969.56000001</v>
      </c>
      <c r="AO6" s="776">
        <v>48581349.230000012</v>
      </c>
      <c r="AP6" s="776">
        <v>51161065.390000015</v>
      </c>
      <c r="AQ6" s="776">
        <v>54007188.340000018</v>
      </c>
      <c r="AR6" s="776">
        <v>54260805.94000002</v>
      </c>
      <c r="AS6" s="776">
        <v>54522728.830000021</v>
      </c>
      <c r="AT6" s="776">
        <v>54781504.630000018</v>
      </c>
      <c r="AU6" s="776">
        <v>54881827.300000019</v>
      </c>
      <c r="AV6" s="776">
        <v>54910165.470000021</v>
      </c>
      <c r="AW6" s="776">
        <v>54936571.37000002</v>
      </c>
      <c r="AX6" s="776">
        <v>54972457.290000021</v>
      </c>
      <c r="AY6" s="776">
        <v>54992605.890000023</v>
      </c>
      <c r="AZ6" s="1011">
        <v>55035399.480000027</v>
      </c>
      <c r="BA6" s="1011">
        <v>60916503.630000025</v>
      </c>
      <c r="BB6" s="1011">
        <v>61040714.390000023</v>
      </c>
      <c r="BC6" s="1011">
        <v>61062145.750000022</v>
      </c>
      <c r="BD6" s="1011">
        <v>61122973.260000028</v>
      </c>
      <c r="BE6" s="1011">
        <v>60971998.020000026</v>
      </c>
      <c r="BF6" s="635">
        <v>60994395.18000003</v>
      </c>
      <c r="BG6" s="635">
        <v>60991233.480000027</v>
      </c>
      <c r="BH6" s="635">
        <v>61039831.870000027</v>
      </c>
      <c r="BI6" s="635">
        <v>61061595.990000024</v>
      </c>
      <c r="BJ6" s="635">
        <v>61701383.310000017</v>
      </c>
      <c r="BK6" s="635">
        <v>61701027.730000019</v>
      </c>
      <c r="BL6" s="1011">
        <v>66421977.308500022</v>
      </c>
      <c r="BM6" s="1011">
        <v>66596441.319000021</v>
      </c>
      <c r="BN6" s="1011">
        <v>68067014.239500016</v>
      </c>
      <c r="BO6" s="1011">
        <v>68336824.250000015</v>
      </c>
      <c r="BP6" s="1011">
        <v>103269741.09</v>
      </c>
      <c r="BQ6" s="1011">
        <v>106299906.99000001</v>
      </c>
      <c r="BR6" s="635">
        <v>108311093.99000001</v>
      </c>
      <c r="BS6" s="635">
        <v>108450492.99000001</v>
      </c>
      <c r="BT6" s="635">
        <v>108618607.99000001</v>
      </c>
      <c r="BU6" s="635">
        <v>108737524.99000001</v>
      </c>
      <c r="BV6" s="635">
        <v>109516461.99000001</v>
      </c>
      <c r="BW6" s="635">
        <v>110526643.99000001</v>
      </c>
      <c r="BX6" s="1011">
        <v>110568523.65000001</v>
      </c>
      <c r="BY6" s="1011">
        <v>110640403.31</v>
      </c>
      <c r="BZ6" s="1011">
        <v>110712282.97</v>
      </c>
      <c r="CA6" s="1011">
        <v>110784162.63</v>
      </c>
      <c r="CB6" s="1011">
        <v>110856042.28999999</v>
      </c>
      <c r="CC6" s="1011">
        <v>110927921.94999999</v>
      </c>
      <c r="CD6" s="635">
        <v>110999801.60999998</v>
      </c>
      <c r="CE6" s="635">
        <v>112904181.26999998</v>
      </c>
      <c r="CF6" s="635">
        <v>113569310.92999998</v>
      </c>
      <c r="CG6" s="635">
        <v>113860440.58999997</v>
      </c>
      <c r="CH6" s="635">
        <v>114601570.24999997</v>
      </c>
      <c r="CI6" s="635">
        <v>124829688.78999998</v>
      </c>
      <c r="CJ6" s="606">
        <f ca="1">+B6</f>
        <v>112752382.63307691</v>
      </c>
      <c r="CK6" s="1120">
        <v>0</v>
      </c>
      <c r="CL6" s="340">
        <f ca="1">CJ6*CK6</f>
        <v>0</v>
      </c>
      <c r="CM6" s="340">
        <f>+CK6*CI6</f>
        <v>0</v>
      </c>
      <c r="CN6" s="1121" t="s">
        <v>1253</v>
      </c>
    </row>
    <row r="7" spans="1:92" s="19" customFormat="1" ht="15">
      <c r="A7" s="375" t="s">
        <v>224</v>
      </c>
      <c r="B7" s="287">
        <f ca="1">SUM(OFFSET(BL7:BX7,0,'Bal Sheet'!$A$1-1))/13</f>
        <v>16157149.270000001</v>
      </c>
      <c r="C7" s="377">
        <v>21775427.5</v>
      </c>
      <c r="D7" s="344">
        <v>21776805.189999998</v>
      </c>
      <c r="E7" s="344">
        <v>21783981.060000002</v>
      </c>
      <c r="F7" s="344">
        <v>22819110.91</v>
      </c>
      <c r="G7" s="344">
        <v>23130760.769999996</v>
      </c>
      <c r="H7" s="344">
        <v>23138431.339999996</v>
      </c>
      <c r="I7" s="377">
        <v>22868671.949999999</v>
      </c>
      <c r="J7" s="344">
        <v>23206807.100000001</v>
      </c>
      <c r="K7" s="344">
        <v>23208550.049999997</v>
      </c>
      <c r="L7" s="344">
        <v>23208755.739999998</v>
      </c>
      <c r="M7" s="344">
        <v>23209261.599999998</v>
      </c>
      <c r="N7" s="344">
        <v>23181574.93</v>
      </c>
      <c r="O7" s="344">
        <v>15545203.509999998</v>
      </c>
      <c r="P7" s="344">
        <v>15545203.509999998</v>
      </c>
      <c r="Q7" s="344">
        <v>15545203.509999998</v>
      </c>
      <c r="R7" s="344">
        <v>15545203.509999998</v>
      </c>
      <c r="S7" s="344">
        <v>15545203.509999998</v>
      </c>
      <c r="T7" s="344">
        <v>15545203.509999998</v>
      </c>
      <c r="U7" s="344">
        <v>15545203.509999998</v>
      </c>
      <c r="V7" s="344">
        <v>15545203.509999998</v>
      </c>
      <c r="W7" s="344">
        <v>15545203.509999998</v>
      </c>
      <c r="X7" s="344">
        <v>15545203.509999998</v>
      </c>
      <c r="Y7" s="344">
        <v>15545203.509999998</v>
      </c>
      <c r="Z7" s="344">
        <v>15545203.509999998</v>
      </c>
      <c r="AA7" s="344">
        <v>15545203.509999998</v>
      </c>
      <c r="AB7" s="344">
        <v>15545203.509999998</v>
      </c>
      <c r="AC7" s="344">
        <v>9370593.9599999972</v>
      </c>
      <c r="AD7" s="344">
        <v>9370593.9599999972</v>
      </c>
      <c r="AE7" s="344">
        <v>9370593.9599999972</v>
      </c>
      <c r="AF7" s="344">
        <v>9370593.9599999972</v>
      </c>
      <c r="AG7" s="344">
        <v>9370593.9599999972</v>
      </c>
      <c r="AH7" s="344">
        <v>9370593.9599999972</v>
      </c>
      <c r="AI7" s="534">
        <v>9370593.9599999972</v>
      </c>
      <c r="AJ7" s="534">
        <v>9370593.9599999972</v>
      </c>
      <c r="AK7" s="534">
        <v>9370593.9599999972</v>
      </c>
      <c r="AL7" s="534">
        <v>9370593.9599999972</v>
      </c>
      <c r="AM7" s="775">
        <v>9370593.9599999972</v>
      </c>
      <c r="AN7" s="775">
        <v>9370593.9599999972</v>
      </c>
      <c r="AO7" s="776">
        <v>9370593.9599999972</v>
      </c>
      <c r="AP7" s="776">
        <v>9370593.9599999972</v>
      </c>
      <c r="AQ7" s="776">
        <v>14778384.609999998</v>
      </c>
      <c r="AR7" s="776">
        <v>14848921.069999997</v>
      </c>
      <c r="AS7" s="776">
        <v>14871070.779999997</v>
      </c>
      <c r="AT7" s="776">
        <v>14898793.979999997</v>
      </c>
      <c r="AU7" s="776">
        <v>14917227.629999999</v>
      </c>
      <c r="AV7" s="776">
        <v>14932436.819999998</v>
      </c>
      <c r="AW7" s="776">
        <v>14962749.169999998</v>
      </c>
      <c r="AX7" s="776">
        <v>14964756.229999997</v>
      </c>
      <c r="AY7" s="776">
        <v>14985872.639999997</v>
      </c>
      <c r="AZ7" s="1011">
        <v>15014410.719999999</v>
      </c>
      <c r="BA7" s="1011">
        <v>15014536.279999999</v>
      </c>
      <c r="BB7" s="1011">
        <v>15014773.549999999</v>
      </c>
      <c r="BC7" s="1011">
        <v>16110325.779999997</v>
      </c>
      <c r="BD7" s="1011">
        <v>16111864.919999998</v>
      </c>
      <c r="BE7" s="1011">
        <v>16112289.359999996</v>
      </c>
      <c r="BF7" s="635">
        <v>16113616.439999998</v>
      </c>
      <c r="BG7" s="635">
        <v>16122643.739999998</v>
      </c>
      <c r="BH7" s="635">
        <v>16122904.329999998</v>
      </c>
      <c r="BI7" s="635">
        <v>16122904.329999998</v>
      </c>
      <c r="BJ7" s="635">
        <v>16123094.299999999</v>
      </c>
      <c r="BK7" s="635">
        <v>16157149.269999998</v>
      </c>
      <c r="BL7" s="1011">
        <v>16157149.27</v>
      </c>
      <c r="BM7" s="1011">
        <v>16157149.27</v>
      </c>
      <c r="BN7" s="1011">
        <v>16157149.27</v>
      </c>
      <c r="BO7" s="1011">
        <v>16157149.27</v>
      </c>
      <c r="BP7" s="1011">
        <v>16157149.27</v>
      </c>
      <c r="BQ7" s="1011">
        <v>16157149.27</v>
      </c>
      <c r="BR7" s="635">
        <v>16157149.27</v>
      </c>
      <c r="BS7" s="635">
        <v>16157149.27</v>
      </c>
      <c r="BT7" s="635">
        <v>16157149.27</v>
      </c>
      <c r="BU7" s="635">
        <v>16157149.27</v>
      </c>
      <c r="BV7" s="635">
        <v>16157149.27</v>
      </c>
      <c r="BW7" s="635">
        <v>16157149.27</v>
      </c>
      <c r="BX7" s="1011">
        <v>16157149.27</v>
      </c>
      <c r="BY7" s="1011">
        <v>16157149.27</v>
      </c>
      <c r="BZ7" s="1011">
        <v>16157149.27</v>
      </c>
      <c r="CA7" s="1011">
        <v>16157149.27</v>
      </c>
      <c r="CB7" s="1011">
        <v>16157149.27</v>
      </c>
      <c r="CC7" s="1011">
        <v>16157149.27</v>
      </c>
      <c r="CD7" s="635">
        <v>16157149.27</v>
      </c>
      <c r="CE7" s="635">
        <v>16157149.27</v>
      </c>
      <c r="CF7" s="635">
        <v>16157149.27</v>
      </c>
      <c r="CG7" s="635">
        <v>16157149.27</v>
      </c>
      <c r="CH7" s="635">
        <v>16157149.27</v>
      </c>
      <c r="CI7" s="635">
        <v>16157149.27</v>
      </c>
      <c r="CJ7" s="606">
        <f t="shared" ref="CJ7:CJ11" ca="1" si="0">+B7</f>
        <v>16157149.270000001</v>
      </c>
      <c r="CK7" s="1120">
        <v>7.2079456439904498E-3</v>
      </c>
      <c r="CL7" s="341">
        <f ca="1">CJ7*CK7</f>
        <v>116459.85369999999</v>
      </c>
      <c r="CM7" s="341">
        <f t="shared" ref="CM7:CM11" si="1">+CK7*CI7</f>
        <v>116459.85369999998</v>
      </c>
      <c r="CN7" s="1121" t="s">
        <v>1253</v>
      </c>
    </row>
    <row r="8" spans="1:92" s="19" customFormat="1" ht="15">
      <c r="A8" s="375" t="s">
        <v>225</v>
      </c>
      <c r="B8" s="287">
        <f ca="1">SUM(OFFSET(BL8:BX8,0,'Bal Sheet'!$A$1-1))/13</f>
        <v>33542870.387907706</v>
      </c>
      <c r="C8" s="377">
        <v>22924033.75</v>
      </c>
      <c r="D8" s="344">
        <v>22923872.179999996</v>
      </c>
      <c r="E8" s="344">
        <v>22923643.699999996</v>
      </c>
      <c r="F8" s="344">
        <v>22939299.629999995</v>
      </c>
      <c r="G8" s="344">
        <v>22944926.150000002</v>
      </c>
      <c r="H8" s="344">
        <v>22975068.630000003</v>
      </c>
      <c r="I8" s="377">
        <v>23013625.819999997</v>
      </c>
      <c r="J8" s="344">
        <v>23246076.870000001</v>
      </c>
      <c r="K8" s="344">
        <v>23279832.93</v>
      </c>
      <c r="L8" s="344">
        <v>23283192.900000002</v>
      </c>
      <c r="M8" s="344">
        <v>23299049.099999998</v>
      </c>
      <c r="N8" s="344">
        <v>23330695.27</v>
      </c>
      <c r="O8" s="344">
        <v>23403571.59</v>
      </c>
      <c r="P8" s="344">
        <v>23409526.109999999</v>
      </c>
      <c r="Q8" s="344">
        <v>23400003.099999998</v>
      </c>
      <c r="R8" s="344">
        <v>23434221.979999997</v>
      </c>
      <c r="S8" s="344">
        <v>23723493.639999997</v>
      </c>
      <c r="T8" s="344">
        <v>24156462.139999997</v>
      </c>
      <c r="U8" s="344">
        <v>24592215.719999995</v>
      </c>
      <c r="V8" s="344">
        <v>24608741.159999996</v>
      </c>
      <c r="W8" s="344">
        <v>24673802.829999998</v>
      </c>
      <c r="X8" s="344">
        <v>24831120.379999995</v>
      </c>
      <c r="Y8" s="344">
        <v>24889535.539999995</v>
      </c>
      <c r="Z8" s="344">
        <v>24969555.619999994</v>
      </c>
      <c r="AA8" s="344">
        <v>25121264.709999993</v>
      </c>
      <c r="AB8" s="344">
        <v>24928274.75</v>
      </c>
      <c r="AC8" s="344">
        <v>24938133.240000002</v>
      </c>
      <c r="AD8" s="344">
        <v>25044611.290000003</v>
      </c>
      <c r="AE8" s="344">
        <v>25179193.080000002</v>
      </c>
      <c r="AF8" s="344">
        <v>25180135.760000002</v>
      </c>
      <c r="AG8" s="344">
        <v>25178945.489999998</v>
      </c>
      <c r="AH8" s="344">
        <v>25226895.669999994</v>
      </c>
      <c r="AI8" s="534">
        <v>25256618.929999996</v>
      </c>
      <c r="AJ8" s="534">
        <v>25247102.950000003</v>
      </c>
      <c r="AK8" s="534">
        <v>25253798.300000001</v>
      </c>
      <c r="AL8" s="534">
        <v>25287559.989999998</v>
      </c>
      <c r="AM8" s="775">
        <v>25343700.120000001</v>
      </c>
      <c r="AN8" s="775">
        <v>25354697.579999998</v>
      </c>
      <c r="AO8" s="776">
        <v>25354825.559999999</v>
      </c>
      <c r="AP8" s="776">
        <v>25385327.510000002</v>
      </c>
      <c r="AQ8" s="776">
        <v>25387160.740000002</v>
      </c>
      <c r="AR8" s="776">
        <v>25385915.290000003</v>
      </c>
      <c r="AS8" s="776">
        <v>25412779.590000004</v>
      </c>
      <c r="AT8" s="776">
        <v>25494715.100000005</v>
      </c>
      <c r="AU8" s="776">
        <v>25615885.910000008</v>
      </c>
      <c r="AV8" s="776">
        <v>25628210.520000007</v>
      </c>
      <c r="AW8" s="776">
        <v>25734094.840000004</v>
      </c>
      <c r="AX8" s="776">
        <v>25742152.080000002</v>
      </c>
      <c r="AY8" s="776">
        <v>25824228.16</v>
      </c>
      <c r="AZ8" s="1011">
        <v>25821062.57</v>
      </c>
      <c r="BA8" s="1011">
        <v>25828201.110000003</v>
      </c>
      <c r="BB8" s="1011">
        <v>25829152.170000002</v>
      </c>
      <c r="BC8" s="1011">
        <v>25842850.230000004</v>
      </c>
      <c r="BD8" s="1011">
        <v>25842850.230000004</v>
      </c>
      <c r="BE8" s="1011">
        <v>25934211.340000004</v>
      </c>
      <c r="BF8" s="635">
        <v>25955193.590000004</v>
      </c>
      <c r="BG8" s="635">
        <v>26352767.299999997</v>
      </c>
      <c r="BH8" s="635">
        <v>26189107.450000003</v>
      </c>
      <c r="BI8" s="635">
        <v>26221109.289999999</v>
      </c>
      <c r="BJ8" s="635">
        <v>26460730.340000004</v>
      </c>
      <c r="BK8" s="635">
        <v>26530873.120000005</v>
      </c>
      <c r="BL8" s="1011">
        <v>28389468.418060001</v>
      </c>
      <c r="BM8" s="1011">
        <v>28521479.512000002</v>
      </c>
      <c r="BN8" s="1011">
        <v>29460090.823580001</v>
      </c>
      <c r="BO8" s="1011">
        <v>29639462.3528</v>
      </c>
      <c r="BP8" s="1011">
        <v>29876264.529200003</v>
      </c>
      <c r="BQ8" s="1011">
        <v>30057866.705600005</v>
      </c>
      <c r="BR8" s="635">
        <v>30699469.185600005</v>
      </c>
      <c r="BS8" s="635">
        <v>31000671.362000007</v>
      </c>
      <c r="BT8" s="635">
        <v>31122473.538400009</v>
      </c>
      <c r="BU8" s="635">
        <v>31147675.714800011</v>
      </c>
      <c r="BV8" s="635">
        <v>31172877.891200013</v>
      </c>
      <c r="BW8" s="635">
        <v>31386680.030800011</v>
      </c>
      <c r="BX8" s="1011">
        <v>31504839.927200012</v>
      </c>
      <c r="BY8" s="1011">
        <v>31710399.823600009</v>
      </c>
      <c r="BZ8" s="1011">
        <v>31875479.72000001</v>
      </c>
      <c r="CA8" s="1011">
        <v>32012039.616400011</v>
      </c>
      <c r="CB8" s="1011">
        <v>32682199.512800012</v>
      </c>
      <c r="CC8" s="1011">
        <v>33398359.409200013</v>
      </c>
      <c r="CD8" s="635">
        <v>33516519.305600014</v>
      </c>
      <c r="CE8" s="635">
        <v>33635599.202000014</v>
      </c>
      <c r="CF8" s="635">
        <v>33813559.098400019</v>
      </c>
      <c r="CG8" s="635">
        <v>33931718.994800024</v>
      </c>
      <c r="CH8" s="635">
        <v>34049878.891200028</v>
      </c>
      <c r="CI8" s="635">
        <v>42540041.510800034</v>
      </c>
      <c r="CJ8" s="606">
        <f t="shared" ca="1" si="0"/>
        <v>33542870.387907706</v>
      </c>
      <c r="CK8" s="1120">
        <v>3.9469066364745863E-2</v>
      </c>
      <c r="CL8" s="341">
        <f ca="1">CJ8*CK8</f>
        <v>1323905.777404398</v>
      </c>
      <c r="CM8" s="341">
        <f t="shared" si="1"/>
        <v>1679015.7215488104</v>
      </c>
      <c r="CN8" s="1121" t="s">
        <v>1253</v>
      </c>
    </row>
    <row r="9" spans="1:92" s="19" customFormat="1" ht="15">
      <c r="A9" s="375" t="s">
        <v>225</v>
      </c>
      <c r="B9" s="287">
        <f ca="1">SUM(OFFSET(BL9:BX9,0,'Bal Sheet'!$A$1-1))/13</f>
        <v>663068.90120000008</v>
      </c>
      <c r="C9" s="377">
        <v>28184.34</v>
      </c>
      <c r="D9" s="344">
        <v>28184.34</v>
      </c>
      <c r="E9" s="344">
        <v>28184.34</v>
      </c>
      <c r="F9" s="344">
        <v>28184.34</v>
      </c>
      <c r="G9" s="344">
        <v>28184.34</v>
      </c>
      <c r="H9" s="344">
        <v>28184.34</v>
      </c>
      <c r="I9" s="377">
        <v>28184.34</v>
      </c>
      <c r="J9" s="344">
        <v>28184.34</v>
      </c>
      <c r="K9" s="344">
        <v>28184.34</v>
      </c>
      <c r="L9" s="344">
        <v>28184.34</v>
      </c>
      <c r="M9" s="344">
        <v>28184.34</v>
      </c>
      <c r="N9" s="344">
        <v>28184.34</v>
      </c>
      <c r="O9" s="344">
        <v>162344.31</v>
      </c>
      <c r="P9" s="344">
        <v>162344.31</v>
      </c>
      <c r="Q9" s="344">
        <v>162344.31</v>
      </c>
      <c r="R9" s="344">
        <v>162344.31</v>
      </c>
      <c r="S9" s="344">
        <v>162344.31</v>
      </c>
      <c r="T9" s="344">
        <v>162344.31</v>
      </c>
      <c r="U9" s="344">
        <v>162344.31</v>
      </c>
      <c r="V9" s="344">
        <v>162344.31</v>
      </c>
      <c r="W9" s="344">
        <v>162344.31</v>
      </c>
      <c r="X9" s="344">
        <v>162344.31</v>
      </c>
      <c r="Y9" s="344">
        <v>162344.31</v>
      </c>
      <c r="Z9" s="344">
        <v>162344.31</v>
      </c>
      <c r="AA9" s="344">
        <v>162344.31</v>
      </c>
      <c r="AB9" s="344">
        <v>162344.31</v>
      </c>
      <c r="AC9" s="344">
        <v>162344.31</v>
      </c>
      <c r="AD9" s="344">
        <v>162344.31</v>
      </c>
      <c r="AE9" s="344">
        <v>162344.31</v>
      </c>
      <c r="AF9" s="344">
        <v>162344.31</v>
      </c>
      <c r="AG9" s="344">
        <v>162344.31</v>
      </c>
      <c r="AH9" s="344">
        <v>162344.31</v>
      </c>
      <c r="AI9" s="534">
        <v>162344.31</v>
      </c>
      <c r="AJ9" s="534">
        <v>162344.31</v>
      </c>
      <c r="AK9" s="534">
        <v>162344.31</v>
      </c>
      <c r="AL9" s="534">
        <v>162344.31</v>
      </c>
      <c r="AM9" s="775">
        <v>162344.31</v>
      </c>
      <c r="AN9" s="775">
        <v>162344.31</v>
      </c>
      <c r="AO9" s="776">
        <v>162344.31</v>
      </c>
      <c r="AP9" s="776">
        <v>162344.31</v>
      </c>
      <c r="AQ9" s="776">
        <v>162344.31</v>
      </c>
      <c r="AR9" s="776">
        <v>162344.31</v>
      </c>
      <c r="AS9" s="776">
        <v>162344.31</v>
      </c>
      <c r="AT9" s="776">
        <v>162344.31</v>
      </c>
      <c r="AU9" s="776">
        <v>162344.31</v>
      </c>
      <c r="AV9" s="776">
        <v>162344.31</v>
      </c>
      <c r="AW9" s="776">
        <v>162344.31</v>
      </c>
      <c r="AX9" s="776">
        <v>162344.31</v>
      </c>
      <c r="AY9" s="776">
        <v>162344.31</v>
      </c>
      <c r="AZ9" s="1011">
        <v>162344.31</v>
      </c>
      <c r="BA9" s="1011">
        <v>162344.31</v>
      </c>
      <c r="BB9" s="1011">
        <v>162344.31</v>
      </c>
      <c r="BC9" s="1011">
        <v>162344.31</v>
      </c>
      <c r="BD9" s="1011">
        <v>162344.31</v>
      </c>
      <c r="BE9" s="1011">
        <v>162344.31</v>
      </c>
      <c r="BF9" s="635">
        <v>162344.31</v>
      </c>
      <c r="BG9" s="635">
        <v>162344.31</v>
      </c>
      <c r="BH9" s="635">
        <v>162344.31</v>
      </c>
      <c r="BI9" s="635">
        <v>162344.31</v>
      </c>
      <c r="BJ9" s="635">
        <v>162344.31</v>
      </c>
      <c r="BK9" s="635">
        <v>162344.31</v>
      </c>
      <c r="BL9" s="1011">
        <v>162344.31</v>
      </c>
      <c r="BM9" s="1011">
        <v>162344.31</v>
      </c>
      <c r="BN9" s="1011">
        <v>663068.90119999996</v>
      </c>
      <c r="BO9" s="1011">
        <v>663068.90119999996</v>
      </c>
      <c r="BP9" s="1011">
        <v>663068.90119999996</v>
      </c>
      <c r="BQ9" s="1011">
        <v>663068.90119999996</v>
      </c>
      <c r="BR9" s="635">
        <v>663068.90119999996</v>
      </c>
      <c r="BS9" s="635">
        <v>663068.90119999996</v>
      </c>
      <c r="BT9" s="635">
        <v>663068.90119999996</v>
      </c>
      <c r="BU9" s="635">
        <v>663068.90119999996</v>
      </c>
      <c r="BV9" s="635">
        <v>663068.90119999996</v>
      </c>
      <c r="BW9" s="635">
        <v>663068.90119999996</v>
      </c>
      <c r="BX9" s="1011">
        <v>663068.90119999996</v>
      </c>
      <c r="BY9" s="1011">
        <v>663068.90119999996</v>
      </c>
      <c r="BZ9" s="1011">
        <v>663068.90119999996</v>
      </c>
      <c r="CA9" s="1011">
        <v>663068.90119999996</v>
      </c>
      <c r="CB9" s="1011">
        <v>663068.90119999996</v>
      </c>
      <c r="CC9" s="1011">
        <v>663068.90119999996</v>
      </c>
      <c r="CD9" s="635">
        <v>663068.90119999996</v>
      </c>
      <c r="CE9" s="635">
        <v>663068.90119999996</v>
      </c>
      <c r="CF9" s="635">
        <v>663068.90119999996</v>
      </c>
      <c r="CG9" s="635">
        <v>663068.90119999996</v>
      </c>
      <c r="CH9" s="635">
        <v>663068.90119999996</v>
      </c>
      <c r="CI9" s="635">
        <v>663068.90119999996</v>
      </c>
      <c r="CJ9" s="606">
        <f t="shared" ca="1" si="0"/>
        <v>663068.90120000008</v>
      </c>
      <c r="CK9" s="1120">
        <v>3.64743192694316E-2</v>
      </c>
      <c r="CL9" s="341">
        <f ca="1">CJ9*CK9</f>
        <v>24184.986800000002</v>
      </c>
      <c r="CM9" s="341">
        <f t="shared" si="1"/>
        <v>24184.986799999995</v>
      </c>
      <c r="CN9" s="1121" t="s">
        <v>1253</v>
      </c>
    </row>
    <row r="10" spans="1:92" s="19" customFormat="1" ht="15">
      <c r="A10" s="375" t="s">
        <v>226</v>
      </c>
      <c r="B10" s="287">
        <f ca="1">SUM(OFFSET(BL10:BX10,0,'Bal Sheet'!$A$1-1))/13</f>
        <v>9879917.659662595</v>
      </c>
      <c r="C10" s="377">
        <v>4869187.0200000014</v>
      </c>
      <c r="D10" s="344">
        <v>4884341.0900000017</v>
      </c>
      <c r="E10" s="344">
        <v>5098578.4400000013</v>
      </c>
      <c r="F10" s="344">
        <v>5130554.7100000009</v>
      </c>
      <c r="G10" s="344">
        <v>5139860.3200000022</v>
      </c>
      <c r="H10" s="344">
        <v>5139860.3200000022</v>
      </c>
      <c r="I10" s="377">
        <v>5142948.3300000019</v>
      </c>
      <c r="J10" s="344">
        <v>5142948.3300000019</v>
      </c>
      <c r="K10" s="344">
        <v>5144626.9200000018</v>
      </c>
      <c r="L10" s="344">
        <v>5144626.9200000018</v>
      </c>
      <c r="M10" s="344">
        <v>5150677.8600000013</v>
      </c>
      <c r="N10" s="344">
        <v>5227619.8800000008</v>
      </c>
      <c r="O10" s="344">
        <v>6814990.9900000012</v>
      </c>
      <c r="P10" s="344">
        <v>6780881.0000000009</v>
      </c>
      <c r="Q10" s="344">
        <v>7198374.7800000003</v>
      </c>
      <c r="R10" s="344">
        <v>7209859.9699999997</v>
      </c>
      <c r="S10" s="344">
        <v>7245072.5300000003</v>
      </c>
      <c r="T10" s="344">
        <v>7285139.1000000006</v>
      </c>
      <c r="U10" s="344">
        <v>7285139.1000000006</v>
      </c>
      <c r="V10" s="344">
        <v>7283050.6800000006</v>
      </c>
      <c r="W10" s="344">
        <v>7303792.4199999999</v>
      </c>
      <c r="X10" s="344">
        <v>7310747.7200000007</v>
      </c>
      <c r="Y10" s="344">
        <v>7600936.620000001</v>
      </c>
      <c r="Z10" s="344">
        <v>7606392.8400000008</v>
      </c>
      <c r="AA10" s="344">
        <v>8456252.5900000017</v>
      </c>
      <c r="AB10" s="344">
        <v>8386023.7600000007</v>
      </c>
      <c r="AC10" s="344">
        <v>8655946.5200000014</v>
      </c>
      <c r="AD10" s="344">
        <v>8723248.6100000013</v>
      </c>
      <c r="AE10" s="344">
        <v>8745541.4800000023</v>
      </c>
      <c r="AF10" s="344">
        <v>8771560.8400000017</v>
      </c>
      <c r="AG10" s="344">
        <v>8876434.3100000024</v>
      </c>
      <c r="AH10" s="344">
        <v>8891991.7100000028</v>
      </c>
      <c r="AI10" s="534">
        <v>8888253.2400000039</v>
      </c>
      <c r="AJ10" s="534">
        <v>8916651.0200000033</v>
      </c>
      <c r="AK10" s="534">
        <v>8991938.2600000035</v>
      </c>
      <c r="AL10" s="534">
        <v>8995845.0500000026</v>
      </c>
      <c r="AM10" s="775">
        <v>8918826.2500000019</v>
      </c>
      <c r="AN10" s="775">
        <v>8920181.7600000016</v>
      </c>
      <c r="AO10" s="776">
        <v>6568167.540000001</v>
      </c>
      <c r="AP10" s="776">
        <v>6568167.540000001</v>
      </c>
      <c r="AQ10" s="776">
        <v>6568592.3200000012</v>
      </c>
      <c r="AR10" s="776">
        <v>6568592.3200000012</v>
      </c>
      <c r="AS10" s="776">
        <v>6568592.3200000012</v>
      </c>
      <c r="AT10" s="776">
        <v>6607888.9600000009</v>
      </c>
      <c r="AU10" s="776">
        <v>6545262.3900000015</v>
      </c>
      <c r="AV10" s="776">
        <v>6545262.3900000015</v>
      </c>
      <c r="AW10" s="776">
        <v>6553035.2200000007</v>
      </c>
      <c r="AX10" s="776">
        <v>6553202.8900000015</v>
      </c>
      <c r="AY10" s="776">
        <v>6553368.7800000012</v>
      </c>
      <c r="AZ10" s="1011">
        <v>6553537.1900000013</v>
      </c>
      <c r="BA10" s="1011">
        <v>6553705.2500000009</v>
      </c>
      <c r="BB10" s="1011">
        <v>6553872.9000000013</v>
      </c>
      <c r="BC10" s="1011">
        <v>6587897.3800000008</v>
      </c>
      <c r="BD10" s="1011">
        <v>6588066.2600000016</v>
      </c>
      <c r="BE10" s="1011">
        <v>6591287.2500000019</v>
      </c>
      <c r="BF10" s="635">
        <v>6610015.0500000007</v>
      </c>
      <c r="BG10" s="635">
        <v>6625614.9200000018</v>
      </c>
      <c r="BH10" s="635">
        <v>6636257.9500000011</v>
      </c>
      <c r="BI10" s="635">
        <v>6660221.4700000007</v>
      </c>
      <c r="BJ10" s="635">
        <v>6664667.1100000013</v>
      </c>
      <c r="BK10" s="635">
        <v>6698287.4500000011</v>
      </c>
      <c r="BL10" s="1011">
        <v>8744252.095900001</v>
      </c>
      <c r="BM10" s="1011">
        <v>8808117.9820800014</v>
      </c>
      <c r="BN10" s="1011">
        <v>9135324.8110160008</v>
      </c>
      <c r="BO10" s="1011">
        <v>9217119.8688032012</v>
      </c>
      <c r="BP10" s="1011">
        <v>9251002.6757606398</v>
      </c>
      <c r="BQ10" s="1011">
        <v>9329979.2371521275</v>
      </c>
      <c r="BR10" s="635">
        <v>9350859.3494304251</v>
      </c>
      <c r="BS10" s="635">
        <v>9456739.3718860857</v>
      </c>
      <c r="BT10" s="635">
        <v>9518089.3763772175</v>
      </c>
      <c r="BU10" s="635">
        <v>9538969.3772754427</v>
      </c>
      <c r="BV10" s="635">
        <v>9568049.3774550892</v>
      </c>
      <c r="BW10" s="635">
        <v>9613929.3774910178</v>
      </c>
      <c r="BX10" s="1011">
        <v>9642961.1454982031</v>
      </c>
      <c r="BY10" s="1011">
        <v>9674373.5150996391</v>
      </c>
      <c r="BZ10" s="1011">
        <v>9704221.5970199276</v>
      </c>
      <c r="CA10" s="1011">
        <v>9734996.6214039847</v>
      </c>
      <c r="CB10" s="1011">
        <v>9763776.6342807952</v>
      </c>
      <c r="CC10" s="1011">
        <v>9946005.6448561586</v>
      </c>
      <c r="CD10" s="635">
        <v>9975206.6549712308</v>
      </c>
      <c r="CE10" s="635">
        <v>10003946.664994245</v>
      </c>
      <c r="CF10" s="635">
        <v>10048878.674998848</v>
      </c>
      <c r="CG10" s="635">
        <v>10077517.684999768</v>
      </c>
      <c r="CH10" s="635">
        <v>10107034.694999952</v>
      </c>
      <c r="CI10" s="635">
        <v>10146080.66499999</v>
      </c>
      <c r="CJ10" s="606">
        <f t="shared" ca="1" si="0"/>
        <v>9879917.659662595</v>
      </c>
      <c r="CK10" s="1120">
        <v>6.4948155599539948E-3</v>
      </c>
      <c r="CL10" s="341">
        <f ca="1">CJ10*CK10</f>
        <v>64168.242947040875</v>
      </c>
      <c r="CM10" s="341">
        <f t="shared" si="1"/>
        <v>65896.922575590303</v>
      </c>
      <c r="CN10" s="1121" t="s">
        <v>1253</v>
      </c>
    </row>
    <row r="11" spans="1:92" s="19" customFormat="1" ht="15.75" thickBot="1">
      <c r="A11" s="375"/>
      <c r="B11" s="287">
        <f ca="1">SUM(OFFSET(BL11:BX11,0,'Bal Sheet'!$A$1-1))/13</f>
        <v>172995388.8518472</v>
      </c>
      <c r="C11" s="338">
        <f t="shared" ref="C11" si="2">SUM(C6:C10)</f>
        <v>77355226.510000005</v>
      </c>
      <c r="D11" s="338">
        <f t="shared" ref="D11:O11" si="3">SUM(D6:D10)</f>
        <v>77371859.63000001</v>
      </c>
      <c r="E11" s="338">
        <f t="shared" si="3"/>
        <v>77595755.770000011</v>
      </c>
      <c r="F11" s="338">
        <f t="shared" si="3"/>
        <v>78681271.370000005</v>
      </c>
      <c r="G11" s="338">
        <f t="shared" si="3"/>
        <v>79011781.290000021</v>
      </c>
      <c r="H11" s="338">
        <f t="shared" si="3"/>
        <v>79051197.320000008</v>
      </c>
      <c r="I11" s="338">
        <f t="shared" si="3"/>
        <v>78862876.430000007</v>
      </c>
      <c r="J11" s="338">
        <f t="shared" si="3"/>
        <v>79722383.74000001</v>
      </c>
      <c r="K11" s="338">
        <f t="shared" si="3"/>
        <v>79788428.549999997</v>
      </c>
      <c r="L11" s="338">
        <f t="shared" si="3"/>
        <v>79825494.770000011</v>
      </c>
      <c r="M11" s="338">
        <f t="shared" si="3"/>
        <v>80643616.230000004</v>
      </c>
      <c r="N11" s="338">
        <f t="shared" si="3"/>
        <v>80760155.060000002</v>
      </c>
      <c r="O11" s="338">
        <f t="shared" si="3"/>
        <v>75457728.320000008</v>
      </c>
      <c r="P11" s="338">
        <f t="shared" ref="P11:AA11" si="4">SUM(P6:P10)</f>
        <v>75546968.710000008</v>
      </c>
      <c r="Q11" s="338">
        <f t="shared" si="4"/>
        <v>75988384.790000007</v>
      </c>
      <c r="R11" s="338">
        <f t="shared" si="4"/>
        <v>76022556.530000001</v>
      </c>
      <c r="S11" s="338">
        <f t="shared" si="4"/>
        <v>76356239.290000007</v>
      </c>
      <c r="T11" s="338">
        <f t="shared" si="4"/>
        <v>76850298.420000002</v>
      </c>
      <c r="U11" s="338">
        <f t="shared" si="4"/>
        <v>77287239.299999997</v>
      </c>
      <c r="V11" s="338">
        <f t="shared" si="4"/>
        <v>77288104.560000002</v>
      </c>
      <c r="W11" s="338">
        <f t="shared" si="4"/>
        <v>77385844.450000003</v>
      </c>
      <c r="X11" s="338">
        <f t="shared" si="4"/>
        <v>78671924.090000004</v>
      </c>
      <c r="Y11" s="338">
        <f t="shared" si="4"/>
        <v>79135132.390000001</v>
      </c>
      <c r="Z11" s="338">
        <f t="shared" si="4"/>
        <v>79405990.269999996</v>
      </c>
      <c r="AA11" s="338">
        <f t="shared" si="4"/>
        <v>81460071.879999995</v>
      </c>
      <c r="AB11" s="338">
        <f t="shared" ref="AB11:AM11" si="5">SUM(AB6:AB10)</f>
        <v>80814098.26000002</v>
      </c>
      <c r="AC11" s="338">
        <f t="shared" si="5"/>
        <v>75120146.710000008</v>
      </c>
      <c r="AD11" s="338">
        <f t="shared" si="5"/>
        <v>75299784.780000016</v>
      </c>
      <c r="AE11" s="338">
        <f t="shared" si="5"/>
        <v>75459145.830000013</v>
      </c>
      <c r="AF11" s="338">
        <f t="shared" si="5"/>
        <v>75506943.130000025</v>
      </c>
      <c r="AG11" s="338">
        <f t="shared" si="5"/>
        <v>75745442.870000005</v>
      </c>
      <c r="AH11" s="338">
        <f t="shared" si="5"/>
        <v>75829698.870000005</v>
      </c>
      <c r="AI11" s="338">
        <f t="shared" si="5"/>
        <v>75849989.980000019</v>
      </c>
      <c r="AJ11" s="338">
        <f t="shared" si="5"/>
        <v>75900594.460000008</v>
      </c>
      <c r="AK11" s="338">
        <f t="shared" si="5"/>
        <v>92186837.700000018</v>
      </c>
      <c r="AL11" s="338">
        <f t="shared" si="5"/>
        <v>92299717.150000006</v>
      </c>
      <c r="AM11" s="625">
        <f t="shared" si="5"/>
        <v>92273724.780000016</v>
      </c>
      <c r="AN11" s="625">
        <f t="shared" ref="AN11:AS11" si="6">SUM(AN6:AN10)</f>
        <v>92328787.170000017</v>
      </c>
      <c r="AO11" s="625">
        <f t="shared" si="6"/>
        <v>90037280.600000024</v>
      </c>
      <c r="AP11" s="625">
        <f t="shared" si="6"/>
        <v>92647498.710000023</v>
      </c>
      <c r="AQ11" s="625">
        <f t="shared" si="6"/>
        <v>100903670.32000004</v>
      </c>
      <c r="AR11" s="625">
        <f t="shared" si="6"/>
        <v>101226578.93000004</v>
      </c>
      <c r="AS11" s="625">
        <f t="shared" si="6"/>
        <v>101537515.83000003</v>
      </c>
      <c r="AT11" s="625">
        <v>101945246.98000002</v>
      </c>
      <c r="AU11" s="625">
        <v>102122547.54000004</v>
      </c>
      <c r="AV11" s="625">
        <v>102178419.51000004</v>
      </c>
      <c r="AW11" s="625">
        <v>102348794.91000003</v>
      </c>
      <c r="AX11" s="625">
        <v>102394912.80000001</v>
      </c>
      <c r="AY11" s="625">
        <v>102518419.78000002</v>
      </c>
      <c r="AZ11" s="625">
        <v>102586754.27000001</v>
      </c>
      <c r="BA11" s="625">
        <v>108475290.58000003</v>
      </c>
      <c r="BB11" s="625">
        <v>108600857.32000004</v>
      </c>
      <c r="BC11" s="625">
        <v>109765563.45000002</v>
      </c>
      <c r="BD11" s="625">
        <v>109828098.98000003</v>
      </c>
      <c r="BE11" s="625">
        <v>109772130.28000003</v>
      </c>
      <c r="BF11" s="625">
        <v>109835564.57000004</v>
      </c>
      <c r="BG11" s="625">
        <v>110254603.75000003</v>
      </c>
      <c r="BH11" s="625">
        <v>110150445.91000003</v>
      </c>
      <c r="BI11" s="625">
        <v>110228175.39000002</v>
      </c>
      <c r="BJ11" s="625">
        <v>111112219.37000002</v>
      </c>
      <c r="BK11" s="625">
        <v>111249681.88000003</v>
      </c>
      <c r="BL11" s="625">
        <v>119875191.40246002</v>
      </c>
      <c r="BM11" s="625">
        <v>120245532.39308001</v>
      </c>
      <c r="BN11" s="625">
        <v>123482648.04529601</v>
      </c>
      <c r="BO11" s="625">
        <v>124013624.64280321</v>
      </c>
      <c r="BP11" s="625">
        <v>159217226.46616063</v>
      </c>
      <c r="BQ11" s="625">
        <v>162507971.10395214</v>
      </c>
      <c r="BR11" s="625">
        <v>165181640.69623041</v>
      </c>
      <c r="BS11" s="625">
        <v>165728121.89508608</v>
      </c>
      <c r="BT11" s="625">
        <v>166079389.07597724</v>
      </c>
      <c r="BU11" s="625">
        <v>166244388.25327545</v>
      </c>
      <c r="BV11" s="625">
        <v>167077607.42985511</v>
      </c>
      <c r="BW11" s="625">
        <v>168347471.56949103</v>
      </c>
      <c r="BX11" s="625">
        <v>168536542.89389822</v>
      </c>
      <c r="BY11" s="625">
        <v>168845394.81989965</v>
      </c>
      <c r="BZ11" s="625">
        <v>169112202.45821995</v>
      </c>
      <c r="CA11" s="625">
        <v>169351417.039004</v>
      </c>
      <c r="CB11" s="625">
        <v>170122236.60828081</v>
      </c>
      <c r="CC11" s="625">
        <v>171092505.17525613</v>
      </c>
      <c r="CD11" s="625">
        <v>171311745.74177122</v>
      </c>
      <c r="CE11" s="625">
        <v>173363945.30819422</v>
      </c>
      <c r="CF11" s="625">
        <v>174251966.87459883</v>
      </c>
      <c r="CG11" s="625">
        <v>174689895.44099975</v>
      </c>
      <c r="CH11" s="625">
        <v>175578702.00739995</v>
      </c>
      <c r="CI11" s="625">
        <v>194336029.13699999</v>
      </c>
      <c r="CJ11" s="626">
        <f t="shared" ca="1" si="0"/>
        <v>172995388.8518472</v>
      </c>
      <c r="CK11" s="176"/>
      <c r="CL11" s="764">
        <f ca="1">SUM(CL6:CL10)</f>
        <v>1528718.8608514389</v>
      </c>
      <c r="CM11" s="764">
        <f t="shared" si="1"/>
        <v>0</v>
      </c>
      <c r="CN11" s="1121" t="s">
        <v>1253</v>
      </c>
    </row>
    <row r="12" spans="1:92" ht="13.5" thickTop="1">
      <c r="CJ12" s="75"/>
    </row>
    <row r="14" spans="1:92">
      <c r="AM14" s="208" t="str">
        <f>+AM2</f>
        <v>Actual</v>
      </c>
      <c r="AN14" s="208" t="str">
        <f t="shared" ref="AN14:AY14" si="7">+AN2</f>
        <v>Actual</v>
      </c>
      <c r="AO14" s="208" t="str">
        <f t="shared" si="7"/>
        <v>Actual</v>
      </c>
      <c r="AP14" s="208" t="str">
        <f t="shared" si="7"/>
        <v>Actual</v>
      </c>
      <c r="AQ14" s="208" t="str">
        <f t="shared" si="7"/>
        <v>Actual</v>
      </c>
      <c r="AR14" s="208" t="str">
        <f t="shared" si="7"/>
        <v>Actual</v>
      </c>
      <c r="AS14" s="208" t="str">
        <f t="shared" si="7"/>
        <v>Actual</v>
      </c>
      <c r="AT14" s="208" t="str">
        <f t="shared" si="7"/>
        <v>Actual</v>
      </c>
      <c r="AU14" s="208" t="str">
        <f t="shared" si="7"/>
        <v>Actual</v>
      </c>
      <c r="AV14" s="208" t="str">
        <f t="shared" si="7"/>
        <v>Actual</v>
      </c>
      <c r="AW14" s="208" t="str">
        <f t="shared" si="7"/>
        <v>Actual</v>
      </c>
      <c r="AX14" s="208" t="str">
        <f t="shared" si="7"/>
        <v>Actual</v>
      </c>
      <c r="AY14" s="208" t="str">
        <f t="shared" si="7"/>
        <v>Actual</v>
      </c>
      <c r="AZ14" s="208" t="str">
        <f t="shared" ref="AZ14:BK14" si="8">+AZ2</f>
        <v>Actual</v>
      </c>
      <c r="BA14" s="208" t="str">
        <f t="shared" si="8"/>
        <v>Actual</v>
      </c>
      <c r="BB14" s="208" t="str">
        <f t="shared" si="8"/>
        <v>Actual</v>
      </c>
      <c r="BC14" s="208" t="str">
        <f t="shared" si="8"/>
        <v>Actual</v>
      </c>
      <c r="BD14" s="208" t="str">
        <f t="shared" si="8"/>
        <v>Actual</v>
      </c>
      <c r="BE14" s="208" t="str">
        <f t="shared" si="8"/>
        <v>Actual</v>
      </c>
      <c r="BF14" s="208" t="str">
        <f t="shared" si="8"/>
        <v>Actual</v>
      </c>
      <c r="BG14" s="208" t="str">
        <f t="shared" si="8"/>
        <v>Actual</v>
      </c>
      <c r="BH14" s="208" t="str">
        <f t="shared" si="8"/>
        <v>Actual</v>
      </c>
      <c r="BI14" s="208" t="str">
        <f t="shared" si="8"/>
        <v>Actual</v>
      </c>
      <c r="BJ14" s="208" t="str">
        <f t="shared" si="8"/>
        <v>Actual</v>
      </c>
      <c r="BK14" s="208" t="str">
        <f t="shared" si="8"/>
        <v>Actual</v>
      </c>
      <c r="BL14" s="208" t="str">
        <f t="shared" ref="BL14:BW14" si="9">+BL2</f>
        <v>Budget</v>
      </c>
      <c r="BM14" s="208" t="str">
        <f t="shared" si="9"/>
        <v>Budget</v>
      </c>
      <c r="BN14" s="208" t="str">
        <f t="shared" si="9"/>
        <v>Budget</v>
      </c>
      <c r="BO14" s="208" t="str">
        <f t="shared" si="9"/>
        <v>Budget</v>
      </c>
      <c r="BP14" s="208" t="str">
        <f t="shared" si="9"/>
        <v>Budget</v>
      </c>
      <c r="BQ14" s="208" t="str">
        <f t="shared" si="9"/>
        <v>Budget</v>
      </c>
      <c r="BR14" s="208" t="str">
        <f t="shared" si="9"/>
        <v>Budget</v>
      </c>
      <c r="BS14" s="208" t="str">
        <f t="shared" si="9"/>
        <v>Budget</v>
      </c>
      <c r="BT14" s="208" t="str">
        <f t="shared" si="9"/>
        <v>Budget</v>
      </c>
      <c r="BU14" s="208" t="str">
        <f t="shared" si="9"/>
        <v>Budget</v>
      </c>
      <c r="BV14" s="208" t="str">
        <f t="shared" si="9"/>
        <v>Budget</v>
      </c>
      <c r="BW14" s="208" t="str">
        <f t="shared" si="9"/>
        <v>Budget</v>
      </c>
      <c r="BX14" s="208" t="str">
        <f t="shared" ref="BX14:CI14" si="10">+BX2</f>
        <v>Budget</v>
      </c>
      <c r="BY14" s="208" t="str">
        <f t="shared" si="10"/>
        <v>Budget</v>
      </c>
      <c r="BZ14" s="208" t="str">
        <f t="shared" si="10"/>
        <v>Budget</v>
      </c>
      <c r="CA14" s="208" t="str">
        <f t="shared" si="10"/>
        <v>Budget</v>
      </c>
      <c r="CB14" s="208" t="str">
        <f t="shared" si="10"/>
        <v>Budget</v>
      </c>
      <c r="CC14" s="208" t="str">
        <f t="shared" si="10"/>
        <v>Budget</v>
      </c>
      <c r="CD14" s="208" t="str">
        <f t="shared" si="10"/>
        <v>Budget</v>
      </c>
      <c r="CE14" s="208" t="str">
        <f t="shared" si="10"/>
        <v>Budget</v>
      </c>
      <c r="CF14" s="208" t="str">
        <f t="shared" si="10"/>
        <v>Budget</v>
      </c>
      <c r="CG14" s="208" t="str">
        <f t="shared" si="10"/>
        <v>Budget</v>
      </c>
      <c r="CH14" s="208" t="str">
        <f t="shared" si="10"/>
        <v>Budget</v>
      </c>
      <c r="CI14" s="208" t="str">
        <f t="shared" si="10"/>
        <v>Budget</v>
      </c>
    </row>
    <row r="15" spans="1:92">
      <c r="A15" s="627"/>
      <c r="B15" s="628"/>
      <c r="C15" s="627">
        <v>2017</v>
      </c>
      <c r="D15" s="627">
        <v>2017</v>
      </c>
      <c r="E15" s="627">
        <v>2018</v>
      </c>
      <c r="F15" s="627">
        <v>2018</v>
      </c>
      <c r="G15" s="627">
        <v>2018</v>
      </c>
      <c r="H15" s="627">
        <v>2018</v>
      </c>
      <c r="I15" s="627">
        <v>2018</v>
      </c>
      <c r="J15" s="627">
        <v>2018</v>
      </c>
      <c r="K15" s="627">
        <v>2018</v>
      </c>
      <c r="L15" s="627">
        <v>2018</v>
      </c>
      <c r="M15" s="627">
        <v>2018</v>
      </c>
      <c r="N15" s="627">
        <v>2018</v>
      </c>
      <c r="O15" s="627">
        <v>2018</v>
      </c>
      <c r="P15" s="627">
        <f>+P3</f>
        <v>2019</v>
      </c>
      <c r="Q15" s="627">
        <f t="shared" ref="Q15:AA15" si="11">+Q3</f>
        <v>2019</v>
      </c>
      <c r="R15" s="627">
        <f t="shared" si="11"/>
        <v>2019</v>
      </c>
      <c r="S15" s="627">
        <f t="shared" si="11"/>
        <v>2019</v>
      </c>
      <c r="T15" s="627">
        <f t="shared" si="11"/>
        <v>2019</v>
      </c>
      <c r="U15" s="627">
        <f t="shared" si="11"/>
        <v>2019</v>
      </c>
      <c r="V15" s="627">
        <f t="shared" si="11"/>
        <v>2019</v>
      </c>
      <c r="W15" s="627">
        <f t="shared" si="11"/>
        <v>2019</v>
      </c>
      <c r="X15" s="627">
        <f t="shared" si="11"/>
        <v>2019</v>
      </c>
      <c r="Y15" s="627">
        <f t="shared" si="11"/>
        <v>2019</v>
      </c>
      <c r="Z15" s="627">
        <f t="shared" si="11"/>
        <v>2019</v>
      </c>
      <c r="AA15" s="627">
        <f t="shared" si="11"/>
        <v>2019</v>
      </c>
      <c r="AB15" s="627">
        <f t="shared" ref="AB15:AM15" si="12">+AB3</f>
        <v>2020</v>
      </c>
      <c r="AC15" s="627">
        <f t="shared" si="12"/>
        <v>2020</v>
      </c>
      <c r="AD15" s="627">
        <f t="shared" si="12"/>
        <v>2020</v>
      </c>
      <c r="AE15" s="627">
        <f t="shared" si="12"/>
        <v>2020</v>
      </c>
      <c r="AF15" s="627">
        <f t="shared" si="12"/>
        <v>2020</v>
      </c>
      <c r="AG15" s="627">
        <f t="shared" si="12"/>
        <v>2020</v>
      </c>
      <c r="AH15" s="627">
        <f t="shared" si="12"/>
        <v>2020</v>
      </c>
      <c r="AI15" s="627">
        <f t="shared" si="12"/>
        <v>2020</v>
      </c>
      <c r="AJ15" s="627">
        <f t="shared" si="12"/>
        <v>2020</v>
      </c>
      <c r="AK15" s="627">
        <f t="shared" si="12"/>
        <v>2020</v>
      </c>
      <c r="AL15" s="627">
        <f t="shared" si="12"/>
        <v>2020</v>
      </c>
      <c r="AM15" s="632">
        <f t="shared" si="12"/>
        <v>2020</v>
      </c>
      <c r="AN15" s="632">
        <f t="shared" ref="AN15:AY15" si="13">+AN3</f>
        <v>2021</v>
      </c>
      <c r="AO15" s="632">
        <f t="shared" si="13"/>
        <v>2021</v>
      </c>
      <c r="AP15" s="632">
        <f t="shared" si="13"/>
        <v>2021</v>
      </c>
      <c r="AQ15" s="632">
        <f t="shared" si="13"/>
        <v>2021</v>
      </c>
      <c r="AR15" s="632">
        <f t="shared" si="13"/>
        <v>2021</v>
      </c>
      <c r="AS15" s="632">
        <f t="shared" si="13"/>
        <v>2021</v>
      </c>
      <c r="AT15" s="632">
        <f t="shared" si="13"/>
        <v>2021</v>
      </c>
      <c r="AU15" s="632">
        <f t="shared" si="13"/>
        <v>2021</v>
      </c>
      <c r="AV15" s="632">
        <f t="shared" si="13"/>
        <v>2021</v>
      </c>
      <c r="AW15" s="632">
        <f t="shared" si="13"/>
        <v>2021</v>
      </c>
      <c r="AX15" s="632">
        <f t="shared" si="13"/>
        <v>2021</v>
      </c>
      <c r="AY15" s="632">
        <f t="shared" si="13"/>
        <v>2021</v>
      </c>
      <c r="AZ15" s="632">
        <f t="shared" ref="AZ15:BK15" si="14">+AZ3</f>
        <v>2022</v>
      </c>
      <c r="BA15" s="632">
        <f t="shared" si="14"/>
        <v>2022</v>
      </c>
      <c r="BB15" s="632">
        <f t="shared" si="14"/>
        <v>2022</v>
      </c>
      <c r="BC15" s="632">
        <f t="shared" si="14"/>
        <v>2022</v>
      </c>
      <c r="BD15" s="632">
        <f t="shared" si="14"/>
        <v>2022</v>
      </c>
      <c r="BE15" s="632">
        <f t="shared" si="14"/>
        <v>2022</v>
      </c>
      <c r="BF15" s="632">
        <f t="shared" si="14"/>
        <v>2022</v>
      </c>
      <c r="BG15" s="632">
        <f t="shared" si="14"/>
        <v>2022</v>
      </c>
      <c r="BH15" s="632">
        <f t="shared" si="14"/>
        <v>2022</v>
      </c>
      <c r="BI15" s="632">
        <f t="shared" si="14"/>
        <v>2022</v>
      </c>
      <c r="BJ15" s="632">
        <f t="shared" si="14"/>
        <v>2022</v>
      </c>
      <c r="BK15" s="632">
        <f t="shared" si="14"/>
        <v>2022</v>
      </c>
      <c r="BL15" s="632">
        <f t="shared" ref="BL15:BW15" si="15">+BL3</f>
        <v>2023</v>
      </c>
      <c r="BM15" s="632">
        <f t="shared" si="15"/>
        <v>2023</v>
      </c>
      <c r="BN15" s="632">
        <f t="shared" si="15"/>
        <v>2023</v>
      </c>
      <c r="BO15" s="632">
        <f t="shared" si="15"/>
        <v>2023</v>
      </c>
      <c r="BP15" s="632">
        <f t="shared" si="15"/>
        <v>2023</v>
      </c>
      <c r="BQ15" s="632">
        <f t="shared" si="15"/>
        <v>2023</v>
      </c>
      <c r="BR15" s="632">
        <f t="shared" si="15"/>
        <v>2023</v>
      </c>
      <c r="BS15" s="632">
        <f t="shared" si="15"/>
        <v>2023</v>
      </c>
      <c r="BT15" s="632">
        <f t="shared" si="15"/>
        <v>2023</v>
      </c>
      <c r="BU15" s="632">
        <f t="shared" si="15"/>
        <v>2023</v>
      </c>
      <c r="BV15" s="632">
        <f t="shared" si="15"/>
        <v>2023</v>
      </c>
      <c r="BW15" s="632">
        <f t="shared" si="15"/>
        <v>2023</v>
      </c>
      <c r="BX15" s="632">
        <f t="shared" ref="BX15:CI15" si="16">+BX3</f>
        <v>2024</v>
      </c>
      <c r="BY15" s="632">
        <f t="shared" si="16"/>
        <v>2024</v>
      </c>
      <c r="BZ15" s="632">
        <f t="shared" si="16"/>
        <v>2024</v>
      </c>
      <c r="CA15" s="632">
        <f t="shared" si="16"/>
        <v>2024</v>
      </c>
      <c r="CB15" s="632">
        <f t="shared" si="16"/>
        <v>2024</v>
      </c>
      <c r="CC15" s="632">
        <f t="shared" si="16"/>
        <v>2024</v>
      </c>
      <c r="CD15" s="632">
        <f t="shared" si="16"/>
        <v>2024</v>
      </c>
      <c r="CE15" s="632">
        <f t="shared" si="16"/>
        <v>2024</v>
      </c>
      <c r="CF15" s="632">
        <f t="shared" si="16"/>
        <v>2024</v>
      </c>
      <c r="CG15" s="632">
        <f t="shared" si="16"/>
        <v>2024</v>
      </c>
      <c r="CH15" s="632">
        <f t="shared" si="16"/>
        <v>2024</v>
      </c>
      <c r="CI15" s="632">
        <f t="shared" si="16"/>
        <v>2024</v>
      </c>
      <c r="CJ15" s="627" t="s">
        <v>204</v>
      </c>
      <c r="CK15" s="627" t="s">
        <v>205</v>
      </c>
      <c r="CL15" s="627" t="s">
        <v>206</v>
      </c>
      <c r="CM15" s="627" t="s">
        <v>207</v>
      </c>
    </row>
    <row r="16" spans="1:92">
      <c r="A16" s="629" t="s">
        <v>227</v>
      </c>
      <c r="B16" s="634" t="s">
        <v>209</v>
      </c>
      <c r="C16" s="630" t="s">
        <v>210</v>
      </c>
      <c r="D16" s="630" t="s">
        <v>211</v>
      </c>
      <c r="E16" s="630" t="s">
        <v>212</v>
      </c>
      <c r="F16" s="630" t="s">
        <v>213</v>
      </c>
      <c r="G16" s="630" t="s">
        <v>214</v>
      </c>
      <c r="H16" s="630" t="s">
        <v>215</v>
      </c>
      <c r="I16" s="630" t="s">
        <v>216</v>
      </c>
      <c r="J16" s="630" t="s">
        <v>217</v>
      </c>
      <c r="K16" s="630" t="s">
        <v>218</v>
      </c>
      <c r="L16" s="630" t="s">
        <v>219</v>
      </c>
      <c r="M16" s="630" t="s">
        <v>220</v>
      </c>
      <c r="N16" s="630" t="s">
        <v>221</v>
      </c>
      <c r="O16" s="630" t="s">
        <v>210</v>
      </c>
      <c r="P16" s="630" t="s">
        <v>211</v>
      </c>
      <c r="Q16" s="630" t="s">
        <v>212</v>
      </c>
      <c r="R16" s="630" t="s">
        <v>213</v>
      </c>
      <c r="S16" s="630" t="s">
        <v>214</v>
      </c>
      <c r="T16" s="630" t="s">
        <v>215</v>
      </c>
      <c r="U16" s="630" t="s">
        <v>216</v>
      </c>
      <c r="V16" s="630" t="s">
        <v>217</v>
      </c>
      <c r="W16" s="630" t="s">
        <v>218</v>
      </c>
      <c r="X16" s="630" t="s">
        <v>219</v>
      </c>
      <c r="Y16" s="630" t="s">
        <v>220</v>
      </c>
      <c r="Z16" s="630" t="s">
        <v>221</v>
      </c>
      <c r="AA16" s="630" t="s">
        <v>210</v>
      </c>
      <c r="AB16" s="630" t="str">
        <f>+AB4</f>
        <v>Jan</v>
      </c>
      <c r="AC16" s="630" t="str">
        <f t="shared" ref="AC16:AM16" si="17">+AC4</f>
        <v>Feb</v>
      </c>
      <c r="AD16" s="630" t="str">
        <f t="shared" si="17"/>
        <v>Mar</v>
      </c>
      <c r="AE16" s="630" t="str">
        <f t="shared" si="17"/>
        <v>Apr</v>
      </c>
      <c r="AF16" s="630" t="str">
        <f t="shared" si="17"/>
        <v>May</v>
      </c>
      <c r="AG16" s="630" t="str">
        <f t="shared" si="17"/>
        <v>Jun</v>
      </c>
      <c r="AH16" s="630" t="str">
        <f t="shared" si="17"/>
        <v>Jul</v>
      </c>
      <c r="AI16" s="630" t="str">
        <f t="shared" si="17"/>
        <v>Aug</v>
      </c>
      <c r="AJ16" s="630" t="str">
        <f t="shared" si="17"/>
        <v>Sep</v>
      </c>
      <c r="AK16" s="630" t="str">
        <f t="shared" si="17"/>
        <v>Oct</v>
      </c>
      <c r="AL16" s="630" t="str">
        <f t="shared" si="17"/>
        <v>Nov</v>
      </c>
      <c r="AM16" s="633" t="str">
        <f t="shared" si="17"/>
        <v>Dec</v>
      </c>
      <c r="AN16" s="633" t="str">
        <f t="shared" ref="AN16:AY16" si="18">+AN4</f>
        <v>Jan</v>
      </c>
      <c r="AO16" s="633" t="str">
        <f t="shared" si="18"/>
        <v>Feb</v>
      </c>
      <c r="AP16" s="633" t="str">
        <f t="shared" si="18"/>
        <v>Mar</v>
      </c>
      <c r="AQ16" s="633" t="str">
        <f t="shared" si="18"/>
        <v>Apr</v>
      </c>
      <c r="AR16" s="633" t="str">
        <f t="shared" si="18"/>
        <v>May</v>
      </c>
      <c r="AS16" s="633" t="str">
        <f t="shared" si="18"/>
        <v>Jun</v>
      </c>
      <c r="AT16" s="633" t="str">
        <f t="shared" si="18"/>
        <v>Jul</v>
      </c>
      <c r="AU16" s="633" t="str">
        <f t="shared" si="18"/>
        <v>Aug</v>
      </c>
      <c r="AV16" s="633" t="str">
        <f t="shared" si="18"/>
        <v>Sep</v>
      </c>
      <c r="AW16" s="633" t="str">
        <f t="shared" si="18"/>
        <v>Oct</v>
      </c>
      <c r="AX16" s="633" t="str">
        <f t="shared" si="18"/>
        <v>Nov</v>
      </c>
      <c r="AY16" s="633" t="str">
        <f t="shared" si="18"/>
        <v>Dec</v>
      </c>
      <c r="AZ16" s="633" t="str">
        <f t="shared" ref="AZ16:BK16" si="19">+AZ4</f>
        <v>Jan</v>
      </c>
      <c r="BA16" s="633" t="str">
        <f t="shared" si="19"/>
        <v>Feb</v>
      </c>
      <c r="BB16" s="633" t="str">
        <f t="shared" si="19"/>
        <v>Mar</v>
      </c>
      <c r="BC16" s="633" t="str">
        <f t="shared" si="19"/>
        <v>Apr</v>
      </c>
      <c r="BD16" s="633" t="str">
        <f t="shared" si="19"/>
        <v>May</v>
      </c>
      <c r="BE16" s="633" t="str">
        <f t="shared" si="19"/>
        <v>Jun</v>
      </c>
      <c r="BF16" s="633" t="str">
        <f t="shared" si="19"/>
        <v>Jul</v>
      </c>
      <c r="BG16" s="633" t="str">
        <f t="shared" si="19"/>
        <v>Aug</v>
      </c>
      <c r="BH16" s="633" t="str">
        <f t="shared" si="19"/>
        <v>Sep</v>
      </c>
      <c r="BI16" s="633" t="str">
        <f t="shared" si="19"/>
        <v>Oct</v>
      </c>
      <c r="BJ16" s="633" t="str">
        <f t="shared" si="19"/>
        <v>Nov</v>
      </c>
      <c r="BK16" s="633" t="str">
        <f t="shared" si="19"/>
        <v>Dec</v>
      </c>
      <c r="BL16" s="633" t="str">
        <f t="shared" ref="BL16:BW16" si="20">+BL4</f>
        <v>Jan</v>
      </c>
      <c r="BM16" s="633" t="str">
        <f t="shared" si="20"/>
        <v>Feb</v>
      </c>
      <c r="BN16" s="633" t="str">
        <f t="shared" si="20"/>
        <v>Mar</v>
      </c>
      <c r="BO16" s="633" t="str">
        <f t="shared" si="20"/>
        <v>Apr</v>
      </c>
      <c r="BP16" s="633" t="str">
        <f t="shared" si="20"/>
        <v>May</v>
      </c>
      <c r="BQ16" s="633" t="str">
        <f t="shared" si="20"/>
        <v>Jun</v>
      </c>
      <c r="BR16" s="633" t="str">
        <f t="shared" si="20"/>
        <v>Jul</v>
      </c>
      <c r="BS16" s="633" t="str">
        <f t="shared" si="20"/>
        <v>Aug</v>
      </c>
      <c r="BT16" s="633" t="str">
        <f t="shared" si="20"/>
        <v>Sep</v>
      </c>
      <c r="BU16" s="633" t="str">
        <f t="shared" si="20"/>
        <v>Oct</v>
      </c>
      <c r="BV16" s="633" t="str">
        <f t="shared" si="20"/>
        <v>Nov</v>
      </c>
      <c r="BW16" s="633" t="str">
        <f t="shared" si="20"/>
        <v>Dec</v>
      </c>
      <c r="BX16" s="633" t="str">
        <f t="shared" ref="BX16:CI16" si="21">+BX4</f>
        <v>Jan</v>
      </c>
      <c r="BY16" s="633" t="str">
        <f t="shared" si="21"/>
        <v>Feb</v>
      </c>
      <c r="BZ16" s="633" t="str">
        <f t="shared" si="21"/>
        <v>Mar</v>
      </c>
      <c r="CA16" s="633" t="str">
        <f t="shared" si="21"/>
        <v>Apr</v>
      </c>
      <c r="CB16" s="633" t="str">
        <f t="shared" si="21"/>
        <v>May</v>
      </c>
      <c r="CC16" s="633" t="str">
        <f t="shared" si="21"/>
        <v>Jun</v>
      </c>
      <c r="CD16" s="633" t="str">
        <f t="shared" si="21"/>
        <v>Jul</v>
      </c>
      <c r="CE16" s="633" t="str">
        <f t="shared" si="21"/>
        <v>Aug</v>
      </c>
      <c r="CF16" s="633" t="str">
        <f t="shared" si="21"/>
        <v>Sep</v>
      </c>
      <c r="CG16" s="633" t="str">
        <f t="shared" si="21"/>
        <v>Oct</v>
      </c>
      <c r="CH16" s="633" t="str">
        <f t="shared" si="21"/>
        <v>Nov</v>
      </c>
      <c r="CI16" s="633" t="str">
        <f t="shared" si="21"/>
        <v>Dec</v>
      </c>
      <c r="CJ16" s="630" t="s">
        <v>222</v>
      </c>
      <c r="CK16" s="630" t="s">
        <v>105</v>
      </c>
      <c r="CL16" s="630" t="s">
        <v>205</v>
      </c>
      <c r="CM16" s="630" t="s">
        <v>205</v>
      </c>
    </row>
    <row r="17" spans="1:92">
      <c r="A17" s="375"/>
      <c r="B17" s="375"/>
      <c r="BB17" s="1011"/>
      <c r="BC17" s="1011"/>
      <c r="BD17" s="1011"/>
      <c r="BE17" s="1011"/>
      <c r="BN17" s="1011"/>
      <c r="BO17" s="1011"/>
      <c r="BP17" s="1011"/>
      <c r="BQ17" s="1011"/>
      <c r="BZ17" s="1011"/>
      <c r="CA17" s="1011"/>
      <c r="CB17" s="1011"/>
      <c r="CC17" s="1011"/>
    </row>
    <row r="18" spans="1:92" ht="15">
      <c r="A18" s="375" t="s">
        <v>223</v>
      </c>
      <c r="B18" s="287">
        <f ca="1">SUM(OFFSET(BL18:BX18,0,'Bal Sheet'!$A$1-1))/13</f>
        <v>-33813328.020045809</v>
      </c>
      <c r="C18" s="377">
        <v>-11879411.780000003</v>
      </c>
      <c r="D18" s="344">
        <v>-12032561.660000004</v>
      </c>
      <c r="E18" s="344">
        <v>-12185713.010000004</v>
      </c>
      <c r="F18" s="344">
        <v>-12338879.500000002</v>
      </c>
      <c r="G18" s="344">
        <v>-12492061.369999999</v>
      </c>
      <c r="H18" s="344">
        <v>-12645265.17</v>
      </c>
      <c r="I18" s="377">
        <v>-12798477.920000004</v>
      </c>
      <c r="J18" s="344">
        <v>-12951912.850000003</v>
      </c>
      <c r="K18" s="344">
        <v>-13106960.920000002</v>
      </c>
      <c r="L18" s="344">
        <v>-13262170.160000002</v>
      </c>
      <c r="M18" s="344">
        <v>-13417566.450000001</v>
      </c>
      <c r="N18" s="344">
        <v>-13577405.440000001</v>
      </c>
      <c r="O18" s="344">
        <v>-12971602.4</v>
      </c>
      <c r="P18" s="344">
        <v>-13136019.52</v>
      </c>
      <c r="Q18" s="344">
        <v>-13300930.27</v>
      </c>
      <c r="R18" s="344">
        <v>-13465708.799999999</v>
      </c>
      <c r="S18" s="344">
        <v>-13630474.829999998</v>
      </c>
      <c r="T18" s="344">
        <v>-13795292.209999999</v>
      </c>
      <c r="U18" s="344">
        <v>-13960226.979999999</v>
      </c>
      <c r="V18" s="344">
        <v>-14125168.379999999</v>
      </c>
      <c r="W18" s="344">
        <v>-14290034.01</v>
      </c>
      <c r="X18" s="344">
        <v>-14454966.279999999</v>
      </c>
      <c r="Y18" s="344">
        <v>-14626161.969999999</v>
      </c>
      <c r="Z18" s="344">
        <v>-14797997.539999999</v>
      </c>
      <c r="AA18" s="344">
        <v>-14970868.149999999</v>
      </c>
      <c r="AB18" s="344">
        <v>-14759277.889999999</v>
      </c>
      <c r="AC18" s="344">
        <v>-14935887.979999997</v>
      </c>
      <c r="AD18" s="344">
        <v>-15113619.629999997</v>
      </c>
      <c r="AE18" s="344">
        <v>-15291383.989999998</v>
      </c>
      <c r="AF18" s="344">
        <v>-15469162.229999997</v>
      </c>
      <c r="AG18" s="344">
        <v>-15647056.799999997</v>
      </c>
      <c r="AH18" s="344">
        <v>-15825704.1</v>
      </c>
      <c r="AI18" s="534">
        <v>-16004467.24</v>
      </c>
      <c r="AJ18" s="534">
        <v>-16183198.589999996</v>
      </c>
      <c r="AK18" s="534">
        <v>-16362107.060000001</v>
      </c>
      <c r="AL18" s="534">
        <v>-16631489.319999997</v>
      </c>
      <c r="AM18" s="775">
        <v>-16901291.509999998</v>
      </c>
      <c r="AN18" s="775">
        <v>-17167038.679999996</v>
      </c>
      <c r="AO18" s="776">
        <v>-17433020.749999996</v>
      </c>
      <c r="AP18" s="776">
        <v>-17699334.909999996</v>
      </c>
      <c r="AQ18" s="776">
        <v>-17979837.509999998</v>
      </c>
      <c r="AR18" s="776">
        <v>-18275993.779999997</v>
      </c>
      <c r="AS18" s="776">
        <v>-18573544.949999996</v>
      </c>
      <c r="AT18" s="776">
        <v>-18872536.699999996</v>
      </c>
      <c r="AU18" s="776">
        <v>-19172951.709999997</v>
      </c>
      <c r="AV18" s="776">
        <v>-19473918.499999996</v>
      </c>
      <c r="AW18" s="776">
        <v>-19775041.149999999</v>
      </c>
      <c r="AX18" s="776">
        <v>-20076309.030000001</v>
      </c>
      <c r="AY18" s="776">
        <v>-20377774.279999997</v>
      </c>
      <c r="AZ18" s="1011">
        <v>-20679350.349999998</v>
      </c>
      <c r="BA18" s="1011">
        <v>-20981161.789999999</v>
      </c>
      <c r="BB18" s="1011">
        <v>-21315319.289999999</v>
      </c>
      <c r="BC18" s="1011">
        <v>-21650159.959999997</v>
      </c>
      <c r="BD18" s="1011">
        <v>-21985118.499999996</v>
      </c>
      <c r="BE18" s="1011">
        <v>-22172586.829999994</v>
      </c>
      <c r="BF18" s="635">
        <v>-22507049.549999993</v>
      </c>
      <c r="BG18" s="635">
        <v>-22841635.459999993</v>
      </c>
      <c r="BH18" s="635">
        <v>-23176203.979999993</v>
      </c>
      <c r="BI18" s="635">
        <v>-23511039.789999992</v>
      </c>
      <c r="BJ18" s="635">
        <v>-23845995.299999993</v>
      </c>
      <c r="BK18" s="635">
        <v>-24184469.639999993</v>
      </c>
      <c r="BL18" s="1011">
        <v>-24523825.292514998</v>
      </c>
      <c r="BM18" s="1011">
        <v>-24889146.16771175</v>
      </c>
      <c r="BN18" s="1011">
        <v>-25255426.594966251</v>
      </c>
      <c r="BO18" s="1011">
        <v>-25629795.173283502</v>
      </c>
      <c r="BP18" s="1011">
        <v>-26005647.706658501</v>
      </c>
      <c r="BQ18" s="1011">
        <v>-26573631.282653503</v>
      </c>
      <c r="BR18" s="635">
        <v>-27158280.771098502</v>
      </c>
      <c r="BS18" s="635">
        <v>-27753991.788043503</v>
      </c>
      <c r="BT18" s="635">
        <v>-28350469.499488503</v>
      </c>
      <c r="BU18" s="635">
        <v>-28947871.843433503</v>
      </c>
      <c r="BV18" s="635">
        <v>-29545928.230878502</v>
      </c>
      <c r="BW18" s="635">
        <v>-30148268.771823503</v>
      </c>
      <c r="BX18" s="1011">
        <v>-30756165.313768502</v>
      </c>
      <c r="BY18" s="1011">
        <v>-31364292.193843503</v>
      </c>
      <c r="BZ18" s="1011">
        <v>-31972814.412048504</v>
      </c>
      <c r="CA18" s="1011">
        <v>-32581731.968383502</v>
      </c>
      <c r="CB18" s="1011">
        <v>-33191044.862848502</v>
      </c>
      <c r="CC18" s="1011">
        <v>-33800753.095443502</v>
      </c>
      <c r="CD18" s="635">
        <v>-34410856.666168503</v>
      </c>
      <c r="CE18" s="635">
        <v>-35021355.575023502</v>
      </c>
      <c r="CF18" s="635">
        <v>-35642328.572008505</v>
      </c>
      <c r="CG18" s="635">
        <v>-36266959.782123506</v>
      </c>
      <c r="CH18" s="635">
        <v>-36893192.205368504</v>
      </c>
      <c r="CI18" s="635">
        <v>-37523500.841743506</v>
      </c>
      <c r="CJ18" s="606">
        <f ca="1">+B18</f>
        <v>-33813328.020045809</v>
      </c>
      <c r="CK18" s="1120">
        <v>0</v>
      </c>
      <c r="CL18" s="340">
        <f ca="1">CJ18*CK18</f>
        <v>0</v>
      </c>
      <c r="CM18" s="340">
        <f t="shared" ref="CM18:CM23" si="22">+CK18*CI18</f>
        <v>0</v>
      </c>
      <c r="CN18" s="1121" t="s">
        <v>1252</v>
      </c>
    </row>
    <row r="19" spans="1:92" ht="15">
      <c r="A19" s="375" t="s">
        <v>224</v>
      </c>
      <c r="B19" s="287">
        <f ca="1">SUM(OFFSET(BL19:BX19,0,'Bal Sheet'!$A$1-1))/13</f>
        <v>60224.600000000435</v>
      </c>
      <c r="C19" s="377">
        <v>-689212.62999999837</v>
      </c>
      <c r="D19" s="344">
        <v>-695967.54999999842</v>
      </c>
      <c r="E19" s="344">
        <v>-702724.10999999847</v>
      </c>
      <c r="F19" s="344">
        <v>-709488.44999999821</v>
      </c>
      <c r="G19" s="344">
        <v>-717374.18</v>
      </c>
      <c r="H19" s="344">
        <v>-725597.53</v>
      </c>
      <c r="I19" s="377">
        <v>-733829.1899999982</v>
      </c>
      <c r="J19" s="344">
        <v>-741762.94999999844</v>
      </c>
      <c r="K19" s="344">
        <v>-750035.3199999982</v>
      </c>
      <c r="L19" s="344">
        <v>-758308.11999999825</v>
      </c>
      <c r="M19" s="344">
        <v>-766580.91999999818</v>
      </c>
      <c r="N19" s="344">
        <v>-774853.71999999799</v>
      </c>
      <c r="O19" s="344">
        <v>15464.41</v>
      </c>
      <c r="P19" s="344">
        <v>15464.41</v>
      </c>
      <c r="Q19" s="344">
        <v>15464.41</v>
      </c>
      <c r="R19" s="344">
        <v>15464.41</v>
      </c>
      <c r="S19" s="344">
        <v>15464.41</v>
      </c>
      <c r="T19" s="344">
        <v>15464.41</v>
      </c>
      <c r="U19" s="344">
        <v>15464.41</v>
      </c>
      <c r="V19" s="344">
        <v>15464.41</v>
      </c>
      <c r="W19" s="344">
        <v>15464.41</v>
      </c>
      <c r="X19" s="344">
        <v>60224.61</v>
      </c>
      <c r="Y19" s="344">
        <v>60224.61</v>
      </c>
      <c r="Z19" s="344">
        <v>60224.61</v>
      </c>
      <c r="AA19" s="344">
        <v>60224.61</v>
      </c>
      <c r="AB19" s="344">
        <v>60224.61</v>
      </c>
      <c r="AC19" s="344">
        <v>60224.600000000413</v>
      </c>
      <c r="AD19" s="344">
        <v>60224.600000000413</v>
      </c>
      <c r="AE19" s="344">
        <v>60224.600000000413</v>
      </c>
      <c r="AF19" s="344">
        <v>60224.600000000413</v>
      </c>
      <c r="AG19" s="344">
        <v>60224.600000000413</v>
      </c>
      <c r="AH19" s="344">
        <v>60224.600000000559</v>
      </c>
      <c r="AI19" s="534">
        <v>60224.600000000559</v>
      </c>
      <c r="AJ19" s="534">
        <v>60224.600000000413</v>
      </c>
      <c r="AK19" s="534">
        <v>60224.600000000559</v>
      </c>
      <c r="AL19" s="534">
        <v>60224.600000000413</v>
      </c>
      <c r="AM19" s="775">
        <v>60224.600000000413</v>
      </c>
      <c r="AN19" s="775">
        <v>60224.600000000413</v>
      </c>
      <c r="AO19" s="776">
        <v>60224.600000000413</v>
      </c>
      <c r="AP19" s="776">
        <v>60224.600000000413</v>
      </c>
      <c r="AQ19" s="776">
        <v>60224.600000000413</v>
      </c>
      <c r="AR19" s="776">
        <v>60224.600000000413</v>
      </c>
      <c r="AS19" s="776">
        <v>60224.600000000413</v>
      </c>
      <c r="AT19" s="776">
        <v>60224.600000000413</v>
      </c>
      <c r="AU19" s="776">
        <v>60224.600000000413</v>
      </c>
      <c r="AV19" s="776">
        <v>60224.600000000413</v>
      </c>
      <c r="AW19" s="776">
        <v>60224.600000000413</v>
      </c>
      <c r="AX19" s="776">
        <v>60224.600000000413</v>
      </c>
      <c r="AY19" s="776">
        <v>60224.600000000413</v>
      </c>
      <c r="AZ19" s="1011">
        <v>60224.600000000413</v>
      </c>
      <c r="BA19" s="1011">
        <v>60224.600000000413</v>
      </c>
      <c r="BB19" s="1011">
        <v>60224.600000000413</v>
      </c>
      <c r="BC19" s="1011">
        <v>60224.600000000413</v>
      </c>
      <c r="BD19" s="1011">
        <v>60224.600000000413</v>
      </c>
      <c r="BE19" s="1011">
        <v>60224.600000000413</v>
      </c>
      <c r="BF19" s="635">
        <v>60224.600000000413</v>
      </c>
      <c r="BG19" s="635">
        <v>60224.600000000413</v>
      </c>
      <c r="BH19" s="635">
        <v>60224.600000000413</v>
      </c>
      <c r="BI19" s="635">
        <v>60224.600000000413</v>
      </c>
      <c r="BJ19" s="635">
        <v>60224.600000000413</v>
      </c>
      <c r="BK19" s="635">
        <v>60224.600000000413</v>
      </c>
      <c r="BL19" s="1011">
        <v>60224.600000000413</v>
      </c>
      <c r="BM19" s="1011">
        <v>60224.600000000413</v>
      </c>
      <c r="BN19" s="1011">
        <v>60224.600000000413</v>
      </c>
      <c r="BO19" s="1011">
        <v>60224.600000000413</v>
      </c>
      <c r="BP19" s="1011">
        <v>60224.600000000413</v>
      </c>
      <c r="BQ19" s="1011">
        <v>60224.600000000413</v>
      </c>
      <c r="BR19" s="635">
        <v>60224.600000000413</v>
      </c>
      <c r="BS19" s="635">
        <v>60224.600000000413</v>
      </c>
      <c r="BT19" s="635">
        <v>60224.600000000413</v>
      </c>
      <c r="BU19" s="635">
        <v>60224.600000000413</v>
      </c>
      <c r="BV19" s="635">
        <v>60224.600000000413</v>
      </c>
      <c r="BW19" s="635">
        <v>60224.600000000413</v>
      </c>
      <c r="BX19" s="1011">
        <v>60224.600000000413</v>
      </c>
      <c r="BY19" s="1011">
        <v>60224.600000000413</v>
      </c>
      <c r="BZ19" s="1011">
        <v>60224.600000000413</v>
      </c>
      <c r="CA19" s="1011">
        <v>60224.600000000413</v>
      </c>
      <c r="CB19" s="1011">
        <v>60224.600000000413</v>
      </c>
      <c r="CC19" s="1011">
        <v>60224.600000000413</v>
      </c>
      <c r="CD19" s="635">
        <v>60224.600000000413</v>
      </c>
      <c r="CE19" s="635">
        <v>60224.600000000413</v>
      </c>
      <c r="CF19" s="635">
        <v>60224.600000000413</v>
      </c>
      <c r="CG19" s="635">
        <v>60224.600000000413</v>
      </c>
      <c r="CH19" s="635">
        <v>60224.600000000413</v>
      </c>
      <c r="CI19" s="635">
        <v>60224.600000000413</v>
      </c>
      <c r="CJ19" s="606">
        <f t="shared" ref="CJ19:CJ22" ca="1" si="23">+B19</f>
        <v>60224.600000000435</v>
      </c>
      <c r="CK19" s="1120">
        <v>7.7814829820371826E-3</v>
      </c>
      <c r="CL19" s="341">
        <f ca="1">CJ19*CK19</f>
        <v>468.63669999999991</v>
      </c>
      <c r="CM19" s="341">
        <f t="shared" si="22"/>
        <v>468.63669999999973</v>
      </c>
      <c r="CN19" s="1121" t="s">
        <v>1252</v>
      </c>
    </row>
    <row r="20" spans="1:92" ht="15">
      <c r="A20" s="375" t="s">
        <v>225</v>
      </c>
      <c r="B20" s="287">
        <f ca="1">SUM(OFFSET(BL20:BX20,0,'Bal Sheet'!$A$1-1))/13</f>
        <v>-9169738.7284089159</v>
      </c>
      <c r="C20" s="377">
        <v>-5421817.8500000043</v>
      </c>
      <c r="D20" s="344">
        <v>-5469576.2600000026</v>
      </c>
      <c r="E20" s="344">
        <v>-5517334.3400000045</v>
      </c>
      <c r="F20" s="344">
        <v>-5565091.9400000032</v>
      </c>
      <c r="G20" s="344">
        <v>-5612882.1499999994</v>
      </c>
      <c r="H20" s="344">
        <v>-5660684.0899999999</v>
      </c>
      <c r="I20" s="377">
        <v>-5708548.820000004</v>
      </c>
      <c r="J20" s="344">
        <v>-5753853.8800000045</v>
      </c>
      <c r="K20" s="344">
        <v>-5802283.2200000035</v>
      </c>
      <c r="L20" s="344">
        <v>-5850782.8900000034</v>
      </c>
      <c r="M20" s="344">
        <v>-5899289.5600000052</v>
      </c>
      <c r="N20" s="344">
        <v>-5947829.2400000049</v>
      </c>
      <c r="O20" s="344">
        <v>-5996434.8600000022</v>
      </c>
      <c r="P20" s="344">
        <v>-6045192.3000000026</v>
      </c>
      <c r="Q20" s="344">
        <v>-6093962.1400000025</v>
      </c>
      <c r="R20" s="344">
        <v>-6142712.1400000025</v>
      </c>
      <c r="S20" s="344">
        <v>-6191533.4400000023</v>
      </c>
      <c r="T20" s="344">
        <v>-6240957.3800000027</v>
      </c>
      <c r="U20" s="344">
        <v>-6291283.3400000026</v>
      </c>
      <c r="V20" s="344">
        <v>-6342517.1200000029</v>
      </c>
      <c r="W20" s="344">
        <v>-6393785.3300000029</v>
      </c>
      <c r="X20" s="344">
        <v>-6416789.8200000031</v>
      </c>
      <c r="Y20" s="344">
        <v>-6468521.3200000031</v>
      </c>
      <c r="Z20" s="344">
        <v>-6520374.5200000033</v>
      </c>
      <c r="AA20" s="344">
        <v>-6572394.4200000037</v>
      </c>
      <c r="AB20" s="344">
        <v>-6468939.3800000036</v>
      </c>
      <c r="AC20" s="344">
        <v>-6520873.3000000017</v>
      </c>
      <c r="AD20" s="344">
        <v>-6572827.75</v>
      </c>
      <c r="AE20" s="344">
        <v>-6625004.0300000021</v>
      </c>
      <c r="AF20" s="344">
        <v>-6677460.6800000025</v>
      </c>
      <c r="AG20" s="344">
        <v>-6729919.3000000017</v>
      </c>
      <c r="AH20" s="344">
        <v>-6782375.4400000023</v>
      </c>
      <c r="AI20" s="534">
        <v>-6834931.4700000025</v>
      </c>
      <c r="AJ20" s="534">
        <v>-6878020.7800000021</v>
      </c>
      <c r="AK20" s="534">
        <v>-6929802.9000000022</v>
      </c>
      <c r="AL20" s="534">
        <v>-6982414.9700000035</v>
      </c>
      <c r="AM20" s="775">
        <v>-7035097.3900000025</v>
      </c>
      <c r="AN20" s="775">
        <v>-7094232.6900000023</v>
      </c>
      <c r="AO20" s="776">
        <v>-7153393.6500000022</v>
      </c>
      <c r="AP20" s="776">
        <v>-7212554.9100000039</v>
      </c>
      <c r="AQ20" s="776">
        <v>-7271787.3400000045</v>
      </c>
      <c r="AR20" s="776">
        <v>-7331024.0500000035</v>
      </c>
      <c r="AS20" s="776">
        <v>-7390257.8500000061</v>
      </c>
      <c r="AT20" s="776">
        <v>-7449554.3300000047</v>
      </c>
      <c r="AU20" s="776">
        <v>-7509042.0000000037</v>
      </c>
      <c r="AV20" s="776">
        <v>-7568812.4100000048</v>
      </c>
      <c r="AW20" s="776">
        <v>-7628611.5800000075</v>
      </c>
      <c r="AX20" s="776">
        <v>-7688657.8100000052</v>
      </c>
      <c r="AY20" s="776">
        <v>-7748722.8400000054</v>
      </c>
      <c r="AZ20" s="1011">
        <v>-7808979.3800000045</v>
      </c>
      <c r="BA20" s="1011">
        <v>-7869228.5300000049</v>
      </c>
      <c r="BB20" s="1011">
        <v>-7929494.3300000057</v>
      </c>
      <c r="BC20" s="1011">
        <v>-7989762.3500000061</v>
      </c>
      <c r="BD20" s="1011">
        <v>-8050062.3300000047</v>
      </c>
      <c r="BE20" s="1011">
        <v>-8110362.3100000033</v>
      </c>
      <c r="BF20" s="635">
        <v>-8170875.4700000044</v>
      </c>
      <c r="BG20" s="635">
        <v>-8231437.6000000043</v>
      </c>
      <c r="BH20" s="635">
        <v>-8292927.400000005</v>
      </c>
      <c r="BI20" s="635">
        <v>-8354035.320000005</v>
      </c>
      <c r="BJ20" s="635">
        <v>-8415217.9200000037</v>
      </c>
      <c r="BK20" s="635">
        <v>-8476959.6300000027</v>
      </c>
      <c r="BL20" s="1011">
        <v>-8377248.0181733398</v>
      </c>
      <c r="BM20" s="1011">
        <v>-8432010.8855888136</v>
      </c>
      <c r="BN20" s="1011">
        <v>-8416942.6295301467</v>
      </c>
      <c r="BO20" s="1011">
        <v>-8470085.3171718325</v>
      </c>
      <c r="BP20" s="1011">
        <v>-8518652.5690617003</v>
      </c>
      <c r="BQ20" s="1011">
        <v>-8572572.3593631666</v>
      </c>
      <c r="BR20" s="635">
        <v>-8586915.8616762329</v>
      </c>
      <c r="BS20" s="635">
        <v>-8632356.4628426339</v>
      </c>
      <c r="BT20" s="635">
        <v>-8694099.8690873012</v>
      </c>
      <c r="BU20" s="635">
        <v>-8764527.480410235</v>
      </c>
      <c r="BV20" s="635">
        <v>-8835013.896811435</v>
      </c>
      <c r="BW20" s="635">
        <v>-8889159.1214909013</v>
      </c>
      <c r="BX20" s="1011">
        <v>-8954735.4912986662</v>
      </c>
      <c r="BY20" s="1011">
        <v>-9012997.4141893983</v>
      </c>
      <c r="BZ20" s="1011">
        <v>-9075276.1068297643</v>
      </c>
      <c r="CA20" s="1011">
        <v>-9140433.7425530963</v>
      </c>
      <c r="CB20" s="1011">
        <v>-9159521.3980260622</v>
      </c>
      <c r="CC20" s="1011">
        <v>-9176228.6065819953</v>
      </c>
      <c r="CD20" s="635">
        <v>-9246666.5348875616</v>
      </c>
      <c r="CE20" s="635">
        <v>-9317310.0162760932</v>
      </c>
      <c r="CF20" s="635">
        <v>-9383121.2740809266</v>
      </c>
      <c r="CG20" s="635">
        <v>-9454562.6016353928</v>
      </c>
      <c r="CH20" s="635">
        <v>-9526289.4822728261</v>
      </c>
      <c r="CI20" s="635">
        <v>-8870301.6791932266</v>
      </c>
      <c r="CJ20" s="606">
        <f t="shared" ca="1" si="23"/>
        <v>-9169738.7284089159</v>
      </c>
      <c r="CK20" s="1120">
        <v>4.5760153520470928E-2</v>
      </c>
      <c r="CL20" s="341">
        <f ca="1">CJ20*CK20</f>
        <v>-419608.65195459989</v>
      </c>
      <c r="CM20" s="341">
        <f t="shared" si="22"/>
        <v>-405906.3666127731</v>
      </c>
      <c r="CN20" s="1121" t="s">
        <v>1252</v>
      </c>
    </row>
    <row r="21" spans="1:92" ht="15">
      <c r="A21" s="375" t="s">
        <v>225</v>
      </c>
      <c r="B21" s="287">
        <f ca="1">SUM(OFFSET(BL21:BX21,0,'Bal Sheet'!$A$1-1))/13</f>
        <v>-31974.689756199943</v>
      </c>
      <c r="C21" s="377">
        <v>-12092.159999999945</v>
      </c>
      <c r="D21" s="344">
        <v>-12150.869999999944</v>
      </c>
      <c r="E21" s="344">
        <v>-12209.579999999944</v>
      </c>
      <c r="F21" s="344">
        <v>-12268.289999999943</v>
      </c>
      <c r="G21" s="344">
        <v>-12326.999999999942</v>
      </c>
      <c r="H21" s="344">
        <v>-12385.709999999941</v>
      </c>
      <c r="I21" s="377">
        <v>-12444.41999999994</v>
      </c>
      <c r="J21" s="344">
        <v>-12503.129999999939</v>
      </c>
      <c r="K21" s="344">
        <v>-12561.839999999938</v>
      </c>
      <c r="L21" s="344">
        <v>-12620.549999999937</v>
      </c>
      <c r="M21" s="344">
        <v>-12679.259999999937</v>
      </c>
      <c r="N21" s="344">
        <v>-12737.969999999936</v>
      </c>
      <c r="O21" s="344">
        <v>-32835.819999999934</v>
      </c>
      <c r="P21" s="344">
        <v>-33174.029999999941</v>
      </c>
      <c r="Q21" s="344">
        <v>-33512.239999999932</v>
      </c>
      <c r="R21" s="344">
        <v>-33850.449999999939</v>
      </c>
      <c r="S21" s="344">
        <v>-34188.659999999931</v>
      </c>
      <c r="T21" s="344">
        <v>-34526.869999999937</v>
      </c>
      <c r="U21" s="344">
        <v>-34865.079999999929</v>
      </c>
      <c r="V21" s="344">
        <v>-35203.289999999935</v>
      </c>
      <c r="W21" s="344">
        <v>-35541.499999999927</v>
      </c>
      <c r="X21" s="344">
        <v>-35879.709999999934</v>
      </c>
      <c r="Y21" s="344">
        <v>-36217.919999999925</v>
      </c>
      <c r="Z21" s="344">
        <v>-36556.129999999932</v>
      </c>
      <c r="AA21" s="344">
        <v>-36894.339999999924</v>
      </c>
      <c r="AB21" s="344">
        <v>-37232.549999999937</v>
      </c>
      <c r="AC21" s="344">
        <v>-37570.759999999937</v>
      </c>
      <c r="AD21" s="344">
        <v>-37908.969999999936</v>
      </c>
      <c r="AE21" s="344">
        <v>-38247.179999999935</v>
      </c>
      <c r="AF21" s="344">
        <v>-38585.389999999934</v>
      </c>
      <c r="AG21" s="344">
        <v>-38923.599999999933</v>
      </c>
      <c r="AH21" s="344">
        <v>-39261.809999999932</v>
      </c>
      <c r="AI21" s="534">
        <v>-39600.019999999931</v>
      </c>
      <c r="AJ21" s="534">
        <v>-39938.22999999993</v>
      </c>
      <c r="AK21" s="534">
        <v>-40276.43999999993</v>
      </c>
      <c r="AL21" s="534">
        <v>-40614.649999999929</v>
      </c>
      <c r="AM21" s="775">
        <v>-40952.859999999928</v>
      </c>
      <c r="AN21" s="775">
        <v>-41288.729999999923</v>
      </c>
      <c r="AO21" s="776">
        <v>-41624.599999999926</v>
      </c>
      <c r="AP21" s="776">
        <v>-41960.469999999928</v>
      </c>
      <c r="AQ21" s="776">
        <v>-42296.339999999924</v>
      </c>
      <c r="AR21" s="776">
        <v>-42632.209999999919</v>
      </c>
      <c r="AS21" s="776">
        <v>-42968.079999999914</v>
      </c>
      <c r="AT21" s="776">
        <v>-43303.94999999991</v>
      </c>
      <c r="AU21" s="776">
        <v>-43639.819999999905</v>
      </c>
      <c r="AV21" s="776">
        <v>-43975.689999999908</v>
      </c>
      <c r="AW21" s="776">
        <v>-44311.55999999991</v>
      </c>
      <c r="AX21" s="776">
        <v>-44647.429999999906</v>
      </c>
      <c r="AY21" s="776">
        <v>-44983.299999999901</v>
      </c>
      <c r="AZ21" s="1011">
        <v>-45319.169999999904</v>
      </c>
      <c r="BA21" s="1011">
        <v>-45655.039999999892</v>
      </c>
      <c r="BB21" s="1011">
        <v>-45990.909999999894</v>
      </c>
      <c r="BC21" s="1011">
        <v>-46326.779999999897</v>
      </c>
      <c r="BD21" s="1011">
        <v>-46662.649999999892</v>
      </c>
      <c r="BE21" s="1011">
        <v>-46998.519999999895</v>
      </c>
      <c r="BF21" s="635">
        <v>-47334.389999999898</v>
      </c>
      <c r="BG21" s="635">
        <v>-47670.259999999893</v>
      </c>
      <c r="BH21" s="635">
        <v>-48006.129999999888</v>
      </c>
      <c r="BI21" s="635">
        <v>-48341.999999999884</v>
      </c>
      <c r="BJ21" s="635">
        <v>-48677.869999999879</v>
      </c>
      <c r="BK21" s="635">
        <v>-49013.739999999882</v>
      </c>
      <c r="BL21" s="1011">
        <v>-49338.428619999911</v>
      </c>
      <c r="BM21" s="1011">
        <v>-49663.117239999912</v>
      </c>
      <c r="BN21" s="1011">
        <v>-6446.5370599999151</v>
      </c>
      <c r="BO21" s="1011">
        <v>-7772.6748623999156</v>
      </c>
      <c r="BP21" s="1011">
        <v>-9098.8126647999161</v>
      </c>
      <c r="BQ21" s="1011">
        <v>-10424.950467199917</v>
      </c>
      <c r="BR21" s="635">
        <v>-11751.088269599917</v>
      </c>
      <c r="BS21" s="635">
        <v>-13077.226071999918</v>
      </c>
      <c r="BT21" s="635">
        <v>-14403.363874399918</v>
      </c>
      <c r="BU21" s="635">
        <v>-15729.501676799919</v>
      </c>
      <c r="BV21" s="635">
        <v>-17055.639479199919</v>
      </c>
      <c r="BW21" s="635">
        <v>-18381.77728159992</v>
      </c>
      <c r="BX21" s="1011">
        <v>-20647.262694033256</v>
      </c>
      <c r="BY21" s="1011">
        <v>-22912.748106466592</v>
      </c>
      <c r="BZ21" s="1011">
        <v>-25178.233518899928</v>
      </c>
      <c r="CA21" s="1011">
        <v>-27443.718931333264</v>
      </c>
      <c r="CB21" s="1011">
        <v>-29709.2043437666</v>
      </c>
      <c r="CC21" s="1011">
        <v>-31974.689756199936</v>
      </c>
      <c r="CD21" s="635">
        <v>-34240.175168633272</v>
      </c>
      <c r="CE21" s="635">
        <v>-36505.660581066608</v>
      </c>
      <c r="CF21" s="635">
        <v>-38771.145993499944</v>
      </c>
      <c r="CG21" s="635">
        <v>-41036.63140593328</v>
      </c>
      <c r="CH21" s="635">
        <v>-43302.116818366616</v>
      </c>
      <c r="CI21" s="635">
        <v>-45567.602230799952</v>
      </c>
      <c r="CJ21" s="606">
        <f t="shared" ca="1" si="23"/>
        <v>-31974.689756199943</v>
      </c>
      <c r="CK21" s="1120">
        <v>2.4099674019529248E-2</v>
      </c>
      <c r="CL21" s="341">
        <f ca="1">CJ21*CK21</f>
        <v>-770.5795999999998</v>
      </c>
      <c r="CM21" s="341">
        <f t="shared" si="22"/>
        <v>-1098.1643596138526</v>
      </c>
      <c r="CN21" s="1121" t="s">
        <v>1252</v>
      </c>
    </row>
    <row r="22" spans="1:92" ht="15">
      <c r="A22" s="375" t="s">
        <v>226</v>
      </c>
      <c r="B22" s="287">
        <f ca="1">SUM(OFFSET(BL22:BX22,0,'Bal Sheet'!$A$1-1))/13</f>
        <v>-5872492.3029408623</v>
      </c>
      <c r="C22" s="377">
        <v>-3417921.7500000037</v>
      </c>
      <c r="D22" s="344">
        <v>-3460025.680000003</v>
      </c>
      <c r="E22" s="344">
        <v>-3502284.9400000032</v>
      </c>
      <c r="F22" s="344">
        <v>-3545971.8100000033</v>
      </c>
      <c r="G22" s="344">
        <v>-3589844.5200000042</v>
      </c>
      <c r="H22" s="344">
        <v>-3633769.1900000041</v>
      </c>
      <c r="I22" s="377">
        <v>-3677693.8600000022</v>
      </c>
      <c r="J22" s="344">
        <v>-3721635.7700000023</v>
      </c>
      <c r="K22" s="344">
        <v>-3765577.6800000025</v>
      </c>
      <c r="L22" s="344">
        <v>-3809528.9600000018</v>
      </c>
      <c r="M22" s="344">
        <v>-3853480.2400000021</v>
      </c>
      <c r="N22" s="344">
        <v>-3897465.3000000017</v>
      </c>
      <c r="O22" s="344">
        <v>-4484796.6600000011</v>
      </c>
      <c r="P22" s="344">
        <v>-4538144.4300000016</v>
      </c>
      <c r="Q22" s="344">
        <v>-4591305.9000000013</v>
      </c>
      <c r="R22" s="344">
        <v>-4648279.2600000016</v>
      </c>
      <c r="S22" s="344">
        <v>-4705316.7400000012</v>
      </c>
      <c r="T22" s="344">
        <v>-4762715.1600000011</v>
      </c>
      <c r="U22" s="344">
        <v>-4820447.790000001</v>
      </c>
      <c r="V22" s="344">
        <v>-4878180.4200000009</v>
      </c>
      <c r="W22" s="344">
        <v>-4935901.0000000019</v>
      </c>
      <c r="X22" s="344">
        <v>-4993792.3200000012</v>
      </c>
      <c r="Y22" s="344">
        <v>-5051739.4900000012</v>
      </c>
      <c r="Z22" s="344">
        <v>-5111106.0900000017</v>
      </c>
      <c r="AA22" s="344">
        <v>-5170513.8200000012</v>
      </c>
      <c r="AB22" s="344">
        <v>-5160958.42</v>
      </c>
      <c r="AC22" s="344">
        <v>-5228534.9600000009</v>
      </c>
      <c r="AD22" s="344">
        <v>-5298840.7200000007</v>
      </c>
      <c r="AE22" s="344">
        <v>-5369761.5999999996</v>
      </c>
      <c r="AF22" s="344">
        <v>-5440868.8200000003</v>
      </c>
      <c r="AG22" s="344">
        <v>-5512203.2800000003</v>
      </c>
      <c r="AH22" s="344">
        <v>-5584602.5300000012</v>
      </c>
      <c r="AI22" s="534">
        <v>-5657161.2400000021</v>
      </c>
      <c r="AJ22" s="534">
        <v>-5729681.629999999</v>
      </c>
      <c r="AK22" s="534">
        <v>-5802493.1000000015</v>
      </c>
      <c r="AL22" s="534">
        <v>-5876076.25</v>
      </c>
      <c r="AM22" s="775">
        <v>-5865736.5</v>
      </c>
      <c r="AN22" s="775">
        <v>-5932151.8100000005</v>
      </c>
      <c r="AO22" s="776">
        <v>-3644781.01</v>
      </c>
      <c r="AP22" s="776">
        <v>-3691630.67</v>
      </c>
      <c r="AQ22" s="776">
        <v>-3738480.3300000005</v>
      </c>
      <c r="AR22" s="776">
        <v>-3785333.92</v>
      </c>
      <c r="AS22" s="776">
        <v>-3832187.51</v>
      </c>
      <c r="AT22" s="776">
        <v>-3879041.1</v>
      </c>
      <c r="AU22" s="776">
        <v>-3925880.1799999988</v>
      </c>
      <c r="AV22" s="776">
        <v>-3972915.6199999992</v>
      </c>
      <c r="AW22" s="776">
        <v>-4019951.0599999996</v>
      </c>
      <c r="AX22" s="776">
        <v>-4067058.3899999997</v>
      </c>
      <c r="AY22" s="776">
        <v>-4114167.2799999993</v>
      </c>
      <c r="AZ22" s="1011">
        <v>-4161277.6999999983</v>
      </c>
      <c r="BA22" s="1011">
        <v>-4208389.6799999988</v>
      </c>
      <c r="BB22" s="1011">
        <v>-4255503.209999999</v>
      </c>
      <c r="BC22" s="1011">
        <v>-4302618.2899999991</v>
      </c>
      <c r="BD22" s="1011">
        <v>-4349966.4699999988</v>
      </c>
      <c r="BE22" s="1011">
        <v>-4395735.63</v>
      </c>
      <c r="BF22" s="635">
        <v>-4443120.96</v>
      </c>
      <c r="BG22" s="635">
        <v>-4490670.379999999</v>
      </c>
      <c r="BH22" s="635">
        <v>-4538320.919999999</v>
      </c>
      <c r="BI22" s="635">
        <v>-4586031.5399999991</v>
      </c>
      <c r="BJ22" s="635">
        <v>-4633874.5699999994</v>
      </c>
      <c r="BK22" s="635">
        <v>-4681758.8099999987</v>
      </c>
      <c r="BL22" s="1011">
        <v>-4729824.3876158325</v>
      </c>
      <c r="BM22" s="1011">
        <v>-4796803.1061190749</v>
      </c>
      <c r="BN22" s="1011">
        <v>-4864359.136286648</v>
      </c>
      <c r="BO22" s="1011">
        <v>-4934103.6315902127</v>
      </c>
      <c r="BP22" s="1011">
        <v>-5004545.1188766425</v>
      </c>
      <c r="BQ22" s="1011">
        <v>-5075285.8665574286</v>
      </c>
      <c r="BR22" s="635">
        <v>-5146742.9918610863</v>
      </c>
      <c r="BS22" s="635">
        <v>-5218379.102633317</v>
      </c>
      <c r="BT22" s="635">
        <v>-5290980.4480432644</v>
      </c>
      <c r="BU22" s="635">
        <v>-5364124.2920914199</v>
      </c>
      <c r="BV22" s="635">
        <v>-5437447.1205778848</v>
      </c>
      <c r="BW22" s="635">
        <v>-5511024.783496011</v>
      </c>
      <c r="BX22" s="1011">
        <v>-5570262.6386982417</v>
      </c>
      <c r="BY22" s="1011">
        <v>-5629691.7083895225</v>
      </c>
      <c r="BZ22" s="1011">
        <v>-5689328.0615706109</v>
      </c>
      <c r="CA22" s="1011">
        <v>-5749161.1392996628</v>
      </c>
      <c r="CB22" s="1011">
        <v>-5809197.1984383063</v>
      </c>
      <c r="CC22" s="1011">
        <v>-5869422.7726588687</v>
      </c>
      <c r="CD22" s="635">
        <v>-5930873.6426958144</v>
      </c>
      <c r="CE22" s="635">
        <v>-5992516.8695460372</v>
      </c>
      <c r="CF22" s="635">
        <v>-6054349.3414589148</v>
      </c>
      <c r="CG22" s="635">
        <v>-6116476.6044343244</v>
      </c>
      <c r="CH22" s="635">
        <v>-6178792.4307222385</v>
      </c>
      <c r="CI22" s="635">
        <v>-6241302.7468226561</v>
      </c>
      <c r="CJ22" s="606">
        <f t="shared" ca="1" si="23"/>
        <v>-5872492.3029408623</v>
      </c>
      <c r="CK22" s="1120">
        <v>8.2832675033731092E-3</v>
      </c>
      <c r="CL22" s="341">
        <f ca="1">CJ22*CK22</f>
        <v>-48643.424656758754</v>
      </c>
      <c r="CM22" s="341">
        <f t="shared" si="22"/>
        <v>-51698.38022146943</v>
      </c>
      <c r="CN22" s="1121" t="s">
        <v>1252</v>
      </c>
    </row>
    <row r="23" spans="1:92" ht="15.75" thickBot="1">
      <c r="B23" s="287">
        <f ca="1">SUM(OFFSET(BL23:BX23,0,'Bal Sheet'!$A$1-1))/13</f>
        <v>-48827309.141151786</v>
      </c>
      <c r="C23" s="338">
        <f t="shared" ref="C23" si="24">SUM(C18:C22)</f>
        <v>-21420456.170000009</v>
      </c>
      <c r="D23" s="338">
        <f t="shared" ref="D23:O23" si="25">SUM(D18:D22)</f>
        <v>-21670282.020000011</v>
      </c>
      <c r="E23" s="338">
        <f t="shared" si="25"/>
        <v>-21920265.980000004</v>
      </c>
      <c r="F23" s="338">
        <f t="shared" si="25"/>
        <v>-22171699.990000002</v>
      </c>
      <c r="G23" s="338">
        <f t="shared" si="25"/>
        <v>-22424489.220000003</v>
      </c>
      <c r="H23" s="338">
        <f t="shared" si="25"/>
        <v>-22677701.690000005</v>
      </c>
      <c r="I23" s="338">
        <f t="shared" si="25"/>
        <v>-22930994.210000012</v>
      </c>
      <c r="J23" s="338">
        <f t="shared" si="25"/>
        <v>-23181668.580000009</v>
      </c>
      <c r="K23" s="338">
        <f t="shared" si="25"/>
        <v>-23437418.980000008</v>
      </c>
      <c r="L23" s="338">
        <f t="shared" si="25"/>
        <v>-23693410.680000007</v>
      </c>
      <c r="M23" s="338">
        <f t="shared" si="25"/>
        <v>-23949596.430000007</v>
      </c>
      <c r="N23" s="338">
        <f t="shared" si="25"/>
        <v>-24210291.670000006</v>
      </c>
      <c r="O23" s="338">
        <f t="shared" si="25"/>
        <v>-23470205.330000002</v>
      </c>
      <c r="P23" s="338">
        <f t="shared" ref="P23:AA23" si="26">SUM(P18:P22)</f>
        <v>-23737065.870000005</v>
      </c>
      <c r="Q23" s="338">
        <f t="shared" si="26"/>
        <v>-24004246.140000001</v>
      </c>
      <c r="R23" s="338">
        <f t="shared" si="26"/>
        <v>-24275086.240000002</v>
      </c>
      <c r="S23" s="338">
        <f t="shared" si="26"/>
        <v>-24546049.260000002</v>
      </c>
      <c r="T23" s="338">
        <f t="shared" si="26"/>
        <v>-24818027.210000001</v>
      </c>
      <c r="U23" s="338">
        <f t="shared" si="26"/>
        <v>-25091358.780000001</v>
      </c>
      <c r="V23" s="338">
        <f t="shared" si="26"/>
        <v>-25365604.800000004</v>
      </c>
      <c r="W23" s="338">
        <f t="shared" si="26"/>
        <v>-25639797.430000007</v>
      </c>
      <c r="X23" s="338">
        <f t="shared" si="26"/>
        <v>-25841203.520000003</v>
      </c>
      <c r="Y23" s="338">
        <f t="shared" si="26"/>
        <v>-26122416.090000004</v>
      </c>
      <c r="Z23" s="338">
        <f t="shared" si="26"/>
        <v>-26405809.670000002</v>
      </c>
      <c r="AA23" s="338">
        <f t="shared" si="26"/>
        <v>-26690446.120000001</v>
      </c>
      <c r="AB23" s="338">
        <f t="shared" ref="AB23:AM23" si="27">SUM(AB18:AB22)</f>
        <v>-26366183.630000003</v>
      </c>
      <c r="AC23" s="338">
        <f t="shared" si="27"/>
        <v>-26662642.400000002</v>
      </c>
      <c r="AD23" s="338">
        <f t="shared" si="27"/>
        <v>-26962972.469999999</v>
      </c>
      <c r="AE23" s="338">
        <f t="shared" si="27"/>
        <v>-27264172.200000003</v>
      </c>
      <c r="AF23" s="338">
        <f t="shared" si="27"/>
        <v>-27565852.52</v>
      </c>
      <c r="AG23" s="338">
        <f t="shared" si="27"/>
        <v>-27867878.380000003</v>
      </c>
      <c r="AH23" s="338">
        <f t="shared" si="27"/>
        <v>-28171719.280000001</v>
      </c>
      <c r="AI23" s="338">
        <f t="shared" si="27"/>
        <v>-28475935.370000005</v>
      </c>
      <c r="AJ23" s="338">
        <f t="shared" si="27"/>
        <v>-28770614.629999999</v>
      </c>
      <c r="AK23" s="338">
        <f t="shared" si="27"/>
        <v>-29074454.900000006</v>
      </c>
      <c r="AL23" s="338">
        <f t="shared" si="27"/>
        <v>-29470370.59</v>
      </c>
      <c r="AM23" s="625">
        <f t="shared" si="27"/>
        <v>-29782853.659999996</v>
      </c>
      <c r="AN23" s="625">
        <f t="shared" ref="AN23:AS23" si="28">SUM(AN18:AN22)</f>
        <v>-30174487.309999995</v>
      </c>
      <c r="AO23" s="625">
        <f t="shared" si="28"/>
        <v>-28212595.409999996</v>
      </c>
      <c r="AP23" s="625">
        <f t="shared" si="28"/>
        <v>-28585256.359999999</v>
      </c>
      <c r="AQ23" s="625">
        <f t="shared" si="28"/>
        <v>-28972176.920000002</v>
      </c>
      <c r="AR23" s="625">
        <f t="shared" si="28"/>
        <v>-29374759.359999999</v>
      </c>
      <c r="AS23" s="625">
        <f t="shared" si="28"/>
        <v>-29778733.789999999</v>
      </c>
      <c r="AT23" s="625">
        <v>-30184211.48</v>
      </c>
      <c r="AU23" s="625">
        <v>-30591289.109999999</v>
      </c>
      <c r="AV23" s="625">
        <v>-30999397.619999997</v>
      </c>
      <c r="AW23" s="625">
        <v>-31407690.75</v>
      </c>
      <c r="AX23" s="625">
        <v>-31816448.060000006</v>
      </c>
      <c r="AY23" s="625">
        <v>-32225423.100000001</v>
      </c>
      <c r="AZ23" s="625">
        <v>-32634702</v>
      </c>
      <c r="BA23" s="625">
        <v>-33044210.440000001</v>
      </c>
      <c r="BB23" s="625">
        <v>-33486083.140000001</v>
      </c>
      <c r="BC23" s="625">
        <v>-33928642.780000001</v>
      </c>
      <c r="BD23" s="625">
        <v>-34371585.349999994</v>
      </c>
      <c r="BE23" s="625">
        <v>-34665458.689999998</v>
      </c>
      <c r="BF23" s="625">
        <v>-35108155.769999996</v>
      </c>
      <c r="BG23" s="625">
        <v>-35551189.099999994</v>
      </c>
      <c r="BH23" s="625">
        <v>-35995233.829999998</v>
      </c>
      <c r="BI23" s="625">
        <v>-36439224.049999997</v>
      </c>
      <c r="BJ23" s="625">
        <v>-36883541.059999995</v>
      </c>
      <c r="BK23" s="625">
        <v>-37331977.219999991</v>
      </c>
      <c r="BL23" s="625">
        <v>-37620011.526924171</v>
      </c>
      <c r="BM23" s="625">
        <v>-38107398.676659636</v>
      </c>
      <c r="BN23" s="625">
        <v>-38482950.297843046</v>
      </c>
      <c r="BO23" s="625">
        <v>-38981532.196907945</v>
      </c>
      <c r="BP23" s="625">
        <v>-39477719.607261643</v>
      </c>
      <c r="BQ23" s="625">
        <v>-40171689.859041296</v>
      </c>
      <c r="BR23" s="625">
        <v>-40843466.112905413</v>
      </c>
      <c r="BS23" s="625">
        <v>-41557579.979591452</v>
      </c>
      <c r="BT23" s="625">
        <v>-42289728.580493465</v>
      </c>
      <c r="BU23" s="625">
        <v>-43032028.517611958</v>
      </c>
      <c r="BV23" s="625">
        <v>-43775220.287747018</v>
      </c>
      <c r="BW23" s="625">
        <v>-44506609.854092017</v>
      </c>
      <c r="BX23" s="625">
        <v>-45241586.106459439</v>
      </c>
      <c r="BY23" s="625">
        <v>-45969669.464528888</v>
      </c>
      <c r="BZ23" s="625">
        <v>-46702372.21396777</v>
      </c>
      <c r="CA23" s="625">
        <v>-47438545.96916759</v>
      </c>
      <c r="CB23" s="625">
        <v>-48129248.063656636</v>
      </c>
      <c r="CC23" s="625">
        <v>-48818154.564440563</v>
      </c>
      <c r="CD23" s="625">
        <v>-49562412.41892051</v>
      </c>
      <c r="CE23" s="625">
        <v>-50307463.521426693</v>
      </c>
      <c r="CF23" s="625">
        <v>-51058345.733541846</v>
      </c>
      <c r="CG23" s="625">
        <v>-51818811.019599155</v>
      </c>
      <c r="CH23" s="625">
        <v>-52581351.635181934</v>
      </c>
      <c r="CI23" s="625">
        <v>-52620448.269990191</v>
      </c>
      <c r="CJ23" s="626">
        <f t="shared" ref="CJ23" ca="1" si="29">+B23</f>
        <v>-48827309.141151786</v>
      </c>
      <c r="CK23" s="176"/>
      <c r="CL23" s="764">
        <f ca="1">SUM(CL18:CL22)</f>
        <v>-468554.0195113587</v>
      </c>
      <c r="CM23" s="764">
        <f t="shared" si="22"/>
        <v>0</v>
      </c>
      <c r="CN23" s="1121" t="s">
        <v>1252</v>
      </c>
    </row>
    <row r="24" spans="1:92" ht="13.5" thickTop="1">
      <c r="CJ24" s="75"/>
    </row>
    <row r="25" spans="1:92">
      <c r="AM25" s="208" t="str">
        <f>+AM14</f>
        <v>Actual</v>
      </c>
      <c r="AN25" s="208" t="str">
        <f t="shared" ref="AN25:AY25" si="30">+AN14</f>
        <v>Actual</v>
      </c>
      <c r="AO25" s="208" t="str">
        <f t="shared" si="30"/>
        <v>Actual</v>
      </c>
      <c r="AP25" s="208" t="str">
        <f t="shared" si="30"/>
        <v>Actual</v>
      </c>
      <c r="AQ25" s="208" t="str">
        <f t="shared" si="30"/>
        <v>Actual</v>
      </c>
      <c r="AR25" s="208" t="str">
        <f t="shared" si="30"/>
        <v>Actual</v>
      </c>
      <c r="AS25" s="208" t="str">
        <f t="shared" si="30"/>
        <v>Actual</v>
      </c>
      <c r="AT25" s="208" t="str">
        <f t="shared" si="30"/>
        <v>Actual</v>
      </c>
      <c r="AU25" s="208" t="str">
        <f t="shared" si="30"/>
        <v>Actual</v>
      </c>
      <c r="AV25" s="208" t="str">
        <f t="shared" si="30"/>
        <v>Actual</v>
      </c>
      <c r="AW25" s="208" t="str">
        <f t="shared" si="30"/>
        <v>Actual</v>
      </c>
      <c r="AX25" s="208" t="str">
        <f t="shared" si="30"/>
        <v>Actual</v>
      </c>
      <c r="AY25" s="208" t="str">
        <f t="shared" si="30"/>
        <v>Actual</v>
      </c>
      <c r="AZ25" s="208" t="str">
        <f t="shared" ref="AZ25:BK25" si="31">+AZ14</f>
        <v>Actual</v>
      </c>
      <c r="BA25" s="208" t="str">
        <f t="shared" si="31"/>
        <v>Actual</v>
      </c>
      <c r="BB25" s="208" t="str">
        <f t="shared" si="31"/>
        <v>Actual</v>
      </c>
      <c r="BC25" s="208" t="str">
        <f t="shared" si="31"/>
        <v>Actual</v>
      </c>
      <c r="BD25" s="208" t="str">
        <f t="shared" si="31"/>
        <v>Actual</v>
      </c>
      <c r="BE25" s="208" t="str">
        <f t="shared" si="31"/>
        <v>Actual</v>
      </c>
      <c r="BF25" s="208" t="str">
        <f t="shared" si="31"/>
        <v>Actual</v>
      </c>
      <c r="BG25" s="208" t="str">
        <f t="shared" si="31"/>
        <v>Actual</v>
      </c>
      <c r="BH25" s="208" t="str">
        <f t="shared" si="31"/>
        <v>Actual</v>
      </c>
      <c r="BI25" s="208" t="str">
        <f t="shared" si="31"/>
        <v>Actual</v>
      </c>
      <c r="BJ25" s="208" t="str">
        <f t="shared" si="31"/>
        <v>Actual</v>
      </c>
      <c r="BK25" s="208" t="str">
        <f t="shared" si="31"/>
        <v>Actual</v>
      </c>
      <c r="BL25" s="208" t="str">
        <f t="shared" ref="BL25:BW25" si="32">+BL14</f>
        <v>Budget</v>
      </c>
      <c r="BM25" s="208" t="str">
        <f t="shared" si="32"/>
        <v>Budget</v>
      </c>
      <c r="BN25" s="208" t="str">
        <f t="shared" si="32"/>
        <v>Budget</v>
      </c>
      <c r="BO25" s="208" t="str">
        <f t="shared" si="32"/>
        <v>Budget</v>
      </c>
      <c r="BP25" s="208" t="str">
        <f t="shared" si="32"/>
        <v>Budget</v>
      </c>
      <c r="BQ25" s="208" t="str">
        <f t="shared" si="32"/>
        <v>Budget</v>
      </c>
      <c r="BR25" s="208" t="str">
        <f t="shared" si="32"/>
        <v>Budget</v>
      </c>
      <c r="BS25" s="208" t="str">
        <f t="shared" si="32"/>
        <v>Budget</v>
      </c>
      <c r="BT25" s="208" t="str">
        <f t="shared" si="32"/>
        <v>Budget</v>
      </c>
      <c r="BU25" s="208" t="str">
        <f t="shared" si="32"/>
        <v>Budget</v>
      </c>
      <c r="BV25" s="208" t="str">
        <f t="shared" si="32"/>
        <v>Budget</v>
      </c>
      <c r="BW25" s="208" t="str">
        <f t="shared" si="32"/>
        <v>Budget</v>
      </c>
      <c r="BX25" s="208" t="str">
        <f t="shared" ref="BX25:CI25" si="33">+BX14</f>
        <v>Budget</v>
      </c>
      <c r="BY25" s="208" t="str">
        <f t="shared" si="33"/>
        <v>Budget</v>
      </c>
      <c r="BZ25" s="208" t="str">
        <f t="shared" si="33"/>
        <v>Budget</v>
      </c>
      <c r="CA25" s="208" t="str">
        <f t="shared" si="33"/>
        <v>Budget</v>
      </c>
      <c r="CB25" s="208" t="str">
        <f t="shared" si="33"/>
        <v>Budget</v>
      </c>
      <c r="CC25" s="208" t="str">
        <f t="shared" si="33"/>
        <v>Budget</v>
      </c>
      <c r="CD25" s="208" t="str">
        <f t="shared" si="33"/>
        <v>Budget</v>
      </c>
      <c r="CE25" s="208" t="str">
        <f t="shared" si="33"/>
        <v>Budget</v>
      </c>
      <c r="CF25" s="208" t="str">
        <f t="shared" si="33"/>
        <v>Budget</v>
      </c>
      <c r="CG25" s="208" t="str">
        <f t="shared" si="33"/>
        <v>Budget</v>
      </c>
      <c r="CH25" s="208" t="str">
        <f t="shared" si="33"/>
        <v>Budget</v>
      </c>
      <c r="CI25" s="208" t="str">
        <f t="shared" si="33"/>
        <v>Budget</v>
      </c>
      <c r="CJ25" s="75"/>
    </row>
    <row r="26" spans="1:92">
      <c r="A26" s="627"/>
      <c r="B26" s="628"/>
      <c r="C26" s="627">
        <v>2017</v>
      </c>
      <c r="D26" s="627">
        <v>2018</v>
      </c>
      <c r="E26" s="627">
        <v>2018</v>
      </c>
      <c r="F26" s="627">
        <v>2018</v>
      </c>
      <c r="G26" s="627">
        <v>2018</v>
      </c>
      <c r="H26" s="627">
        <v>2018</v>
      </c>
      <c r="I26" s="627">
        <v>2018</v>
      </c>
      <c r="J26" s="627">
        <v>2018</v>
      </c>
      <c r="K26" s="627">
        <v>2018</v>
      </c>
      <c r="L26" s="627">
        <v>2018</v>
      </c>
      <c r="M26" s="627">
        <v>2018</v>
      </c>
      <c r="N26" s="627">
        <v>2018</v>
      </c>
      <c r="O26" s="627">
        <f>+O3</f>
        <v>2018</v>
      </c>
      <c r="P26" s="627">
        <f>+P3</f>
        <v>2019</v>
      </c>
      <c r="Q26" s="627">
        <f t="shared" ref="Q26:Z26" si="34">+Q3</f>
        <v>2019</v>
      </c>
      <c r="R26" s="627">
        <f t="shared" si="34"/>
        <v>2019</v>
      </c>
      <c r="S26" s="627">
        <f t="shared" si="34"/>
        <v>2019</v>
      </c>
      <c r="T26" s="627">
        <f t="shared" si="34"/>
        <v>2019</v>
      </c>
      <c r="U26" s="627">
        <f t="shared" si="34"/>
        <v>2019</v>
      </c>
      <c r="V26" s="627">
        <f t="shared" si="34"/>
        <v>2019</v>
      </c>
      <c r="W26" s="627">
        <f t="shared" si="34"/>
        <v>2019</v>
      </c>
      <c r="X26" s="627">
        <f t="shared" si="34"/>
        <v>2019</v>
      </c>
      <c r="Y26" s="627">
        <f t="shared" si="34"/>
        <v>2019</v>
      </c>
      <c r="Z26" s="627">
        <f t="shared" si="34"/>
        <v>2019</v>
      </c>
      <c r="AA26" s="627">
        <f>+AA3</f>
        <v>2019</v>
      </c>
      <c r="AB26" s="627">
        <f t="shared" ref="AB26:AM26" si="35">+AB3</f>
        <v>2020</v>
      </c>
      <c r="AC26" s="627">
        <f t="shared" si="35"/>
        <v>2020</v>
      </c>
      <c r="AD26" s="627">
        <f t="shared" si="35"/>
        <v>2020</v>
      </c>
      <c r="AE26" s="627">
        <f t="shared" si="35"/>
        <v>2020</v>
      </c>
      <c r="AF26" s="627">
        <f t="shared" si="35"/>
        <v>2020</v>
      </c>
      <c r="AG26" s="627">
        <f t="shared" si="35"/>
        <v>2020</v>
      </c>
      <c r="AH26" s="627">
        <f t="shared" si="35"/>
        <v>2020</v>
      </c>
      <c r="AI26" s="627">
        <f t="shared" si="35"/>
        <v>2020</v>
      </c>
      <c r="AJ26" s="627">
        <f t="shared" si="35"/>
        <v>2020</v>
      </c>
      <c r="AK26" s="627">
        <f t="shared" si="35"/>
        <v>2020</v>
      </c>
      <c r="AL26" s="627">
        <f t="shared" si="35"/>
        <v>2020</v>
      </c>
      <c r="AM26" s="632">
        <f t="shared" si="35"/>
        <v>2020</v>
      </c>
      <c r="AN26" s="632">
        <f t="shared" ref="AN26:AY26" si="36">+AN3</f>
        <v>2021</v>
      </c>
      <c r="AO26" s="632">
        <f t="shared" si="36"/>
        <v>2021</v>
      </c>
      <c r="AP26" s="632">
        <f t="shared" si="36"/>
        <v>2021</v>
      </c>
      <c r="AQ26" s="632">
        <f t="shared" si="36"/>
        <v>2021</v>
      </c>
      <c r="AR26" s="632">
        <f t="shared" si="36"/>
        <v>2021</v>
      </c>
      <c r="AS26" s="632">
        <f t="shared" si="36"/>
        <v>2021</v>
      </c>
      <c r="AT26" s="632">
        <f t="shared" si="36"/>
        <v>2021</v>
      </c>
      <c r="AU26" s="632">
        <f t="shared" si="36"/>
        <v>2021</v>
      </c>
      <c r="AV26" s="632">
        <f t="shared" si="36"/>
        <v>2021</v>
      </c>
      <c r="AW26" s="632">
        <f t="shared" si="36"/>
        <v>2021</v>
      </c>
      <c r="AX26" s="632">
        <f t="shared" si="36"/>
        <v>2021</v>
      </c>
      <c r="AY26" s="632">
        <f t="shared" si="36"/>
        <v>2021</v>
      </c>
      <c r="AZ26" s="632">
        <f t="shared" ref="AZ26:BK26" si="37">+AZ3</f>
        <v>2022</v>
      </c>
      <c r="BA26" s="632">
        <f t="shared" si="37"/>
        <v>2022</v>
      </c>
      <c r="BB26" s="632">
        <f t="shared" si="37"/>
        <v>2022</v>
      </c>
      <c r="BC26" s="632">
        <f t="shared" si="37"/>
        <v>2022</v>
      </c>
      <c r="BD26" s="632">
        <f t="shared" si="37"/>
        <v>2022</v>
      </c>
      <c r="BE26" s="632">
        <f t="shared" si="37"/>
        <v>2022</v>
      </c>
      <c r="BF26" s="632">
        <f t="shared" si="37"/>
        <v>2022</v>
      </c>
      <c r="BG26" s="632">
        <f t="shared" si="37"/>
        <v>2022</v>
      </c>
      <c r="BH26" s="632">
        <f t="shared" si="37"/>
        <v>2022</v>
      </c>
      <c r="BI26" s="632">
        <f t="shared" si="37"/>
        <v>2022</v>
      </c>
      <c r="BJ26" s="632">
        <f t="shared" si="37"/>
        <v>2022</v>
      </c>
      <c r="BK26" s="632">
        <f t="shared" si="37"/>
        <v>2022</v>
      </c>
      <c r="BL26" s="632">
        <f t="shared" ref="BL26:BW26" si="38">+BL3</f>
        <v>2023</v>
      </c>
      <c r="BM26" s="632">
        <f t="shared" si="38"/>
        <v>2023</v>
      </c>
      <c r="BN26" s="632">
        <f t="shared" si="38"/>
        <v>2023</v>
      </c>
      <c r="BO26" s="632">
        <f t="shared" si="38"/>
        <v>2023</v>
      </c>
      <c r="BP26" s="632">
        <f t="shared" si="38"/>
        <v>2023</v>
      </c>
      <c r="BQ26" s="632">
        <f t="shared" si="38"/>
        <v>2023</v>
      </c>
      <c r="BR26" s="632">
        <f t="shared" si="38"/>
        <v>2023</v>
      </c>
      <c r="BS26" s="632">
        <f t="shared" si="38"/>
        <v>2023</v>
      </c>
      <c r="BT26" s="632">
        <f t="shared" si="38"/>
        <v>2023</v>
      </c>
      <c r="BU26" s="632">
        <f t="shared" si="38"/>
        <v>2023</v>
      </c>
      <c r="BV26" s="632">
        <f t="shared" si="38"/>
        <v>2023</v>
      </c>
      <c r="BW26" s="632">
        <f t="shared" si="38"/>
        <v>2023</v>
      </c>
      <c r="BX26" s="632">
        <f t="shared" ref="BX26:CI26" si="39">+BX3</f>
        <v>2024</v>
      </c>
      <c r="BY26" s="632">
        <f t="shared" si="39"/>
        <v>2024</v>
      </c>
      <c r="BZ26" s="632">
        <f t="shared" si="39"/>
        <v>2024</v>
      </c>
      <c r="CA26" s="632">
        <f t="shared" si="39"/>
        <v>2024</v>
      </c>
      <c r="CB26" s="632">
        <f t="shared" si="39"/>
        <v>2024</v>
      </c>
      <c r="CC26" s="632">
        <f t="shared" si="39"/>
        <v>2024</v>
      </c>
      <c r="CD26" s="632">
        <f t="shared" si="39"/>
        <v>2024</v>
      </c>
      <c r="CE26" s="632">
        <f t="shared" si="39"/>
        <v>2024</v>
      </c>
      <c r="CF26" s="632">
        <f t="shared" si="39"/>
        <v>2024</v>
      </c>
      <c r="CG26" s="632">
        <f t="shared" si="39"/>
        <v>2024</v>
      </c>
      <c r="CH26" s="632">
        <f t="shared" si="39"/>
        <v>2024</v>
      </c>
      <c r="CI26" s="632">
        <f t="shared" si="39"/>
        <v>2024</v>
      </c>
      <c r="CJ26" s="627"/>
      <c r="CK26" s="627" t="s">
        <v>205</v>
      </c>
      <c r="CL26" s="627" t="s">
        <v>228</v>
      </c>
    </row>
    <row r="27" spans="1:92">
      <c r="A27" s="629" t="s">
        <v>229</v>
      </c>
      <c r="B27" s="634" t="s">
        <v>209</v>
      </c>
      <c r="C27" s="630" t="s">
        <v>210</v>
      </c>
      <c r="D27" s="630" t="s">
        <v>211</v>
      </c>
      <c r="E27" s="630" t="s">
        <v>212</v>
      </c>
      <c r="F27" s="630" t="s">
        <v>213</v>
      </c>
      <c r="G27" s="630" t="s">
        <v>214</v>
      </c>
      <c r="H27" s="630" t="s">
        <v>215</v>
      </c>
      <c r="I27" s="630" t="s">
        <v>216</v>
      </c>
      <c r="J27" s="630" t="s">
        <v>217</v>
      </c>
      <c r="K27" s="630" t="s">
        <v>218</v>
      </c>
      <c r="L27" s="630" t="s">
        <v>219</v>
      </c>
      <c r="M27" s="630" t="s">
        <v>220</v>
      </c>
      <c r="N27" s="630" t="s">
        <v>221</v>
      </c>
      <c r="O27" s="630" t="s">
        <v>210</v>
      </c>
      <c r="P27" s="630" t="s">
        <v>211</v>
      </c>
      <c r="Q27" s="630" t="s">
        <v>212</v>
      </c>
      <c r="R27" s="630" t="s">
        <v>213</v>
      </c>
      <c r="S27" s="630" t="s">
        <v>214</v>
      </c>
      <c r="T27" s="630" t="s">
        <v>215</v>
      </c>
      <c r="U27" s="630" t="s">
        <v>216</v>
      </c>
      <c r="V27" s="630" t="s">
        <v>217</v>
      </c>
      <c r="W27" s="630" t="s">
        <v>218</v>
      </c>
      <c r="X27" s="630" t="s">
        <v>219</v>
      </c>
      <c r="Y27" s="630" t="s">
        <v>220</v>
      </c>
      <c r="Z27" s="630" t="s">
        <v>221</v>
      </c>
      <c r="AA27" s="630" t="s">
        <v>210</v>
      </c>
      <c r="AB27" s="630" t="str">
        <f>+AB4</f>
        <v>Jan</v>
      </c>
      <c r="AC27" s="630" t="str">
        <f t="shared" ref="AC27:AM27" si="40">+AC4</f>
        <v>Feb</v>
      </c>
      <c r="AD27" s="630" t="str">
        <f t="shared" si="40"/>
        <v>Mar</v>
      </c>
      <c r="AE27" s="630" t="str">
        <f t="shared" si="40"/>
        <v>Apr</v>
      </c>
      <c r="AF27" s="630" t="str">
        <f t="shared" si="40"/>
        <v>May</v>
      </c>
      <c r="AG27" s="630" t="str">
        <f t="shared" si="40"/>
        <v>Jun</v>
      </c>
      <c r="AH27" s="630" t="str">
        <f t="shared" si="40"/>
        <v>Jul</v>
      </c>
      <c r="AI27" s="630" t="str">
        <f t="shared" si="40"/>
        <v>Aug</v>
      </c>
      <c r="AJ27" s="630" t="str">
        <f t="shared" si="40"/>
        <v>Sep</v>
      </c>
      <c r="AK27" s="630" t="str">
        <f t="shared" si="40"/>
        <v>Oct</v>
      </c>
      <c r="AL27" s="630" t="str">
        <f t="shared" si="40"/>
        <v>Nov</v>
      </c>
      <c r="AM27" s="633" t="str">
        <f t="shared" si="40"/>
        <v>Dec</v>
      </c>
      <c r="AN27" s="633" t="str">
        <f t="shared" ref="AN27:AY27" si="41">+AN4</f>
        <v>Jan</v>
      </c>
      <c r="AO27" s="633" t="str">
        <f t="shared" si="41"/>
        <v>Feb</v>
      </c>
      <c r="AP27" s="633" t="str">
        <f t="shared" si="41"/>
        <v>Mar</v>
      </c>
      <c r="AQ27" s="633" t="str">
        <f t="shared" si="41"/>
        <v>Apr</v>
      </c>
      <c r="AR27" s="633" t="str">
        <f t="shared" si="41"/>
        <v>May</v>
      </c>
      <c r="AS27" s="633" t="str">
        <f t="shared" si="41"/>
        <v>Jun</v>
      </c>
      <c r="AT27" s="633" t="str">
        <f t="shared" si="41"/>
        <v>Jul</v>
      </c>
      <c r="AU27" s="633" t="str">
        <f t="shared" si="41"/>
        <v>Aug</v>
      </c>
      <c r="AV27" s="633" t="str">
        <f t="shared" si="41"/>
        <v>Sep</v>
      </c>
      <c r="AW27" s="633" t="str">
        <f t="shared" si="41"/>
        <v>Oct</v>
      </c>
      <c r="AX27" s="633" t="str">
        <f t="shared" si="41"/>
        <v>Nov</v>
      </c>
      <c r="AY27" s="633" t="str">
        <f t="shared" si="41"/>
        <v>Dec</v>
      </c>
      <c r="AZ27" s="633" t="str">
        <f t="shared" ref="AZ27:BK27" si="42">+AZ4</f>
        <v>Jan</v>
      </c>
      <c r="BA27" s="633" t="str">
        <f t="shared" si="42"/>
        <v>Feb</v>
      </c>
      <c r="BB27" s="633" t="str">
        <f t="shared" si="42"/>
        <v>Mar</v>
      </c>
      <c r="BC27" s="633" t="str">
        <f t="shared" si="42"/>
        <v>Apr</v>
      </c>
      <c r="BD27" s="633" t="str">
        <f t="shared" si="42"/>
        <v>May</v>
      </c>
      <c r="BE27" s="633" t="str">
        <f t="shared" si="42"/>
        <v>Jun</v>
      </c>
      <c r="BF27" s="633" t="str">
        <f t="shared" si="42"/>
        <v>Jul</v>
      </c>
      <c r="BG27" s="633" t="str">
        <f t="shared" si="42"/>
        <v>Aug</v>
      </c>
      <c r="BH27" s="633" t="str">
        <f t="shared" si="42"/>
        <v>Sep</v>
      </c>
      <c r="BI27" s="633" t="str">
        <f t="shared" si="42"/>
        <v>Oct</v>
      </c>
      <c r="BJ27" s="633" t="str">
        <f t="shared" si="42"/>
        <v>Nov</v>
      </c>
      <c r="BK27" s="633" t="str">
        <f t="shared" si="42"/>
        <v>Dec</v>
      </c>
      <c r="BL27" s="633" t="str">
        <f t="shared" ref="BL27:BW27" si="43">+BL4</f>
        <v>Jan</v>
      </c>
      <c r="BM27" s="633" t="str">
        <f t="shared" si="43"/>
        <v>Feb</v>
      </c>
      <c r="BN27" s="633" t="str">
        <f t="shared" si="43"/>
        <v>Mar</v>
      </c>
      <c r="BO27" s="633" t="str">
        <f t="shared" si="43"/>
        <v>Apr</v>
      </c>
      <c r="BP27" s="633" t="str">
        <f t="shared" si="43"/>
        <v>May</v>
      </c>
      <c r="BQ27" s="633" t="str">
        <f t="shared" si="43"/>
        <v>Jun</v>
      </c>
      <c r="BR27" s="633" t="str">
        <f t="shared" si="43"/>
        <v>Jul</v>
      </c>
      <c r="BS27" s="633" t="str">
        <f t="shared" si="43"/>
        <v>Aug</v>
      </c>
      <c r="BT27" s="633" t="str">
        <f t="shared" si="43"/>
        <v>Sep</v>
      </c>
      <c r="BU27" s="633" t="str">
        <f t="shared" si="43"/>
        <v>Oct</v>
      </c>
      <c r="BV27" s="633" t="str">
        <f t="shared" si="43"/>
        <v>Nov</v>
      </c>
      <c r="BW27" s="633" t="str">
        <f t="shared" si="43"/>
        <v>Dec</v>
      </c>
      <c r="BX27" s="633" t="str">
        <f t="shared" ref="BX27:CI27" si="44">+BX4</f>
        <v>Jan</v>
      </c>
      <c r="BY27" s="633" t="str">
        <f t="shared" si="44"/>
        <v>Feb</v>
      </c>
      <c r="BZ27" s="633" t="str">
        <f t="shared" si="44"/>
        <v>Mar</v>
      </c>
      <c r="CA27" s="633" t="str">
        <f t="shared" si="44"/>
        <v>Apr</v>
      </c>
      <c r="CB27" s="633" t="str">
        <f t="shared" si="44"/>
        <v>May</v>
      </c>
      <c r="CC27" s="633" t="str">
        <f t="shared" si="44"/>
        <v>Jun</v>
      </c>
      <c r="CD27" s="633" t="str">
        <f t="shared" si="44"/>
        <v>Jul</v>
      </c>
      <c r="CE27" s="633" t="str">
        <f t="shared" si="44"/>
        <v>Aug</v>
      </c>
      <c r="CF27" s="633" t="str">
        <f t="shared" si="44"/>
        <v>Sep</v>
      </c>
      <c r="CG27" s="633" t="str">
        <f t="shared" si="44"/>
        <v>Oct</v>
      </c>
      <c r="CH27" s="633" t="str">
        <f t="shared" si="44"/>
        <v>Nov</v>
      </c>
      <c r="CI27" s="633" t="str">
        <f t="shared" si="44"/>
        <v>Dec</v>
      </c>
      <c r="CJ27" s="630" t="s">
        <v>230</v>
      </c>
      <c r="CK27" s="630" t="s">
        <v>105</v>
      </c>
      <c r="CL27" s="630" t="s">
        <v>205</v>
      </c>
    </row>
    <row r="28" spans="1:92">
      <c r="A28" s="375"/>
      <c r="B28" s="375"/>
      <c r="CJ28" s="835"/>
      <c r="CK28" s="375"/>
      <c r="CL28" s="375"/>
    </row>
    <row r="29" spans="1:92" ht="15">
      <c r="A29" s="375" t="s">
        <v>223</v>
      </c>
      <c r="B29" s="286">
        <f ca="1">SUM(OFFSET(BL29:BW29,0,'Bal Sheet'!$A$1))</f>
        <v>7375232.0699199988</v>
      </c>
      <c r="C29" s="344">
        <v>151560.73000000001</v>
      </c>
      <c r="D29" s="344">
        <v>153149.88</v>
      </c>
      <c r="E29" s="344">
        <v>153151.35</v>
      </c>
      <c r="F29" s="344">
        <v>153166.49000000002</v>
      </c>
      <c r="G29" s="344">
        <v>153181.87000000002</v>
      </c>
      <c r="H29" s="344">
        <v>153203.80000000002</v>
      </c>
      <c r="I29" s="344">
        <v>153212.75</v>
      </c>
      <c r="J29" s="344">
        <v>153434.93000000002</v>
      </c>
      <c r="K29" s="344">
        <v>155048.07</v>
      </c>
      <c r="L29" s="344">
        <v>155209.24000000002</v>
      </c>
      <c r="M29" s="344">
        <v>155396.29</v>
      </c>
      <c r="N29" s="344">
        <v>159838.99000000002</v>
      </c>
      <c r="O29" s="344">
        <v>160037.96000000002</v>
      </c>
      <c r="P29" s="344">
        <v>164417.12</v>
      </c>
      <c r="Q29" s="344">
        <v>164910.75</v>
      </c>
      <c r="R29" s="344">
        <v>164778.53</v>
      </c>
      <c r="S29" s="344">
        <v>164766.03</v>
      </c>
      <c r="T29" s="344">
        <v>164817.38</v>
      </c>
      <c r="U29" s="344">
        <v>164934.76999999999</v>
      </c>
      <c r="V29" s="344">
        <v>164941.4</v>
      </c>
      <c r="W29" s="344">
        <v>164865.63</v>
      </c>
      <c r="X29" s="344">
        <v>164932.26999999999</v>
      </c>
      <c r="Y29" s="344">
        <v>171195.69</v>
      </c>
      <c r="Z29" s="344">
        <v>171835.57</v>
      </c>
      <c r="AA29" s="344">
        <v>172870.61</v>
      </c>
      <c r="AB29" s="344">
        <v>178747.14</v>
      </c>
      <c r="AC29" s="344">
        <v>176610.09</v>
      </c>
      <c r="AD29" s="344">
        <v>177731.65</v>
      </c>
      <c r="AE29" s="344">
        <v>177764.36</v>
      </c>
      <c r="AF29" s="344">
        <v>177778.24</v>
      </c>
      <c r="AG29" s="344">
        <v>177894.57</v>
      </c>
      <c r="AH29" s="344">
        <v>178647.3</v>
      </c>
      <c r="AI29" s="534">
        <v>178763.14</v>
      </c>
      <c r="AJ29" s="534">
        <v>178731.35</v>
      </c>
      <c r="AK29" s="534">
        <v>178908.47</v>
      </c>
      <c r="AL29" s="534">
        <v>269382.26</v>
      </c>
      <c r="AM29" s="775">
        <v>269802.19</v>
      </c>
      <c r="AN29" s="775">
        <v>265747.17000000004</v>
      </c>
      <c r="AO29" s="776">
        <v>265982.07</v>
      </c>
      <c r="AP29" s="776">
        <v>266314.16000000003</v>
      </c>
      <c r="AQ29" s="776">
        <v>280502.60000000003</v>
      </c>
      <c r="AR29" s="776">
        <v>296156.27</v>
      </c>
      <c r="AS29" s="776">
        <v>297551.17000000004</v>
      </c>
      <c r="AT29" s="776">
        <v>298991.75</v>
      </c>
      <c r="AU29" s="776">
        <v>300415.01</v>
      </c>
      <c r="AV29" s="776">
        <v>300966.79000000004</v>
      </c>
      <c r="AW29" s="776">
        <v>301122.65000000002</v>
      </c>
      <c r="AX29" s="776">
        <v>301267.88000000006</v>
      </c>
      <c r="AY29" s="776">
        <v>301465.25000000006</v>
      </c>
      <c r="AZ29" s="1011">
        <v>301576.07</v>
      </c>
      <c r="BA29" s="1011">
        <v>301811.44000000006</v>
      </c>
      <c r="BB29" s="1011">
        <v>334157.5</v>
      </c>
      <c r="BC29" s="1011">
        <v>334840.67</v>
      </c>
      <c r="BD29" s="1011">
        <v>334958.54000000004</v>
      </c>
      <c r="BE29" s="1011">
        <v>335293.09000000003</v>
      </c>
      <c r="BF29" s="635">
        <v>334462.71999999997</v>
      </c>
      <c r="BG29" s="635">
        <v>334585.91000000003</v>
      </c>
      <c r="BH29" s="635">
        <v>334568.52</v>
      </c>
      <c r="BI29" s="635">
        <v>334835.81</v>
      </c>
      <c r="BJ29" s="635">
        <v>334955.51</v>
      </c>
      <c r="BK29" s="635">
        <v>338474.33999999997</v>
      </c>
      <c r="BL29" s="1011">
        <v>339355.65251500014</v>
      </c>
      <c r="BM29" s="1011">
        <v>365320.87519675016</v>
      </c>
      <c r="BN29" s="1011">
        <v>366280.42725450016</v>
      </c>
      <c r="BO29" s="1011">
        <v>374368.57831725013</v>
      </c>
      <c r="BP29" s="1011">
        <v>375852.53337500012</v>
      </c>
      <c r="BQ29" s="1011">
        <v>567983.57599500008</v>
      </c>
      <c r="BR29" s="635">
        <v>584649.48844500014</v>
      </c>
      <c r="BS29" s="635">
        <v>595711.01694500016</v>
      </c>
      <c r="BT29" s="635">
        <v>596477.71144500014</v>
      </c>
      <c r="BU29" s="635">
        <v>597402.34394500009</v>
      </c>
      <c r="BV29" s="635">
        <v>598056.38744500012</v>
      </c>
      <c r="BW29" s="635">
        <v>602340.54094500013</v>
      </c>
      <c r="BX29" s="1011">
        <v>607896.54194500006</v>
      </c>
      <c r="BY29" s="1011">
        <v>608126.88007500011</v>
      </c>
      <c r="BZ29" s="1011">
        <v>608522.21820500004</v>
      </c>
      <c r="CA29" s="1011">
        <v>608917.55633500009</v>
      </c>
      <c r="CB29" s="1011">
        <v>609312.89446500002</v>
      </c>
      <c r="CC29" s="1011">
        <v>609708.23259500007</v>
      </c>
      <c r="CD29" s="635">
        <v>610103.570725</v>
      </c>
      <c r="CE29" s="635">
        <v>610498.90885499993</v>
      </c>
      <c r="CF29" s="635">
        <v>620972.99698499998</v>
      </c>
      <c r="CG29" s="635">
        <v>624631.21011499991</v>
      </c>
      <c r="CH29" s="635">
        <v>626232.42324499995</v>
      </c>
      <c r="CI29" s="635">
        <v>630308.63637499989</v>
      </c>
      <c r="CJ29" s="606">
        <f ca="1">+B29</f>
        <v>7375232.0699199988</v>
      </c>
      <c r="CK29" s="1120">
        <v>0</v>
      </c>
      <c r="CL29" s="340">
        <f ca="1">CJ29*CK29</f>
        <v>0</v>
      </c>
      <c r="CM29" s="1121" t="s">
        <v>1251</v>
      </c>
    </row>
    <row r="30" spans="1:92" ht="15">
      <c r="A30" s="375" t="s">
        <v>224</v>
      </c>
      <c r="B30" s="286">
        <f ca="1">SUM(OFFSET(BL30:BW30,0,'Bal Sheet'!$A$1))</f>
        <v>0</v>
      </c>
      <c r="C30" s="344">
        <v>6754.9199999999992</v>
      </c>
      <c r="D30" s="344">
        <v>6754.9199999999992</v>
      </c>
      <c r="E30" s="344">
        <v>6756.5599999999986</v>
      </c>
      <c r="F30" s="344">
        <v>6764.3399999999992</v>
      </c>
      <c r="G30" s="344">
        <v>7885.7299999999987</v>
      </c>
      <c r="H30" s="344">
        <v>8223.3499999999985</v>
      </c>
      <c r="I30" s="344">
        <v>8231.66</v>
      </c>
      <c r="J30" s="344">
        <v>7933.7599999999993</v>
      </c>
      <c r="K30" s="344">
        <v>8272.369999999999</v>
      </c>
      <c r="L30" s="344">
        <v>8272.7999999999993</v>
      </c>
      <c r="M30" s="344">
        <v>8272.7999999999993</v>
      </c>
      <c r="N30" s="344">
        <v>8272.7999999999993</v>
      </c>
      <c r="O30" s="344">
        <v>8272.74</v>
      </c>
      <c r="P30" s="344">
        <v>0</v>
      </c>
      <c r="Q30" s="344">
        <v>0</v>
      </c>
      <c r="R30" s="344">
        <v>0</v>
      </c>
      <c r="S30" s="344">
        <v>0</v>
      </c>
      <c r="T30" s="344">
        <v>0</v>
      </c>
      <c r="U30" s="344">
        <v>0</v>
      </c>
      <c r="V30" s="344">
        <v>0</v>
      </c>
      <c r="W30" s="344">
        <v>0</v>
      </c>
      <c r="X30" s="344">
        <v>0</v>
      </c>
      <c r="Y30" s="344">
        <v>0</v>
      </c>
      <c r="Z30" s="344">
        <v>0</v>
      </c>
      <c r="AA30" s="344">
        <v>0</v>
      </c>
      <c r="AB30" s="344">
        <v>0</v>
      </c>
      <c r="AC30" s="344">
        <v>0</v>
      </c>
      <c r="AD30" s="344">
        <v>0</v>
      </c>
      <c r="AE30" s="344">
        <v>0</v>
      </c>
      <c r="AF30" s="344">
        <v>0</v>
      </c>
      <c r="AG30" s="344">
        <v>0</v>
      </c>
      <c r="AH30" s="344">
        <v>0</v>
      </c>
      <c r="AI30" s="534">
        <v>0</v>
      </c>
      <c r="AJ30" s="534">
        <v>0</v>
      </c>
      <c r="AK30" s="534">
        <v>0</v>
      </c>
      <c r="AL30" s="534">
        <v>0</v>
      </c>
      <c r="AM30" s="775">
        <v>0</v>
      </c>
      <c r="AN30" s="775">
        <v>0</v>
      </c>
      <c r="AO30" s="776">
        <v>0</v>
      </c>
      <c r="AP30" s="776">
        <v>0</v>
      </c>
      <c r="AQ30" s="776">
        <v>0</v>
      </c>
      <c r="AR30" s="776">
        <v>0</v>
      </c>
      <c r="AS30" s="776">
        <v>0</v>
      </c>
      <c r="AT30" s="776">
        <v>0</v>
      </c>
      <c r="AU30" s="776">
        <v>0</v>
      </c>
      <c r="AV30" s="776">
        <v>0</v>
      </c>
      <c r="AW30" s="776">
        <v>0</v>
      </c>
      <c r="AX30" s="776">
        <v>0</v>
      </c>
      <c r="AY30" s="776">
        <v>0</v>
      </c>
      <c r="AZ30" s="1011">
        <v>0</v>
      </c>
      <c r="BA30" s="1011">
        <v>0</v>
      </c>
      <c r="BB30" s="1011">
        <v>0</v>
      </c>
      <c r="BC30" s="1011">
        <v>0</v>
      </c>
      <c r="BD30" s="1011">
        <v>0</v>
      </c>
      <c r="BE30" s="1011">
        <v>0</v>
      </c>
      <c r="BF30" s="635">
        <v>0</v>
      </c>
      <c r="BG30" s="635">
        <v>0</v>
      </c>
      <c r="BH30" s="635">
        <v>0</v>
      </c>
      <c r="BI30" s="635">
        <v>0</v>
      </c>
      <c r="BJ30" s="635">
        <v>0</v>
      </c>
      <c r="BK30" s="635">
        <v>0</v>
      </c>
      <c r="BL30" s="1011">
        <v>0</v>
      </c>
      <c r="BM30" s="1011">
        <v>0</v>
      </c>
      <c r="BN30" s="1011">
        <v>0</v>
      </c>
      <c r="BO30" s="1011">
        <v>0</v>
      </c>
      <c r="BP30" s="1011">
        <v>0</v>
      </c>
      <c r="BQ30" s="1011">
        <v>0</v>
      </c>
      <c r="BR30" s="635">
        <v>0</v>
      </c>
      <c r="BS30" s="635">
        <v>0</v>
      </c>
      <c r="BT30" s="635">
        <v>0</v>
      </c>
      <c r="BU30" s="635">
        <v>0</v>
      </c>
      <c r="BV30" s="635">
        <v>0</v>
      </c>
      <c r="BW30" s="635">
        <v>0</v>
      </c>
      <c r="BX30" s="1011">
        <v>0</v>
      </c>
      <c r="BY30" s="1011">
        <v>0</v>
      </c>
      <c r="BZ30" s="1011">
        <v>0</v>
      </c>
      <c r="CA30" s="1011">
        <v>0</v>
      </c>
      <c r="CB30" s="1011">
        <v>0</v>
      </c>
      <c r="CC30" s="1011">
        <v>0</v>
      </c>
      <c r="CD30" s="635">
        <v>0</v>
      </c>
      <c r="CE30" s="635">
        <v>0</v>
      </c>
      <c r="CF30" s="635">
        <v>0</v>
      </c>
      <c r="CG30" s="635">
        <v>0</v>
      </c>
      <c r="CH30" s="635">
        <v>0</v>
      </c>
      <c r="CI30" s="635">
        <v>0</v>
      </c>
      <c r="CJ30" s="606">
        <f t="shared" ref="CJ30:CJ34" ca="1" si="45">+B30</f>
        <v>0</v>
      </c>
      <c r="CK30" s="1120">
        <v>7.2079456439904498E-3</v>
      </c>
      <c r="CL30" s="341">
        <f ca="1">CJ30*CK30</f>
        <v>0</v>
      </c>
      <c r="CM30" s="1121" t="s">
        <v>1251</v>
      </c>
    </row>
    <row r="31" spans="1:92" ht="15">
      <c r="A31" s="375" t="s">
        <v>225</v>
      </c>
      <c r="B31" s="286">
        <f ca="1">SUM(OFFSET(BL31:BW31,0,'Bal Sheet'!$A$1))</f>
        <v>951000.07770233392</v>
      </c>
      <c r="C31" s="344">
        <v>47645.189999999995</v>
      </c>
      <c r="D31" s="344">
        <v>47758.409999999996</v>
      </c>
      <c r="E31" s="344">
        <v>47758.080000000002</v>
      </c>
      <c r="F31" s="344">
        <v>47757.599999999999</v>
      </c>
      <c r="G31" s="344">
        <v>47790.209999999992</v>
      </c>
      <c r="H31" s="344">
        <v>47801.939999999995</v>
      </c>
      <c r="I31" s="344">
        <v>47864.73</v>
      </c>
      <c r="J31" s="344">
        <v>47945.060000000005</v>
      </c>
      <c r="K31" s="344">
        <v>48429.339999999989</v>
      </c>
      <c r="L31" s="344">
        <v>48499.669999999991</v>
      </c>
      <c r="M31" s="344">
        <v>48506.67</v>
      </c>
      <c r="N31" s="344">
        <v>48539.679999999993</v>
      </c>
      <c r="O31" s="344">
        <v>48605.619999999995</v>
      </c>
      <c r="P31" s="344">
        <v>48757.439999999995</v>
      </c>
      <c r="Q31" s="344">
        <v>48769.839999999989</v>
      </c>
      <c r="R31" s="344">
        <v>48749.999999999993</v>
      </c>
      <c r="S31" s="344">
        <v>48821.299999999996</v>
      </c>
      <c r="T31" s="344">
        <v>49423.939999999988</v>
      </c>
      <c r="U31" s="344">
        <v>50325.959999999992</v>
      </c>
      <c r="V31" s="344">
        <v>51233.779999999992</v>
      </c>
      <c r="W31" s="344">
        <v>51268.209999999992</v>
      </c>
      <c r="X31" s="344">
        <v>51403.749999999993</v>
      </c>
      <c r="Y31" s="344">
        <v>51731.499999999993</v>
      </c>
      <c r="Z31" s="344">
        <v>51853.19999999999</v>
      </c>
      <c r="AA31" s="344">
        <v>52019.89999999998</v>
      </c>
      <c r="AB31" s="344">
        <v>52335.969999999987</v>
      </c>
      <c r="AC31" s="344">
        <v>51933.919999999991</v>
      </c>
      <c r="AD31" s="344">
        <v>51954.44999999999</v>
      </c>
      <c r="AE31" s="344">
        <v>52176.279999999992</v>
      </c>
      <c r="AF31" s="344">
        <v>52456.649999999987</v>
      </c>
      <c r="AG31" s="344">
        <v>52458.619999999988</v>
      </c>
      <c r="AH31" s="344">
        <v>52456.139999999992</v>
      </c>
      <c r="AI31" s="534">
        <v>52556.029999999984</v>
      </c>
      <c r="AJ31" s="534">
        <v>52617.959999999985</v>
      </c>
      <c r="AK31" s="534">
        <v>52598.119999999988</v>
      </c>
      <c r="AL31" s="534">
        <v>52612.069999999985</v>
      </c>
      <c r="AM31" s="775">
        <v>52682.419999999991</v>
      </c>
      <c r="AN31" s="775">
        <v>59135.299999999996</v>
      </c>
      <c r="AO31" s="776">
        <v>59160.959999999985</v>
      </c>
      <c r="AP31" s="776">
        <v>59161.259999999987</v>
      </c>
      <c r="AQ31" s="776">
        <v>59232.429999999986</v>
      </c>
      <c r="AR31" s="776">
        <v>59236.709999999985</v>
      </c>
      <c r="AS31" s="776">
        <v>59233.799999999996</v>
      </c>
      <c r="AT31" s="776">
        <v>59296.479999999989</v>
      </c>
      <c r="AU31" s="776">
        <v>59487.669999999991</v>
      </c>
      <c r="AV31" s="776">
        <v>59770.409999999996</v>
      </c>
      <c r="AW31" s="776">
        <v>59799.169999999991</v>
      </c>
      <c r="AX31" s="776">
        <v>60046.229999999989</v>
      </c>
      <c r="AY31" s="776">
        <v>60065.029999999992</v>
      </c>
      <c r="AZ31" s="1011">
        <v>60256.539999999986</v>
      </c>
      <c r="BA31" s="1011">
        <v>60249.149999999987</v>
      </c>
      <c r="BB31" s="1011">
        <v>60265.799999999996</v>
      </c>
      <c r="BC31" s="1011">
        <v>60268.02</v>
      </c>
      <c r="BD31" s="1011">
        <v>60299.979999999989</v>
      </c>
      <c r="BE31" s="1011">
        <v>60299.979999999989</v>
      </c>
      <c r="BF31" s="635">
        <v>60513.159999999989</v>
      </c>
      <c r="BG31" s="635">
        <v>60562.12999999999</v>
      </c>
      <c r="BH31" s="635">
        <v>61489.799999999988</v>
      </c>
      <c r="BI31" s="635">
        <v>61107.919999999991</v>
      </c>
      <c r="BJ31" s="635">
        <v>61182.599999999991</v>
      </c>
      <c r="BK31" s="635">
        <v>61741.709999999992</v>
      </c>
      <c r="BL31" s="1011">
        <v>61905.370613333333</v>
      </c>
      <c r="BM31" s="1011">
        <v>66242.092975473337</v>
      </c>
      <c r="BN31" s="1011">
        <v>66550.118861333351</v>
      </c>
      <c r="BO31" s="1011">
        <v>68740.21192168667</v>
      </c>
      <c r="BP31" s="1011">
        <v>69158.745489866677</v>
      </c>
      <c r="BQ31" s="1011">
        <v>69711.283901466682</v>
      </c>
      <c r="BR31" s="635">
        <v>70135.022313066685</v>
      </c>
      <c r="BS31" s="635">
        <v>71632.094766400012</v>
      </c>
      <c r="BT31" s="635">
        <v>72334.899844666696</v>
      </c>
      <c r="BU31" s="635">
        <v>72619.104922933358</v>
      </c>
      <c r="BV31" s="635">
        <v>72677.910001200027</v>
      </c>
      <c r="BW31" s="635">
        <v>72736.71507946671</v>
      </c>
      <c r="BX31" s="1011">
        <v>75851.143407766693</v>
      </c>
      <c r="BY31" s="1011">
        <v>76136.69649073336</v>
      </c>
      <c r="BZ31" s="1011">
        <v>76633.466240366688</v>
      </c>
      <c r="CA31" s="1011">
        <v>77032.409323333355</v>
      </c>
      <c r="CB31" s="1011">
        <v>77362.429072966697</v>
      </c>
      <c r="CC31" s="1011">
        <v>78981.982155933365</v>
      </c>
      <c r="CD31" s="635">
        <v>80712.701905566704</v>
      </c>
      <c r="CE31" s="635">
        <v>80998.254988533372</v>
      </c>
      <c r="CF31" s="635">
        <v>81286.031404833368</v>
      </c>
      <c r="CG31" s="635">
        <v>81716.101154466713</v>
      </c>
      <c r="CH31" s="635">
        <v>82001.654237433395</v>
      </c>
      <c r="CI31" s="635">
        <v>82287.207320400077</v>
      </c>
      <c r="CJ31" s="606">
        <f ca="1">+B31</f>
        <v>951000.07770233392</v>
      </c>
      <c r="CK31" s="1120">
        <v>3.9469066364745863E-2</v>
      </c>
      <c r="CL31" s="341">
        <f ca="1">CJ31*CK31</f>
        <v>37535.085179711888</v>
      </c>
      <c r="CM31" s="1121" t="s">
        <v>1251</v>
      </c>
    </row>
    <row r="32" spans="1:92" ht="15">
      <c r="A32" s="375" t="s">
        <v>225</v>
      </c>
      <c r="B32" s="286">
        <f ca="1">SUM(OFFSET(BL32:BW32,0,'Bal Sheet'!$A$1))</f>
        <v>27185.824949199992</v>
      </c>
      <c r="C32" s="344">
        <v>338.21</v>
      </c>
      <c r="D32" s="344">
        <v>338.21</v>
      </c>
      <c r="E32" s="344">
        <v>338.21</v>
      </c>
      <c r="F32" s="344">
        <v>338.21</v>
      </c>
      <c r="G32" s="344">
        <v>338.21</v>
      </c>
      <c r="H32" s="344">
        <v>338.21</v>
      </c>
      <c r="I32" s="344">
        <v>338.21</v>
      </c>
      <c r="J32" s="344">
        <v>338.21</v>
      </c>
      <c r="K32" s="344">
        <v>338.21</v>
      </c>
      <c r="L32" s="344">
        <v>338.21</v>
      </c>
      <c r="M32" s="344">
        <v>338.21</v>
      </c>
      <c r="N32" s="344">
        <v>338.21</v>
      </c>
      <c r="O32" s="344">
        <v>338.21</v>
      </c>
      <c r="P32" s="344">
        <v>338.21</v>
      </c>
      <c r="Q32" s="344">
        <v>338.21</v>
      </c>
      <c r="R32" s="344">
        <v>338.21</v>
      </c>
      <c r="S32" s="344">
        <v>338.21</v>
      </c>
      <c r="T32" s="344">
        <v>338.21</v>
      </c>
      <c r="U32" s="344">
        <v>338.21</v>
      </c>
      <c r="V32" s="344">
        <v>338.21</v>
      </c>
      <c r="W32" s="344">
        <v>338.21</v>
      </c>
      <c r="X32" s="344">
        <v>338.21</v>
      </c>
      <c r="Y32" s="344">
        <v>338.21</v>
      </c>
      <c r="Z32" s="344">
        <v>338.21</v>
      </c>
      <c r="AA32" s="344">
        <v>338.21</v>
      </c>
      <c r="AB32" s="344">
        <v>338.21</v>
      </c>
      <c r="AC32" s="344">
        <v>338.21</v>
      </c>
      <c r="AD32" s="344">
        <v>338.21</v>
      </c>
      <c r="AE32" s="344">
        <v>338.21</v>
      </c>
      <c r="AF32" s="344">
        <v>338.21</v>
      </c>
      <c r="AG32" s="344">
        <v>338.21</v>
      </c>
      <c r="AH32" s="344">
        <v>338.21</v>
      </c>
      <c r="AI32" s="534">
        <v>338.21</v>
      </c>
      <c r="AJ32" s="534">
        <v>338.21</v>
      </c>
      <c r="AK32" s="534">
        <v>338.21</v>
      </c>
      <c r="AL32" s="534">
        <v>338.21</v>
      </c>
      <c r="AM32" s="775">
        <v>338.21</v>
      </c>
      <c r="AN32" s="775">
        <v>335.87</v>
      </c>
      <c r="AO32" s="776">
        <v>335.87</v>
      </c>
      <c r="AP32" s="776">
        <v>335.87</v>
      </c>
      <c r="AQ32" s="776">
        <v>335.87</v>
      </c>
      <c r="AR32" s="776">
        <v>335.87</v>
      </c>
      <c r="AS32" s="776">
        <v>335.87</v>
      </c>
      <c r="AT32" s="776">
        <v>335.87</v>
      </c>
      <c r="AU32" s="776">
        <v>335.87</v>
      </c>
      <c r="AV32" s="776">
        <v>335.87</v>
      </c>
      <c r="AW32" s="776">
        <v>335.87</v>
      </c>
      <c r="AX32" s="776">
        <v>335.87</v>
      </c>
      <c r="AY32" s="776">
        <v>335.87</v>
      </c>
      <c r="AZ32" s="1011">
        <v>335.87</v>
      </c>
      <c r="BA32" s="1011">
        <v>335.87</v>
      </c>
      <c r="BB32" s="1011">
        <v>335.87</v>
      </c>
      <c r="BC32" s="1011">
        <v>335.87</v>
      </c>
      <c r="BD32" s="1011">
        <v>335.87</v>
      </c>
      <c r="BE32" s="1011">
        <v>335.87</v>
      </c>
      <c r="BF32" s="635">
        <v>335.87</v>
      </c>
      <c r="BG32" s="635">
        <v>335.87</v>
      </c>
      <c r="BH32" s="635">
        <v>335.87</v>
      </c>
      <c r="BI32" s="635">
        <v>335.87</v>
      </c>
      <c r="BJ32" s="635">
        <v>335.87</v>
      </c>
      <c r="BK32" s="635">
        <v>335.87</v>
      </c>
      <c r="BL32" s="1011">
        <v>324.68862000000001</v>
      </c>
      <c r="BM32" s="1011">
        <v>324.68862000000001</v>
      </c>
      <c r="BN32" s="1011">
        <v>324.68862000000001</v>
      </c>
      <c r="BO32" s="1011">
        <v>1326.1378024000001</v>
      </c>
      <c r="BP32" s="1011">
        <v>1326.1378024000001</v>
      </c>
      <c r="BQ32" s="1011">
        <v>1326.1378024000001</v>
      </c>
      <c r="BR32" s="635">
        <v>1326.1378024000001</v>
      </c>
      <c r="BS32" s="635">
        <v>1326.1378024000001</v>
      </c>
      <c r="BT32" s="635">
        <v>1326.1378024000001</v>
      </c>
      <c r="BU32" s="635">
        <v>1326.1378024000001</v>
      </c>
      <c r="BV32" s="635">
        <v>1326.1378024000001</v>
      </c>
      <c r="BW32" s="635">
        <v>1326.1378024000001</v>
      </c>
      <c r="BX32" s="1011">
        <v>2265.4854124333333</v>
      </c>
      <c r="BY32" s="1011">
        <v>2265.4854124333333</v>
      </c>
      <c r="BZ32" s="1011">
        <v>2265.4854124333333</v>
      </c>
      <c r="CA32" s="1011">
        <v>2265.4854124333333</v>
      </c>
      <c r="CB32" s="1011">
        <v>2265.4854124333333</v>
      </c>
      <c r="CC32" s="1011">
        <v>2265.4854124333333</v>
      </c>
      <c r="CD32" s="635">
        <v>2265.4854124333333</v>
      </c>
      <c r="CE32" s="635">
        <v>2265.4854124333333</v>
      </c>
      <c r="CF32" s="635">
        <v>2265.4854124333333</v>
      </c>
      <c r="CG32" s="635">
        <v>2265.4854124333333</v>
      </c>
      <c r="CH32" s="635">
        <v>2265.4854124333333</v>
      </c>
      <c r="CI32" s="635">
        <v>2265.4854124333333</v>
      </c>
      <c r="CJ32" s="606">
        <f t="shared" ca="1" si="45"/>
        <v>27185.824949199992</v>
      </c>
      <c r="CK32" s="1120">
        <v>3.64743192694316E-2</v>
      </c>
      <c r="CL32" s="341">
        <f ca="1">CJ32*CK32</f>
        <v>991.58445879999965</v>
      </c>
      <c r="CM32" s="1121" t="s">
        <v>1251</v>
      </c>
    </row>
    <row r="33" spans="1:92" ht="15">
      <c r="A33" s="375" t="s">
        <v>226</v>
      </c>
      <c r="B33" s="286">
        <f ca="1">SUM(OFFSET(BL33:BW33,0,'Bal Sheet'!$A$1))</f>
        <v>730353.0833266431</v>
      </c>
      <c r="C33" s="344">
        <v>42020.639999999999</v>
      </c>
      <c r="D33" s="344">
        <v>42103.93</v>
      </c>
      <c r="E33" s="344">
        <v>42259.259999999995</v>
      </c>
      <c r="F33" s="344">
        <v>43686.869999999995</v>
      </c>
      <c r="G33" s="344">
        <v>43872.710000000006</v>
      </c>
      <c r="H33" s="344">
        <v>43924.670000000006</v>
      </c>
      <c r="I33" s="344">
        <v>43924.670000000006</v>
      </c>
      <c r="J33" s="344">
        <v>43941.91</v>
      </c>
      <c r="K33" s="344">
        <v>43941.91</v>
      </c>
      <c r="L33" s="344">
        <v>43951.280000000006</v>
      </c>
      <c r="M33" s="344">
        <v>43951.280000000006</v>
      </c>
      <c r="N33" s="344">
        <v>43985.060000000005</v>
      </c>
      <c r="O33" s="344">
        <v>44414.66</v>
      </c>
      <c r="P33" s="344">
        <v>53347.770000000004</v>
      </c>
      <c r="Q33" s="344">
        <v>53161.47</v>
      </c>
      <c r="R33" s="344">
        <v>56973.36</v>
      </c>
      <c r="S33" s="344">
        <v>57037.48</v>
      </c>
      <c r="T33" s="344">
        <v>57398.42</v>
      </c>
      <c r="U33" s="344">
        <v>57732.63</v>
      </c>
      <c r="V33" s="344">
        <v>57732.63</v>
      </c>
      <c r="W33" s="344">
        <v>57720.58</v>
      </c>
      <c r="X33" s="344">
        <v>57891.32</v>
      </c>
      <c r="Y33" s="344">
        <v>57947.170000000006</v>
      </c>
      <c r="Z33" s="344">
        <v>59366.6</v>
      </c>
      <c r="AA33" s="344">
        <v>59407.729999999996</v>
      </c>
      <c r="AB33" s="344">
        <v>67928.710000000006</v>
      </c>
      <c r="AC33" s="344">
        <v>67576.540000000008</v>
      </c>
      <c r="AD33" s="344">
        <v>70305.759999999995</v>
      </c>
      <c r="AE33" s="344">
        <v>70920.88</v>
      </c>
      <c r="AF33" s="344">
        <v>71107.22</v>
      </c>
      <c r="AG33" s="344">
        <v>71334.460000000006</v>
      </c>
      <c r="AH33" s="344">
        <v>72399.25</v>
      </c>
      <c r="AI33" s="534">
        <v>72558.710000000006</v>
      </c>
      <c r="AJ33" s="534">
        <v>72520.39</v>
      </c>
      <c r="AK33" s="534">
        <v>72811.47</v>
      </c>
      <c r="AL33" s="534">
        <v>73583.150000000009</v>
      </c>
      <c r="AM33" s="775">
        <v>73623.199999999997</v>
      </c>
      <c r="AN33" s="775">
        <v>66415.310000000012</v>
      </c>
      <c r="AO33" s="776">
        <v>66427.850000000006</v>
      </c>
      <c r="AP33" s="776">
        <v>46849.66</v>
      </c>
      <c r="AQ33" s="776">
        <v>46849.66</v>
      </c>
      <c r="AR33" s="776">
        <v>46853.59</v>
      </c>
      <c r="AS33" s="776">
        <v>46853.59</v>
      </c>
      <c r="AT33" s="776">
        <v>46853.59</v>
      </c>
      <c r="AU33" s="776">
        <v>46839.079999999994</v>
      </c>
      <c r="AV33" s="776">
        <v>47035.439999999995</v>
      </c>
      <c r="AW33" s="776">
        <v>47035.439999999995</v>
      </c>
      <c r="AX33" s="776">
        <v>47107.329999999994</v>
      </c>
      <c r="AY33" s="776">
        <v>47108.89</v>
      </c>
      <c r="AZ33" s="1011">
        <v>47110.42</v>
      </c>
      <c r="BA33" s="1011">
        <v>47111.98</v>
      </c>
      <c r="BB33" s="1011">
        <v>47113.53</v>
      </c>
      <c r="BC33" s="1011">
        <v>47115.079999999994</v>
      </c>
      <c r="BD33" s="1011">
        <v>47348.18</v>
      </c>
      <c r="BE33" s="1011">
        <v>47349.750000000007</v>
      </c>
      <c r="BF33" s="635">
        <v>47385.33</v>
      </c>
      <c r="BG33" s="635">
        <v>47549.42</v>
      </c>
      <c r="BH33" s="635">
        <v>47650.540000000008</v>
      </c>
      <c r="BI33" s="635">
        <v>47710.62</v>
      </c>
      <c r="BJ33" s="635">
        <v>47843.03</v>
      </c>
      <c r="BK33" s="635">
        <v>47884.240000000005</v>
      </c>
      <c r="BL33" s="1011">
        <v>48072.607615833338</v>
      </c>
      <c r="BM33" s="1011">
        <v>66985.748503241673</v>
      </c>
      <c r="BN33" s="1011">
        <v>67563.060167573334</v>
      </c>
      <c r="BO33" s="1011">
        <v>69751.525303564675</v>
      </c>
      <c r="BP33" s="1011">
        <v>70448.517286429604</v>
      </c>
      <c r="BQ33" s="1011">
        <v>70747.777680785919</v>
      </c>
      <c r="BR33" s="635">
        <v>71464.155303657186</v>
      </c>
      <c r="BS33" s="635">
        <v>71643.140772231432</v>
      </c>
      <c r="BT33" s="635">
        <v>72608.375409946297</v>
      </c>
      <c r="BU33" s="635">
        <v>73150.874048155922</v>
      </c>
      <c r="BV33" s="635">
        <v>73329.858486464524</v>
      </c>
      <c r="BW33" s="635">
        <v>73584.692918126239</v>
      </c>
      <c r="BX33" s="1011">
        <v>59244.115202231034</v>
      </c>
      <c r="BY33" s="1011">
        <v>59435.329691279534</v>
      </c>
      <c r="BZ33" s="1011">
        <v>59642.61318108924</v>
      </c>
      <c r="CA33" s="1011">
        <v>59839.337729051185</v>
      </c>
      <c r="CB33" s="1011">
        <v>60042.319138643565</v>
      </c>
      <c r="CC33" s="1011">
        <v>60231.834220562043</v>
      </c>
      <c r="CD33" s="635">
        <v>61457.130036945746</v>
      </c>
      <c r="CE33" s="635">
        <v>61649.486850222478</v>
      </c>
      <c r="CF33" s="635">
        <v>61838.731912877825</v>
      </c>
      <c r="CG33" s="635">
        <v>62133.522975408894</v>
      </c>
      <c r="CH33" s="635">
        <v>62322.08628791511</v>
      </c>
      <c r="CI33" s="635">
        <v>62516.576100416351</v>
      </c>
      <c r="CJ33" s="606">
        <f t="shared" ca="1" si="45"/>
        <v>730353.0833266431</v>
      </c>
      <c r="CK33" s="1120">
        <v>6.4948155599539948E-3</v>
      </c>
      <c r="CL33" s="341">
        <f ca="1">CJ33*CK33</f>
        <v>4743.508569850258</v>
      </c>
      <c r="CM33" s="1121" t="s">
        <v>1251</v>
      </c>
    </row>
    <row r="34" spans="1:92" ht="15.75" thickBot="1">
      <c r="B34" s="286">
        <f ca="1">SUM(OFFSET(BL34:BW34,0,'Bal Sheet'!$A$1))</f>
        <v>9083771.0558981746</v>
      </c>
      <c r="C34" s="338">
        <f t="shared" ref="C34" si="46">SUM(C29:C33)</f>
        <v>248319.69</v>
      </c>
      <c r="D34" s="338">
        <f t="shared" ref="D34:O34" si="47">SUM(D29:D33)</f>
        <v>250105.35</v>
      </c>
      <c r="E34" s="338">
        <f t="shared" si="47"/>
        <v>250263.45999999996</v>
      </c>
      <c r="F34" s="338">
        <f t="shared" si="47"/>
        <v>251713.51</v>
      </c>
      <c r="G34" s="338">
        <f t="shared" si="47"/>
        <v>253068.73000000004</v>
      </c>
      <c r="H34" s="338">
        <f t="shared" si="47"/>
        <v>253491.97000000003</v>
      </c>
      <c r="I34" s="338">
        <f t="shared" si="47"/>
        <v>253572.02000000002</v>
      </c>
      <c r="J34" s="338">
        <f t="shared" si="47"/>
        <v>253593.87000000002</v>
      </c>
      <c r="K34" s="338">
        <f t="shared" si="47"/>
        <v>256029.9</v>
      </c>
      <c r="L34" s="338">
        <f t="shared" si="47"/>
        <v>256271.19999999998</v>
      </c>
      <c r="M34" s="338">
        <f t="shared" si="47"/>
        <v>256465.25</v>
      </c>
      <c r="N34" s="338">
        <f t="shared" si="47"/>
        <v>260974.74</v>
      </c>
      <c r="O34" s="338">
        <f t="shared" si="47"/>
        <v>261669.19</v>
      </c>
      <c r="P34" s="338">
        <f t="shared" ref="P34:AA34" si="48">SUM(P29:P33)</f>
        <v>266860.53999999998</v>
      </c>
      <c r="Q34" s="338">
        <f t="shared" si="48"/>
        <v>267180.27</v>
      </c>
      <c r="R34" s="338">
        <f t="shared" si="48"/>
        <v>270840.09999999998</v>
      </c>
      <c r="S34" s="338">
        <f t="shared" si="48"/>
        <v>270963.01999999996</v>
      </c>
      <c r="T34" s="338">
        <f t="shared" si="48"/>
        <v>271977.95</v>
      </c>
      <c r="U34" s="338">
        <f t="shared" si="48"/>
        <v>273331.56999999995</v>
      </c>
      <c r="V34" s="338">
        <f t="shared" si="48"/>
        <v>274246.01999999996</v>
      </c>
      <c r="W34" s="338">
        <f t="shared" si="48"/>
        <v>274192.63</v>
      </c>
      <c r="X34" s="338">
        <f t="shared" si="48"/>
        <v>274565.55</v>
      </c>
      <c r="Y34" s="338">
        <f t="shared" si="48"/>
        <v>281212.57</v>
      </c>
      <c r="Z34" s="338">
        <f t="shared" si="48"/>
        <v>283393.57999999996</v>
      </c>
      <c r="AA34" s="338">
        <f t="shared" si="48"/>
        <v>284636.44999999995</v>
      </c>
      <c r="AB34" s="338">
        <f t="shared" ref="AB34:AM34" si="49">SUM(AB29:AB33)</f>
        <v>299350.02999999997</v>
      </c>
      <c r="AC34" s="338">
        <f t="shared" si="49"/>
        <v>296458.76</v>
      </c>
      <c r="AD34" s="338">
        <f t="shared" si="49"/>
        <v>300330.06999999995</v>
      </c>
      <c r="AE34" s="338">
        <f t="shared" si="49"/>
        <v>301199.73</v>
      </c>
      <c r="AF34" s="338">
        <f t="shared" si="49"/>
        <v>301680.31999999995</v>
      </c>
      <c r="AG34" s="338">
        <f t="shared" si="49"/>
        <v>302025.86</v>
      </c>
      <c r="AH34" s="338">
        <f t="shared" si="49"/>
        <v>303840.89999999997</v>
      </c>
      <c r="AI34" s="338">
        <f t="shared" si="49"/>
        <v>304216.08999999997</v>
      </c>
      <c r="AJ34" s="338">
        <f t="shared" si="49"/>
        <v>304207.90999999997</v>
      </c>
      <c r="AK34" s="338">
        <f t="shared" si="49"/>
        <v>304656.27</v>
      </c>
      <c r="AL34" s="338">
        <f t="shared" si="49"/>
        <v>395915.69000000006</v>
      </c>
      <c r="AM34" s="625">
        <f t="shared" si="49"/>
        <v>396446.02</v>
      </c>
      <c r="AN34" s="625">
        <f t="shared" ref="AN34:AS34" si="50">SUM(AN29:AN33)</f>
        <v>391633.65</v>
      </c>
      <c r="AO34" s="625">
        <f t="shared" si="50"/>
        <v>391906.75</v>
      </c>
      <c r="AP34" s="625">
        <f t="shared" si="50"/>
        <v>372660.95000000007</v>
      </c>
      <c r="AQ34" s="625">
        <f t="shared" si="50"/>
        <v>386920.56000000006</v>
      </c>
      <c r="AR34" s="625">
        <f t="shared" si="50"/>
        <v>402582.43999999994</v>
      </c>
      <c r="AS34" s="625">
        <f t="shared" si="50"/>
        <v>403974.43000000005</v>
      </c>
      <c r="AT34" s="625">
        <v>405477.68999999994</v>
      </c>
      <c r="AU34" s="625">
        <v>407077.63</v>
      </c>
      <c r="AV34" s="625">
        <v>408108.51</v>
      </c>
      <c r="AW34" s="625">
        <v>408293.13</v>
      </c>
      <c r="AX34" s="625">
        <v>408757.31000000006</v>
      </c>
      <c r="AY34" s="625">
        <v>408975.04000000004</v>
      </c>
      <c r="AZ34" s="625">
        <v>409278.89999999997</v>
      </c>
      <c r="BA34" s="625">
        <v>409508.44</v>
      </c>
      <c r="BB34" s="625">
        <v>441872.69999999995</v>
      </c>
      <c r="BC34" s="625">
        <v>442559.64</v>
      </c>
      <c r="BD34" s="625">
        <v>442942.57</v>
      </c>
      <c r="BE34" s="625">
        <v>443278.69</v>
      </c>
      <c r="BF34" s="625">
        <v>442697.07999999996</v>
      </c>
      <c r="BG34" s="625">
        <v>443033.33</v>
      </c>
      <c r="BH34" s="625">
        <v>444044.73</v>
      </c>
      <c r="BI34" s="625">
        <v>443990.22</v>
      </c>
      <c r="BJ34" s="625">
        <v>444317.01</v>
      </c>
      <c r="BK34" s="625">
        <v>448436.15999999992</v>
      </c>
      <c r="BL34" s="625">
        <v>449658.31936416682</v>
      </c>
      <c r="BM34" s="625">
        <v>498873.40529546514</v>
      </c>
      <c r="BN34" s="625">
        <v>500718.29490340682</v>
      </c>
      <c r="BO34" s="625">
        <v>514186.45334490144</v>
      </c>
      <c r="BP34" s="625">
        <v>516785.9339536964</v>
      </c>
      <c r="BQ34" s="625">
        <v>709768.77537965262</v>
      </c>
      <c r="BR34" s="625">
        <v>727574.803864124</v>
      </c>
      <c r="BS34" s="625">
        <v>740312.39028603164</v>
      </c>
      <c r="BT34" s="625">
        <v>742747.1245020132</v>
      </c>
      <c r="BU34" s="625">
        <v>744498.46071848948</v>
      </c>
      <c r="BV34" s="625">
        <v>745390.29373506468</v>
      </c>
      <c r="BW34" s="625">
        <v>749988.08674499311</v>
      </c>
      <c r="BX34" s="625">
        <v>745257.28596743103</v>
      </c>
      <c r="BY34" s="625">
        <v>745964.39166944625</v>
      </c>
      <c r="BZ34" s="625">
        <v>747063.78303888929</v>
      </c>
      <c r="CA34" s="625">
        <v>748054.78879981791</v>
      </c>
      <c r="CB34" s="625">
        <v>748983.12808904354</v>
      </c>
      <c r="CC34" s="625">
        <v>751187.53438392875</v>
      </c>
      <c r="CD34" s="625">
        <v>754538.8880799457</v>
      </c>
      <c r="CE34" s="625">
        <v>755412.13610618899</v>
      </c>
      <c r="CF34" s="625">
        <v>766363.24571514456</v>
      </c>
      <c r="CG34" s="625">
        <v>770746.31965730886</v>
      </c>
      <c r="CH34" s="625">
        <v>772821.64918278169</v>
      </c>
      <c r="CI34" s="625">
        <v>777377.90520824958</v>
      </c>
      <c r="CJ34" s="626">
        <f t="shared" ca="1" si="45"/>
        <v>9083771.0558981746</v>
      </c>
      <c r="CK34" s="375"/>
      <c r="CL34" s="764">
        <f ca="1">SUM(CL29:CL33)</f>
        <v>43270.178208362144</v>
      </c>
      <c r="CM34" s="1121" t="s">
        <v>1251</v>
      </c>
    </row>
    <row r="35" spans="1:92" ht="15.75" thickTop="1">
      <c r="C35" s="681"/>
      <c r="D35" s="681"/>
      <c r="E35" s="681"/>
      <c r="F35" s="681"/>
      <c r="G35" s="681"/>
      <c r="H35" s="681"/>
      <c r="I35" s="681"/>
      <c r="J35" s="681"/>
      <c r="K35" s="681"/>
      <c r="L35" s="681"/>
      <c r="M35" s="681"/>
      <c r="N35" s="681"/>
      <c r="O35" s="681"/>
      <c r="P35" s="681"/>
      <c r="Q35" s="681"/>
      <c r="R35" s="681"/>
      <c r="S35" s="681"/>
      <c r="T35" s="681"/>
      <c r="U35" s="681"/>
      <c r="V35" s="681"/>
      <c r="W35" s="681"/>
      <c r="X35" s="681"/>
      <c r="Y35" s="681"/>
      <c r="Z35" s="681"/>
      <c r="AA35" s="681"/>
      <c r="AB35" s="681"/>
      <c r="AC35" s="681"/>
      <c r="AD35" s="681"/>
      <c r="AE35" s="681"/>
      <c r="AF35" s="681"/>
      <c r="AG35" s="681"/>
      <c r="AH35" s="681"/>
      <c r="AI35" s="681"/>
      <c r="AJ35" s="681"/>
      <c r="AK35" s="681"/>
      <c r="AL35" s="681"/>
      <c r="AM35" s="682"/>
      <c r="AN35" s="682"/>
      <c r="AO35" s="682"/>
      <c r="AP35" s="682"/>
      <c r="AQ35" s="682"/>
      <c r="AR35" s="682"/>
      <c r="AS35" s="682"/>
      <c r="AT35" s="682"/>
      <c r="AU35" s="682"/>
      <c r="AV35" s="682"/>
      <c r="AW35" s="682"/>
      <c r="AX35" s="682"/>
      <c r="AY35" s="682"/>
      <c r="AZ35" s="682"/>
      <c r="BA35" s="682"/>
      <c r="BB35" s="682"/>
      <c r="BC35" s="682"/>
      <c r="BD35" s="682"/>
      <c r="BE35" s="682"/>
      <c r="BF35" s="682"/>
      <c r="BG35" s="682"/>
      <c r="BH35" s="682"/>
      <c r="BI35" s="682"/>
      <c r="BJ35" s="682"/>
      <c r="BK35" s="682"/>
      <c r="BL35" s="682"/>
      <c r="BM35" s="682"/>
      <c r="BN35" s="682"/>
      <c r="BO35" s="682"/>
      <c r="BP35" s="682"/>
      <c r="BQ35" s="682"/>
      <c r="BR35" s="682"/>
      <c r="BS35" s="682"/>
      <c r="BT35" s="682"/>
      <c r="BU35" s="682"/>
      <c r="BV35" s="682"/>
      <c r="BW35" s="682"/>
      <c r="BX35" s="682"/>
      <c r="BY35" s="682"/>
      <c r="BZ35" s="682"/>
      <c r="CA35" s="682"/>
      <c r="CB35" s="682"/>
      <c r="CC35" s="682"/>
      <c r="CD35" s="682"/>
      <c r="CE35" s="682"/>
      <c r="CF35" s="682"/>
      <c r="CG35" s="682"/>
      <c r="CH35" s="682"/>
      <c r="CI35" s="682"/>
      <c r="CJ35" s="683"/>
      <c r="CK35" s="375"/>
      <c r="CL35" s="684"/>
      <c r="CM35" s="473"/>
    </row>
    <row r="36" spans="1:92">
      <c r="AM36" s="208" t="str">
        <f>+AM2</f>
        <v>Actual</v>
      </c>
      <c r="AN36" s="208" t="str">
        <f t="shared" ref="AN36:AY36" si="51">+AN2</f>
        <v>Actual</v>
      </c>
      <c r="AO36" s="208" t="str">
        <f t="shared" si="51"/>
        <v>Actual</v>
      </c>
      <c r="AP36" s="208" t="str">
        <f t="shared" si="51"/>
        <v>Actual</v>
      </c>
      <c r="AQ36" s="208" t="str">
        <f t="shared" si="51"/>
        <v>Actual</v>
      </c>
      <c r="AR36" s="208" t="str">
        <f t="shared" si="51"/>
        <v>Actual</v>
      </c>
      <c r="AS36" s="208" t="str">
        <f t="shared" si="51"/>
        <v>Actual</v>
      </c>
      <c r="AT36" s="208" t="str">
        <f t="shared" si="51"/>
        <v>Actual</v>
      </c>
      <c r="AU36" s="208" t="str">
        <f t="shared" si="51"/>
        <v>Actual</v>
      </c>
      <c r="AV36" s="208" t="str">
        <f t="shared" si="51"/>
        <v>Actual</v>
      </c>
      <c r="AW36" s="208" t="str">
        <f t="shared" si="51"/>
        <v>Actual</v>
      </c>
      <c r="AX36" s="208" t="str">
        <f t="shared" si="51"/>
        <v>Actual</v>
      </c>
      <c r="AY36" s="208" t="str">
        <f t="shared" si="51"/>
        <v>Actual</v>
      </c>
      <c r="AZ36" s="208" t="str">
        <f t="shared" ref="AZ36:BK36" si="52">+AZ2</f>
        <v>Actual</v>
      </c>
      <c r="BA36" s="208" t="str">
        <f t="shared" si="52"/>
        <v>Actual</v>
      </c>
      <c r="BB36" s="208" t="str">
        <f t="shared" si="52"/>
        <v>Actual</v>
      </c>
      <c r="BC36" s="208" t="str">
        <f t="shared" si="52"/>
        <v>Actual</v>
      </c>
      <c r="BD36" s="208" t="str">
        <f t="shared" si="52"/>
        <v>Actual</v>
      </c>
      <c r="BE36" s="208" t="str">
        <f t="shared" si="52"/>
        <v>Actual</v>
      </c>
      <c r="BF36" s="208" t="str">
        <f t="shared" si="52"/>
        <v>Actual</v>
      </c>
      <c r="BG36" s="208" t="str">
        <f t="shared" si="52"/>
        <v>Actual</v>
      </c>
      <c r="BH36" s="208" t="str">
        <f t="shared" si="52"/>
        <v>Actual</v>
      </c>
      <c r="BI36" s="208" t="str">
        <f t="shared" si="52"/>
        <v>Actual</v>
      </c>
      <c r="BJ36" s="208" t="str">
        <f t="shared" si="52"/>
        <v>Actual</v>
      </c>
      <c r="BK36" s="208" t="str">
        <f t="shared" si="52"/>
        <v>Actual</v>
      </c>
      <c r="BL36" s="208" t="str">
        <f t="shared" ref="BL36:BW36" si="53">+BL2</f>
        <v>Budget</v>
      </c>
      <c r="BM36" s="208" t="str">
        <f t="shared" si="53"/>
        <v>Budget</v>
      </c>
      <c r="BN36" s="208" t="str">
        <f t="shared" si="53"/>
        <v>Budget</v>
      </c>
      <c r="BO36" s="208" t="str">
        <f t="shared" si="53"/>
        <v>Budget</v>
      </c>
      <c r="BP36" s="208" t="str">
        <f t="shared" si="53"/>
        <v>Budget</v>
      </c>
      <c r="BQ36" s="208" t="str">
        <f t="shared" si="53"/>
        <v>Budget</v>
      </c>
      <c r="BR36" s="208" t="str">
        <f t="shared" si="53"/>
        <v>Budget</v>
      </c>
      <c r="BS36" s="208" t="str">
        <f t="shared" si="53"/>
        <v>Budget</v>
      </c>
      <c r="BT36" s="208" t="str">
        <f t="shared" si="53"/>
        <v>Budget</v>
      </c>
      <c r="BU36" s="208" t="str">
        <f t="shared" si="53"/>
        <v>Budget</v>
      </c>
      <c r="BV36" s="208" t="str">
        <f t="shared" si="53"/>
        <v>Budget</v>
      </c>
      <c r="BW36" s="208" t="str">
        <f t="shared" si="53"/>
        <v>Budget</v>
      </c>
      <c r="BX36" s="208" t="str">
        <f t="shared" ref="BX36:CI36" si="54">+BX2</f>
        <v>Budget</v>
      </c>
      <c r="BY36" s="208" t="str">
        <f t="shared" si="54"/>
        <v>Budget</v>
      </c>
      <c r="BZ36" s="208" t="str">
        <f t="shared" si="54"/>
        <v>Budget</v>
      </c>
      <c r="CA36" s="208" t="str">
        <f t="shared" si="54"/>
        <v>Budget</v>
      </c>
      <c r="CB36" s="208" t="str">
        <f t="shared" si="54"/>
        <v>Budget</v>
      </c>
      <c r="CC36" s="208" t="str">
        <f t="shared" si="54"/>
        <v>Budget</v>
      </c>
      <c r="CD36" s="208" t="str">
        <f t="shared" si="54"/>
        <v>Budget</v>
      </c>
      <c r="CE36" s="208" t="str">
        <f t="shared" si="54"/>
        <v>Budget</v>
      </c>
      <c r="CF36" s="208" t="str">
        <f t="shared" si="54"/>
        <v>Budget</v>
      </c>
      <c r="CG36" s="208" t="str">
        <f t="shared" si="54"/>
        <v>Budget</v>
      </c>
      <c r="CH36" s="208" t="str">
        <f t="shared" si="54"/>
        <v>Budget</v>
      </c>
      <c r="CI36" s="208" t="str">
        <f t="shared" si="54"/>
        <v>Budget</v>
      </c>
      <c r="CJ36" s="75"/>
    </row>
    <row r="37" spans="1:92">
      <c r="A37" s="627"/>
      <c r="B37" s="628"/>
      <c r="C37" s="627">
        <v>2017</v>
      </c>
      <c r="D37" s="627">
        <v>2018</v>
      </c>
      <c r="E37" s="627">
        <v>2018</v>
      </c>
      <c r="F37" s="627">
        <v>2018</v>
      </c>
      <c r="G37" s="627">
        <v>2018</v>
      </c>
      <c r="H37" s="627">
        <v>2018</v>
      </c>
      <c r="I37" s="627">
        <v>2018</v>
      </c>
      <c r="J37" s="627">
        <f>+J3</f>
        <v>2018</v>
      </c>
      <c r="K37" s="627">
        <f t="shared" ref="K37:AA37" si="55">+K3</f>
        <v>2018</v>
      </c>
      <c r="L37" s="627">
        <f t="shared" si="55"/>
        <v>2018</v>
      </c>
      <c r="M37" s="627">
        <f t="shared" si="55"/>
        <v>2018</v>
      </c>
      <c r="N37" s="627">
        <f t="shared" si="55"/>
        <v>2018</v>
      </c>
      <c r="O37" s="627">
        <f t="shared" si="55"/>
        <v>2018</v>
      </c>
      <c r="P37" s="627">
        <f t="shared" si="55"/>
        <v>2019</v>
      </c>
      <c r="Q37" s="627">
        <f t="shared" si="55"/>
        <v>2019</v>
      </c>
      <c r="R37" s="627">
        <f t="shared" si="55"/>
        <v>2019</v>
      </c>
      <c r="S37" s="627">
        <f t="shared" si="55"/>
        <v>2019</v>
      </c>
      <c r="T37" s="627">
        <f t="shared" si="55"/>
        <v>2019</v>
      </c>
      <c r="U37" s="627">
        <f t="shared" si="55"/>
        <v>2019</v>
      </c>
      <c r="V37" s="627">
        <f t="shared" si="55"/>
        <v>2019</v>
      </c>
      <c r="W37" s="627">
        <f t="shared" si="55"/>
        <v>2019</v>
      </c>
      <c r="X37" s="627">
        <f t="shared" si="55"/>
        <v>2019</v>
      </c>
      <c r="Y37" s="627">
        <f t="shared" si="55"/>
        <v>2019</v>
      </c>
      <c r="Z37" s="627">
        <f t="shared" si="55"/>
        <v>2019</v>
      </c>
      <c r="AA37" s="627">
        <f t="shared" si="55"/>
        <v>2019</v>
      </c>
      <c r="AB37" s="627">
        <f t="shared" ref="AB37:AM37" si="56">+AB3</f>
        <v>2020</v>
      </c>
      <c r="AC37" s="627">
        <f t="shared" si="56"/>
        <v>2020</v>
      </c>
      <c r="AD37" s="627">
        <f t="shared" si="56"/>
        <v>2020</v>
      </c>
      <c r="AE37" s="627">
        <f t="shared" si="56"/>
        <v>2020</v>
      </c>
      <c r="AF37" s="627">
        <f t="shared" si="56"/>
        <v>2020</v>
      </c>
      <c r="AG37" s="627">
        <f t="shared" si="56"/>
        <v>2020</v>
      </c>
      <c r="AH37" s="627">
        <f t="shared" si="56"/>
        <v>2020</v>
      </c>
      <c r="AI37" s="627">
        <f t="shared" si="56"/>
        <v>2020</v>
      </c>
      <c r="AJ37" s="627">
        <f t="shared" si="56"/>
        <v>2020</v>
      </c>
      <c r="AK37" s="627">
        <f t="shared" si="56"/>
        <v>2020</v>
      </c>
      <c r="AL37" s="627">
        <f t="shared" si="56"/>
        <v>2020</v>
      </c>
      <c r="AM37" s="632">
        <f t="shared" si="56"/>
        <v>2020</v>
      </c>
      <c r="AN37" s="632">
        <f t="shared" ref="AN37:AY37" si="57">+AN3</f>
        <v>2021</v>
      </c>
      <c r="AO37" s="632">
        <f t="shared" si="57"/>
        <v>2021</v>
      </c>
      <c r="AP37" s="632">
        <f t="shared" si="57"/>
        <v>2021</v>
      </c>
      <c r="AQ37" s="632">
        <f t="shared" si="57"/>
        <v>2021</v>
      </c>
      <c r="AR37" s="632">
        <f t="shared" si="57"/>
        <v>2021</v>
      </c>
      <c r="AS37" s="632">
        <f t="shared" si="57"/>
        <v>2021</v>
      </c>
      <c r="AT37" s="632">
        <f t="shared" si="57"/>
        <v>2021</v>
      </c>
      <c r="AU37" s="632">
        <f t="shared" si="57"/>
        <v>2021</v>
      </c>
      <c r="AV37" s="632">
        <f t="shared" si="57"/>
        <v>2021</v>
      </c>
      <c r="AW37" s="632">
        <f t="shared" si="57"/>
        <v>2021</v>
      </c>
      <c r="AX37" s="632">
        <f t="shared" si="57"/>
        <v>2021</v>
      </c>
      <c r="AY37" s="632">
        <f t="shared" si="57"/>
        <v>2021</v>
      </c>
      <c r="AZ37" s="632">
        <f t="shared" ref="AZ37:BK37" si="58">+AZ3</f>
        <v>2022</v>
      </c>
      <c r="BA37" s="632">
        <f t="shared" si="58"/>
        <v>2022</v>
      </c>
      <c r="BB37" s="632">
        <f t="shared" si="58"/>
        <v>2022</v>
      </c>
      <c r="BC37" s="632">
        <f t="shared" si="58"/>
        <v>2022</v>
      </c>
      <c r="BD37" s="632">
        <f t="shared" si="58"/>
        <v>2022</v>
      </c>
      <c r="BE37" s="632">
        <f t="shared" si="58"/>
        <v>2022</v>
      </c>
      <c r="BF37" s="632">
        <f t="shared" si="58"/>
        <v>2022</v>
      </c>
      <c r="BG37" s="632">
        <f t="shared" si="58"/>
        <v>2022</v>
      </c>
      <c r="BH37" s="632">
        <f t="shared" si="58"/>
        <v>2022</v>
      </c>
      <c r="BI37" s="632">
        <f t="shared" si="58"/>
        <v>2022</v>
      </c>
      <c r="BJ37" s="632">
        <f t="shared" si="58"/>
        <v>2022</v>
      </c>
      <c r="BK37" s="632">
        <f t="shared" si="58"/>
        <v>2022</v>
      </c>
      <c r="BL37" s="632">
        <f t="shared" ref="BL37:BW37" si="59">+BL3</f>
        <v>2023</v>
      </c>
      <c r="BM37" s="632">
        <f t="shared" si="59"/>
        <v>2023</v>
      </c>
      <c r="BN37" s="632">
        <f t="shared" si="59"/>
        <v>2023</v>
      </c>
      <c r="BO37" s="632">
        <f t="shared" si="59"/>
        <v>2023</v>
      </c>
      <c r="BP37" s="632">
        <f t="shared" si="59"/>
        <v>2023</v>
      </c>
      <c r="BQ37" s="632">
        <f t="shared" si="59"/>
        <v>2023</v>
      </c>
      <c r="BR37" s="632">
        <f t="shared" si="59"/>
        <v>2023</v>
      </c>
      <c r="BS37" s="632">
        <f t="shared" si="59"/>
        <v>2023</v>
      </c>
      <c r="BT37" s="632">
        <f t="shared" si="59"/>
        <v>2023</v>
      </c>
      <c r="BU37" s="632">
        <f t="shared" si="59"/>
        <v>2023</v>
      </c>
      <c r="BV37" s="632">
        <f t="shared" si="59"/>
        <v>2023</v>
      </c>
      <c r="BW37" s="632">
        <f t="shared" si="59"/>
        <v>2023</v>
      </c>
      <c r="BX37" s="632">
        <f t="shared" ref="BX37:CI37" si="60">+BX3</f>
        <v>2024</v>
      </c>
      <c r="BY37" s="632">
        <f t="shared" si="60"/>
        <v>2024</v>
      </c>
      <c r="BZ37" s="632">
        <f t="shared" si="60"/>
        <v>2024</v>
      </c>
      <c r="CA37" s="632">
        <f t="shared" si="60"/>
        <v>2024</v>
      </c>
      <c r="CB37" s="632">
        <f t="shared" si="60"/>
        <v>2024</v>
      </c>
      <c r="CC37" s="632">
        <f t="shared" si="60"/>
        <v>2024</v>
      </c>
      <c r="CD37" s="632">
        <f t="shared" si="60"/>
        <v>2024</v>
      </c>
      <c r="CE37" s="632">
        <f t="shared" si="60"/>
        <v>2024</v>
      </c>
      <c r="CF37" s="632">
        <f t="shared" si="60"/>
        <v>2024</v>
      </c>
      <c r="CG37" s="632">
        <f t="shared" si="60"/>
        <v>2024</v>
      </c>
      <c r="CH37" s="632">
        <f t="shared" si="60"/>
        <v>2024</v>
      </c>
      <c r="CI37" s="632">
        <f t="shared" si="60"/>
        <v>2024</v>
      </c>
      <c r="CJ37" s="627" t="s">
        <v>204</v>
      </c>
      <c r="CK37" s="627"/>
    </row>
    <row r="38" spans="1:92">
      <c r="A38" s="629" t="s">
        <v>231</v>
      </c>
      <c r="B38" s="634" t="s">
        <v>209</v>
      </c>
      <c r="C38" s="630" t="s">
        <v>210</v>
      </c>
      <c r="D38" s="630" t="s">
        <v>211</v>
      </c>
      <c r="E38" s="630" t="s">
        <v>212</v>
      </c>
      <c r="F38" s="630" t="s">
        <v>213</v>
      </c>
      <c r="G38" s="630" t="s">
        <v>214</v>
      </c>
      <c r="H38" s="630" t="s">
        <v>215</v>
      </c>
      <c r="I38" s="630" t="s">
        <v>216</v>
      </c>
      <c r="J38" s="630" t="str">
        <f>+J4</f>
        <v>Jul</v>
      </c>
      <c r="K38" s="630" t="str">
        <f t="shared" ref="K38:AA38" si="61">+K4</f>
        <v>Aug</v>
      </c>
      <c r="L38" s="630" t="str">
        <f t="shared" si="61"/>
        <v>Sep</v>
      </c>
      <c r="M38" s="630" t="str">
        <f t="shared" si="61"/>
        <v>Oct</v>
      </c>
      <c r="N38" s="630" t="str">
        <f t="shared" si="61"/>
        <v>Nov</v>
      </c>
      <c r="O38" s="630" t="str">
        <f t="shared" si="61"/>
        <v>Dec</v>
      </c>
      <c r="P38" s="630" t="str">
        <f t="shared" si="61"/>
        <v>Jan</v>
      </c>
      <c r="Q38" s="630" t="str">
        <f t="shared" si="61"/>
        <v>Feb</v>
      </c>
      <c r="R38" s="630" t="str">
        <f t="shared" si="61"/>
        <v>Mar</v>
      </c>
      <c r="S38" s="630" t="str">
        <f t="shared" si="61"/>
        <v>Apr</v>
      </c>
      <c r="T38" s="630" t="str">
        <f t="shared" si="61"/>
        <v>May</v>
      </c>
      <c r="U38" s="630" t="str">
        <f t="shared" si="61"/>
        <v>Jun</v>
      </c>
      <c r="V38" s="630" t="str">
        <f t="shared" si="61"/>
        <v>Jul</v>
      </c>
      <c r="W38" s="630" t="str">
        <f t="shared" si="61"/>
        <v>Aug</v>
      </c>
      <c r="X38" s="630" t="str">
        <f t="shared" si="61"/>
        <v>Sep</v>
      </c>
      <c r="Y38" s="630" t="str">
        <f t="shared" si="61"/>
        <v>Oct</v>
      </c>
      <c r="Z38" s="630" t="str">
        <f t="shared" si="61"/>
        <v>Nov</v>
      </c>
      <c r="AA38" s="630" t="str">
        <f t="shared" si="61"/>
        <v>Dec</v>
      </c>
      <c r="AB38" s="630" t="str">
        <f t="shared" ref="AB38:AM38" si="62">+AB4</f>
        <v>Jan</v>
      </c>
      <c r="AC38" s="630" t="str">
        <f t="shared" si="62"/>
        <v>Feb</v>
      </c>
      <c r="AD38" s="630" t="str">
        <f t="shared" si="62"/>
        <v>Mar</v>
      </c>
      <c r="AE38" s="630" t="str">
        <f t="shared" si="62"/>
        <v>Apr</v>
      </c>
      <c r="AF38" s="630" t="str">
        <f t="shared" si="62"/>
        <v>May</v>
      </c>
      <c r="AG38" s="630" t="str">
        <f t="shared" si="62"/>
        <v>Jun</v>
      </c>
      <c r="AH38" s="630" t="str">
        <f t="shared" si="62"/>
        <v>Jul</v>
      </c>
      <c r="AI38" s="630" t="str">
        <f t="shared" si="62"/>
        <v>Aug</v>
      </c>
      <c r="AJ38" s="630" t="str">
        <f t="shared" si="62"/>
        <v>Sep</v>
      </c>
      <c r="AK38" s="630" t="str">
        <f t="shared" si="62"/>
        <v>Oct</v>
      </c>
      <c r="AL38" s="630" t="str">
        <f t="shared" si="62"/>
        <v>Nov</v>
      </c>
      <c r="AM38" s="633" t="str">
        <f t="shared" si="62"/>
        <v>Dec</v>
      </c>
      <c r="AN38" s="633" t="str">
        <f t="shared" ref="AN38:AY38" si="63">+AN4</f>
        <v>Jan</v>
      </c>
      <c r="AO38" s="633" t="str">
        <f t="shared" si="63"/>
        <v>Feb</v>
      </c>
      <c r="AP38" s="633" t="str">
        <f t="shared" si="63"/>
        <v>Mar</v>
      </c>
      <c r="AQ38" s="633" t="str">
        <f t="shared" si="63"/>
        <v>Apr</v>
      </c>
      <c r="AR38" s="633" t="str">
        <f t="shared" si="63"/>
        <v>May</v>
      </c>
      <c r="AS38" s="633" t="str">
        <f t="shared" si="63"/>
        <v>Jun</v>
      </c>
      <c r="AT38" s="633" t="str">
        <f t="shared" si="63"/>
        <v>Jul</v>
      </c>
      <c r="AU38" s="633" t="str">
        <f t="shared" si="63"/>
        <v>Aug</v>
      </c>
      <c r="AV38" s="633" t="str">
        <f t="shared" si="63"/>
        <v>Sep</v>
      </c>
      <c r="AW38" s="633" t="str">
        <f t="shared" si="63"/>
        <v>Oct</v>
      </c>
      <c r="AX38" s="633" t="str">
        <f t="shared" si="63"/>
        <v>Nov</v>
      </c>
      <c r="AY38" s="633" t="str">
        <f t="shared" si="63"/>
        <v>Dec</v>
      </c>
      <c r="AZ38" s="633" t="str">
        <f t="shared" ref="AZ38:BK38" si="64">+AZ4</f>
        <v>Jan</v>
      </c>
      <c r="BA38" s="633" t="str">
        <f t="shared" si="64"/>
        <v>Feb</v>
      </c>
      <c r="BB38" s="633" t="str">
        <f t="shared" si="64"/>
        <v>Mar</v>
      </c>
      <c r="BC38" s="633" t="str">
        <f t="shared" si="64"/>
        <v>Apr</v>
      </c>
      <c r="BD38" s="633" t="str">
        <f t="shared" si="64"/>
        <v>May</v>
      </c>
      <c r="BE38" s="633" t="str">
        <f t="shared" si="64"/>
        <v>Jun</v>
      </c>
      <c r="BF38" s="633" t="str">
        <f t="shared" si="64"/>
        <v>Jul</v>
      </c>
      <c r="BG38" s="633" t="str">
        <f t="shared" si="64"/>
        <v>Aug</v>
      </c>
      <c r="BH38" s="633" t="str">
        <f t="shared" si="64"/>
        <v>Sep</v>
      </c>
      <c r="BI38" s="633" t="str">
        <f t="shared" si="64"/>
        <v>Oct</v>
      </c>
      <c r="BJ38" s="633" t="str">
        <f t="shared" si="64"/>
        <v>Nov</v>
      </c>
      <c r="BK38" s="633" t="str">
        <f t="shared" si="64"/>
        <v>Dec</v>
      </c>
      <c r="BL38" s="633" t="str">
        <f t="shared" ref="BL38:BW38" si="65">+BL4</f>
        <v>Jan</v>
      </c>
      <c r="BM38" s="633" t="str">
        <f t="shared" si="65"/>
        <v>Feb</v>
      </c>
      <c r="BN38" s="633" t="str">
        <f t="shared" si="65"/>
        <v>Mar</v>
      </c>
      <c r="BO38" s="633" t="str">
        <f t="shared" si="65"/>
        <v>Apr</v>
      </c>
      <c r="BP38" s="633" t="str">
        <f t="shared" si="65"/>
        <v>May</v>
      </c>
      <c r="BQ38" s="633" t="str">
        <f t="shared" si="65"/>
        <v>Jun</v>
      </c>
      <c r="BR38" s="633" t="str">
        <f t="shared" si="65"/>
        <v>Jul</v>
      </c>
      <c r="BS38" s="633" t="str">
        <f t="shared" si="65"/>
        <v>Aug</v>
      </c>
      <c r="BT38" s="633" t="str">
        <f t="shared" si="65"/>
        <v>Sep</v>
      </c>
      <c r="BU38" s="633" t="str">
        <f t="shared" si="65"/>
        <v>Oct</v>
      </c>
      <c r="BV38" s="633" t="str">
        <f t="shared" si="65"/>
        <v>Nov</v>
      </c>
      <c r="BW38" s="633" t="str">
        <f t="shared" si="65"/>
        <v>Dec</v>
      </c>
      <c r="BX38" s="633" t="str">
        <f t="shared" ref="BX38:CI38" si="66">+BX4</f>
        <v>Jan</v>
      </c>
      <c r="BY38" s="633" t="str">
        <f t="shared" si="66"/>
        <v>Feb</v>
      </c>
      <c r="BZ38" s="633" t="str">
        <f t="shared" si="66"/>
        <v>Mar</v>
      </c>
      <c r="CA38" s="633" t="str">
        <f t="shared" si="66"/>
        <v>Apr</v>
      </c>
      <c r="CB38" s="633" t="str">
        <f t="shared" si="66"/>
        <v>May</v>
      </c>
      <c r="CC38" s="633" t="str">
        <f t="shared" si="66"/>
        <v>Jun</v>
      </c>
      <c r="CD38" s="633" t="str">
        <f t="shared" si="66"/>
        <v>Jul</v>
      </c>
      <c r="CE38" s="633" t="str">
        <f t="shared" si="66"/>
        <v>Aug</v>
      </c>
      <c r="CF38" s="633" t="str">
        <f t="shared" si="66"/>
        <v>Sep</v>
      </c>
      <c r="CG38" s="633" t="str">
        <f t="shared" si="66"/>
        <v>Oct</v>
      </c>
      <c r="CH38" s="633" t="str">
        <f t="shared" si="66"/>
        <v>Nov</v>
      </c>
      <c r="CI38" s="633" t="str">
        <f t="shared" si="66"/>
        <v>Dec</v>
      </c>
      <c r="CJ38" s="630" t="s">
        <v>222</v>
      </c>
      <c r="CK38" s="630" t="s">
        <v>207</v>
      </c>
    </row>
    <row r="39" spans="1:92">
      <c r="A39" s="375"/>
      <c r="B39" s="375"/>
      <c r="CJ39" s="835"/>
    </row>
    <row r="40" spans="1:92" ht="15.75" thickBot="1">
      <c r="A40" s="375" t="s">
        <v>231</v>
      </c>
      <c r="B40" s="287">
        <f ca="1">SUM(OFFSET(BL40:BX40,0,'Bal Sheet'!$A$1-1))/13</f>
        <v>110123605.40692307</v>
      </c>
      <c r="C40" s="344">
        <v>151560.73000000001</v>
      </c>
      <c r="D40" s="344">
        <v>153149.88</v>
      </c>
      <c r="E40" s="344">
        <v>153151.35</v>
      </c>
      <c r="F40" s="344">
        <v>153166.49000000002</v>
      </c>
      <c r="G40" s="344">
        <v>153181.87000000002</v>
      </c>
      <c r="H40" s="344">
        <v>153203.80000000002</v>
      </c>
      <c r="I40" s="344">
        <v>153212.75</v>
      </c>
      <c r="J40" s="344">
        <v>153434.93000000002</v>
      </c>
      <c r="K40" s="344">
        <v>155048.07</v>
      </c>
      <c r="L40" s="344">
        <v>191108.77</v>
      </c>
      <c r="M40" s="344">
        <v>624624.66999999993</v>
      </c>
      <c r="N40" s="344">
        <v>1535006.97</v>
      </c>
      <c r="O40" s="344">
        <v>1942104.6199999999</v>
      </c>
      <c r="P40" s="344">
        <v>2581705.5049999999</v>
      </c>
      <c r="Q40" s="344">
        <v>3546639.9849561998</v>
      </c>
      <c r="R40" s="344">
        <v>4202766.5627509803</v>
      </c>
      <c r="S40" s="344">
        <v>4995958.1285789488</v>
      </c>
      <c r="T40" s="344">
        <v>6418430.1443875916</v>
      </c>
      <c r="U40" s="344">
        <v>7554875.1457964759</v>
      </c>
      <c r="V40" s="344">
        <v>8142600.2635803977</v>
      </c>
      <c r="W40" s="344">
        <v>10240112.528299566</v>
      </c>
      <c r="X40" s="344">
        <v>17927740.088667721</v>
      </c>
      <c r="Y40" s="344">
        <v>19792445.726132132</v>
      </c>
      <c r="Z40" s="344">
        <v>22093562.047576163</v>
      </c>
      <c r="AA40" s="344">
        <v>31119823.52</v>
      </c>
      <c r="AB40" s="344">
        <v>38134367.370000005</v>
      </c>
      <c r="AC40" s="344">
        <v>49003384.75</v>
      </c>
      <c r="AD40" s="344">
        <v>52803058.25</v>
      </c>
      <c r="AE40" s="344">
        <v>63024653.970000006</v>
      </c>
      <c r="AF40" s="344">
        <v>77436623.799999997</v>
      </c>
      <c r="AG40" s="344">
        <v>83147027.359999985</v>
      </c>
      <c r="AH40" s="344">
        <v>89682876.159999982</v>
      </c>
      <c r="AI40" s="534">
        <v>103095655.92999999</v>
      </c>
      <c r="AJ40" s="534">
        <v>112522287.88</v>
      </c>
      <c r="AK40" s="559">
        <v>59452135.789999992</v>
      </c>
      <c r="AL40" s="559">
        <v>68292195.310000002</v>
      </c>
      <c r="AM40" s="777">
        <v>79339265.74000001</v>
      </c>
      <c r="AN40" s="777">
        <v>88385984.609999985</v>
      </c>
      <c r="AO40" s="776">
        <v>104457855.14999999</v>
      </c>
      <c r="AP40" s="776">
        <v>110307718.14000002</v>
      </c>
      <c r="AQ40" s="776">
        <v>59491141.020000003</v>
      </c>
      <c r="AR40" s="776">
        <v>60442190.489999995</v>
      </c>
      <c r="AS40" s="776">
        <v>64079387.059999995</v>
      </c>
      <c r="AT40" s="776">
        <v>70787873.819999978</v>
      </c>
      <c r="AU40" s="776">
        <v>81016991.160000011</v>
      </c>
      <c r="AV40" s="776">
        <v>86698874.180000007</v>
      </c>
      <c r="AW40" s="776">
        <v>91643818.049999997</v>
      </c>
      <c r="AX40" s="776">
        <v>41525749.979999989</v>
      </c>
      <c r="AY40" s="776">
        <v>46994371.800000004</v>
      </c>
      <c r="AZ40" s="1011">
        <v>50664098.729999997</v>
      </c>
      <c r="BA40" s="1011">
        <v>55923290.369999997</v>
      </c>
      <c r="BB40" s="1011">
        <v>59928247.349999994</v>
      </c>
      <c r="BC40" s="1011">
        <v>67630803.189999998</v>
      </c>
      <c r="BD40" s="1011">
        <v>73420459.429999992</v>
      </c>
      <c r="BE40" s="1011">
        <v>84152855.220000014</v>
      </c>
      <c r="BF40" s="906">
        <f>+'Input Seg of CWIP'!J51</f>
        <v>91775466.670000002</v>
      </c>
      <c r="BG40" s="906">
        <f>+'Input Seg of CWIP'!K51</f>
        <v>97196340.579999983</v>
      </c>
      <c r="BH40" s="906">
        <f>+'Input Seg of CWIP'!L51</f>
        <v>102973210.47</v>
      </c>
      <c r="BI40" s="906">
        <f>+'Input Seg of CWIP'!M51</f>
        <v>64943143.119999997</v>
      </c>
      <c r="BJ40" s="906">
        <f>+'Input Seg of CWIP'!N51</f>
        <v>67714820.459999993</v>
      </c>
      <c r="BK40" s="906">
        <f>+'Input Seg of CWIP'!O51</f>
        <v>75970345.810000002</v>
      </c>
      <c r="BL40" s="906">
        <f>+'Input Seg of CWIP'!P51</f>
        <v>84474966.840000018</v>
      </c>
      <c r="BM40" s="906">
        <f>+'Input Seg of CWIP'!Q51</f>
        <v>86984377.280000001</v>
      </c>
      <c r="BN40" s="906">
        <f>+'Input Seg of CWIP'!R51</f>
        <v>96612999.940000027</v>
      </c>
      <c r="BO40" s="906">
        <f>+'Input Seg of CWIP'!S51</f>
        <v>115365180.93000002</v>
      </c>
      <c r="BP40" s="906">
        <f>+'Input Seg of CWIP'!T51</f>
        <v>88451654.810000002</v>
      </c>
      <c r="BQ40" s="906">
        <f>+'Input Seg of CWIP'!U51</f>
        <v>95745673.119999975</v>
      </c>
      <c r="BR40" s="906">
        <f>+'Input Seg of CWIP'!V51</f>
        <v>104095168.82000002</v>
      </c>
      <c r="BS40" s="906">
        <f>+'Input Seg of CWIP'!W51</f>
        <v>113123992.72999997</v>
      </c>
      <c r="BT40" s="906">
        <f>+'Input Seg of CWIP'!X51</f>
        <v>121739307.21999998</v>
      </c>
      <c r="BU40" s="906">
        <f>+'Input Seg of CWIP'!Y51</f>
        <v>129211070.69</v>
      </c>
      <c r="BV40" s="906">
        <f>+'Input Seg of CWIP'!Z51</f>
        <v>61776036.810000002</v>
      </c>
      <c r="BW40" s="906">
        <f>+'Input Seg of CWIP'!AA51</f>
        <v>65649580.299999997</v>
      </c>
      <c r="BX40" s="906">
        <f>+'Input Seg of CWIP'!AB51</f>
        <v>69477487.969999999</v>
      </c>
      <c r="BY40" s="906">
        <f>+'Input Seg of CWIP'!AC51</f>
        <v>73715512.200000003</v>
      </c>
      <c r="BZ40" s="906">
        <f>+'Input Seg of CWIP'!AD51</f>
        <v>76482795.879999995</v>
      </c>
      <c r="CA40" s="906">
        <f>+'Input Seg of CWIP'!AE51</f>
        <v>84193518.930000007</v>
      </c>
      <c r="CB40" s="906">
        <f>+'Input Seg of CWIP'!AF51</f>
        <v>96438215.24000001</v>
      </c>
      <c r="CC40" s="906">
        <f>+'Input Seg of CWIP'!AG51</f>
        <v>107736541.11000001</v>
      </c>
      <c r="CD40" s="906">
        <f>+'Input Seg of CWIP'!AH51</f>
        <v>119327781.87</v>
      </c>
      <c r="CE40" s="906">
        <f>+'Input Seg of CWIP'!AI51</f>
        <v>128759579.34</v>
      </c>
      <c r="CF40" s="906">
        <f>+'Input Seg of CWIP'!AJ51</f>
        <v>139771689.18000001</v>
      </c>
      <c r="CG40" s="906">
        <f>+'Input Seg of CWIP'!AK51</f>
        <v>148697287.03</v>
      </c>
      <c r="CH40" s="906">
        <f>+'Input Seg of CWIP'!AL51</f>
        <v>158744356.75</v>
      </c>
      <c r="CI40" s="906">
        <f>+'Input Seg of CWIP'!AM51</f>
        <v>162612524.48999998</v>
      </c>
      <c r="CJ40" s="764">
        <f ca="1">+B40</f>
        <v>110123605.40692307</v>
      </c>
      <c r="CK40" s="764">
        <f>+CI40</f>
        <v>162612524.48999998</v>
      </c>
      <c r="CL40" s="1121" t="s">
        <v>1250</v>
      </c>
      <c r="CN40" s="473"/>
    </row>
    <row r="41" spans="1:92" ht="13.5" thickTop="1"/>
  </sheetData>
  <phoneticPr fontId="166" type="noConversion"/>
  <pageMargins left="0.7" right="0.7" top="0.75" bottom="0.75" header="0.3" footer="0.3"/>
  <pageSetup paperSize="5" scale="41" orientation="landscape" r:id="rId1"/>
  <customProperties>
    <customPr name="FPMExcelClientCellBasedFunctionStatu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CF58"/>
  <sheetViews>
    <sheetView zoomScale="85" zoomScaleNormal="85" workbookViewId="0">
      <pane xSplit="2" ySplit="6" topLeftCell="O24" activePane="bottomRight" state="frozen"/>
      <selection pane="topRight" activeCell="C1" sqref="C1"/>
      <selection pane="bottomLeft" activeCell="A7" sqref="A7"/>
      <selection pane="bottomRight" activeCell="AA51" sqref="AA51:AM51"/>
    </sheetView>
  </sheetViews>
  <sheetFormatPr defaultColWidth="9" defaultRowHeight="12.75" outlineLevelCol="1"/>
  <cols>
    <col min="1" max="1" width="12.42578125" style="783" bestFit="1" customWidth="1"/>
    <col min="2" max="2" width="33.5703125" style="783" customWidth="1"/>
    <col min="3" max="3" width="14.5703125" style="783" hidden="1" customWidth="1" outlineLevel="1"/>
    <col min="4" max="4" width="14.42578125" style="783" hidden="1" customWidth="1" outlineLevel="1"/>
    <col min="5" max="5" width="14.5703125" style="783" hidden="1" customWidth="1" outlineLevel="1"/>
    <col min="6" max="8" width="14" style="783" hidden="1" customWidth="1" outlineLevel="1"/>
    <col min="9" max="11" width="14.5703125" style="783" hidden="1" customWidth="1" outlineLevel="1"/>
    <col min="12" max="12" width="15" style="783" hidden="1" customWidth="1" outlineLevel="1"/>
    <col min="13" max="13" width="14.42578125" style="783" hidden="1" customWidth="1" outlineLevel="1"/>
    <col min="14" max="14" width="14.5703125" style="783" hidden="1" customWidth="1" outlineLevel="1"/>
    <col min="15" max="15" width="14.5703125" style="783" bestFit="1" customWidth="1" collapsed="1"/>
    <col min="16" max="16" width="14.42578125" style="783" hidden="1" customWidth="1" outlineLevel="1"/>
    <col min="17" max="17" width="14.5703125" style="783" hidden="1" customWidth="1" outlineLevel="1"/>
    <col min="18" max="19" width="14.42578125" style="783" hidden="1" customWidth="1" outlineLevel="1"/>
    <col min="20" max="21" width="14.5703125" style="783" hidden="1" customWidth="1" outlineLevel="1"/>
    <col min="22" max="22" width="13.42578125" style="783" hidden="1" customWidth="1" outlineLevel="1"/>
    <col min="23" max="23" width="14.5703125" style="783" hidden="1" customWidth="1" outlineLevel="1"/>
    <col min="24" max="24" width="15" style="783" hidden="1" customWidth="1" outlineLevel="1"/>
    <col min="25" max="25" width="14.42578125" style="783" hidden="1" customWidth="1" outlineLevel="1"/>
    <col min="26" max="26" width="14.5703125" style="783" hidden="1" customWidth="1" outlineLevel="1"/>
    <col min="27" max="27" width="14.5703125" style="783" bestFit="1" customWidth="1" collapsed="1"/>
    <col min="28" max="28" width="14.42578125" style="783" customWidth="1"/>
    <col min="29" max="29" width="14.5703125" style="783" customWidth="1"/>
    <col min="30" max="31" width="14.42578125" style="783" customWidth="1"/>
    <col min="32" max="33" width="14.5703125" style="783" customWidth="1"/>
    <col min="34" max="34" width="13.42578125" style="783" customWidth="1"/>
    <col min="35" max="35" width="14.5703125" style="783" customWidth="1"/>
    <col min="36" max="36" width="15" style="783" customWidth="1"/>
    <col min="37" max="37" width="14.42578125" style="783" customWidth="1"/>
    <col min="38" max="39" width="14.5703125" style="783" customWidth="1"/>
    <col min="40" max="40" width="14.42578125" style="783" hidden="1" customWidth="1" outlineLevel="1"/>
    <col min="41" max="41" width="14.5703125" style="783" hidden="1" customWidth="1" outlineLevel="1"/>
    <col min="42" max="43" width="14.42578125" style="783" hidden="1" customWidth="1" outlineLevel="1"/>
    <col min="44" max="45" width="14.5703125" style="783" hidden="1" customWidth="1" outlineLevel="1"/>
    <col min="46" max="46" width="13.42578125" style="783" hidden="1" customWidth="1" outlineLevel="1"/>
    <col min="47" max="47" width="14.5703125" style="783" hidden="1" customWidth="1" outlineLevel="1"/>
    <col min="48" max="48" width="15" style="783" hidden="1" customWidth="1" outlineLevel="1"/>
    <col min="49" max="49" width="14.42578125" style="783" hidden="1" customWidth="1" outlineLevel="1"/>
    <col min="50" max="51" width="14.5703125" style="783" hidden="1" customWidth="1" outlineLevel="1"/>
    <col min="52" max="52" width="14.42578125" style="783" hidden="1" customWidth="1" outlineLevel="1"/>
    <col min="53" max="53" width="14.5703125" style="783" hidden="1" customWidth="1" outlineLevel="1"/>
    <col min="54" max="55" width="14.42578125" style="783" hidden="1" customWidth="1" outlineLevel="1"/>
    <col min="56" max="57" width="14.5703125" style="783" hidden="1" customWidth="1" outlineLevel="1"/>
    <col min="58" max="58" width="13.42578125" style="783" hidden="1" customWidth="1" outlineLevel="1"/>
    <col min="59" max="59" width="14.5703125" style="783" hidden="1" customWidth="1" outlineLevel="1"/>
    <col min="60" max="60" width="15" style="783" hidden="1" customWidth="1" outlineLevel="1"/>
    <col min="61" max="61" width="14.42578125" style="783" hidden="1" customWidth="1" outlineLevel="1"/>
    <col min="62" max="63" width="14.5703125" style="783" hidden="1" customWidth="1" outlineLevel="1"/>
    <col min="64" max="64" width="14.42578125" style="783" hidden="1" customWidth="1" outlineLevel="1"/>
    <col min="65" max="65" width="14.5703125" style="783" hidden="1" customWidth="1" outlineLevel="1"/>
    <col min="66" max="67" width="14.42578125" style="783" hidden="1" customWidth="1" outlineLevel="1"/>
    <col min="68" max="69" width="14.5703125" style="783" hidden="1" customWidth="1" outlineLevel="1"/>
    <col min="70" max="70" width="13.42578125" style="783" hidden="1" customWidth="1" outlineLevel="1"/>
    <col min="71" max="71" width="14.5703125" style="783" hidden="1" customWidth="1" outlineLevel="1"/>
    <col min="72" max="72" width="15" style="783" hidden="1" customWidth="1" outlineLevel="1"/>
    <col min="73" max="73" width="14.42578125" style="783" hidden="1" customWidth="1" outlineLevel="1"/>
    <col min="74" max="74" width="14.5703125" style="783" hidden="1" customWidth="1" outlineLevel="1"/>
    <col min="75" max="75" width="14" style="783" hidden="1" customWidth="1" outlineLevel="1"/>
    <col min="76" max="76" width="13.42578125" style="783" hidden="1" customWidth="1" collapsed="1"/>
    <col min="77" max="77" width="13.42578125" style="783" hidden="1" customWidth="1"/>
    <col min="78" max="78" width="13.42578125" style="783" bestFit="1" customWidth="1"/>
    <col min="79" max="79" width="12.28515625" style="783" hidden="1" customWidth="1"/>
    <col min="80" max="81" width="10.85546875" style="783" hidden="1" customWidth="1"/>
    <col min="82" max="82" width="5.5703125" style="783" bestFit="1" customWidth="1"/>
    <col min="83" max="83" width="11.28515625" style="783" bestFit="1" customWidth="1"/>
    <col min="84" max="16384" width="9" style="783"/>
  </cols>
  <sheetData>
    <row r="1" spans="1:84" ht="16.5" thickBot="1">
      <c r="B1" s="782" t="s">
        <v>232</v>
      </c>
      <c r="C1" s="784"/>
      <c r="D1" s="784"/>
      <c r="E1" s="784"/>
      <c r="F1" s="784"/>
      <c r="G1" s="784"/>
      <c r="H1" s="1107" t="s">
        <v>1174</v>
      </c>
      <c r="I1" s="1108" t="s">
        <v>1175</v>
      </c>
      <c r="J1" s="1107" t="s">
        <v>1176</v>
      </c>
      <c r="K1" s="1109">
        <v>44952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4"/>
      <c r="W1" s="784"/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4"/>
      <c r="AL1" s="784"/>
      <c r="AM1" s="784"/>
      <c r="AN1" s="784"/>
      <c r="AO1" s="784"/>
      <c r="AP1" s="784"/>
      <c r="AQ1" s="784"/>
      <c r="AR1" s="784"/>
      <c r="AS1" s="784"/>
      <c r="AT1" s="784"/>
      <c r="AU1" s="784"/>
      <c r="AV1" s="784"/>
      <c r="AW1" s="784"/>
      <c r="AX1" s="784"/>
      <c r="AY1" s="784"/>
      <c r="AZ1" s="784"/>
      <c r="BA1" s="784"/>
      <c r="BB1" s="784"/>
      <c r="BC1" s="784"/>
      <c r="BD1" s="784"/>
      <c r="BE1" s="784"/>
      <c r="BF1" s="784"/>
      <c r="BG1" s="784"/>
      <c r="BH1" s="784"/>
    </row>
    <row r="2" spans="1:84" ht="15.75">
      <c r="B2" s="782" t="s">
        <v>233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  <c r="S2" s="784"/>
      <c r="T2" s="784"/>
      <c r="U2" s="784"/>
      <c r="V2" s="784"/>
      <c r="W2" s="784"/>
      <c r="X2" s="784"/>
      <c r="Y2" s="784"/>
      <c r="Z2" s="784"/>
      <c r="AA2" s="784"/>
      <c r="AB2" s="784"/>
      <c r="AC2" s="784"/>
      <c r="AD2" s="784"/>
      <c r="AE2" s="784"/>
      <c r="AF2" s="784"/>
      <c r="AG2" s="784"/>
      <c r="AH2" s="784"/>
      <c r="AI2" s="784"/>
      <c r="AJ2" s="784"/>
      <c r="AK2" s="784"/>
      <c r="AL2" s="784"/>
      <c r="AM2" s="784"/>
      <c r="AN2" s="784"/>
      <c r="AO2" s="784"/>
      <c r="AP2" s="784"/>
      <c r="AQ2" s="784"/>
      <c r="AR2" s="784"/>
      <c r="AS2" s="784"/>
      <c r="AT2" s="784"/>
      <c r="AU2" s="784"/>
      <c r="AV2" s="784"/>
      <c r="AW2" s="784"/>
      <c r="AX2" s="784"/>
      <c r="AY2" s="784"/>
      <c r="AZ2" s="784"/>
      <c r="BA2" s="784"/>
      <c r="BB2" s="784"/>
      <c r="BC2" s="784"/>
      <c r="BD2" s="784"/>
      <c r="BE2" s="784"/>
      <c r="BF2" s="784"/>
      <c r="BG2" s="784"/>
      <c r="BH2" s="784"/>
    </row>
    <row r="3" spans="1:84">
      <c r="B3" s="785"/>
      <c r="C3" s="786" t="s">
        <v>2</v>
      </c>
      <c r="D3" s="786" t="s">
        <v>2</v>
      </c>
      <c r="E3" s="786" t="s">
        <v>2</v>
      </c>
      <c r="F3" s="786" t="s">
        <v>2</v>
      </c>
      <c r="G3" s="786" t="s">
        <v>2</v>
      </c>
      <c r="H3" s="786" t="s">
        <v>2</v>
      </c>
      <c r="I3" s="786" t="s">
        <v>2</v>
      </c>
      <c r="J3" s="786" t="s">
        <v>2</v>
      </c>
      <c r="K3" s="786" t="s">
        <v>2</v>
      </c>
      <c r="L3" s="786" t="s">
        <v>2</v>
      </c>
      <c r="M3" s="786" t="s">
        <v>2</v>
      </c>
      <c r="N3" s="786" t="s">
        <v>2</v>
      </c>
      <c r="O3" s="786" t="s">
        <v>2</v>
      </c>
      <c r="P3" s="787" t="s">
        <v>4</v>
      </c>
      <c r="Q3" s="787" t="s">
        <v>4</v>
      </c>
      <c r="R3" s="787" t="s">
        <v>4</v>
      </c>
      <c r="S3" s="787" t="s">
        <v>4</v>
      </c>
      <c r="T3" s="787" t="s">
        <v>4</v>
      </c>
      <c r="U3" s="787" t="s">
        <v>4</v>
      </c>
      <c r="V3" s="787" t="s">
        <v>4</v>
      </c>
      <c r="W3" s="787" t="s">
        <v>4</v>
      </c>
      <c r="X3" s="787" t="s">
        <v>4</v>
      </c>
      <c r="Y3" s="787" t="s">
        <v>4</v>
      </c>
      <c r="Z3" s="787" t="s">
        <v>4</v>
      </c>
      <c r="AA3" s="787" t="s">
        <v>4</v>
      </c>
      <c r="AB3" s="787" t="s">
        <v>4</v>
      </c>
      <c r="AC3" s="787" t="s">
        <v>4</v>
      </c>
      <c r="AD3" s="787" t="s">
        <v>4</v>
      </c>
      <c r="AE3" s="787" t="s">
        <v>4</v>
      </c>
      <c r="AF3" s="787" t="s">
        <v>4</v>
      </c>
      <c r="AG3" s="787" t="s">
        <v>4</v>
      </c>
      <c r="AH3" s="787" t="s">
        <v>4</v>
      </c>
      <c r="AI3" s="787" t="s">
        <v>4</v>
      </c>
      <c r="AJ3" s="787" t="s">
        <v>4</v>
      </c>
      <c r="AK3" s="787" t="s">
        <v>4</v>
      </c>
      <c r="AL3" s="787" t="s">
        <v>4</v>
      </c>
      <c r="AM3" s="787" t="s">
        <v>4</v>
      </c>
      <c r="AN3" s="787" t="s">
        <v>4</v>
      </c>
      <c r="AO3" s="787" t="s">
        <v>4</v>
      </c>
      <c r="AP3" s="787" t="s">
        <v>4</v>
      </c>
      <c r="AQ3" s="787" t="s">
        <v>4</v>
      </c>
      <c r="AR3" s="787" t="s">
        <v>4</v>
      </c>
      <c r="AS3" s="787" t="s">
        <v>4</v>
      </c>
      <c r="AT3" s="787" t="s">
        <v>4</v>
      </c>
      <c r="AU3" s="787" t="s">
        <v>4</v>
      </c>
      <c r="AV3" s="787" t="s">
        <v>4</v>
      </c>
      <c r="AW3" s="787" t="s">
        <v>4</v>
      </c>
      <c r="AX3" s="787" t="s">
        <v>4</v>
      </c>
      <c r="AY3" s="787" t="s">
        <v>4</v>
      </c>
      <c r="AZ3" s="787" t="s">
        <v>4</v>
      </c>
      <c r="BA3" s="787" t="s">
        <v>4</v>
      </c>
      <c r="BB3" s="787" t="s">
        <v>4</v>
      </c>
      <c r="BC3" s="787" t="s">
        <v>4</v>
      </c>
      <c r="BD3" s="787" t="s">
        <v>4</v>
      </c>
      <c r="BE3" s="787" t="s">
        <v>4</v>
      </c>
      <c r="BF3" s="787" t="s">
        <v>4</v>
      </c>
      <c r="BG3" s="787" t="s">
        <v>4</v>
      </c>
      <c r="BH3" s="787" t="s">
        <v>4</v>
      </c>
      <c r="BI3" s="787" t="s">
        <v>4</v>
      </c>
      <c r="BJ3" s="787" t="s">
        <v>4</v>
      </c>
      <c r="BK3" s="787" t="s">
        <v>4</v>
      </c>
      <c r="BL3" s="787" t="s">
        <v>4</v>
      </c>
      <c r="BM3" s="787" t="s">
        <v>4</v>
      </c>
      <c r="BN3" s="787" t="s">
        <v>4</v>
      </c>
      <c r="BO3" s="787" t="s">
        <v>4</v>
      </c>
      <c r="BP3" s="787" t="s">
        <v>4</v>
      </c>
      <c r="BQ3" s="787" t="s">
        <v>4</v>
      </c>
      <c r="BR3" s="787" t="s">
        <v>4</v>
      </c>
      <c r="BS3" s="787" t="s">
        <v>4</v>
      </c>
      <c r="BT3" s="787" t="s">
        <v>4</v>
      </c>
      <c r="BU3" s="787" t="s">
        <v>4</v>
      </c>
      <c r="BV3" s="787" t="s">
        <v>4</v>
      </c>
      <c r="BW3" s="787" t="s">
        <v>4</v>
      </c>
      <c r="BX3" s="788">
        <v>2022</v>
      </c>
      <c r="BY3" s="788">
        <v>2023</v>
      </c>
      <c r="BZ3" s="788">
        <v>2024</v>
      </c>
      <c r="CA3" s="788">
        <v>2025</v>
      </c>
      <c r="CB3" s="788">
        <v>2026</v>
      </c>
      <c r="CC3" s="788">
        <v>2027</v>
      </c>
    </row>
    <row r="4" spans="1:84">
      <c r="B4" s="785"/>
      <c r="C4" s="787">
        <v>2021</v>
      </c>
      <c r="D4" s="787">
        <v>2022</v>
      </c>
      <c r="E4" s="787">
        <v>2022</v>
      </c>
      <c r="F4" s="787">
        <v>2022</v>
      </c>
      <c r="G4" s="787">
        <v>2022</v>
      </c>
      <c r="H4" s="787">
        <v>2022</v>
      </c>
      <c r="I4" s="787">
        <v>2022</v>
      </c>
      <c r="J4" s="787">
        <v>2022</v>
      </c>
      <c r="K4" s="787">
        <v>2022</v>
      </c>
      <c r="L4" s="787">
        <v>2022</v>
      </c>
      <c r="M4" s="787">
        <v>2022</v>
      </c>
      <c r="N4" s="787">
        <v>2022</v>
      </c>
      <c r="O4" s="787">
        <v>2022</v>
      </c>
      <c r="P4" s="1110">
        <v>2023</v>
      </c>
      <c r="Q4" s="1110">
        <v>2023</v>
      </c>
      <c r="R4" s="1110">
        <v>2023</v>
      </c>
      <c r="S4" s="1110">
        <v>2023</v>
      </c>
      <c r="T4" s="1110">
        <v>2023</v>
      </c>
      <c r="U4" s="1110">
        <v>2023</v>
      </c>
      <c r="V4" s="1110">
        <v>2023</v>
      </c>
      <c r="W4" s="1110">
        <v>2023</v>
      </c>
      <c r="X4" s="1110">
        <v>2023</v>
      </c>
      <c r="Y4" s="1110">
        <v>2023</v>
      </c>
      <c r="Z4" s="1110">
        <v>2023</v>
      </c>
      <c r="AA4" s="1110">
        <v>2023</v>
      </c>
      <c r="AB4" s="1111">
        <v>2024</v>
      </c>
      <c r="AC4" s="1111">
        <v>2024</v>
      </c>
      <c r="AD4" s="1111">
        <v>2024</v>
      </c>
      <c r="AE4" s="1111">
        <v>2024</v>
      </c>
      <c r="AF4" s="1111">
        <v>2024</v>
      </c>
      <c r="AG4" s="1111">
        <v>2024</v>
      </c>
      <c r="AH4" s="1111">
        <v>2024</v>
      </c>
      <c r="AI4" s="1111">
        <v>2024</v>
      </c>
      <c r="AJ4" s="1111">
        <v>2024</v>
      </c>
      <c r="AK4" s="1111">
        <v>2024</v>
      </c>
      <c r="AL4" s="1111">
        <v>2024</v>
      </c>
      <c r="AM4" s="1111">
        <v>2024</v>
      </c>
      <c r="AN4" s="787">
        <v>2025</v>
      </c>
      <c r="AO4" s="787">
        <v>2025</v>
      </c>
      <c r="AP4" s="787">
        <v>2025</v>
      </c>
      <c r="AQ4" s="787">
        <v>2025</v>
      </c>
      <c r="AR4" s="787">
        <v>2025</v>
      </c>
      <c r="AS4" s="787">
        <v>2025</v>
      </c>
      <c r="AT4" s="787">
        <v>2025</v>
      </c>
      <c r="AU4" s="787">
        <v>2025</v>
      </c>
      <c r="AV4" s="787">
        <v>2025</v>
      </c>
      <c r="AW4" s="787">
        <v>2025</v>
      </c>
      <c r="AX4" s="787">
        <v>2025</v>
      </c>
      <c r="AY4" s="787">
        <v>2025</v>
      </c>
      <c r="AZ4" s="787">
        <v>2026</v>
      </c>
      <c r="BA4" s="787">
        <v>2026</v>
      </c>
      <c r="BB4" s="787">
        <v>2026</v>
      </c>
      <c r="BC4" s="787">
        <v>2026</v>
      </c>
      <c r="BD4" s="787">
        <v>2026</v>
      </c>
      <c r="BE4" s="787">
        <v>2026</v>
      </c>
      <c r="BF4" s="787">
        <v>2026</v>
      </c>
      <c r="BG4" s="787">
        <v>2026</v>
      </c>
      <c r="BH4" s="787">
        <v>2026</v>
      </c>
      <c r="BI4" s="787">
        <v>2026</v>
      </c>
      <c r="BJ4" s="787">
        <v>2026</v>
      </c>
      <c r="BK4" s="787">
        <v>2026</v>
      </c>
      <c r="BL4" s="787">
        <v>2027</v>
      </c>
      <c r="BM4" s="787">
        <v>2027</v>
      </c>
      <c r="BN4" s="787">
        <v>2027</v>
      </c>
      <c r="BO4" s="787">
        <v>2027</v>
      </c>
      <c r="BP4" s="787">
        <v>2027</v>
      </c>
      <c r="BQ4" s="787">
        <v>2027</v>
      </c>
      <c r="BR4" s="787">
        <v>2027</v>
      </c>
      <c r="BS4" s="787">
        <v>2027</v>
      </c>
      <c r="BT4" s="787">
        <v>2027</v>
      </c>
      <c r="BU4" s="787">
        <v>2027</v>
      </c>
      <c r="BV4" s="787">
        <v>2027</v>
      </c>
      <c r="BW4" s="787">
        <v>2027</v>
      </c>
      <c r="BX4" s="788" t="s">
        <v>234</v>
      </c>
      <c r="BY4" s="788" t="s">
        <v>234</v>
      </c>
      <c r="BZ4" s="788" t="s">
        <v>234</v>
      </c>
      <c r="CA4" s="788" t="s">
        <v>234</v>
      </c>
      <c r="CB4" s="788" t="s">
        <v>234</v>
      </c>
      <c r="CC4" s="788" t="s">
        <v>234</v>
      </c>
    </row>
    <row r="5" spans="1:84">
      <c r="B5" s="789"/>
      <c r="C5" s="1031">
        <v>44561</v>
      </c>
      <c r="D5" s="1031">
        <v>44592</v>
      </c>
      <c r="E5" s="1031">
        <v>44620</v>
      </c>
      <c r="F5" s="1031">
        <v>44651</v>
      </c>
      <c r="G5" s="1031">
        <v>44681</v>
      </c>
      <c r="H5" s="1031">
        <v>44712</v>
      </c>
      <c r="I5" s="1031">
        <v>44742</v>
      </c>
      <c r="J5" s="1031">
        <v>44773</v>
      </c>
      <c r="K5" s="1031">
        <v>44804</v>
      </c>
      <c r="L5" s="1031">
        <v>44834</v>
      </c>
      <c r="M5" s="1031">
        <v>44865</v>
      </c>
      <c r="N5" s="1031">
        <v>44895</v>
      </c>
      <c r="O5" s="1031">
        <v>44926</v>
      </c>
      <c r="P5" s="1031">
        <v>44957</v>
      </c>
      <c r="Q5" s="1031">
        <v>44985</v>
      </c>
      <c r="R5" s="1031">
        <v>45016</v>
      </c>
      <c r="S5" s="1031">
        <v>45046</v>
      </c>
      <c r="T5" s="1031">
        <v>45077</v>
      </c>
      <c r="U5" s="1031">
        <v>45107</v>
      </c>
      <c r="V5" s="1031">
        <v>45138</v>
      </c>
      <c r="W5" s="1031">
        <v>45169</v>
      </c>
      <c r="X5" s="1031">
        <v>45199</v>
      </c>
      <c r="Y5" s="1031">
        <v>45230</v>
      </c>
      <c r="Z5" s="1031">
        <v>45260</v>
      </c>
      <c r="AA5" s="1031">
        <v>45291</v>
      </c>
      <c r="AB5" s="1031">
        <v>45322</v>
      </c>
      <c r="AC5" s="1031">
        <v>45351</v>
      </c>
      <c r="AD5" s="1031">
        <v>45382</v>
      </c>
      <c r="AE5" s="1031">
        <v>45412</v>
      </c>
      <c r="AF5" s="1031">
        <v>45443</v>
      </c>
      <c r="AG5" s="1031">
        <v>45473</v>
      </c>
      <c r="AH5" s="1031">
        <v>45504</v>
      </c>
      <c r="AI5" s="1031">
        <v>45535</v>
      </c>
      <c r="AJ5" s="1031">
        <v>45565</v>
      </c>
      <c r="AK5" s="1031">
        <v>45596</v>
      </c>
      <c r="AL5" s="1031">
        <v>45626</v>
      </c>
      <c r="AM5" s="1031">
        <v>45657</v>
      </c>
      <c r="AN5" s="1031">
        <v>45688</v>
      </c>
      <c r="AO5" s="1031">
        <v>45716</v>
      </c>
      <c r="AP5" s="1031">
        <v>45747</v>
      </c>
      <c r="AQ5" s="1031">
        <v>45777</v>
      </c>
      <c r="AR5" s="1031">
        <v>45808</v>
      </c>
      <c r="AS5" s="1031">
        <v>45838</v>
      </c>
      <c r="AT5" s="1031">
        <v>45869</v>
      </c>
      <c r="AU5" s="1031">
        <v>45900</v>
      </c>
      <c r="AV5" s="1031">
        <v>45930</v>
      </c>
      <c r="AW5" s="1031">
        <v>45961</v>
      </c>
      <c r="AX5" s="1031">
        <v>45991</v>
      </c>
      <c r="AY5" s="1031">
        <v>46022</v>
      </c>
      <c r="AZ5" s="1031">
        <v>46053</v>
      </c>
      <c r="BA5" s="1031">
        <v>46081</v>
      </c>
      <c r="BB5" s="1031">
        <v>46112</v>
      </c>
      <c r="BC5" s="1031">
        <v>46142</v>
      </c>
      <c r="BD5" s="1031">
        <v>46173</v>
      </c>
      <c r="BE5" s="1031">
        <v>46203</v>
      </c>
      <c r="BF5" s="1031">
        <v>46234</v>
      </c>
      <c r="BG5" s="1031">
        <v>46265</v>
      </c>
      <c r="BH5" s="1031">
        <v>46295</v>
      </c>
      <c r="BI5" s="1031">
        <v>46326</v>
      </c>
      <c r="BJ5" s="1031">
        <v>46356</v>
      </c>
      <c r="BK5" s="1031">
        <v>46387</v>
      </c>
      <c r="BL5" s="1031">
        <v>46418</v>
      </c>
      <c r="BM5" s="1031">
        <v>46446</v>
      </c>
      <c r="BN5" s="1031">
        <v>46477</v>
      </c>
      <c r="BO5" s="1031">
        <v>46507</v>
      </c>
      <c r="BP5" s="1031">
        <v>46538</v>
      </c>
      <c r="BQ5" s="1031">
        <v>46568</v>
      </c>
      <c r="BR5" s="1031">
        <v>46599</v>
      </c>
      <c r="BS5" s="1031">
        <v>46630</v>
      </c>
      <c r="BT5" s="1031">
        <v>46660</v>
      </c>
      <c r="BU5" s="1031">
        <v>46691</v>
      </c>
      <c r="BV5" s="1031">
        <v>46721</v>
      </c>
      <c r="BW5" s="1031">
        <v>46752</v>
      </c>
      <c r="BX5" s="788" t="s">
        <v>247</v>
      </c>
      <c r="BY5" s="788" t="s">
        <v>247</v>
      </c>
      <c r="BZ5" s="788" t="s">
        <v>247</v>
      </c>
      <c r="CA5" s="788" t="s">
        <v>247</v>
      </c>
      <c r="CB5" s="788" t="s">
        <v>247</v>
      </c>
      <c r="CC5" s="788" t="s">
        <v>247</v>
      </c>
    </row>
    <row r="6" spans="1:84" s="438" customFormat="1">
      <c r="B6" s="789" t="s">
        <v>248</v>
      </c>
      <c r="C6" s="1112">
        <v>147483849.61000001</v>
      </c>
      <c r="D6" s="1112">
        <v>158111229.03999999</v>
      </c>
      <c r="E6" s="1112">
        <v>162199578.14999998</v>
      </c>
      <c r="F6" s="1112">
        <v>174470939.96999997</v>
      </c>
      <c r="G6" s="1112">
        <v>184225626.89999998</v>
      </c>
      <c r="H6" s="1112">
        <v>188333223.03999996</v>
      </c>
      <c r="I6" s="1112">
        <v>201983440.95999995</v>
      </c>
      <c r="J6" s="1112">
        <v>212538815.98999995</v>
      </c>
      <c r="K6" s="1112">
        <v>225280632.12999997</v>
      </c>
      <c r="L6" s="1112">
        <v>235379560.06999999</v>
      </c>
      <c r="M6" s="1112">
        <v>200850235.99000001</v>
      </c>
      <c r="N6" s="1112">
        <v>210666560.54000002</v>
      </c>
      <c r="O6" s="1112">
        <v>246108951.70000002</v>
      </c>
      <c r="P6" s="1112">
        <v>139895423.77229998</v>
      </c>
      <c r="Q6" s="1112">
        <v>119553896.40695995</v>
      </c>
      <c r="R6" s="1112">
        <v>118095003.00299197</v>
      </c>
      <c r="S6" s="1112">
        <v>138120193.3597984</v>
      </c>
      <c r="T6" s="1112">
        <v>110979896.51795971</v>
      </c>
      <c r="U6" s="1112">
        <v>116583554.261592</v>
      </c>
      <c r="V6" s="1112">
        <v>127625979.66831848</v>
      </c>
      <c r="W6" s="1112">
        <v>138177894.67566377</v>
      </c>
      <c r="X6" s="1112">
        <v>145799820.88913286</v>
      </c>
      <c r="Y6" s="1112">
        <v>152661662.59782666</v>
      </c>
      <c r="Z6" s="1112">
        <v>98595873.887565434</v>
      </c>
      <c r="AA6" s="1112">
        <v>85626371.145513207</v>
      </c>
      <c r="AB6" s="1112">
        <v>89005272.311102763</v>
      </c>
      <c r="AC6" s="1112">
        <v>95015445.862220675</v>
      </c>
      <c r="AD6" s="1112">
        <v>99829181.336444244</v>
      </c>
      <c r="AE6" s="1112">
        <v>113844081.81328896</v>
      </c>
      <c r="AF6" s="1112">
        <v>128282839.93665792</v>
      </c>
      <c r="AG6" s="1112">
        <v>142994890.23333171</v>
      </c>
      <c r="AH6" s="1112">
        <v>155462065.36266649</v>
      </c>
      <c r="AI6" s="1112">
        <v>163942826.47453347</v>
      </c>
      <c r="AJ6" s="1112">
        <v>164911520.19690686</v>
      </c>
      <c r="AK6" s="1112">
        <v>174576936.31538156</v>
      </c>
      <c r="AL6" s="1112">
        <v>184889601.93707651</v>
      </c>
      <c r="AM6" s="1112">
        <v>164566718.03941554</v>
      </c>
      <c r="AN6" s="436"/>
      <c r="AO6" s="436"/>
      <c r="AP6" s="436"/>
      <c r="AQ6" s="436"/>
      <c r="AR6" s="436"/>
      <c r="AS6" s="436"/>
      <c r="AT6" s="436"/>
      <c r="AU6" s="436"/>
      <c r="AV6" s="436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7">
        <v>195971741.85307691</v>
      </c>
      <c r="BY6" s="437">
        <v>133678809.37581713</v>
      </c>
      <c r="BZ6" s="437">
        <v>135611365.45881078</v>
      </c>
      <c r="CA6" s="437"/>
      <c r="CB6" s="437"/>
      <c r="CC6" s="437"/>
    </row>
    <row r="7" spans="1:84" s="438" customFormat="1">
      <c r="B7" s="789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6"/>
      <c r="AD7" s="436"/>
      <c r="AE7" s="436"/>
      <c r="AF7" s="436"/>
      <c r="AG7" s="436"/>
      <c r="AH7" s="436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436"/>
      <c r="AZ7" s="436"/>
      <c r="BA7" s="436"/>
      <c r="BB7" s="436"/>
      <c r="BC7" s="436"/>
      <c r="BD7" s="436"/>
      <c r="BE7" s="436"/>
      <c r="BF7" s="436"/>
      <c r="BG7" s="436"/>
      <c r="BH7" s="436"/>
      <c r="BI7" s="436"/>
      <c r="BJ7" s="436"/>
      <c r="BK7" s="436"/>
      <c r="BL7" s="436"/>
      <c r="BM7" s="436"/>
      <c r="BN7" s="436"/>
      <c r="BO7" s="436"/>
      <c r="BP7" s="436"/>
      <c r="BQ7" s="436"/>
      <c r="BR7" s="436"/>
      <c r="BS7" s="436"/>
      <c r="BT7" s="436"/>
      <c r="BU7" s="436"/>
      <c r="BV7" s="436"/>
      <c r="BW7" s="436"/>
    </row>
    <row r="8" spans="1:84" s="437" customFormat="1">
      <c r="B8" s="789" t="s">
        <v>249</v>
      </c>
      <c r="C8" s="1032">
        <v>17609019.299999993</v>
      </c>
      <c r="D8" s="1032">
        <v>19063994.659999989</v>
      </c>
      <c r="E8" s="1032">
        <v>21502720.589999992</v>
      </c>
      <c r="F8" s="1032">
        <v>21532547.269999996</v>
      </c>
      <c r="G8" s="1032">
        <v>25338716.019999996</v>
      </c>
      <c r="H8" s="1032">
        <v>25088444.069999997</v>
      </c>
      <c r="I8" s="1032">
        <v>23154816.789999995</v>
      </c>
      <c r="J8" s="1032">
        <v>24265890.989999995</v>
      </c>
      <c r="K8" s="1032">
        <v>25424090.259999994</v>
      </c>
      <c r="L8" s="1032">
        <v>27187158.869999997</v>
      </c>
      <c r="M8" s="1032">
        <v>29366428.499999996</v>
      </c>
      <c r="N8" s="1032">
        <v>30732956.279999997</v>
      </c>
      <c r="O8" s="1032">
        <v>34717713.829999998</v>
      </c>
      <c r="P8" s="1113">
        <v>26532272.619999997</v>
      </c>
      <c r="Q8" s="1113">
        <v>20590425.709999997</v>
      </c>
      <c r="R8" s="1113">
        <v>16128039.279999997</v>
      </c>
      <c r="S8" s="1113">
        <v>12716481.459999997</v>
      </c>
      <c r="T8" s="1113">
        <v>10092124.839999998</v>
      </c>
      <c r="U8" s="1113">
        <v>8123857.3699999973</v>
      </c>
      <c r="V8" s="1113">
        <v>6647656.7699999977</v>
      </c>
      <c r="W8" s="1113">
        <v>5447681.8199999975</v>
      </c>
      <c r="X8" s="1113">
        <v>4482596.3599999975</v>
      </c>
      <c r="Y8" s="1113">
        <v>3758782.259999997</v>
      </c>
      <c r="Z8" s="1113">
        <v>3215921.6899999976</v>
      </c>
      <c r="AA8" s="1113">
        <v>2808776.2599999974</v>
      </c>
      <c r="AB8" s="1113">
        <v>525200.5</v>
      </c>
      <c r="AC8" s="1113">
        <v>919100.87000000011</v>
      </c>
      <c r="AD8" s="1113">
        <v>1166246.6500000001</v>
      </c>
      <c r="AE8" s="1113">
        <v>1255046.4900000005</v>
      </c>
      <c r="AF8" s="1113">
        <v>1321646.3700000001</v>
      </c>
      <c r="AG8" s="1113">
        <v>1371596.28</v>
      </c>
      <c r="AH8" s="1113">
        <v>1409058.7100000002</v>
      </c>
      <c r="AI8" s="1113">
        <v>1437155.53</v>
      </c>
      <c r="AJ8" s="1113">
        <v>1458228.1500000004</v>
      </c>
      <c r="AK8" s="1113">
        <v>1474032.6100000003</v>
      </c>
      <c r="AL8" s="1113">
        <v>1485885.9600000004</v>
      </c>
      <c r="AM8" s="1113">
        <v>1494775.9700000004</v>
      </c>
      <c r="AN8" s="1113"/>
      <c r="AO8" s="1113"/>
      <c r="AP8" s="1113"/>
      <c r="AQ8" s="1113"/>
      <c r="AR8" s="1113"/>
      <c r="AS8" s="1113"/>
      <c r="AT8" s="1113"/>
      <c r="AU8" s="1113"/>
      <c r="AV8" s="1113"/>
      <c r="AW8" s="1113"/>
      <c r="AX8" s="1113"/>
      <c r="AY8" s="1113"/>
      <c r="AZ8" s="1113"/>
      <c r="BA8" s="1113"/>
      <c r="BB8" s="1113"/>
      <c r="BC8" s="1113"/>
      <c r="BD8" s="1113"/>
      <c r="BE8" s="1113"/>
      <c r="BF8" s="1113"/>
      <c r="BG8" s="1113"/>
      <c r="BH8" s="1113"/>
      <c r="BI8" s="1113"/>
      <c r="BJ8" s="1113"/>
      <c r="BK8" s="1113"/>
      <c r="BL8" s="1113"/>
      <c r="BM8" s="1113"/>
      <c r="BN8" s="1113"/>
      <c r="BO8" s="1113"/>
      <c r="BP8" s="1113"/>
      <c r="BQ8" s="1113"/>
      <c r="BR8" s="1113"/>
      <c r="BS8" s="1113"/>
      <c r="BT8" s="1113"/>
      <c r="BU8" s="1113"/>
      <c r="BV8" s="1113"/>
      <c r="BW8" s="1113"/>
      <c r="BX8" s="437">
        <v>24998807.494615376</v>
      </c>
      <c r="BY8" s="437">
        <v>11943256.174615381</v>
      </c>
      <c r="BZ8" s="437">
        <v>1394365.4115384615</v>
      </c>
    </row>
    <row r="9" spans="1:84" s="438" customFormat="1">
      <c r="B9" s="789"/>
      <c r="C9" s="790"/>
      <c r="D9" s="790"/>
      <c r="E9" s="790"/>
      <c r="F9" s="790"/>
      <c r="G9" s="790"/>
      <c r="H9" s="790"/>
      <c r="I9" s="790"/>
      <c r="J9" s="790"/>
      <c r="K9" s="790"/>
      <c r="L9" s="790"/>
      <c r="M9" s="790"/>
      <c r="N9" s="790"/>
      <c r="O9" s="790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S9" s="436"/>
      <c r="AT9" s="436"/>
      <c r="AU9" s="436"/>
      <c r="AV9" s="436"/>
      <c r="AW9" s="436"/>
      <c r="AX9" s="436"/>
      <c r="AY9" s="436"/>
      <c r="AZ9" s="436"/>
      <c r="BA9" s="436"/>
      <c r="BB9" s="436"/>
      <c r="BC9" s="436"/>
      <c r="BD9" s="436"/>
      <c r="BE9" s="436"/>
      <c r="BF9" s="436"/>
      <c r="BG9" s="436"/>
      <c r="BH9" s="436"/>
      <c r="BI9" s="436"/>
      <c r="BJ9" s="436"/>
      <c r="BK9" s="436"/>
      <c r="BL9" s="436"/>
      <c r="BM9" s="436"/>
      <c r="BN9" s="436"/>
      <c r="BO9" s="436"/>
      <c r="BP9" s="436"/>
      <c r="BQ9" s="436"/>
      <c r="BR9" s="436"/>
      <c r="BS9" s="436"/>
      <c r="BT9" s="436"/>
      <c r="BU9" s="436"/>
      <c r="BV9" s="436"/>
      <c r="BW9" s="436"/>
      <c r="BX9" s="437">
        <v>0</v>
      </c>
      <c r="BY9" s="437">
        <v>0</v>
      </c>
      <c r="BZ9" s="437">
        <v>0</v>
      </c>
    </row>
    <row r="10" spans="1:84" s="438" customFormat="1">
      <c r="A10" s="791" t="s">
        <v>250</v>
      </c>
      <c r="B10" s="791" t="s">
        <v>251</v>
      </c>
      <c r="C10" s="790"/>
      <c r="D10" s="790"/>
      <c r="E10" s="790"/>
      <c r="F10" s="790"/>
      <c r="G10" s="790"/>
      <c r="H10" s="790"/>
      <c r="I10" s="790"/>
      <c r="J10" s="790"/>
      <c r="K10" s="790"/>
      <c r="L10" s="790"/>
      <c r="M10" s="790"/>
      <c r="N10" s="790"/>
      <c r="O10" s="790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  <c r="AK10" s="436"/>
      <c r="AL10" s="436"/>
      <c r="AM10" s="436"/>
      <c r="AN10" s="436"/>
      <c r="AO10" s="436"/>
      <c r="AP10" s="436"/>
      <c r="AQ10" s="436"/>
      <c r="AR10" s="436"/>
      <c r="AS10" s="436"/>
      <c r="AT10" s="436"/>
      <c r="AU10" s="436"/>
      <c r="AV10" s="436"/>
      <c r="AW10" s="436"/>
      <c r="AX10" s="436"/>
      <c r="AY10" s="436"/>
      <c r="AZ10" s="436"/>
      <c r="BA10" s="436"/>
      <c r="BB10" s="436"/>
      <c r="BC10" s="436"/>
      <c r="BD10" s="436"/>
      <c r="BE10" s="436"/>
      <c r="BF10" s="436"/>
      <c r="BG10" s="436"/>
      <c r="BH10" s="436"/>
      <c r="BI10" s="436"/>
      <c r="BJ10" s="436"/>
      <c r="BK10" s="436"/>
      <c r="BL10" s="436"/>
      <c r="BM10" s="436"/>
      <c r="BN10" s="436"/>
      <c r="BO10" s="436"/>
      <c r="BP10" s="436"/>
      <c r="BQ10" s="436"/>
      <c r="BR10" s="436"/>
      <c r="BS10" s="436"/>
      <c r="BT10" s="436"/>
      <c r="BU10" s="436"/>
      <c r="BV10" s="436"/>
      <c r="BW10" s="436"/>
      <c r="BX10" s="437">
        <v>0</v>
      </c>
      <c r="BY10" s="437">
        <v>0</v>
      </c>
      <c r="BZ10" s="437">
        <v>0</v>
      </c>
    </row>
    <row r="11" spans="1:84" s="438" customFormat="1" ht="15">
      <c r="A11" s="783" t="s">
        <v>258</v>
      </c>
      <c r="B11" s="792" t="s">
        <v>259</v>
      </c>
      <c r="C11" s="1033">
        <v>10625873.82</v>
      </c>
      <c r="D11" s="1033">
        <v>11053579.039999999</v>
      </c>
      <c r="E11" s="1033">
        <v>11638629.689999999</v>
      </c>
      <c r="F11" s="1033">
        <v>12248762</v>
      </c>
      <c r="G11" s="1033">
        <v>16243479.02</v>
      </c>
      <c r="H11" s="1033">
        <v>18929466.030000001</v>
      </c>
      <c r="I11" s="1033">
        <v>26128027.109999999</v>
      </c>
      <c r="J11" s="1033">
        <v>31680921.5</v>
      </c>
      <c r="K11" s="1033">
        <v>35709953.840000004</v>
      </c>
      <c r="L11" s="1033">
        <v>39600985.079999998</v>
      </c>
      <c r="M11" s="1033">
        <v>0</v>
      </c>
      <c r="N11" s="1033">
        <v>0</v>
      </c>
      <c r="O11" s="1033">
        <v>0</v>
      </c>
      <c r="P11" s="793">
        <v>0</v>
      </c>
      <c r="Q11" s="793">
        <v>0</v>
      </c>
      <c r="R11" s="793">
        <v>0</v>
      </c>
      <c r="S11" s="793">
        <v>0</v>
      </c>
      <c r="T11" s="793">
        <v>0</v>
      </c>
      <c r="U11" s="793">
        <v>0</v>
      </c>
      <c r="V11" s="793">
        <v>0</v>
      </c>
      <c r="W11" s="793">
        <v>0</v>
      </c>
      <c r="X11" s="793">
        <v>0</v>
      </c>
      <c r="Y11" s="793">
        <v>0</v>
      </c>
      <c r="Z11" s="793">
        <v>0</v>
      </c>
      <c r="AA11" s="793">
        <v>0</v>
      </c>
      <c r="AB11" s="793">
        <v>0</v>
      </c>
      <c r="AC11" s="793">
        <v>0</v>
      </c>
      <c r="AD11" s="793">
        <v>0</v>
      </c>
      <c r="AE11" s="793">
        <v>0</v>
      </c>
      <c r="AF11" s="793">
        <v>0</v>
      </c>
      <c r="AG11" s="793">
        <v>0</v>
      </c>
      <c r="AH11" s="793">
        <v>0</v>
      </c>
      <c r="AI11" s="793">
        <v>0</v>
      </c>
      <c r="AJ11" s="793">
        <v>0</v>
      </c>
      <c r="AK11" s="793">
        <v>0</v>
      </c>
      <c r="AL11" s="793">
        <v>0</v>
      </c>
      <c r="AM11" s="793">
        <v>0</v>
      </c>
      <c r="AN11" s="793"/>
      <c r="AO11" s="793"/>
      <c r="AP11" s="793"/>
      <c r="AQ11" s="793"/>
      <c r="AR11" s="793"/>
      <c r="AS11" s="793"/>
      <c r="AT11" s="793"/>
      <c r="AU11" s="793"/>
      <c r="AV11" s="793"/>
      <c r="AW11" s="793"/>
      <c r="AX11" s="793"/>
      <c r="AY11" s="793"/>
      <c r="AZ11" s="793"/>
      <c r="BA11" s="793"/>
      <c r="BB11" s="793"/>
      <c r="BC11" s="793"/>
      <c r="BD11" s="793"/>
      <c r="BE11" s="793"/>
      <c r="BF11" s="793"/>
      <c r="BG11" s="793"/>
      <c r="BH11" s="793"/>
      <c r="BI11" s="793"/>
      <c r="BJ11" s="793"/>
      <c r="BK11" s="793"/>
      <c r="BL11" s="793"/>
      <c r="BM11" s="793"/>
      <c r="BN11" s="793"/>
      <c r="BO11" s="793"/>
      <c r="BP11" s="793"/>
      <c r="BQ11" s="793"/>
      <c r="BR11" s="793"/>
      <c r="BS11" s="793"/>
      <c r="BT11" s="793"/>
      <c r="BU11" s="793"/>
      <c r="BV11" s="793"/>
      <c r="BW11" s="793"/>
      <c r="BX11" s="437">
        <v>16450744.394615384</v>
      </c>
      <c r="BY11" s="437">
        <v>0</v>
      </c>
      <c r="BZ11" s="437">
        <v>0</v>
      </c>
      <c r="CA11" s="910"/>
      <c r="CB11" s="910"/>
      <c r="CC11" s="910"/>
      <c r="CE11" s="799"/>
      <c r="CF11" s="799"/>
    </row>
    <row r="12" spans="1:84" s="438" customFormat="1">
      <c r="A12" s="783" t="s">
        <v>262</v>
      </c>
      <c r="B12" s="794" t="s">
        <v>263</v>
      </c>
      <c r="C12" s="1033">
        <v>3784390.32</v>
      </c>
      <c r="D12" s="1033">
        <v>3647810.4</v>
      </c>
      <c r="E12" s="1033">
        <v>4259059.04</v>
      </c>
      <c r="F12" s="1033">
        <v>3947592.61</v>
      </c>
      <c r="G12" s="1033">
        <v>4002652.54</v>
      </c>
      <c r="H12" s="1033">
        <v>4762246.13</v>
      </c>
      <c r="I12" s="1033">
        <v>5059340.7799999993</v>
      </c>
      <c r="J12" s="1033">
        <v>5122721.66</v>
      </c>
      <c r="K12" s="1033">
        <v>5939681.9299999997</v>
      </c>
      <c r="L12" s="1033">
        <v>6244003.8799999999</v>
      </c>
      <c r="M12" s="1033">
        <v>6378308.7000000002</v>
      </c>
      <c r="N12" s="1033">
        <v>6828779.0999999996</v>
      </c>
      <c r="O12" s="1033">
        <v>6940539.4900000002</v>
      </c>
      <c r="P12" s="793">
        <v>0</v>
      </c>
      <c r="Q12" s="793">
        <v>0</v>
      </c>
      <c r="R12" s="793">
        <v>0</v>
      </c>
      <c r="S12" s="793">
        <v>0</v>
      </c>
      <c r="T12" s="793">
        <v>0</v>
      </c>
      <c r="U12" s="793">
        <v>0</v>
      </c>
      <c r="V12" s="793">
        <v>0</v>
      </c>
      <c r="W12" s="793">
        <v>0</v>
      </c>
      <c r="X12" s="793">
        <v>0</v>
      </c>
      <c r="Y12" s="793">
        <v>0</v>
      </c>
      <c r="Z12" s="793">
        <v>0</v>
      </c>
      <c r="AA12" s="793">
        <v>0</v>
      </c>
      <c r="AB12" s="793">
        <v>0</v>
      </c>
      <c r="AC12" s="793">
        <v>0</v>
      </c>
      <c r="AD12" s="793">
        <v>0</v>
      </c>
      <c r="AE12" s="793">
        <v>0</v>
      </c>
      <c r="AF12" s="793">
        <v>0</v>
      </c>
      <c r="AG12" s="793">
        <v>0</v>
      </c>
      <c r="AH12" s="793">
        <v>0</v>
      </c>
      <c r="AI12" s="793">
        <v>0</v>
      </c>
      <c r="AJ12" s="793">
        <v>0</v>
      </c>
      <c r="AK12" s="793">
        <v>0</v>
      </c>
      <c r="AL12" s="793">
        <v>0</v>
      </c>
      <c r="AM12" s="793">
        <v>0</v>
      </c>
      <c r="AN12" s="793"/>
      <c r="AO12" s="793"/>
      <c r="AP12" s="793"/>
      <c r="AQ12" s="793"/>
      <c r="AR12" s="793"/>
      <c r="AS12" s="793"/>
      <c r="AT12" s="793"/>
      <c r="AU12" s="793"/>
      <c r="AV12" s="793"/>
      <c r="AW12" s="793"/>
      <c r="AX12" s="793"/>
      <c r="AY12" s="793"/>
      <c r="AZ12" s="793"/>
      <c r="BA12" s="793"/>
      <c r="BB12" s="793"/>
      <c r="BC12" s="793"/>
      <c r="BD12" s="793"/>
      <c r="BE12" s="793"/>
      <c r="BF12" s="793"/>
      <c r="BG12" s="793"/>
      <c r="BH12" s="793"/>
      <c r="BI12" s="793"/>
      <c r="BJ12" s="793"/>
      <c r="BK12" s="793"/>
      <c r="BL12" s="793"/>
      <c r="BM12" s="793"/>
      <c r="BN12" s="793"/>
      <c r="BO12" s="793"/>
      <c r="BP12" s="793"/>
      <c r="BQ12" s="793"/>
      <c r="BR12" s="793"/>
      <c r="BS12" s="793"/>
      <c r="BT12" s="793"/>
      <c r="BU12" s="793"/>
      <c r="BV12" s="793"/>
      <c r="BW12" s="793"/>
      <c r="BX12" s="437">
        <v>5147471.2753846161</v>
      </c>
      <c r="BY12" s="437">
        <v>533887.6530769231</v>
      </c>
      <c r="BZ12" s="437">
        <v>0</v>
      </c>
      <c r="CA12" s="910"/>
      <c r="CB12" s="910"/>
      <c r="CC12" s="910"/>
      <c r="CE12" s="799"/>
      <c r="CF12" s="799"/>
    </row>
    <row r="13" spans="1:84" s="438" customFormat="1">
      <c r="A13" s="783" t="s">
        <v>264</v>
      </c>
      <c r="B13" s="783" t="s">
        <v>265</v>
      </c>
      <c r="C13" s="1033">
        <v>2775979.63</v>
      </c>
      <c r="D13" s="1033">
        <v>2801890.3</v>
      </c>
      <c r="E13" s="1033">
        <v>2835587.36</v>
      </c>
      <c r="F13" s="1033">
        <v>3073004.82</v>
      </c>
      <c r="G13" s="1033">
        <v>3103899.87</v>
      </c>
      <c r="H13" s="1033">
        <v>3356404.79</v>
      </c>
      <c r="I13" s="1033">
        <v>3582732.67</v>
      </c>
      <c r="J13" s="1033">
        <v>3658572.06</v>
      </c>
      <c r="K13" s="1033">
        <v>3706749.84</v>
      </c>
      <c r="L13" s="1033">
        <v>0</v>
      </c>
      <c r="M13" s="1033">
        <v>0</v>
      </c>
      <c r="N13" s="1033">
        <v>0</v>
      </c>
      <c r="O13" s="1033">
        <v>0</v>
      </c>
      <c r="P13" s="793">
        <v>0</v>
      </c>
      <c r="Q13" s="793">
        <v>0</v>
      </c>
      <c r="R13" s="793">
        <v>0</v>
      </c>
      <c r="S13" s="793">
        <v>0</v>
      </c>
      <c r="T13" s="793">
        <v>0</v>
      </c>
      <c r="U13" s="793">
        <v>0</v>
      </c>
      <c r="V13" s="793">
        <v>0</v>
      </c>
      <c r="W13" s="793">
        <v>0</v>
      </c>
      <c r="X13" s="793">
        <v>0</v>
      </c>
      <c r="Y13" s="793">
        <v>0</v>
      </c>
      <c r="Z13" s="793">
        <v>0</v>
      </c>
      <c r="AA13" s="793">
        <v>0</v>
      </c>
      <c r="AB13" s="793">
        <v>0</v>
      </c>
      <c r="AC13" s="793">
        <v>0</v>
      </c>
      <c r="AD13" s="793">
        <v>0</v>
      </c>
      <c r="AE13" s="793">
        <v>0</v>
      </c>
      <c r="AF13" s="793">
        <v>0</v>
      </c>
      <c r="AG13" s="793">
        <v>0</v>
      </c>
      <c r="AH13" s="793">
        <v>0</v>
      </c>
      <c r="AI13" s="793">
        <v>0</v>
      </c>
      <c r="AJ13" s="793">
        <v>0</v>
      </c>
      <c r="AK13" s="793">
        <v>0</v>
      </c>
      <c r="AL13" s="793">
        <v>0</v>
      </c>
      <c r="AM13" s="793">
        <v>0</v>
      </c>
      <c r="AN13" s="793"/>
      <c r="AO13" s="793"/>
      <c r="AP13" s="793"/>
      <c r="AQ13" s="793"/>
      <c r="AR13" s="793"/>
      <c r="AS13" s="793"/>
      <c r="AT13" s="793"/>
      <c r="AU13" s="793"/>
      <c r="AV13" s="793"/>
      <c r="AW13" s="793"/>
      <c r="AX13" s="793"/>
      <c r="AY13" s="793"/>
      <c r="AZ13" s="793"/>
      <c r="BA13" s="793"/>
      <c r="BB13" s="793"/>
      <c r="BC13" s="793"/>
      <c r="BD13" s="793"/>
      <c r="BE13" s="793"/>
      <c r="BF13" s="793"/>
      <c r="BG13" s="793"/>
      <c r="BH13" s="793"/>
      <c r="BI13" s="793"/>
      <c r="BJ13" s="793"/>
      <c r="BK13" s="793"/>
      <c r="BL13" s="793"/>
      <c r="BM13" s="793"/>
      <c r="BN13" s="793"/>
      <c r="BO13" s="793"/>
      <c r="BP13" s="793"/>
      <c r="BQ13" s="793"/>
      <c r="BR13" s="793"/>
      <c r="BS13" s="793"/>
      <c r="BT13" s="793"/>
      <c r="BU13" s="793"/>
      <c r="BV13" s="793"/>
      <c r="BW13" s="793"/>
      <c r="BX13" s="437">
        <v>2222678.5646153842</v>
      </c>
      <c r="BY13" s="437">
        <v>0</v>
      </c>
      <c r="BZ13" s="437">
        <v>0</v>
      </c>
      <c r="CA13" s="910"/>
      <c r="CB13" s="910"/>
      <c r="CC13" s="910"/>
      <c r="CE13" s="799"/>
      <c r="CF13" s="799"/>
    </row>
    <row r="14" spans="1:84" s="438" customFormat="1">
      <c r="A14" s="783" t="s">
        <v>268</v>
      </c>
      <c r="B14" s="783" t="s">
        <v>269</v>
      </c>
      <c r="C14" s="1033">
        <v>123508.02</v>
      </c>
      <c r="D14" s="1033">
        <v>124107.04</v>
      </c>
      <c r="E14" s="1033">
        <v>128008.12</v>
      </c>
      <c r="F14" s="1033">
        <v>128649.56</v>
      </c>
      <c r="G14" s="1033">
        <v>129275.77</v>
      </c>
      <c r="H14" s="1033">
        <v>129905.09</v>
      </c>
      <c r="I14" s="1033">
        <v>130537.47</v>
      </c>
      <c r="J14" s="1033">
        <v>131172.92000000001</v>
      </c>
      <c r="K14" s="1033">
        <v>132614.21</v>
      </c>
      <c r="L14" s="1033">
        <v>173742</v>
      </c>
      <c r="M14" s="1033">
        <v>176677.73</v>
      </c>
      <c r="N14" s="1033">
        <v>270655.57</v>
      </c>
      <c r="O14" s="1033">
        <v>274777.67</v>
      </c>
      <c r="P14" s="793">
        <v>0</v>
      </c>
      <c r="Q14" s="793">
        <v>0</v>
      </c>
      <c r="R14" s="793">
        <v>0</v>
      </c>
      <c r="S14" s="793">
        <v>0</v>
      </c>
      <c r="T14" s="793">
        <v>0</v>
      </c>
      <c r="U14" s="793">
        <v>0</v>
      </c>
      <c r="V14" s="793">
        <v>0</v>
      </c>
      <c r="W14" s="793">
        <v>0</v>
      </c>
      <c r="X14" s="793">
        <v>0</v>
      </c>
      <c r="Y14" s="793">
        <v>0</v>
      </c>
      <c r="Z14" s="793">
        <v>0</v>
      </c>
      <c r="AA14" s="793">
        <v>0</v>
      </c>
      <c r="AB14" s="793">
        <v>0</v>
      </c>
      <c r="AC14" s="793">
        <v>0</v>
      </c>
      <c r="AD14" s="793">
        <v>0</v>
      </c>
      <c r="AE14" s="793">
        <v>0</v>
      </c>
      <c r="AF14" s="793">
        <v>0</v>
      </c>
      <c r="AG14" s="793">
        <v>0</v>
      </c>
      <c r="AH14" s="793">
        <v>0</v>
      </c>
      <c r="AI14" s="793">
        <v>0</v>
      </c>
      <c r="AJ14" s="793">
        <v>0</v>
      </c>
      <c r="AK14" s="793">
        <v>0</v>
      </c>
      <c r="AL14" s="793">
        <v>0</v>
      </c>
      <c r="AM14" s="793">
        <v>0</v>
      </c>
      <c r="AN14" s="793"/>
      <c r="AO14" s="793"/>
      <c r="AP14" s="793"/>
      <c r="AQ14" s="793"/>
      <c r="AR14" s="793"/>
      <c r="AS14" s="793"/>
      <c r="AT14" s="793"/>
      <c r="AU14" s="793"/>
      <c r="AV14" s="793"/>
      <c r="AW14" s="793"/>
      <c r="AX14" s="793"/>
      <c r="AY14" s="793"/>
      <c r="AZ14" s="793"/>
      <c r="BA14" s="793"/>
      <c r="BB14" s="793"/>
      <c r="BC14" s="793"/>
      <c r="BD14" s="793"/>
      <c r="BE14" s="793"/>
      <c r="BF14" s="793"/>
      <c r="BG14" s="793"/>
      <c r="BH14" s="793"/>
      <c r="BI14" s="793"/>
      <c r="BJ14" s="793"/>
      <c r="BK14" s="793"/>
      <c r="BL14" s="793"/>
      <c r="BM14" s="793"/>
      <c r="BN14" s="793"/>
      <c r="BO14" s="793"/>
      <c r="BP14" s="793"/>
      <c r="BQ14" s="793"/>
      <c r="BR14" s="793"/>
      <c r="BS14" s="793"/>
      <c r="BT14" s="793"/>
      <c r="BU14" s="793"/>
      <c r="BV14" s="793"/>
      <c r="BW14" s="793"/>
      <c r="BX14" s="437">
        <v>157971.62846153846</v>
      </c>
      <c r="BY14" s="437">
        <v>21136.743846153844</v>
      </c>
      <c r="BZ14" s="437">
        <v>0</v>
      </c>
      <c r="CA14" s="910"/>
      <c r="CB14" s="910"/>
      <c r="CC14" s="910"/>
      <c r="CE14" s="799"/>
      <c r="CF14" s="799"/>
    </row>
    <row r="15" spans="1:84" s="438" customFormat="1">
      <c r="A15" s="783" t="s">
        <v>270</v>
      </c>
      <c r="B15" s="783" t="s">
        <v>271</v>
      </c>
      <c r="C15" s="1033">
        <v>3061604.59</v>
      </c>
      <c r="D15" s="1033">
        <v>3084242.93</v>
      </c>
      <c r="E15" s="1033">
        <v>3114987.7</v>
      </c>
      <c r="F15" s="1033">
        <v>3148230.07</v>
      </c>
      <c r="G15" s="1033">
        <v>3173455.65</v>
      </c>
      <c r="H15" s="1033">
        <v>3193690.9</v>
      </c>
      <c r="I15" s="1033">
        <v>3209351.73</v>
      </c>
      <c r="J15" s="1033">
        <v>3228405.36</v>
      </c>
      <c r="K15" s="1033">
        <v>3244112.88</v>
      </c>
      <c r="L15" s="1033">
        <v>3270792.91</v>
      </c>
      <c r="M15" s="1033">
        <v>3289131.5</v>
      </c>
      <c r="N15" s="1033">
        <v>3319637.1</v>
      </c>
      <c r="O15" s="1033">
        <v>3449833.16</v>
      </c>
      <c r="P15" s="793">
        <v>0</v>
      </c>
      <c r="Q15" s="793">
        <v>0</v>
      </c>
      <c r="R15" s="793">
        <v>0</v>
      </c>
      <c r="S15" s="793">
        <v>0</v>
      </c>
      <c r="T15" s="793">
        <v>0</v>
      </c>
      <c r="U15" s="793">
        <v>0</v>
      </c>
      <c r="V15" s="793">
        <v>0</v>
      </c>
      <c r="W15" s="793">
        <v>0</v>
      </c>
      <c r="X15" s="793">
        <v>0</v>
      </c>
      <c r="Y15" s="793">
        <v>0</v>
      </c>
      <c r="Z15" s="793">
        <v>0</v>
      </c>
      <c r="AA15" s="793">
        <v>0</v>
      </c>
      <c r="AB15" s="793">
        <v>0</v>
      </c>
      <c r="AC15" s="793">
        <v>0</v>
      </c>
      <c r="AD15" s="793">
        <v>0</v>
      </c>
      <c r="AE15" s="793">
        <v>0</v>
      </c>
      <c r="AF15" s="793">
        <v>0</v>
      </c>
      <c r="AG15" s="793">
        <v>0</v>
      </c>
      <c r="AH15" s="793">
        <v>0</v>
      </c>
      <c r="AI15" s="793">
        <v>0</v>
      </c>
      <c r="AJ15" s="793">
        <v>0</v>
      </c>
      <c r="AK15" s="793">
        <v>0</v>
      </c>
      <c r="AL15" s="793">
        <v>0</v>
      </c>
      <c r="AM15" s="793">
        <v>0</v>
      </c>
      <c r="AN15" s="793"/>
      <c r="AO15" s="793"/>
      <c r="AP15" s="793"/>
      <c r="AQ15" s="793"/>
      <c r="AR15" s="793"/>
      <c r="AS15" s="793"/>
      <c r="AT15" s="793"/>
      <c r="AU15" s="793"/>
      <c r="AV15" s="793"/>
      <c r="AW15" s="793"/>
      <c r="AX15" s="793"/>
      <c r="AY15" s="793"/>
      <c r="AZ15" s="793"/>
      <c r="BA15" s="793"/>
      <c r="BB15" s="793"/>
      <c r="BC15" s="793"/>
      <c r="BD15" s="793"/>
      <c r="BE15" s="793"/>
      <c r="BF15" s="793"/>
      <c r="BG15" s="793"/>
      <c r="BH15" s="793"/>
      <c r="BI15" s="793"/>
      <c r="BJ15" s="793"/>
      <c r="BK15" s="793"/>
      <c r="BL15" s="793"/>
      <c r="BM15" s="793"/>
      <c r="BN15" s="793"/>
      <c r="BO15" s="793"/>
      <c r="BP15" s="793"/>
      <c r="BQ15" s="793"/>
      <c r="BR15" s="793"/>
      <c r="BS15" s="793"/>
      <c r="BT15" s="793"/>
      <c r="BU15" s="793"/>
      <c r="BV15" s="793"/>
      <c r="BW15" s="793"/>
      <c r="BX15" s="437">
        <v>3214421.2676923079</v>
      </c>
      <c r="BY15" s="437">
        <v>265371.78153846157</v>
      </c>
      <c r="BZ15" s="437">
        <v>0</v>
      </c>
      <c r="CA15" s="910"/>
      <c r="CB15" s="910"/>
      <c r="CC15" s="910"/>
      <c r="CE15" s="799"/>
      <c r="CF15" s="799"/>
    </row>
    <row r="16" spans="1:84" s="438" customFormat="1">
      <c r="A16" s="783" t="s">
        <v>272</v>
      </c>
      <c r="B16" s="783" t="s">
        <v>273</v>
      </c>
      <c r="C16" s="1033">
        <v>25001.27</v>
      </c>
      <c r="D16" s="1033">
        <v>32511.83</v>
      </c>
      <c r="E16" s="1033">
        <v>1544637.4</v>
      </c>
      <c r="F16" s="1033">
        <v>1937034.65</v>
      </c>
      <c r="G16" s="1033">
        <v>1920236.59</v>
      </c>
      <c r="H16" s="1033">
        <v>1942060.19</v>
      </c>
      <c r="I16" s="1033">
        <v>1999078.75</v>
      </c>
      <c r="J16" s="1033">
        <v>2261392.5499999998</v>
      </c>
      <c r="K16" s="1033">
        <v>2279380.9500000002</v>
      </c>
      <c r="L16" s="1033">
        <v>2290458.4900000002</v>
      </c>
      <c r="M16" s="1033">
        <v>2299516.38</v>
      </c>
      <c r="N16" s="1033">
        <v>2310715.52</v>
      </c>
      <c r="O16" s="1033">
        <v>2321964.08</v>
      </c>
      <c r="P16" s="793">
        <v>0</v>
      </c>
      <c r="Q16" s="793">
        <v>0</v>
      </c>
      <c r="R16" s="793">
        <v>0</v>
      </c>
      <c r="S16" s="793">
        <v>0</v>
      </c>
      <c r="T16" s="793">
        <v>0</v>
      </c>
      <c r="U16" s="793">
        <v>0</v>
      </c>
      <c r="V16" s="793">
        <v>0</v>
      </c>
      <c r="W16" s="793">
        <v>0</v>
      </c>
      <c r="X16" s="793">
        <v>0</v>
      </c>
      <c r="Y16" s="793">
        <v>0</v>
      </c>
      <c r="Z16" s="793">
        <v>0</v>
      </c>
      <c r="AA16" s="793">
        <v>0</v>
      </c>
      <c r="AB16" s="793">
        <v>0</v>
      </c>
      <c r="AC16" s="793">
        <v>0</v>
      </c>
      <c r="AD16" s="793">
        <v>0</v>
      </c>
      <c r="AE16" s="793">
        <v>0</v>
      </c>
      <c r="AF16" s="793">
        <v>0</v>
      </c>
      <c r="AG16" s="793">
        <v>0</v>
      </c>
      <c r="AH16" s="793">
        <v>0</v>
      </c>
      <c r="AI16" s="793">
        <v>0</v>
      </c>
      <c r="AJ16" s="793">
        <v>0</v>
      </c>
      <c r="AK16" s="793">
        <v>0</v>
      </c>
      <c r="AL16" s="793">
        <v>0</v>
      </c>
      <c r="AM16" s="793">
        <v>0</v>
      </c>
      <c r="AN16" s="793"/>
      <c r="AO16" s="793"/>
      <c r="AP16" s="793"/>
      <c r="AQ16" s="793"/>
      <c r="AR16" s="793"/>
      <c r="AS16" s="793"/>
      <c r="AT16" s="793"/>
      <c r="AU16" s="793"/>
      <c r="AV16" s="793"/>
      <c r="AW16" s="793"/>
      <c r="AX16" s="793"/>
      <c r="AY16" s="793"/>
      <c r="AZ16" s="793"/>
      <c r="BA16" s="793"/>
      <c r="BB16" s="793"/>
      <c r="BC16" s="793"/>
      <c r="BD16" s="793"/>
      <c r="BE16" s="793"/>
      <c r="BF16" s="793"/>
      <c r="BG16" s="793"/>
      <c r="BH16" s="793"/>
      <c r="BI16" s="793"/>
      <c r="BJ16" s="793"/>
      <c r="BK16" s="793"/>
      <c r="BL16" s="793"/>
      <c r="BM16" s="793"/>
      <c r="BN16" s="793"/>
      <c r="BO16" s="793"/>
      <c r="BP16" s="793"/>
      <c r="BQ16" s="793"/>
      <c r="BR16" s="793"/>
      <c r="BS16" s="793"/>
      <c r="BT16" s="793"/>
      <c r="BU16" s="793"/>
      <c r="BV16" s="793"/>
      <c r="BW16" s="793"/>
      <c r="BX16" s="437">
        <v>1781845.2807692306</v>
      </c>
      <c r="BY16" s="437">
        <v>178612.62153846154</v>
      </c>
      <c r="BZ16" s="437">
        <v>0</v>
      </c>
      <c r="CA16" s="910"/>
      <c r="CB16" s="910"/>
      <c r="CC16" s="910"/>
      <c r="CE16" s="799"/>
      <c r="CF16" s="799"/>
    </row>
    <row r="17" spans="1:84" s="438" customFormat="1">
      <c r="A17" s="783" t="s">
        <v>276</v>
      </c>
      <c r="B17" s="783" t="s">
        <v>277</v>
      </c>
      <c r="C17" s="1033">
        <v>1479707.32</v>
      </c>
      <c r="D17" s="1033">
        <v>1621913.96</v>
      </c>
      <c r="E17" s="1033">
        <v>1646003.77</v>
      </c>
      <c r="F17" s="1033">
        <v>1593324.41</v>
      </c>
      <c r="G17" s="1033">
        <v>1811352.49</v>
      </c>
      <c r="H17" s="1033">
        <v>2005694.73</v>
      </c>
      <c r="I17" s="1033">
        <v>2015005.64</v>
      </c>
      <c r="J17" s="1033">
        <v>2070850.61</v>
      </c>
      <c r="K17" s="1033">
        <v>2110375.59</v>
      </c>
      <c r="L17" s="1033">
        <v>1958182.97</v>
      </c>
      <c r="M17" s="1033">
        <v>1968110.67</v>
      </c>
      <c r="N17" s="1033">
        <v>1977691.44</v>
      </c>
      <c r="O17" s="1033">
        <v>1987318.84</v>
      </c>
      <c r="P17" s="793">
        <v>0</v>
      </c>
      <c r="Q17" s="793">
        <v>0</v>
      </c>
      <c r="R17" s="793">
        <v>0</v>
      </c>
      <c r="S17" s="793">
        <v>0</v>
      </c>
      <c r="T17" s="793">
        <v>0</v>
      </c>
      <c r="U17" s="793">
        <v>0</v>
      </c>
      <c r="V17" s="793">
        <v>0</v>
      </c>
      <c r="W17" s="793">
        <v>0</v>
      </c>
      <c r="X17" s="793">
        <v>0</v>
      </c>
      <c r="Y17" s="793">
        <v>0</v>
      </c>
      <c r="Z17" s="793">
        <v>0</v>
      </c>
      <c r="AA17" s="793">
        <v>0</v>
      </c>
      <c r="AB17" s="793">
        <v>0</v>
      </c>
      <c r="AC17" s="793">
        <v>0</v>
      </c>
      <c r="AD17" s="793">
        <v>0</v>
      </c>
      <c r="AE17" s="793">
        <v>0</v>
      </c>
      <c r="AF17" s="793">
        <v>0</v>
      </c>
      <c r="AG17" s="793">
        <v>0</v>
      </c>
      <c r="AH17" s="793">
        <v>0</v>
      </c>
      <c r="AI17" s="793">
        <v>0</v>
      </c>
      <c r="AJ17" s="793">
        <v>0</v>
      </c>
      <c r="AK17" s="793">
        <v>0</v>
      </c>
      <c r="AL17" s="793">
        <v>0</v>
      </c>
      <c r="AM17" s="793">
        <v>0</v>
      </c>
      <c r="AN17" s="793"/>
      <c r="AO17" s="793"/>
      <c r="AP17" s="793"/>
      <c r="AQ17" s="793"/>
      <c r="AR17" s="793"/>
      <c r="AS17" s="793"/>
      <c r="AT17" s="793"/>
      <c r="AU17" s="793"/>
      <c r="AV17" s="793"/>
      <c r="AW17" s="793"/>
      <c r="AX17" s="793"/>
      <c r="AY17" s="793"/>
      <c r="AZ17" s="793"/>
      <c r="BA17" s="793"/>
      <c r="BB17" s="793"/>
      <c r="BC17" s="793"/>
      <c r="BD17" s="793"/>
      <c r="BE17" s="793"/>
      <c r="BF17" s="793"/>
      <c r="BG17" s="793"/>
      <c r="BH17" s="793"/>
      <c r="BI17" s="793"/>
      <c r="BJ17" s="793"/>
      <c r="BK17" s="793"/>
      <c r="BL17" s="793"/>
      <c r="BM17" s="793"/>
      <c r="BN17" s="793"/>
      <c r="BO17" s="793"/>
      <c r="BP17" s="793"/>
      <c r="BQ17" s="793"/>
      <c r="BR17" s="793"/>
      <c r="BS17" s="793"/>
      <c r="BT17" s="793"/>
      <c r="BU17" s="793"/>
      <c r="BV17" s="793"/>
      <c r="BW17" s="793"/>
      <c r="BX17" s="437">
        <v>1865040.9569230773</v>
      </c>
      <c r="BY17" s="437">
        <v>152870.68</v>
      </c>
      <c r="BZ17" s="437">
        <v>0</v>
      </c>
      <c r="CA17" s="910"/>
      <c r="CB17" s="910"/>
      <c r="CC17" s="910"/>
      <c r="CE17" s="799"/>
      <c r="CF17" s="799"/>
    </row>
    <row r="18" spans="1:84" s="438" customFormat="1">
      <c r="A18" s="783" t="s">
        <v>278</v>
      </c>
      <c r="B18" s="783" t="s">
        <v>279</v>
      </c>
      <c r="C18" s="1033">
        <v>278259.56</v>
      </c>
      <c r="D18" s="1033">
        <v>281223.12</v>
      </c>
      <c r="E18" s="1033">
        <v>352807.23</v>
      </c>
      <c r="F18" s="1033">
        <v>362289.46</v>
      </c>
      <c r="G18" s="1033">
        <v>367691.34</v>
      </c>
      <c r="H18" s="1033">
        <v>0</v>
      </c>
      <c r="I18" s="1033">
        <v>0</v>
      </c>
      <c r="J18" s="1033">
        <v>0</v>
      </c>
      <c r="K18" s="1033">
        <v>0</v>
      </c>
      <c r="L18" s="1033">
        <v>0</v>
      </c>
      <c r="M18" s="1033">
        <v>0</v>
      </c>
      <c r="N18" s="1033">
        <v>0</v>
      </c>
      <c r="O18" s="1033">
        <v>0</v>
      </c>
      <c r="P18" s="793">
        <v>0</v>
      </c>
      <c r="Q18" s="793">
        <v>0</v>
      </c>
      <c r="R18" s="793">
        <v>0</v>
      </c>
      <c r="S18" s="793">
        <v>0</v>
      </c>
      <c r="T18" s="793">
        <v>0</v>
      </c>
      <c r="U18" s="793">
        <v>0</v>
      </c>
      <c r="V18" s="793">
        <v>0</v>
      </c>
      <c r="W18" s="793">
        <v>0</v>
      </c>
      <c r="X18" s="793">
        <v>0</v>
      </c>
      <c r="Y18" s="793">
        <v>0</v>
      </c>
      <c r="Z18" s="793">
        <v>0</v>
      </c>
      <c r="AA18" s="793">
        <v>0</v>
      </c>
      <c r="AB18" s="793">
        <v>0</v>
      </c>
      <c r="AC18" s="793">
        <v>0</v>
      </c>
      <c r="AD18" s="793">
        <v>0</v>
      </c>
      <c r="AE18" s="793">
        <v>0</v>
      </c>
      <c r="AF18" s="793">
        <v>0</v>
      </c>
      <c r="AG18" s="793">
        <v>0</v>
      </c>
      <c r="AH18" s="793">
        <v>0</v>
      </c>
      <c r="AI18" s="793">
        <v>0</v>
      </c>
      <c r="AJ18" s="793">
        <v>0</v>
      </c>
      <c r="AK18" s="793">
        <v>0</v>
      </c>
      <c r="AL18" s="793">
        <v>0</v>
      </c>
      <c r="AM18" s="793">
        <v>0</v>
      </c>
      <c r="AN18" s="793"/>
      <c r="AO18" s="793"/>
      <c r="AP18" s="793"/>
      <c r="AQ18" s="793"/>
      <c r="AR18" s="793"/>
      <c r="AS18" s="793"/>
      <c r="AT18" s="793"/>
      <c r="AU18" s="793"/>
      <c r="AV18" s="793"/>
      <c r="AW18" s="793"/>
      <c r="AX18" s="793"/>
      <c r="AY18" s="793"/>
      <c r="AZ18" s="793"/>
      <c r="BA18" s="793"/>
      <c r="BB18" s="793"/>
      <c r="BC18" s="793"/>
      <c r="BD18" s="793"/>
      <c r="BE18" s="793"/>
      <c r="BF18" s="793"/>
      <c r="BG18" s="793"/>
      <c r="BH18" s="793"/>
      <c r="BI18" s="793"/>
      <c r="BJ18" s="793"/>
      <c r="BK18" s="793"/>
      <c r="BL18" s="793"/>
      <c r="BM18" s="793"/>
      <c r="BN18" s="793"/>
      <c r="BO18" s="793"/>
      <c r="BP18" s="793"/>
      <c r="BQ18" s="793"/>
      <c r="BR18" s="793"/>
      <c r="BS18" s="793"/>
      <c r="BT18" s="793"/>
      <c r="BU18" s="793"/>
      <c r="BV18" s="793"/>
      <c r="BW18" s="793"/>
      <c r="BX18" s="437">
        <v>126328.51615384615</v>
      </c>
      <c r="BY18" s="437">
        <v>0</v>
      </c>
      <c r="BZ18" s="437">
        <v>0</v>
      </c>
      <c r="CA18" s="910"/>
      <c r="CB18" s="910"/>
      <c r="CC18" s="910"/>
      <c r="CE18" s="799"/>
      <c r="CF18" s="799"/>
    </row>
    <row r="19" spans="1:84" s="438" customFormat="1">
      <c r="A19" s="783" t="s">
        <v>280</v>
      </c>
      <c r="B19" s="783" t="s">
        <v>281</v>
      </c>
      <c r="C19" s="1033">
        <v>3049430.85</v>
      </c>
      <c r="D19" s="1033">
        <v>3063358.79</v>
      </c>
      <c r="E19" s="1033">
        <v>3409342.87</v>
      </c>
      <c r="F19" s="1033">
        <v>3426697.39</v>
      </c>
      <c r="G19" s="1033">
        <v>3443374.74</v>
      </c>
      <c r="H19" s="1033">
        <v>3467752.59</v>
      </c>
      <c r="I19" s="1033">
        <v>3677261.9</v>
      </c>
      <c r="J19" s="1033">
        <v>3696287.31</v>
      </c>
      <c r="K19" s="1033">
        <v>3716227.77</v>
      </c>
      <c r="L19" s="1033">
        <v>5585735.6900000004</v>
      </c>
      <c r="M19" s="1033">
        <v>5608607.8200000003</v>
      </c>
      <c r="N19" s="1033">
        <v>5637139.0899999999</v>
      </c>
      <c r="O19" s="1033">
        <v>5673191.1100000003</v>
      </c>
      <c r="P19" s="793">
        <v>0</v>
      </c>
      <c r="Q19" s="793">
        <v>0</v>
      </c>
      <c r="R19" s="793">
        <v>0</v>
      </c>
      <c r="S19" s="793">
        <v>0</v>
      </c>
      <c r="T19" s="793">
        <v>0</v>
      </c>
      <c r="U19" s="793">
        <v>0</v>
      </c>
      <c r="V19" s="793">
        <v>0</v>
      </c>
      <c r="W19" s="793">
        <v>0</v>
      </c>
      <c r="X19" s="793">
        <v>0</v>
      </c>
      <c r="Y19" s="793">
        <v>0</v>
      </c>
      <c r="Z19" s="793">
        <v>0</v>
      </c>
      <c r="AA19" s="793">
        <v>0</v>
      </c>
      <c r="AB19" s="793">
        <v>0</v>
      </c>
      <c r="AC19" s="793">
        <v>0</v>
      </c>
      <c r="AD19" s="793">
        <v>0</v>
      </c>
      <c r="AE19" s="793">
        <v>0</v>
      </c>
      <c r="AF19" s="793">
        <v>0</v>
      </c>
      <c r="AG19" s="793">
        <v>0</v>
      </c>
      <c r="AH19" s="793">
        <v>0</v>
      </c>
      <c r="AI19" s="793">
        <v>0</v>
      </c>
      <c r="AJ19" s="793">
        <v>0</v>
      </c>
      <c r="AK19" s="793">
        <v>0</v>
      </c>
      <c r="AL19" s="793">
        <v>0</v>
      </c>
      <c r="AM19" s="793">
        <v>0</v>
      </c>
      <c r="AN19" s="793"/>
      <c r="AO19" s="793"/>
      <c r="AP19" s="793"/>
      <c r="AQ19" s="793"/>
      <c r="AR19" s="793"/>
      <c r="AS19" s="793"/>
      <c r="AT19" s="793"/>
      <c r="AU19" s="793"/>
      <c r="AV19" s="793"/>
      <c r="AW19" s="793"/>
      <c r="AX19" s="793"/>
      <c r="AY19" s="793"/>
      <c r="AZ19" s="793"/>
      <c r="BA19" s="793"/>
      <c r="BB19" s="793"/>
      <c r="BC19" s="793"/>
      <c r="BD19" s="793"/>
      <c r="BE19" s="793"/>
      <c r="BF19" s="793"/>
      <c r="BG19" s="793"/>
      <c r="BH19" s="793"/>
      <c r="BI19" s="793"/>
      <c r="BJ19" s="793"/>
      <c r="BK19" s="793"/>
      <c r="BL19" s="793"/>
      <c r="BM19" s="793"/>
      <c r="BN19" s="793"/>
      <c r="BO19" s="793"/>
      <c r="BP19" s="793"/>
      <c r="BQ19" s="793"/>
      <c r="BR19" s="793"/>
      <c r="BS19" s="793"/>
      <c r="BT19" s="793"/>
      <c r="BU19" s="793"/>
      <c r="BV19" s="793"/>
      <c r="BW19" s="793"/>
      <c r="BX19" s="437">
        <v>4111877.5323076923</v>
      </c>
      <c r="BY19" s="437">
        <v>436399.31615384616</v>
      </c>
      <c r="BZ19" s="437">
        <v>0</v>
      </c>
      <c r="CA19" s="910"/>
      <c r="CB19" s="910"/>
      <c r="CC19" s="910"/>
      <c r="CE19" s="799"/>
      <c r="CF19" s="799"/>
    </row>
    <row r="20" spans="1:84" s="438" customFormat="1">
      <c r="A20" s="783" t="s">
        <v>282</v>
      </c>
      <c r="B20" s="783" t="s">
        <v>283</v>
      </c>
      <c r="C20" s="1033">
        <v>398915.03</v>
      </c>
      <c r="D20" s="1033">
        <v>1562434.66</v>
      </c>
      <c r="E20" s="1033">
        <v>1603769.1</v>
      </c>
      <c r="F20" s="1033">
        <v>1629682.82</v>
      </c>
      <c r="G20" s="1033">
        <v>1648268.25</v>
      </c>
      <c r="H20" s="1033">
        <v>1554950.54</v>
      </c>
      <c r="I20" s="1033">
        <v>1562766.64</v>
      </c>
      <c r="J20" s="1033">
        <v>1570374.19</v>
      </c>
      <c r="K20" s="1033">
        <v>0</v>
      </c>
      <c r="L20" s="1033">
        <v>0</v>
      </c>
      <c r="M20" s="1033">
        <v>0</v>
      </c>
      <c r="N20" s="1033">
        <v>0</v>
      </c>
      <c r="O20" s="1033">
        <v>0</v>
      </c>
      <c r="P20" s="793">
        <v>0</v>
      </c>
      <c r="Q20" s="793">
        <v>0</v>
      </c>
      <c r="R20" s="793">
        <v>0</v>
      </c>
      <c r="S20" s="793">
        <v>0</v>
      </c>
      <c r="T20" s="793">
        <v>0</v>
      </c>
      <c r="U20" s="793">
        <v>0</v>
      </c>
      <c r="V20" s="793">
        <v>0</v>
      </c>
      <c r="W20" s="793">
        <v>0</v>
      </c>
      <c r="X20" s="793">
        <v>0</v>
      </c>
      <c r="Y20" s="793">
        <v>0</v>
      </c>
      <c r="Z20" s="793">
        <v>0</v>
      </c>
      <c r="AA20" s="793">
        <v>0</v>
      </c>
      <c r="AB20" s="793">
        <v>0</v>
      </c>
      <c r="AC20" s="793">
        <v>0</v>
      </c>
      <c r="AD20" s="793">
        <v>0</v>
      </c>
      <c r="AE20" s="793">
        <v>0</v>
      </c>
      <c r="AF20" s="793">
        <v>0</v>
      </c>
      <c r="AG20" s="793">
        <v>0</v>
      </c>
      <c r="AH20" s="793">
        <v>0</v>
      </c>
      <c r="AI20" s="793">
        <v>0</v>
      </c>
      <c r="AJ20" s="793">
        <v>0</v>
      </c>
      <c r="AK20" s="793">
        <v>0</v>
      </c>
      <c r="AL20" s="793">
        <v>0</v>
      </c>
      <c r="AM20" s="793">
        <v>0</v>
      </c>
      <c r="AN20" s="793"/>
      <c r="AO20" s="793"/>
      <c r="AP20" s="793"/>
      <c r="AQ20" s="793"/>
      <c r="AR20" s="793"/>
      <c r="AS20" s="793"/>
      <c r="AT20" s="793"/>
      <c r="AU20" s="793"/>
      <c r="AV20" s="793"/>
      <c r="AW20" s="793"/>
      <c r="AX20" s="793"/>
      <c r="AY20" s="793"/>
      <c r="AZ20" s="793"/>
      <c r="BA20" s="793"/>
      <c r="BB20" s="793"/>
      <c r="BC20" s="793"/>
      <c r="BD20" s="793"/>
      <c r="BE20" s="793"/>
      <c r="BF20" s="793"/>
      <c r="BG20" s="793"/>
      <c r="BH20" s="793"/>
      <c r="BI20" s="793"/>
      <c r="BJ20" s="793"/>
      <c r="BK20" s="793"/>
      <c r="BL20" s="793"/>
      <c r="BM20" s="793"/>
      <c r="BN20" s="793"/>
      <c r="BO20" s="793"/>
      <c r="BP20" s="793"/>
      <c r="BQ20" s="793"/>
      <c r="BR20" s="793"/>
      <c r="BS20" s="793"/>
      <c r="BT20" s="793"/>
      <c r="BU20" s="793"/>
      <c r="BV20" s="793"/>
      <c r="BW20" s="793"/>
      <c r="BX20" s="437">
        <v>887012.40230769233</v>
      </c>
      <c r="BY20" s="437">
        <v>0</v>
      </c>
      <c r="BZ20" s="437">
        <v>0</v>
      </c>
      <c r="CA20" s="910"/>
      <c r="CB20" s="910"/>
      <c r="CC20" s="910"/>
      <c r="CE20" s="799"/>
      <c r="CF20" s="799"/>
    </row>
    <row r="21" spans="1:84" s="768" customFormat="1">
      <c r="A21" s="783" t="s">
        <v>254</v>
      </c>
      <c r="B21" s="783" t="s">
        <v>255</v>
      </c>
      <c r="C21" s="1033">
        <v>10099072.75</v>
      </c>
      <c r="D21" s="1033">
        <v>10770965.390000001</v>
      </c>
      <c r="E21" s="1033">
        <v>11952732.68</v>
      </c>
      <c r="F21" s="1033">
        <v>13260904.439999999</v>
      </c>
      <c r="G21" s="1033">
        <v>14137710.35</v>
      </c>
      <c r="H21" s="1033">
        <v>14892471.24</v>
      </c>
      <c r="I21" s="1033">
        <v>15469254.93</v>
      </c>
      <c r="J21" s="1033">
        <v>16089941.060000001</v>
      </c>
      <c r="K21" s="1033">
        <v>16693628.359999999</v>
      </c>
      <c r="L21" s="1033">
        <v>19240922.789999999</v>
      </c>
      <c r="M21" s="1033">
        <v>19609597.609999999</v>
      </c>
      <c r="N21" s="1033">
        <v>20130268.48</v>
      </c>
      <c r="O21" s="1033">
        <v>21459411.350000001</v>
      </c>
      <c r="P21" s="793">
        <v>27793751.050000001</v>
      </c>
      <c r="Q21" s="793">
        <v>34573123.030000001</v>
      </c>
      <c r="R21" s="793">
        <v>40093973.5</v>
      </c>
      <c r="S21" s="793">
        <v>45314343.969999999</v>
      </c>
      <c r="T21" s="793">
        <v>50039784.189999998</v>
      </c>
      <c r="U21" s="793">
        <v>54788227.859999999</v>
      </c>
      <c r="V21" s="793">
        <v>59779169.950000003</v>
      </c>
      <c r="W21" s="793">
        <v>64904872.450000003</v>
      </c>
      <c r="X21" s="793">
        <v>68941251.859999999</v>
      </c>
      <c r="Y21" s="793">
        <v>71691890.870000005</v>
      </c>
      <c r="Z21" s="793">
        <v>0</v>
      </c>
      <c r="AA21" s="793">
        <v>0</v>
      </c>
      <c r="AB21" s="793">
        <v>0</v>
      </c>
      <c r="AC21" s="793">
        <v>0</v>
      </c>
      <c r="AD21" s="793">
        <v>0</v>
      </c>
      <c r="AE21" s="793">
        <v>0</v>
      </c>
      <c r="AF21" s="793">
        <v>0</v>
      </c>
      <c r="AG21" s="793">
        <v>0</v>
      </c>
      <c r="AH21" s="793">
        <v>0</v>
      </c>
      <c r="AI21" s="793">
        <v>0</v>
      </c>
      <c r="AJ21" s="793">
        <v>0</v>
      </c>
      <c r="AK21" s="793">
        <v>0</v>
      </c>
      <c r="AL21" s="793">
        <v>0</v>
      </c>
      <c r="AM21" s="793">
        <v>0</v>
      </c>
      <c r="AN21" s="793"/>
      <c r="AO21" s="793"/>
      <c r="AP21" s="793"/>
      <c r="AQ21" s="793"/>
      <c r="AR21" s="793"/>
      <c r="AS21" s="793"/>
      <c r="AT21" s="793"/>
      <c r="AU21" s="793"/>
      <c r="AV21" s="793"/>
      <c r="AW21" s="793"/>
      <c r="AX21" s="793"/>
      <c r="AY21" s="793"/>
      <c r="AZ21" s="793"/>
      <c r="BA21" s="793"/>
      <c r="BB21" s="793"/>
      <c r="BC21" s="793"/>
      <c r="BD21" s="793"/>
      <c r="BE21" s="793"/>
      <c r="BF21" s="793"/>
      <c r="BG21" s="793"/>
      <c r="BH21" s="793"/>
      <c r="BI21" s="793"/>
      <c r="BJ21" s="793"/>
      <c r="BK21" s="793"/>
      <c r="BL21" s="793"/>
      <c r="BM21" s="793"/>
      <c r="BN21" s="793"/>
      <c r="BO21" s="793"/>
      <c r="BP21" s="793"/>
      <c r="BQ21" s="793"/>
      <c r="BR21" s="793"/>
      <c r="BS21" s="793"/>
      <c r="BT21" s="793"/>
      <c r="BU21" s="793"/>
      <c r="BV21" s="793"/>
      <c r="BW21" s="793"/>
      <c r="BX21" s="437">
        <v>15677452.417692307</v>
      </c>
      <c r="BY21" s="437">
        <v>41490753.852307685</v>
      </c>
      <c r="BZ21" s="437">
        <v>0</v>
      </c>
      <c r="CA21" s="910"/>
      <c r="CB21" s="910"/>
      <c r="CC21" s="910"/>
      <c r="CE21" s="799"/>
      <c r="CF21" s="799"/>
    </row>
    <row r="22" spans="1:84" s="768" customFormat="1">
      <c r="A22" s="783" t="s">
        <v>266</v>
      </c>
      <c r="B22" s="783" t="s">
        <v>267</v>
      </c>
      <c r="C22" s="1033">
        <v>11062109.029999999</v>
      </c>
      <c r="D22" s="1033">
        <v>12160752.93</v>
      </c>
      <c r="E22" s="1033">
        <v>13374694.35</v>
      </c>
      <c r="F22" s="1033">
        <v>14509464.33</v>
      </c>
      <c r="G22" s="1033">
        <v>16101181.59</v>
      </c>
      <c r="H22" s="1033">
        <v>17265101.120000001</v>
      </c>
      <c r="I22" s="1033">
        <v>18774309.48</v>
      </c>
      <c r="J22" s="1033">
        <v>19380187.920000002</v>
      </c>
      <c r="K22" s="1033">
        <v>20490836.489999998</v>
      </c>
      <c r="L22" s="1033">
        <v>21260859.57</v>
      </c>
      <c r="M22" s="1033">
        <v>21988990.629999999</v>
      </c>
      <c r="N22" s="1033">
        <v>22699347.850000001</v>
      </c>
      <c r="O22" s="1033">
        <v>23369328.379999999</v>
      </c>
      <c r="P22" s="793">
        <v>36745199.210000001</v>
      </c>
      <c r="Q22" s="793">
        <v>38529323.780000001</v>
      </c>
      <c r="R22" s="793">
        <v>40341124.520000003</v>
      </c>
      <c r="S22" s="793">
        <v>42103375.109999999</v>
      </c>
      <c r="T22" s="793">
        <v>0</v>
      </c>
      <c r="U22" s="793">
        <v>0</v>
      </c>
      <c r="V22" s="793">
        <v>0</v>
      </c>
      <c r="W22" s="793">
        <v>0</v>
      </c>
      <c r="X22" s="793">
        <v>0</v>
      </c>
      <c r="Y22" s="793">
        <v>0</v>
      </c>
      <c r="Z22" s="793">
        <v>0</v>
      </c>
      <c r="AA22" s="793">
        <v>0</v>
      </c>
      <c r="AB22" s="793">
        <v>0</v>
      </c>
      <c r="AC22" s="793">
        <v>0</v>
      </c>
      <c r="AD22" s="793">
        <v>0</v>
      </c>
      <c r="AE22" s="793">
        <v>0</v>
      </c>
      <c r="AF22" s="793">
        <v>0</v>
      </c>
      <c r="AG22" s="793">
        <v>0</v>
      </c>
      <c r="AH22" s="793">
        <v>0</v>
      </c>
      <c r="AI22" s="793">
        <v>0</v>
      </c>
      <c r="AJ22" s="793">
        <v>0</v>
      </c>
      <c r="AK22" s="793">
        <v>0</v>
      </c>
      <c r="AL22" s="793">
        <v>0</v>
      </c>
      <c r="AM22" s="793">
        <v>0</v>
      </c>
      <c r="AN22" s="793"/>
      <c r="AO22" s="793"/>
      <c r="AP22" s="793"/>
      <c r="AQ22" s="793"/>
      <c r="AR22" s="793"/>
      <c r="AS22" s="793"/>
      <c r="AT22" s="793"/>
      <c r="AU22" s="793"/>
      <c r="AV22" s="793"/>
      <c r="AW22" s="793"/>
      <c r="AX22" s="793"/>
      <c r="AY22" s="793"/>
      <c r="AZ22" s="793"/>
      <c r="BA22" s="793"/>
      <c r="BB22" s="793"/>
      <c r="BC22" s="793"/>
      <c r="BD22" s="793"/>
      <c r="BE22" s="793"/>
      <c r="BF22" s="793"/>
      <c r="BG22" s="793"/>
      <c r="BH22" s="793"/>
      <c r="BI22" s="793"/>
      <c r="BJ22" s="793"/>
      <c r="BK22" s="793"/>
      <c r="BL22" s="793"/>
      <c r="BM22" s="793"/>
      <c r="BN22" s="793"/>
      <c r="BO22" s="793"/>
      <c r="BP22" s="793"/>
      <c r="BQ22" s="793"/>
      <c r="BR22" s="793"/>
      <c r="BS22" s="793"/>
      <c r="BT22" s="793"/>
      <c r="BU22" s="793"/>
      <c r="BV22" s="793"/>
      <c r="BW22" s="793"/>
      <c r="BX22" s="437">
        <v>17879781.820769228</v>
      </c>
      <c r="BY22" s="437">
        <v>13929873.153846154</v>
      </c>
      <c r="BZ22" s="437">
        <v>0</v>
      </c>
      <c r="CA22" s="910"/>
      <c r="CB22" s="910"/>
      <c r="CC22" s="910"/>
      <c r="CE22" s="799"/>
      <c r="CF22" s="799"/>
    </row>
    <row r="23" spans="1:84" s="438" customFormat="1">
      <c r="A23" s="783" t="s">
        <v>274</v>
      </c>
      <c r="B23" s="783" t="s">
        <v>275</v>
      </c>
      <c r="C23" s="1033">
        <v>162995.32999999999</v>
      </c>
      <c r="D23" s="1033">
        <v>165837.63</v>
      </c>
      <c r="E23" s="1033">
        <v>168663.35</v>
      </c>
      <c r="F23" s="1033">
        <v>178835.20000000001</v>
      </c>
      <c r="G23" s="1033">
        <v>185033.14</v>
      </c>
      <c r="H23" s="1033">
        <v>224228.48000000001</v>
      </c>
      <c r="I23" s="1033">
        <v>465655.59</v>
      </c>
      <c r="J23" s="1033">
        <v>467337.19</v>
      </c>
      <c r="K23" s="1033">
        <v>471280.71</v>
      </c>
      <c r="L23" s="1033">
        <v>493244.83</v>
      </c>
      <c r="M23" s="1033">
        <v>662390.59</v>
      </c>
      <c r="N23" s="1033">
        <v>1026882.33</v>
      </c>
      <c r="O23" s="1033">
        <v>1210353.6299999999</v>
      </c>
      <c r="P23" s="793">
        <v>1230431.4099999999</v>
      </c>
      <c r="Q23" s="793">
        <v>1311421.1499999999</v>
      </c>
      <c r="R23" s="793">
        <v>1380305.15</v>
      </c>
      <c r="S23" s="793">
        <v>1437024.48</v>
      </c>
      <c r="T23" s="793">
        <v>1494019.92</v>
      </c>
      <c r="U23" s="793">
        <v>1538792.81</v>
      </c>
      <c r="V23" s="793">
        <v>1571283.65</v>
      </c>
      <c r="W23" s="793">
        <v>1603932.6600000001</v>
      </c>
      <c r="X23" s="793">
        <v>1636740.6099999999</v>
      </c>
      <c r="Y23" s="793">
        <v>1667208.26</v>
      </c>
      <c r="Z23" s="793">
        <v>1695324.23</v>
      </c>
      <c r="AA23" s="793">
        <v>1718577.07</v>
      </c>
      <c r="AB23" s="793">
        <v>1756943.1099999999</v>
      </c>
      <c r="AC23" s="793">
        <v>1815495.9100000001</v>
      </c>
      <c r="AD23" s="793">
        <v>1868652.25</v>
      </c>
      <c r="AE23" s="793">
        <v>1897067.35</v>
      </c>
      <c r="AF23" s="793">
        <v>1906302.28</v>
      </c>
      <c r="AG23" s="793">
        <v>1915582.1600000001</v>
      </c>
      <c r="AH23" s="793">
        <v>1924907.21</v>
      </c>
      <c r="AI23" s="793">
        <v>0</v>
      </c>
      <c r="AJ23" s="793">
        <v>0</v>
      </c>
      <c r="AK23" s="793">
        <v>0</v>
      </c>
      <c r="AL23" s="793">
        <v>0</v>
      </c>
      <c r="AM23" s="793">
        <v>0</v>
      </c>
      <c r="AN23" s="793"/>
      <c r="AO23" s="793"/>
      <c r="AP23" s="793"/>
      <c r="AQ23" s="793"/>
      <c r="AR23" s="793"/>
      <c r="AS23" s="793"/>
      <c r="AT23" s="793"/>
      <c r="AU23" s="793"/>
      <c r="AV23" s="793"/>
      <c r="AW23" s="793"/>
      <c r="AX23" s="793"/>
      <c r="AY23" s="793"/>
      <c r="AZ23" s="793"/>
      <c r="BA23" s="793"/>
      <c r="BB23" s="793"/>
      <c r="BC23" s="793"/>
      <c r="BD23" s="793"/>
      <c r="BE23" s="793"/>
      <c r="BF23" s="793"/>
      <c r="BG23" s="793"/>
      <c r="BH23" s="793"/>
      <c r="BI23" s="793"/>
      <c r="BJ23" s="793"/>
      <c r="BK23" s="793"/>
      <c r="BL23" s="793"/>
      <c r="BM23" s="793"/>
      <c r="BN23" s="793"/>
      <c r="BO23" s="793"/>
      <c r="BP23" s="793"/>
      <c r="BQ23" s="793"/>
      <c r="BR23" s="793"/>
      <c r="BS23" s="793"/>
      <c r="BT23" s="793"/>
      <c r="BU23" s="793"/>
      <c r="BV23" s="793"/>
      <c r="BW23" s="793"/>
      <c r="BX23" s="437">
        <v>452518.30769230769</v>
      </c>
      <c r="BY23" s="437">
        <v>1499647.31</v>
      </c>
      <c r="BZ23" s="437">
        <v>1138732.8723076922</v>
      </c>
      <c r="CA23" s="910"/>
      <c r="CB23" s="910"/>
      <c r="CC23" s="910"/>
      <c r="CE23" s="799"/>
      <c r="CF23" s="799"/>
    </row>
    <row r="24" spans="1:84" s="438" customFormat="1">
      <c r="A24" s="783" t="s">
        <v>284</v>
      </c>
      <c r="B24" s="783" t="s">
        <v>285</v>
      </c>
      <c r="C24" s="1033">
        <v>67524.28</v>
      </c>
      <c r="D24" s="1033">
        <v>99454.12</v>
      </c>
      <c r="E24" s="1033">
        <v>106349.02</v>
      </c>
      <c r="F24" s="1033">
        <v>106875.29</v>
      </c>
      <c r="G24" s="1033">
        <v>107395.5</v>
      </c>
      <c r="H24" s="1033">
        <v>107918.3</v>
      </c>
      <c r="I24" s="1033">
        <v>108443.65</v>
      </c>
      <c r="J24" s="1033">
        <v>108971.56</v>
      </c>
      <c r="K24" s="1033">
        <v>109502.03</v>
      </c>
      <c r="L24" s="1033">
        <v>110035.08</v>
      </c>
      <c r="M24" s="1033">
        <v>110570.73</v>
      </c>
      <c r="N24" s="1033">
        <v>111108.99</v>
      </c>
      <c r="O24" s="1033">
        <v>111649.87</v>
      </c>
      <c r="P24" s="793">
        <v>147461.17000000001</v>
      </c>
      <c r="Q24" s="793">
        <v>218714.59</v>
      </c>
      <c r="R24" s="793">
        <v>290314.88</v>
      </c>
      <c r="S24" s="793">
        <v>362263.71</v>
      </c>
      <c r="T24" s="793">
        <v>434562.79000000004</v>
      </c>
      <c r="U24" s="793">
        <v>507213.82</v>
      </c>
      <c r="V24" s="793">
        <v>580218.52</v>
      </c>
      <c r="W24" s="793">
        <v>653578.61</v>
      </c>
      <c r="X24" s="793">
        <v>727295.81</v>
      </c>
      <c r="Y24" s="793">
        <v>801371.87</v>
      </c>
      <c r="Z24" s="793">
        <v>875808.52</v>
      </c>
      <c r="AA24" s="793">
        <v>950608.38</v>
      </c>
      <c r="AB24" s="793">
        <v>1037203.21</v>
      </c>
      <c r="AC24" s="793">
        <v>1135649.58</v>
      </c>
      <c r="AD24" s="793">
        <v>1234575.18</v>
      </c>
      <c r="AE24" s="793">
        <v>1333982.3500000001</v>
      </c>
      <c r="AF24" s="793">
        <v>1433873.44</v>
      </c>
      <c r="AG24" s="793">
        <v>1534250.8</v>
      </c>
      <c r="AH24" s="793">
        <v>1635116.79</v>
      </c>
      <c r="AI24" s="793">
        <v>1736473.8</v>
      </c>
      <c r="AJ24" s="793">
        <v>1838324.21</v>
      </c>
      <c r="AK24" s="793">
        <v>1940670.4300000002</v>
      </c>
      <c r="AL24" s="793">
        <v>2043514.87</v>
      </c>
      <c r="AM24" s="793">
        <v>2146859.96</v>
      </c>
      <c r="AN24" s="793"/>
      <c r="AO24" s="793"/>
      <c r="AP24" s="793"/>
      <c r="AQ24" s="793"/>
      <c r="AR24" s="793"/>
      <c r="AS24" s="793"/>
      <c r="AT24" s="793"/>
      <c r="AU24" s="793"/>
      <c r="AV24" s="793"/>
      <c r="AW24" s="793"/>
      <c r="AX24" s="793"/>
      <c r="AY24" s="793"/>
      <c r="AZ24" s="793"/>
      <c r="BA24" s="793"/>
      <c r="BB24" s="793"/>
      <c r="BC24" s="793"/>
      <c r="BD24" s="793"/>
      <c r="BE24" s="793"/>
      <c r="BF24" s="793"/>
      <c r="BG24" s="793"/>
      <c r="BH24" s="793"/>
      <c r="BI24" s="793"/>
      <c r="BJ24" s="793"/>
      <c r="BK24" s="793"/>
      <c r="BL24" s="793"/>
      <c r="BM24" s="793"/>
      <c r="BN24" s="793"/>
      <c r="BO24" s="793"/>
      <c r="BP24" s="793"/>
      <c r="BQ24" s="793"/>
      <c r="BR24" s="793"/>
      <c r="BS24" s="793"/>
      <c r="BT24" s="793"/>
      <c r="BU24" s="793"/>
      <c r="BV24" s="793"/>
      <c r="BW24" s="793"/>
      <c r="BX24" s="437">
        <v>105061.41692307692</v>
      </c>
      <c r="BY24" s="437">
        <v>512389.42615384614</v>
      </c>
      <c r="BZ24" s="437">
        <v>1538546.384615385</v>
      </c>
      <c r="CA24" s="910"/>
      <c r="CB24" s="910"/>
      <c r="CC24" s="910"/>
      <c r="CE24" s="799"/>
      <c r="CF24" s="799"/>
    </row>
    <row r="25" spans="1:84" s="438" customFormat="1">
      <c r="A25" s="783" t="s">
        <v>1177</v>
      </c>
      <c r="B25" s="783" t="s">
        <v>286</v>
      </c>
      <c r="C25" s="1033">
        <v>0</v>
      </c>
      <c r="D25" s="1033">
        <v>194016.59</v>
      </c>
      <c r="E25" s="1033">
        <v>-211981.31</v>
      </c>
      <c r="F25" s="1033">
        <v>376900.3</v>
      </c>
      <c r="G25" s="1033">
        <v>1147530.6299999999</v>
      </c>
      <c r="H25" s="1033">
        <v>1390524.81</v>
      </c>
      <c r="I25" s="1033">
        <v>1487032.56</v>
      </c>
      <c r="J25" s="1033">
        <v>1526453.29</v>
      </c>
      <c r="K25" s="1033">
        <v>1675844.88</v>
      </c>
      <c r="L25" s="1033">
        <v>1687433.87</v>
      </c>
      <c r="M25" s="1033">
        <v>1824505.89</v>
      </c>
      <c r="N25" s="1033">
        <v>1836486.25</v>
      </c>
      <c r="O25" s="1033">
        <v>1849169.55</v>
      </c>
      <c r="P25" s="793">
        <v>1859912.17</v>
      </c>
      <c r="Q25" s="793">
        <v>0</v>
      </c>
      <c r="R25" s="793">
        <v>0</v>
      </c>
      <c r="S25" s="793">
        <v>0</v>
      </c>
      <c r="T25" s="793">
        <v>0</v>
      </c>
      <c r="U25" s="793">
        <v>0</v>
      </c>
      <c r="V25" s="793">
        <v>0</v>
      </c>
      <c r="W25" s="793">
        <v>0</v>
      </c>
      <c r="X25" s="793">
        <v>0</v>
      </c>
      <c r="Y25" s="793">
        <v>0</v>
      </c>
      <c r="Z25" s="793">
        <v>0</v>
      </c>
      <c r="AA25" s="793">
        <v>0</v>
      </c>
      <c r="AB25" s="793">
        <v>0</v>
      </c>
      <c r="AC25" s="793">
        <v>0</v>
      </c>
      <c r="AD25" s="793">
        <v>0</v>
      </c>
      <c r="AE25" s="793">
        <v>0</v>
      </c>
      <c r="AF25" s="793">
        <v>0</v>
      </c>
      <c r="AG25" s="793">
        <v>0</v>
      </c>
      <c r="AH25" s="793">
        <v>0</v>
      </c>
      <c r="AI25" s="793">
        <v>0</v>
      </c>
      <c r="AJ25" s="793">
        <v>0</v>
      </c>
      <c r="AK25" s="793">
        <v>0</v>
      </c>
      <c r="AL25" s="793">
        <v>0</v>
      </c>
      <c r="AM25" s="793">
        <v>0</v>
      </c>
      <c r="AN25" s="793"/>
      <c r="AO25" s="793"/>
      <c r="AP25" s="793"/>
      <c r="AQ25" s="793"/>
      <c r="AR25" s="793"/>
      <c r="AS25" s="793"/>
      <c r="AT25" s="793"/>
      <c r="AU25" s="793"/>
      <c r="AV25" s="793"/>
      <c r="AW25" s="793"/>
      <c r="AX25" s="793"/>
      <c r="AY25" s="793"/>
      <c r="AZ25" s="793"/>
      <c r="BA25" s="793"/>
      <c r="BB25" s="793"/>
      <c r="BC25" s="793"/>
      <c r="BD25" s="793"/>
      <c r="BE25" s="793"/>
      <c r="BF25" s="793"/>
      <c r="BG25" s="793"/>
      <c r="BH25" s="793"/>
      <c r="BI25" s="793"/>
      <c r="BJ25" s="793"/>
      <c r="BK25" s="793"/>
      <c r="BL25" s="793"/>
      <c r="BM25" s="793"/>
      <c r="BN25" s="793"/>
      <c r="BO25" s="793"/>
      <c r="BP25" s="793"/>
      <c r="BQ25" s="793"/>
      <c r="BR25" s="793"/>
      <c r="BS25" s="793"/>
      <c r="BT25" s="793"/>
      <c r="BU25" s="793"/>
      <c r="BV25" s="793"/>
      <c r="BW25" s="793"/>
      <c r="BX25" s="437">
        <v>1137224.4084615386</v>
      </c>
      <c r="BY25" s="437">
        <v>285313.97846153844</v>
      </c>
      <c r="BZ25" s="437">
        <v>0</v>
      </c>
      <c r="CA25" s="910"/>
      <c r="CB25" s="910"/>
      <c r="CC25" s="910"/>
      <c r="CE25" s="799"/>
      <c r="CF25" s="799"/>
    </row>
    <row r="26" spans="1:84" s="438" customFormat="1">
      <c r="A26" s="783" t="s">
        <v>289</v>
      </c>
      <c r="B26" s="783" t="s">
        <v>290</v>
      </c>
      <c r="C26" s="1033">
        <v>0</v>
      </c>
      <c r="D26" s="1033">
        <v>0</v>
      </c>
      <c r="E26" s="1033">
        <v>0</v>
      </c>
      <c r="F26" s="1033">
        <v>0</v>
      </c>
      <c r="G26" s="1033">
        <v>108265.72</v>
      </c>
      <c r="H26" s="1033">
        <v>198044.49</v>
      </c>
      <c r="I26" s="1033">
        <v>484056.32000000001</v>
      </c>
      <c r="J26" s="1033">
        <v>592926</v>
      </c>
      <c r="K26" s="1033">
        <v>706475.35</v>
      </c>
      <c r="L26" s="1033">
        <v>846166.18</v>
      </c>
      <c r="M26" s="1033">
        <v>770153.49</v>
      </c>
      <c r="N26" s="1033">
        <v>1042285.63</v>
      </c>
      <c r="O26" s="1033">
        <v>6632136.46</v>
      </c>
      <c r="P26" s="793">
        <v>7368137.3899999997</v>
      </c>
      <c r="Q26" s="793">
        <v>8860792.3399999999</v>
      </c>
      <c r="R26" s="793">
        <v>10384037.15</v>
      </c>
      <c r="S26" s="793">
        <v>11914697.119999999</v>
      </c>
      <c r="T26" s="793">
        <v>13452808.35</v>
      </c>
      <c r="U26" s="793">
        <v>14998407.109999999</v>
      </c>
      <c r="V26" s="793">
        <v>16551529.84</v>
      </c>
      <c r="W26" s="793">
        <v>18112213.170000002</v>
      </c>
      <c r="X26" s="793">
        <v>19680493.899999999</v>
      </c>
      <c r="Y26" s="793">
        <v>21256409.02</v>
      </c>
      <c r="Z26" s="793">
        <v>22839995.699999999</v>
      </c>
      <c r="AA26" s="793">
        <v>24455029.890000001</v>
      </c>
      <c r="AB26" s="793">
        <v>25779503.370000001</v>
      </c>
      <c r="AC26" s="793">
        <v>26788263.050000001</v>
      </c>
      <c r="AD26" s="793">
        <v>27801933.370000001</v>
      </c>
      <c r="AE26" s="793">
        <v>29691515.02</v>
      </c>
      <c r="AF26" s="793">
        <v>32461271.920000002</v>
      </c>
      <c r="AG26" s="793">
        <v>35244512</v>
      </c>
      <c r="AH26" s="793">
        <v>38041300.890000001</v>
      </c>
      <c r="AI26" s="793">
        <v>40851704.549999997</v>
      </c>
      <c r="AJ26" s="793">
        <v>43675789.259999998</v>
      </c>
      <c r="AK26" s="793">
        <v>46513621.609999999</v>
      </c>
      <c r="AL26" s="793">
        <v>49365268.530000001</v>
      </c>
      <c r="AM26" s="793">
        <v>52229585.829999998</v>
      </c>
      <c r="AN26" s="793"/>
      <c r="AO26" s="793"/>
      <c r="AP26" s="793"/>
      <c r="AQ26" s="793"/>
      <c r="AR26" s="793"/>
      <c r="AS26" s="793"/>
      <c r="AT26" s="793"/>
      <c r="AU26" s="793"/>
      <c r="AV26" s="793"/>
      <c r="AW26" s="793"/>
      <c r="AX26" s="793"/>
      <c r="AY26" s="793"/>
      <c r="AZ26" s="793"/>
      <c r="BA26" s="793"/>
      <c r="BB26" s="793"/>
      <c r="BC26" s="793"/>
      <c r="BD26" s="793"/>
      <c r="BE26" s="793"/>
      <c r="BF26" s="793"/>
      <c r="BG26" s="793"/>
      <c r="BH26" s="793"/>
      <c r="BI26" s="793"/>
      <c r="BJ26" s="793"/>
      <c r="BK26" s="793"/>
      <c r="BL26" s="793"/>
      <c r="BM26" s="793"/>
      <c r="BN26" s="793"/>
      <c r="BO26" s="793"/>
      <c r="BP26" s="793"/>
      <c r="BQ26" s="793"/>
      <c r="BR26" s="793"/>
      <c r="BS26" s="793"/>
      <c r="BT26" s="793"/>
      <c r="BU26" s="793"/>
      <c r="BV26" s="793"/>
      <c r="BW26" s="793"/>
      <c r="BX26" s="437">
        <v>875423.81846153853</v>
      </c>
      <c r="BY26" s="437">
        <v>15115899.033846153</v>
      </c>
      <c r="BZ26" s="437">
        <v>36376869.176153846</v>
      </c>
      <c r="CA26" s="910"/>
      <c r="CB26" s="910"/>
      <c r="CC26" s="910"/>
      <c r="CE26" s="799"/>
      <c r="CF26" s="799"/>
    </row>
    <row r="27" spans="1:84" s="438" customFormat="1">
      <c r="A27" s="783" t="s">
        <v>291</v>
      </c>
      <c r="B27" s="783" t="s">
        <v>292</v>
      </c>
      <c r="C27" s="1033">
        <v>0</v>
      </c>
      <c r="D27" s="1033">
        <v>0</v>
      </c>
      <c r="E27" s="1033">
        <v>0</v>
      </c>
      <c r="F27" s="1033">
        <v>0</v>
      </c>
      <c r="G27" s="1033">
        <v>0</v>
      </c>
      <c r="H27" s="1033">
        <v>0</v>
      </c>
      <c r="I27" s="1033">
        <v>0</v>
      </c>
      <c r="J27" s="1033">
        <v>0</v>
      </c>
      <c r="K27" s="1033">
        <v>0</v>
      </c>
      <c r="L27" s="1033">
        <v>0</v>
      </c>
      <c r="M27" s="1033">
        <v>0</v>
      </c>
      <c r="N27" s="1033">
        <v>0</v>
      </c>
      <c r="O27" s="1033">
        <v>0</v>
      </c>
      <c r="P27" s="793">
        <v>0</v>
      </c>
      <c r="Q27" s="793">
        <v>0</v>
      </c>
      <c r="R27" s="793">
        <v>0</v>
      </c>
      <c r="S27" s="793">
        <v>0</v>
      </c>
      <c r="T27" s="793">
        <v>0</v>
      </c>
      <c r="U27" s="793">
        <v>0</v>
      </c>
      <c r="V27" s="793">
        <v>0</v>
      </c>
      <c r="W27" s="793">
        <v>0</v>
      </c>
      <c r="X27" s="793">
        <v>0</v>
      </c>
      <c r="Y27" s="793">
        <v>0</v>
      </c>
      <c r="Z27" s="793">
        <v>0</v>
      </c>
      <c r="AA27" s="793">
        <v>0</v>
      </c>
      <c r="AB27" s="793">
        <v>0</v>
      </c>
      <c r="AC27" s="793">
        <v>0</v>
      </c>
      <c r="AD27" s="793">
        <v>0</v>
      </c>
      <c r="AE27" s="793">
        <v>0</v>
      </c>
      <c r="AF27" s="793">
        <v>0</v>
      </c>
      <c r="AG27" s="793">
        <v>0</v>
      </c>
      <c r="AH27" s="793">
        <v>0</v>
      </c>
      <c r="AI27" s="793">
        <v>0</v>
      </c>
      <c r="AJ27" s="793">
        <v>0</v>
      </c>
      <c r="AK27" s="793">
        <v>0</v>
      </c>
      <c r="AL27" s="793">
        <v>0</v>
      </c>
      <c r="AM27" s="793">
        <v>0</v>
      </c>
      <c r="AN27" s="793"/>
      <c r="AO27" s="793"/>
      <c r="AP27" s="793"/>
      <c r="AQ27" s="793"/>
      <c r="AR27" s="793"/>
      <c r="AS27" s="793"/>
      <c r="AT27" s="793"/>
      <c r="AU27" s="793"/>
      <c r="AV27" s="793"/>
      <c r="AW27" s="793"/>
      <c r="AX27" s="793"/>
      <c r="AY27" s="793"/>
      <c r="AZ27" s="793"/>
      <c r="BA27" s="793"/>
      <c r="BB27" s="793"/>
      <c r="BC27" s="793"/>
      <c r="BD27" s="793"/>
      <c r="BE27" s="793"/>
      <c r="BF27" s="793"/>
      <c r="BG27" s="793"/>
      <c r="BH27" s="793"/>
      <c r="BI27" s="793"/>
      <c r="BJ27" s="793"/>
      <c r="BK27" s="793"/>
      <c r="BL27" s="793"/>
      <c r="BM27" s="793"/>
      <c r="BN27" s="793"/>
      <c r="BO27" s="793"/>
      <c r="BP27" s="793"/>
      <c r="BQ27" s="793"/>
      <c r="BR27" s="793"/>
      <c r="BS27" s="793"/>
      <c r="BT27" s="793"/>
      <c r="BU27" s="793"/>
      <c r="BV27" s="793"/>
      <c r="BW27" s="793"/>
      <c r="BX27" s="437">
        <v>0</v>
      </c>
      <c r="BY27" s="437">
        <v>0</v>
      </c>
      <c r="BZ27" s="437">
        <v>0</v>
      </c>
      <c r="CA27" s="910"/>
      <c r="CB27" s="910"/>
      <c r="CC27" s="910"/>
      <c r="CE27" s="799"/>
      <c r="CF27" s="799"/>
    </row>
    <row r="28" spans="1:84" s="768" customFormat="1">
      <c r="A28" s="783" t="s">
        <v>252</v>
      </c>
      <c r="B28" s="783" t="s">
        <v>253</v>
      </c>
      <c r="C28" s="1033">
        <v>0</v>
      </c>
      <c r="D28" s="1033">
        <v>0</v>
      </c>
      <c r="E28" s="1033">
        <v>0</v>
      </c>
      <c r="F28" s="1033">
        <v>0</v>
      </c>
      <c r="G28" s="1033">
        <v>0</v>
      </c>
      <c r="H28" s="1033">
        <v>0</v>
      </c>
      <c r="I28" s="1033">
        <v>0</v>
      </c>
      <c r="J28" s="1033">
        <v>0</v>
      </c>
      <c r="K28" s="1033">
        <v>0</v>
      </c>
      <c r="L28" s="1033">
        <v>0</v>
      </c>
      <c r="M28" s="1033">
        <v>0</v>
      </c>
      <c r="N28" s="1033">
        <v>0</v>
      </c>
      <c r="O28" s="1033">
        <v>0</v>
      </c>
      <c r="P28" s="793">
        <v>37565.14</v>
      </c>
      <c r="Q28" s="793">
        <v>37748</v>
      </c>
      <c r="R28" s="793">
        <v>37931.760000000002</v>
      </c>
      <c r="S28" s="793">
        <v>38116.42</v>
      </c>
      <c r="T28" s="793">
        <v>38301.97</v>
      </c>
      <c r="U28" s="793">
        <v>38488.42</v>
      </c>
      <c r="V28" s="793">
        <v>38675.78</v>
      </c>
      <c r="W28" s="793">
        <v>38864.050000000003</v>
      </c>
      <c r="X28" s="793">
        <v>39053.24</v>
      </c>
      <c r="Y28" s="793">
        <v>39243.360000000001</v>
      </c>
      <c r="Z28" s="793">
        <v>39434.400000000001</v>
      </c>
      <c r="AA28" s="793">
        <v>39626.36</v>
      </c>
      <c r="AB28" s="793">
        <v>39819.26</v>
      </c>
      <c r="AC28" s="793">
        <v>40013.1</v>
      </c>
      <c r="AD28" s="793">
        <v>40207.89</v>
      </c>
      <c r="AE28" s="793">
        <v>40403.620000000003</v>
      </c>
      <c r="AF28" s="793">
        <v>40600.31</v>
      </c>
      <c r="AG28" s="793">
        <v>40797.96</v>
      </c>
      <c r="AH28" s="793">
        <v>40996.57</v>
      </c>
      <c r="AI28" s="793">
        <v>41196.14</v>
      </c>
      <c r="AJ28" s="793">
        <v>41396.68</v>
      </c>
      <c r="AK28" s="793">
        <v>41598.200000000004</v>
      </c>
      <c r="AL28" s="793">
        <v>41800.700000000004</v>
      </c>
      <c r="AM28" s="793">
        <v>42004.19</v>
      </c>
      <c r="AN28" s="793"/>
      <c r="AO28" s="793"/>
      <c r="AP28" s="793"/>
      <c r="AQ28" s="793"/>
      <c r="AR28" s="793"/>
      <c r="AS28" s="793"/>
      <c r="AT28" s="793"/>
      <c r="AU28" s="793"/>
      <c r="AV28" s="793"/>
      <c r="AW28" s="793"/>
      <c r="AX28" s="793"/>
      <c r="AY28" s="793"/>
      <c r="AZ28" s="793"/>
      <c r="BA28" s="793"/>
      <c r="BB28" s="793"/>
      <c r="BC28" s="793"/>
      <c r="BD28" s="793"/>
      <c r="BE28" s="793"/>
      <c r="BF28" s="793"/>
      <c r="BG28" s="793"/>
      <c r="BH28" s="793"/>
      <c r="BI28" s="793"/>
      <c r="BJ28" s="793"/>
      <c r="BK28" s="793"/>
      <c r="BL28" s="793"/>
      <c r="BM28" s="793"/>
      <c r="BN28" s="793"/>
      <c r="BO28" s="793"/>
      <c r="BP28" s="793"/>
      <c r="BQ28" s="793"/>
      <c r="BR28" s="793"/>
      <c r="BS28" s="793"/>
      <c r="BT28" s="793"/>
      <c r="BU28" s="793"/>
      <c r="BV28" s="793"/>
      <c r="BW28" s="793"/>
      <c r="BX28" s="437">
        <v>0</v>
      </c>
      <c r="BY28" s="437">
        <v>35619.146153846152</v>
      </c>
      <c r="BZ28" s="437">
        <v>40804.690769230765</v>
      </c>
      <c r="CA28" s="910"/>
      <c r="CB28" s="910"/>
      <c r="CC28" s="910"/>
      <c r="CE28" s="799"/>
      <c r="CF28" s="799"/>
    </row>
    <row r="29" spans="1:84" s="438" customFormat="1">
      <c r="A29" s="783" t="s">
        <v>256</v>
      </c>
      <c r="B29" s="783" t="s">
        <v>257</v>
      </c>
      <c r="C29" s="1033">
        <v>0</v>
      </c>
      <c r="D29" s="1033">
        <v>0</v>
      </c>
      <c r="E29" s="1033">
        <v>0</v>
      </c>
      <c r="F29" s="1033">
        <v>0</v>
      </c>
      <c r="G29" s="1033">
        <v>0</v>
      </c>
      <c r="H29" s="1033">
        <v>0</v>
      </c>
      <c r="I29" s="1033">
        <v>0</v>
      </c>
      <c r="J29" s="1033">
        <v>0</v>
      </c>
      <c r="K29" s="1033">
        <v>0</v>
      </c>
      <c r="L29" s="1033">
        <v>0</v>
      </c>
      <c r="M29" s="1033">
        <v>0</v>
      </c>
      <c r="N29" s="1033">
        <v>0</v>
      </c>
      <c r="O29" s="1033">
        <v>0</v>
      </c>
      <c r="P29" s="793">
        <v>1388039.74</v>
      </c>
      <c r="Q29" s="793">
        <v>1394796.71</v>
      </c>
      <c r="R29" s="793">
        <v>1401586.58</v>
      </c>
      <c r="S29" s="793">
        <v>1408409.51</v>
      </c>
      <c r="T29" s="793">
        <v>1415265.65</v>
      </c>
      <c r="U29" s="793">
        <v>1422155.17</v>
      </c>
      <c r="V29" s="793">
        <v>1429078.22</v>
      </c>
      <c r="W29" s="793">
        <v>1436034.98</v>
      </c>
      <c r="X29" s="793">
        <v>1443025.6</v>
      </c>
      <c r="Y29" s="793">
        <v>1450050.25</v>
      </c>
      <c r="Z29" s="793">
        <v>1457109.1</v>
      </c>
      <c r="AA29" s="793">
        <v>1464202.31</v>
      </c>
      <c r="AB29" s="793">
        <v>1471330.05</v>
      </c>
      <c r="AC29" s="793">
        <v>1478492.49</v>
      </c>
      <c r="AD29" s="793">
        <v>0</v>
      </c>
      <c r="AE29" s="793">
        <v>0</v>
      </c>
      <c r="AF29" s="793">
        <v>0</v>
      </c>
      <c r="AG29" s="793">
        <v>0</v>
      </c>
      <c r="AH29" s="793">
        <v>0</v>
      </c>
      <c r="AI29" s="793">
        <v>0</v>
      </c>
      <c r="AJ29" s="793">
        <v>0</v>
      </c>
      <c r="AK29" s="793">
        <v>0</v>
      </c>
      <c r="AL29" s="793">
        <v>0</v>
      </c>
      <c r="AM29" s="793">
        <v>0</v>
      </c>
      <c r="AN29" s="793"/>
      <c r="AO29" s="793"/>
      <c r="AP29" s="793"/>
      <c r="AQ29" s="793"/>
      <c r="AR29" s="793"/>
      <c r="AS29" s="793"/>
      <c r="AT29" s="793"/>
      <c r="AU29" s="793"/>
      <c r="AV29" s="793"/>
      <c r="AW29" s="793"/>
      <c r="AX29" s="793"/>
      <c r="AY29" s="793"/>
      <c r="AZ29" s="793"/>
      <c r="BA29" s="793"/>
      <c r="BB29" s="793"/>
      <c r="BC29" s="793"/>
      <c r="BD29" s="793"/>
      <c r="BE29" s="793"/>
      <c r="BF29" s="793"/>
      <c r="BG29" s="793"/>
      <c r="BH29" s="793"/>
      <c r="BI29" s="793"/>
      <c r="BJ29" s="793"/>
      <c r="BK29" s="793"/>
      <c r="BL29" s="793"/>
      <c r="BM29" s="793"/>
      <c r="BN29" s="793"/>
      <c r="BO29" s="793"/>
      <c r="BP29" s="793"/>
      <c r="BQ29" s="793"/>
      <c r="BR29" s="793"/>
      <c r="BS29" s="793"/>
      <c r="BT29" s="793"/>
      <c r="BU29" s="793"/>
      <c r="BV29" s="793"/>
      <c r="BW29" s="793"/>
      <c r="BX29" s="437">
        <v>0</v>
      </c>
      <c r="BY29" s="437">
        <v>1316134.9092307691</v>
      </c>
      <c r="BZ29" s="437">
        <v>339540.37307692313</v>
      </c>
      <c r="CA29" s="910"/>
      <c r="CB29" s="910"/>
      <c r="CC29" s="910"/>
      <c r="CE29" s="799"/>
      <c r="CF29" s="799"/>
    </row>
    <row r="30" spans="1:84">
      <c r="A30" s="783" t="s">
        <v>1241</v>
      </c>
      <c r="B30" s="783" t="s">
        <v>1242</v>
      </c>
      <c r="C30" s="1033">
        <v>0</v>
      </c>
      <c r="D30" s="1033">
        <v>0</v>
      </c>
      <c r="E30" s="1033">
        <v>0</v>
      </c>
      <c r="F30" s="1033">
        <v>0</v>
      </c>
      <c r="G30" s="1033">
        <v>0</v>
      </c>
      <c r="H30" s="1033">
        <v>0</v>
      </c>
      <c r="I30" s="1033">
        <v>0</v>
      </c>
      <c r="J30" s="1033">
        <v>0</v>
      </c>
      <c r="K30" s="1033">
        <v>0</v>
      </c>
      <c r="L30" s="1033">
        <v>0</v>
      </c>
      <c r="M30" s="1033">
        <v>0</v>
      </c>
      <c r="N30" s="1033">
        <v>67605.399999999994</v>
      </c>
      <c r="O30" s="1033">
        <v>93916.12</v>
      </c>
      <c r="P30" s="793">
        <v>129225.34</v>
      </c>
      <c r="Q30" s="793">
        <v>152531.41</v>
      </c>
      <c r="R30" s="793">
        <v>175950.93</v>
      </c>
      <c r="S30" s="793">
        <v>199484.45</v>
      </c>
      <c r="T30" s="793">
        <v>223132.54</v>
      </c>
      <c r="U30" s="793">
        <v>246895.75</v>
      </c>
      <c r="V30" s="793">
        <v>270774.64</v>
      </c>
      <c r="W30" s="793">
        <v>294769.77</v>
      </c>
      <c r="X30" s="793">
        <v>318881.71000000002</v>
      </c>
      <c r="Y30" s="793">
        <v>343111.02</v>
      </c>
      <c r="Z30" s="793">
        <v>367458.28</v>
      </c>
      <c r="AA30" s="793">
        <v>391924.07</v>
      </c>
      <c r="AB30" s="793">
        <v>416508.95</v>
      </c>
      <c r="AC30" s="793">
        <v>441213.51</v>
      </c>
      <c r="AD30" s="793">
        <v>466038.34</v>
      </c>
      <c r="AE30" s="793">
        <v>490984.02</v>
      </c>
      <c r="AF30" s="793">
        <v>516051.13</v>
      </c>
      <c r="AG30" s="793">
        <v>541240.26</v>
      </c>
      <c r="AH30" s="793">
        <v>566552.02</v>
      </c>
      <c r="AI30" s="793">
        <v>591986.99</v>
      </c>
      <c r="AJ30" s="793">
        <v>617545.78</v>
      </c>
      <c r="AK30" s="793">
        <v>643228.99</v>
      </c>
      <c r="AL30" s="793">
        <v>669037.23</v>
      </c>
      <c r="AM30" s="793">
        <v>694971.11</v>
      </c>
      <c r="AN30" s="793"/>
      <c r="AO30" s="793"/>
      <c r="AP30" s="793"/>
      <c r="AQ30" s="793"/>
      <c r="AR30" s="793"/>
      <c r="AS30" s="793"/>
      <c r="AT30" s="793"/>
      <c r="AU30" s="793"/>
      <c r="AV30" s="793"/>
      <c r="AW30" s="793"/>
      <c r="AX30" s="793"/>
      <c r="AY30" s="793"/>
      <c r="AZ30" s="793"/>
      <c r="BA30" s="793"/>
      <c r="BB30" s="793"/>
      <c r="BC30" s="793"/>
      <c r="BD30" s="793"/>
      <c r="BE30" s="793"/>
      <c r="BF30" s="793"/>
      <c r="BG30" s="793"/>
      <c r="BH30" s="793"/>
      <c r="BI30" s="793"/>
      <c r="BJ30" s="793"/>
      <c r="BK30" s="793"/>
      <c r="BL30" s="793"/>
      <c r="BM30" s="793"/>
      <c r="BN30" s="793"/>
      <c r="BO30" s="793"/>
      <c r="BP30" s="793"/>
      <c r="BQ30" s="793"/>
      <c r="BR30" s="793"/>
      <c r="BS30" s="793"/>
      <c r="BT30" s="793"/>
      <c r="BU30" s="793"/>
      <c r="BV30" s="793"/>
      <c r="BW30" s="793"/>
      <c r="BX30" s="909"/>
      <c r="BY30" s="909"/>
      <c r="BZ30" s="910">
        <f>AVERAGE(AA30:AM30)</f>
        <v>542098.64615384629</v>
      </c>
      <c r="CA30" s="910"/>
      <c r="CB30" s="910"/>
      <c r="CC30" s="910"/>
      <c r="CE30" s="799"/>
      <c r="CF30" s="799"/>
    </row>
    <row r="31" spans="1:84">
      <c r="A31" s="783" t="s">
        <v>1168</v>
      </c>
      <c r="B31" s="783" t="s">
        <v>1169</v>
      </c>
      <c r="C31" s="1033">
        <v>0</v>
      </c>
      <c r="D31" s="1033">
        <v>0</v>
      </c>
      <c r="E31" s="1033">
        <v>0</v>
      </c>
      <c r="F31" s="1033">
        <v>0</v>
      </c>
      <c r="G31" s="1033">
        <v>0</v>
      </c>
      <c r="H31" s="1033">
        <v>0</v>
      </c>
      <c r="I31" s="1033">
        <v>0</v>
      </c>
      <c r="J31" s="1033">
        <v>0</v>
      </c>
      <c r="K31" s="1033">
        <v>0</v>
      </c>
      <c r="L31" s="1033">
        <v>0</v>
      </c>
      <c r="M31" s="1033">
        <v>44908.82</v>
      </c>
      <c r="N31" s="1033">
        <v>242914.89</v>
      </c>
      <c r="O31" s="1033">
        <v>250917.34</v>
      </c>
      <c r="P31" s="793">
        <v>254930.03</v>
      </c>
      <c r="Q31" s="793">
        <v>272125.53000000003</v>
      </c>
      <c r="R31" s="793">
        <v>302872.24</v>
      </c>
      <c r="S31" s="793">
        <v>336899.62</v>
      </c>
      <c r="T31" s="793">
        <v>371092.65</v>
      </c>
      <c r="U31" s="793">
        <v>405452.13</v>
      </c>
      <c r="V31" s="793">
        <v>440194.87</v>
      </c>
      <c r="W31" s="793">
        <v>475322.74</v>
      </c>
      <c r="X31" s="793">
        <v>510621.61</v>
      </c>
      <c r="Y31" s="793">
        <v>546092.31000000006</v>
      </c>
      <c r="Z31" s="793">
        <v>581735.69000000006</v>
      </c>
      <c r="AA31" s="793">
        <v>617552.57999999996</v>
      </c>
      <c r="AB31" s="793">
        <v>653543.82999999996</v>
      </c>
      <c r="AC31" s="793">
        <v>689710.28</v>
      </c>
      <c r="AD31" s="793">
        <v>726052.79</v>
      </c>
      <c r="AE31" s="793">
        <v>0</v>
      </c>
      <c r="AF31" s="793">
        <v>0</v>
      </c>
      <c r="AG31" s="793">
        <v>0</v>
      </c>
      <c r="AH31" s="793">
        <v>0</v>
      </c>
      <c r="AI31" s="793">
        <v>0</v>
      </c>
      <c r="AJ31" s="793">
        <v>0</v>
      </c>
      <c r="AK31" s="793">
        <v>0</v>
      </c>
      <c r="AL31" s="793">
        <v>0</v>
      </c>
      <c r="AM31" s="793">
        <v>0</v>
      </c>
      <c r="AN31" s="793"/>
      <c r="AO31" s="793"/>
      <c r="AP31" s="793"/>
      <c r="AQ31" s="793"/>
      <c r="AR31" s="793"/>
      <c r="AS31" s="793"/>
      <c r="AT31" s="793"/>
      <c r="AU31" s="793"/>
      <c r="AV31" s="793"/>
      <c r="AW31" s="793"/>
      <c r="AX31" s="793"/>
      <c r="AY31" s="793"/>
      <c r="AZ31" s="793"/>
      <c r="BA31" s="793"/>
      <c r="BB31" s="793"/>
      <c r="BC31" s="793"/>
      <c r="BD31" s="793"/>
      <c r="BE31" s="793"/>
      <c r="BF31" s="793"/>
      <c r="BG31" s="793"/>
      <c r="BH31" s="793"/>
      <c r="BI31" s="793"/>
      <c r="BJ31" s="793"/>
      <c r="BK31" s="793"/>
      <c r="BL31" s="793"/>
      <c r="BM31" s="793"/>
      <c r="BN31" s="793"/>
      <c r="BO31" s="793"/>
      <c r="BP31" s="793"/>
      <c r="BQ31" s="793"/>
      <c r="BR31" s="793"/>
      <c r="BS31" s="793"/>
      <c r="BT31" s="793"/>
      <c r="BU31" s="793"/>
      <c r="BV31" s="793"/>
      <c r="BW31" s="793"/>
      <c r="BX31" s="437">
        <v>41441.619230769233</v>
      </c>
      <c r="BY31" s="437">
        <v>412754.56461538468</v>
      </c>
      <c r="BZ31" s="437">
        <v>206681.49846153846</v>
      </c>
      <c r="CA31" s="910"/>
      <c r="CB31" s="910"/>
      <c r="CC31" s="910"/>
      <c r="CD31" s="438"/>
      <c r="CE31" s="799"/>
      <c r="CF31" s="799"/>
    </row>
    <row r="32" spans="1:84">
      <c r="A32" s="783" t="s">
        <v>1170</v>
      </c>
      <c r="B32" s="783" t="s">
        <v>1171</v>
      </c>
      <c r="C32" s="1033">
        <v>0</v>
      </c>
      <c r="D32" s="1033">
        <v>0</v>
      </c>
      <c r="E32" s="1033">
        <v>0</v>
      </c>
      <c r="F32" s="1033">
        <v>0</v>
      </c>
      <c r="G32" s="1033">
        <v>0</v>
      </c>
      <c r="H32" s="1033">
        <v>0</v>
      </c>
      <c r="I32" s="1033">
        <v>0</v>
      </c>
      <c r="J32" s="1033">
        <v>188951.49</v>
      </c>
      <c r="K32" s="1033">
        <v>209675.75</v>
      </c>
      <c r="L32" s="1033">
        <v>210647.13</v>
      </c>
      <c r="M32" s="1033">
        <v>211672.56</v>
      </c>
      <c r="N32" s="1033">
        <v>213302.82</v>
      </c>
      <c r="O32" s="1033">
        <v>345838.76</v>
      </c>
      <c r="P32" s="793">
        <v>823017.43</v>
      </c>
      <c r="Q32" s="793">
        <v>956372.88</v>
      </c>
      <c r="R32" s="793">
        <v>1090377.5</v>
      </c>
      <c r="S32" s="793">
        <v>1225034.45</v>
      </c>
      <c r="T32" s="793">
        <v>0</v>
      </c>
      <c r="U32" s="793">
        <v>0</v>
      </c>
      <c r="V32" s="793">
        <v>0</v>
      </c>
      <c r="W32" s="793">
        <v>0</v>
      </c>
      <c r="X32" s="793">
        <v>0</v>
      </c>
      <c r="Y32" s="793">
        <v>0</v>
      </c>
      <c r="Z32" s="793">
        <v>0</v>
      </c>
      <c r="AA32" s="793">
        <v>0</v>
      </c>
      <c r="AB32" s="793">
        <v>0</v>
      </c>
      <c r="AC32" s="793">
        <v>0</v>
      </c>
      <c r="AD32" s="793">
        <v>0</v>
      </c>
      <c r="AE32" s="793">
        <v>0</v>
      </c>
      <c r="AF32" s="793">
        <v>0</v>
      </c>
      <c r="AG32" s="793">
        <v>0</v>
      </c>
      <c r="AH32" s="793">
        <v>0</v>
      </c>
      <c r="AI32" s="793">
        <v>0</v>
      </c>
      <c r="AJ32" s="793">
        <v>0</v>
      </c>
      <c r="AK32" s="793">
        <v>0</v>
      </c>
      <c r="AL32" s="793">
        <v>0</v>
      </c>
      <c r="AM32" s="793">
        <v>0</v>
      </c>
      <c r="AN32" s="793"/>
      <c r="AO32" s="793"/>
      <c r="AP32" s="793"/>
      <c r="AQ32" s="793"/>
      <c r="AR32" s="793"/>
      <c r="AS32" s="793"/>
      <c r="AT32" s="793"/>
      <c r="AU32" s="793"/>
      <c r="AV32" s="793"/>
      <c r="AW32" s="793"/>
      <c r="AX32" s="793"/>
      <c r="AY32" s="793"/>
      <c r="AZ32" s="793"/>
      <c r="BA32" s="793"/>
      <c r="BB32" s="793"/>
      <c r="BC32" s="793"/>
      <c r="BD32" s="793"/>
      <c r="BE32" s="793"/>
      <c r="BF32" s="793"/>
      <c r="BG32" s="793"/>
      <c r="BH32" s="793"/>
      <c r="BI32" s="793"/>
      <c r="BJ32" s="793"/>
      <c r="BK32" s="793"/>
      <c r="BL32" s="793"/>
      <c r="BM32" s="793"/>
      <c r="BN32" s="793"/>
      <c r="BO32" s="793"/>
      <c r="BP32" s="793"/>
      <c r="BQ32" s="793"/>
      <c r="BR32" s="793"/>
      <c r="BS32" s="793"/>
      <c r="BT32" s="793"/>
      <c r="BU32" s="793"/>
      <c r="BV32" s="793"/>
      <c r="BW32" s="793"/>
      <c r="BX32" s="437">
        <v>106160.65461538461</v>
      </c>
      <c r="BY32" s="437">
        <v>341587.77076923073</v>
      </c>
      <c r="BZ32" s="437">
        <v>0</v>
      </c>
      <c r="CA32" s="910"/>
      <c r="CB32" s="910"/>
      <c r="CC32" s="910"/>
      <c r="CD32" s="438"/>
      <c r="CE32" s="799"/>
      <c r="CF32" s="799"/>
    </row>
    <row r="33" spans="1:84" s="438" customFormat="1">
      <c r="A33" s="783" t="s">
        <v>287</v>
      </c>
      <c r="B33" s="783" t="s">
        <v>288</v>
      </c>
      <c r="C33" s="1033">
        <v>0</v>
      </c>
      <c r="D33" s="1033">
        <v>0</v>
      </c>
      <c r="E33" s="1033">
        <v>0</v>
      </c>
      <c r="F33" s="1033">
        <v>0</v>
      </c>
      <c r="G33" s="1033">
        <v>0</v>
      </c>
      <c r="H33" s="1033">
        <v>0</v>
      </c>
      <c r="I33" s="1033">
        <v>0</v>
      </c>
      <c r="J33" s="1033">
        <v>0</v>
      </c>
      <c r="K33" s="1033">
        <v>0</v>
      </c>
      <c r="L33" s="1033">
        <v>0</v>
      </c>
      <c r="M33" s="1033">
        <v>0</v>
      </c>
      <c r="N33" s="1033">
        <v>0</v>
      </c>
      <c r="O33" s="1033">
        <v>0</v>
      </c>
      <c r="P33" s="793">
        <v>40160.65</v>
      </c>
      <c r="Q33" s="793">
        <v>120677.45</v>
      </c>
      <c r="R33" s="793">
        <v>204598.26</v>
      </c>
      <c r="S33" s="793">
        <v>291939.64</v>
      </c>
      <c r="T33" s="793">
        <v>379706.2</v>
      </c>
      <c r="U33" s="793">
        <v>467900.01</v>
      </c>
      <c r="V33" s="793">
        <v>556523.15</v>
      </c>
      <c r="W33" s="793">
        <v>645577.71</v>
      </c>
      <c r="X33" s="793">
        <v>732053.63</v>
      </c>
      <c r="Y33" s="793">
        <v>815938.37</v>
      </c>
      <c r="Z33" s="793">
        <v>900231.56</v>
      </c>
      <c r="AA33" s="793">
        <v>1012208.03</v>
      </c>
      <c r="AB33" s="793">
        <v>1492485.46</v>
      </c>
      <c r="AC33" s="793">
        <v>2315583.88</v>
      </c>
      <c r="AD33" s="793">
        <v>3142689.14</v>
      </c>
      <c r="AE33" s="793">
        <v>3973820.76</v>
      </c>
      <c r="AF33" s="793">
        <v>4808998.32</v>
      </c>
      <c r="AG33" s="793">
        <v>5648241.5199999996</v>
      </c>
      <c r="AH33" s="793">
        <v>6491570.1600000001</v>
      </c>
      <c r="AI33" s="793">
        <v>7392337.6299999999</v>
      </c>
      <c r="AJ33" s="793">
        <v>8404157.0299999993</v>
      </c>
      <c r="AK33" s="793">
        <v>9474235.4600000009</v>
      </c>
      <c r="AL33" s="793">
        <v>10549523.039999999</v>
      </c>
      <c r="AM33" s="793">
        <v>11630045.119999999</v>
      </c>
      <c r="AN33" s="793"/>
      <c r="AO33" s="793"/>
      <c r="AP33" s="793"/>
      <c r="AQ33" s="793"/>
      <c r="AR33" s="793"/>
      <c r="AS33" s="793"/>
      <c r="AT33" s="793"/>
      <c r="AU33" s="793"/>
      <c r="AV33" s="793"/>
      <c r="AW33" s="793"/>
      <c r="AX33" s="793"/>
      <c r="AY33" s="793"/>
      <c r="AZ33" s="793"/>
      <c r="BA33" s="793"/>
      <c r="BB33" s="793"/>
      <c r="BC33" s="793"/>
      <c r="BD33" s="793"/>
      <c r="BE33" s="793"/>
      <c r="BF33" s="793"/>
      <c r="BG33" s="793"/>
      <c r="BH33" s="793"/>
      <c r="BI33" s="793"/>
      <c r="BJ33" s="793"/>
      <c r="BK33" s="793"/>
      <c r="BL33" s="793"/>
      <c r="BM33" s="793"/>
      <c r="BN33" s="793"/>
      <c r="BO33" s="793"/>
      <c r="BP33" s="793"/>
      <c r="BQ33" s="793"/>
      <c r="BR33" s="793"/>
      <c r="BS33" s="793"/>
      <c r="BT33" s="793"/>
      <c r="BU33" s="793"/>
      <c r="BV33" s="793"/>
      <c r="BW33" s="793"/>
      <c r="BX33" s="437">
        <v>0</v>
      </c>
      <c r="BY33" s="437">
        <v>474424.20461538457</v>
      </c>
      <c r="BZ33" s="437">
        <v>5871991.9653846156</v>
      </c>
      <c r="CA33" s="910"/>
      <c r="CB33" s="910"/>
      <c r="CC33" s="910"/>
      <c r="CE33" s="799"/>
      <c r="CF33" s="799"/>
    </row>
    <row r="34" spans="1:84" s="438" customFormat="1">
      <c r="A34" s="783" t="s">
        <v>293</v>
      </c>
      <c r="B34" s="783" t="s">
        <v>294</v>
      </c>
      <c r="C34" s="1033">
        <v>0</v>
      </c>
      <c r="D34" s="1033">
        <v>0</v>
      </c>
      <c r="E34" s="1033">
        <v>0</v>
      </c>
      <c r="F34" s="1033">
        <v>0</v>
      </c>
      <c r="G34" s="1033">
        <v>0</v>
      </c>
      <c r="H34" s="1033">
        <v>0</v>
      </c>
      <c r="I34" s="1033">
        <v>0</v>
      </c>
      <c r="J34" s="1033">
        <v>0</v>
      </c>
      <c r="K34" s="1033">
        <v>0</v>
      </c>
      <c r="L34" s="1033">
        <v>0</v>
      </c>
      <c r="M34" s="1033">
        <v>0</v>
      </c>
      <c r="N34" s="1033">
        <v>0</v>
      </c>
      <c r="O34" s="1033">
        <v>0</v>
      </c>
      <c r="P34" s="793">
        <v>0</v>
      </c>
      <c r="Q34" s="793">
        <v>0</v>
      </c>
      <c r="R34" s="793">
        <v>0</v>
      </c>
      <c r="S34" s="793">
        <v>0</v>
      </c>
      <c r="T34" s="793">
        <v>0</v>
      </c>
      <c r="U34" s="793">
        <v>0</v>
      </c>
      <c r="V34" s="793">
        <v>0</v>
      </c>
      <c r="W34" s="793">
        <v>0</v>
      </c>
      <c r="X34" s="793">
        <v>0</v>
      </c>
      <c r="Y34" s="793">
        <v>0</v>
      </c>
      <c r="Z34" s="793">
        <v>0</v>
      </c>
      <c r="AA34" s="793">
        <v>0</v>
      </c>
      <c r="AB34" s="793">
        <v>54641.39</v>
      </c>
      <c r="AC34" s="793">
        <v>164190.15</v>
      </c>
      <c r="AD34" s="793">
        <v>274272.2</v>
      </c>
      <c r="AE34" s="793">
        <v>384890.13</v>
      </c>
      <c r="AF34" s="793">
        <v>496046.55</v>
      </c>
      <c r="AG34" s="793">
        <v>0</v>
      </c>
      <c r="AH34" s="793">
        <v>0</v>
      </c>
      <c r="AI34" s="793">
        <v>0</v>
      </c>
      <c r="AJ34" s="793">
        <v>0</v>
      </c>
      <c r="AK34" s="793">
        <v>0</v>
      </c>
      <c r="AL34" s="793">
        <v>0</v>
      </c>
      <c r="AM34" s="793">
        <v>0</v>
      </c>
      <c r="AN34" s="793"/>
      <c r="AO34" s="793"/>
      <c r="AP34" s="793"/>
      <c r="AQ34" s="793"/>
      <c r="AR34" s="793"/>
      <c r="AS34" s="793"/>
      <c r="AT34" s="793"/>
      <c r="AU34" s="793"/>
      <c r="AV34" s="793"/>
      <c r="AW34" s="793"/>
      <c r="AX34" s="793"/>
      <c r="AY34" s="793"/>
      <c r="AZ34" s="793"/>
      <c r="BA34" s="793"/>
      <c r="BB34" s="793"/>
      <c r="BC34" s="793"/>
      <c r="BD34" s="793"/>
      <c r="BE34" s="793"/>
      <c r="BF34" s="793"/>
      <c r="BG34" s="793"/>
      <c r="BH34" s="793"/>
      <c r="BI34" s="793"/>
      <c r="BJ34" s="793"/>
      <c r="BK34" s="793"/>
      <c r="BL34" s="793"/>
      <c r="BM34" s="793"/>
      <c r="BN34" s="793"/>
      <c r="BO34" s="793"/>
      <c r="BP34" s="793"/>
      <c r="BQ34" s="793"/>
      <c r="BR34" s="793"/>
      <c r="BS34" s="793"/>
      <c r="BT34" s="793"/>
      <c r="BU34" s="793"/>
      <c r="BV34" s="793"/>
      <c r="BW34" s="793"/>
      <c r="BX34" s="437">
        <v>0</v>
      </c>
      <c r="BY34" s="437">
        <v>0</v>
      </c>
      <c r="BZ34" s="437">
        <v>105695.41692307692</v>
      </c>
      <c r="CA34" s="910"/>
      <c r="CB34" s="910"/>
      <c r="CC34" s="910"/>
      <c r="CE34" s="799"/>
      <c r="CF34" s="799"/>
    </row>
    <row r="35" spans="1:84" s="438" customFormat="1">
      <c r="A35" s="783" t="s">
        <v>295</v>
      </c>
      <c r="B35" s="783" t="s">
        <v>296</v>
      </c>
      <c r="C35" s="1033">
        <v>0</v>
      </c>
      <c r="D35" s="1033">
        <v>0</v>
      </c>
      <c r="E35" s="1033">
        <v>0</v>
      </c>
      <c r="F35" s="1033">
        <v>0</v>
      </c>
      <c r="G35" s="1033">
        <v>0</v>
      </c>
      <c r="H35" s="1033">
        <v>0</v>
      </c>
      <c r="I35" s="1033">
        <v>0</v>
      </c>
      <c r="J35" s="1033">
        <v>0</v>
      </c>
      <c r="K35" s="1033">
        <v>0</v>
      </c>
      <c r="L35" s="1033">
        <v>0</v>
      </c>
      <c r="M35" s="1033">
        <v>0</v>
      </c>
      <c r="N35" s="1033">
        <v>0</v>
      </c>
      <c r="O35" s="103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3">
        <v>0</v>
      </c>
      <c r="Y35" s="793">
        <v>0</v>
      </c>
      <c r="Z35" s="793">
        <v>0</v>
      </c>
      <c r="AA35" s="793">
        <v>0</v>
      </c>
      <c r="AB35" s="793">
        <v>4625</v>
      </c>
      <c r="AC35" s="793">
        <v>13897.51</v>
      </c>
      <c r="AD35" s="793">
        <v>23215.170000000002</v>
      </c>
      <c r="AE35" s="793">
        <v>32578.18</v>
      </c>
      <c r="AF35" s="793">
        <v>41986.770000000004</v>
      </c>
      <c r="AG35" s="793">
        <v>51441.16</v>
      </c>
      <c r="AH35" s="793">
        <v>60941.58</v>
      </c>
      <c r="AI35" s="793">
        <v>70488.25</v>
      </c>
      <c r="AJ35" s="793">
        <v>80081.38</v>
      </c>
      <c r="AK35" s="793">
        <v>89721.22</v>
      </c>
      <c r="AL35" s="793">
        <v>99407.98</v>
      </c>
      <c r="AM35" s="793">
        <v>109141.89</v>
      </c>
      <c r="AN35" s="793"/>
      <c r="AO35" s="793"/>
      <c r="AP35" s="793"/>
      <c r="AQ35" s="793"/>
      <c r="AR35" s="793"/>
      <c r="AS35" s="793"/>
      <c r="AT35" s="793"/>
      <c r="AU35" s="793"/>
      <c r="AV35" s="793"/>
      <c r="AW35" s="793"/>
      <c r="AX35" s="793"/>
      <c r="AY35" s="793"/>
      <c r="AZ35" s="793"/>
      <c r="BA35" s="793"/>
      <c r="BB35" s="793"/>
      <c r="BC35" s="793"/>
      <c r="BD35" s="793"/>
      <c r="BE35" s="793"/>
      <c r="BF35" s="793"/>
      <c r="BG35" s="793"/>
      <c r="BH35" s="793"/>
      <c r="BI35" s="793"/>
      <c r="BJ35" s="793"/>
      <c r="BK35" s="793"/>
      <c r="BL35" s="793"/>
      <c r="BM35" s="793"/>
      <c r="BN35" s="793"/>
      <c r="BO35" s="793"/>
      <c r="BP35" s="793"/>
      <c r="BQ35" s="793"/>
      <c r="BR35" s="793"/>
      <c r="BS35" s="793"/>
      <c r="BT35" s="793"/>
      <c r="BU35" s="793"/>
      <c r="BV35" s="793"/>
      <c r="BW35" s="793"/>
      <c r="BX35" s="437">
        <v>0</v>
      </c>
      <c r="BY35" s="437">
        <v>0</v>
      </c>
      <c r="BZ35" s="437">
        <v>52117.391538461547</v>
      </c>
      <c r="CA35" s="910"/>
      <c r="CB35" s="910"/>
      <c r="CC35" s="910"/>
      <c r="CE35" s="799"/>
      <c r="CF35" s="799"/>
    </row>
    <row r="36" spans="1:84" s="438" customFormat="1">
      <c r="A36" s="783" t="s">
        <v>297</v>
      </c>
      <c r="B36" s="783" t="s">
        <v>298</v>
      </c>
      <c r="C36" s="1033">
        <v>0</v>
      </c>
      <c r="D36" s="1033">
        <v>0</v>
      </c>
      <c r="E36" s="1033">
        <v>0</v>
      </c>
      <c r="F36" s="1033">
        <v>0</v>
      </c>
      <c r="G36" s="1033">
        <v>0</v>
      </c>
      <c r="H36" s="1033">
        <v>0</v>
      </c>
      <c r="I36" s="1033">
        <v>0</v>
      </c>
      <c r="J36" s="1033">
        <v>0</v>
      </c>
      <c r="K36" s="1033">
        <v>0</v>
      </c>
      <c r="L36" s="1033">
        <v>0</v>
      </c>
      <c r="M36" s="1033">
        <v>0</v>
      </c>
      <c r="N36" s="1033">
        <v>0</v>
      </c>
      <c r="O36" s="1033">
        <v>0</v>
      </c>
      <c r="P36" s="793">
        <v>11546.27</v>
      </c>
      <c r="Q36" s="793">
        <v>11602.48</v>
      </c>
      <c r="R36" s="793">
        <v>11658.960000000001</v>
      </c>
      <c r="S36" s="793">
        <v>11715.710000000001</v>
      </c>
      <c r="T36" s="793">
        <v>11772.74</v>
      </c>
      <c r="U36" s="793">
        <v>11830.050000000001</v>
      </c>
      <c r="V36" s="793">
        <v>11887.630000000001</v>
      </c>
      <c r="W36" s="793">
        <v>11945.5</v>
      </c>
      <c r="X36" s="793">
        <v>12003.65</v>
      </c>
      <c r="Y36" s="793">
        <v>12062.09</v>
      </c>
      <c r="Z36" s="793">
        <v>12120.81</v>
      </c>
      <c r="AA36" s="793">
        <v>12179.82</v>
      </c>
      <c r="AB36" s="793">
        <v>12239.12</v>
      </c>
      <c r="AC36" s="793">
        <v>12298.7</v>
      </c>
      <c r="AD36" s="793">
        <v>12358.57</v>
      </c>
      <c r="AE36" s="793">
        <v>12418.74</v>
      </c>
      <c r="AF36" s="793">
        <v>12479.2</v>
      </c>
      <c r="AG36" s="793">
        <v>12539.95</v>
      </c>
      <c r="AH36" s="793">
        <v>12600.99</v>
      </c>
      <c r="AI36" s="793">
        <v>12662.33</v>
      </c>
      <c r="AJ36" s="793">
        <v>12723.970000000001</v>
      </c>
      <c r="AK36" s="793">
        <v>12785.91</v>
      </c>
      <c r="AL36" s="793">
        <v>12848.15</v>
      </c>
      <c r="AM36" s="793">
        <v>12910.69</v>
      </c>
      <c r="AN36" s="793"/>
      <c r="AO36" s="793"/>
      <c r="AP36" s="793"/>
      <c r="AQ36" s="793"/>
      <c r="AR36" s="793"/>
      <c r="AS36" s="793"/>
      <c r="AT36" s="793"/>
      <c r="AU36" s="793"/>
      <c r="AV36" s="793"/>
      <c r="AW36" s="793"/>
      <c r="AX36" s="793"/>
      <c r="AY36" s="793"/>
      <c r="AZ36" s="793"/>
      <c r="BA36" s="793"/>
      <c r="BB36" s="793"/>
      <c r="BC36" s="793"/>
      <c r="BD36" s="793"/>
      <c r="BE36" s="793"/>
      <c r="BF36" s="793"/>
      <c r="BG36" s="793"/>
      <c r="BH36" s="793"/>
      <c r="BI36" s="793"/>
      <c r="BJ36" s="793"/>
      <c r="BK36" s="793"/>
      <c r="BL36" s="793"/>
      <c r="BM36" s="793"/>
      <c r="BN36" s="793"/>
      <c r="BO36" s="793"/>
      <c r="BP36" s="793"/>
      <c r="BQ36" s="793"/>
      <c r="BR36" s="793"/>
      <c r="BS36" s="793"/>
      <c r="BT36" s="793"/>
      <c r="BU36" s="793"/>
      <c r="BV36" s="793"/>
      <c r="BW36" s="793"/>
      <c r="BX36" s="437">
        <v>0</v>
      </c>
      <c r="BY36" s="437">
        <v>10948.131538461537</v>
      </c>
      <c r="BZ36" s="437">
        <v>12542.010769230768</v>
      </c>
      <c r="CA36" s="910"/>
      <c r="CB36" s="910"/>
      <c r="CC36" s="910"/>
      <c r="CE36" s="799"/>
      <c r="CF36" s="799"/>
    </row>
    <row r="37" spans="1:84">
      <c r="A37" s="783" t="s">
        <v>312</v>
      </c>
      <c r="B37" s="783" t="s">
        <v>313</v>
      </c>
      <c r="C37" s="1033">
        <v>0</v>
      </c>
      <c r="D37" s="1033">
        <v>0</v>
      </c>
      <c r="E37" s="1033">
        <v>0</v>
      </c>
      <c r="F37" s="1033">
        <v>0</v>
      </c>
      <c r="G37" s="1033">
        <v>0</v>
      </c>
      <c r="H37" s="1033">
        <v>0</v>
      </c>
      <c r="I37" s="1033">
        <v>0</v>
      </c>
      <c r="J37" s="1033">
        <v>0</v>
      </c>
      <c r="K37" s="1033">
        <v>0</v>
      </c>
      <c r="L37" s="1033">
        <v>0</v>
      </c>
      <c r="M37" s="1033">
        <v>0</v>
      </c>
      <c r="N37" s="1033">
        <v>0</v>
      </c>
      <c r="O37" s="1033">
        <v>0</v>
      </c>
      <c r="P37" s="793">
        <v>5000</v>
      </c>
      <c r="Q37" s="793">
        <v>15024.35</v>
      </c>
      <c r="R37" s="793">
        <v>25097.48</v>
      </c>
      <c r="S37" s="793">
        <v>35219.65</v>
      </c>
      <c r="T37" s="793">
        <v>45391.1</v>
      </c>
      <c r="U37" s="793">
        <v>55612.07</v>
      </c>
      <c r="V37" s="793">
        <v>65882.790000000008</v>
      </c>
      <c r="W37" s="793">
        <v>76203.5</v>
      </c>
      <c r="X37" s="793">
        <v>86574.46</v>
      </c>
      <c r="Y37" s="793">
        <v>96995.91</v>
      </c>
      <c r="Z37" s="793">
        <v>107468.08</v>
      </c>
      <c r="AA37" s="793">
        <v>117991.23</v>
      </c>
      <c r="AB37" s="793">
        <v>283715.62</v>
      </c>
      <c r="AC37" s="793">
        <v>605396.74</v>
      </c>
      <c r="AD37" s="793">
        <v>928643.81</v>
      </c>
      <c r="AE37" s="793">
        <v>1556803.44</v>
      </c>
      <c r="AF37" s="793">
        <v>2487402.96</v>
      </c>
      <c r="AG37" s="793">
        <v>3418575.63</v>
      </c>
      <c r="AH37" s="793">
        <v>4354281.25</v>
      </c>
      <c r="AI37" s="793">
        <v>5294541.8899999997</v>
      </c>
      <c r="AJ37" s="793">
        <v>6239379.7199999997</v>
      </c>
      <c r="AK37" s="793">
        <v>6838505.5199999996</v>
      </c>
      <c r="AL37" s="793">
        <v>7090236.3600000003</v>
      </c>
      <c r="AM37" s="793">
        <v>7343192.6299999999</v>
      </c>
      <c r="AN37" s="793"/>
      <c r="AO37" s="793"/>
      <c r="AP37" s="793"/>
      <c r="AQ37" s="793"/>
      <c r="AR37" s="793"/>
      <c r="AS37" s="793"/>
      <c r="AT37" s="793"/>
      <c r="AU37" s="793"/>
      <c r="AV37" s="793"/>
      <c r="AW37" s="793"/>
      <c r="AX37" s="793"/>
      <c r="AY37" s="793"/>
      <c r="AZ37" s="793"/>
      <c r="BA37" s="793"/>
      <c r="BB37" s="793"/>
      <c r="BC37" s="793"/>
      <c r="BD37" s="793"/>
      <c r="BE37" s="793"/>
      <c r="BF37" s="793"/>
      <c r="BG37" s="793"/>
      <c r="BH37" s="793"/>
      <c r="BI37" s="793"/>
      <c r="BJ37" s="793"/>
      <c r="BK37" s="793"/>
      <c r="BL37" s="793"/>
      <c r="BM37" s="793"/>
      <c r="BN37" s="793"/>
      <c r="BO37" s="793"/>
      <c r="BP37" s="793"/>
      <c r="BQ37" s="793"/>
      <c r="BR37" s="793"/>
      <c r="BS37" s="793"/>
      <c r="BT37" s="793"/>
      <c r="BU37" s="793"/>
      <c r="BV37" s="793"/>
      <c r="BW37" s="793"/>
      <c r="BX37" s="437">
        <v>0</v>
      </c>
      <c r="BY37" s="437">
        <v>56343.124615384615</v>
      </c>
      <c r="BZ37" s="437">
        <v>3581435.9076923081</v>
      </c>
      <c r="CA37" s="910"/>
      <c r="CB37" s="910"/>
      <c r="CC37" s="910"/>
      <c r="CE37" s="799"/>
      <c r="CF37" s="799"/>
    </row>
    <row r="38" spans="1:84" s="438" customFormat="1">
      <c r="A38" s="783" t="s">
        <v>299</v>
      </c>
      <c r="B38" s="783" t="s">
        <v>300</v>
      </c>
      <c r="C38" s="1033">
        <v>0</v>
      </c>
      <c r="D38" s="1033">
        <v>0</v>
      </c>
      <c r="E38" s="1033">
        <v>0</v>
      </c>
      <c r="F38" s="1033">
        <v>0</v>
      </c>
      <c r="G38" s="1033">
        <v>0</v>
      </c>
      <c r="H38" s="1033">
        <v>0</v>
      </c>
      <c r="I38" s="1033">
        <v>0</v>
      </c>
      <c r="J38" s="1033">
        <v>0</v>
      </c>
      <c r="K38" s="1033">
        <v>0</v>
      </c>
      <c r="L38" s="1033">
        <v>0</v>
      </c>
      <c r="M38" s="1033">
        <v>0</v>
      </c>
      <c r="N38" s="1033">
        <v>0</v>
      </c>
      <c r="O38" s="1033">
        <v>0</v>
      </c>
      <c r="P38" s="793">
        <v>0</v>
      </c>
      <c r="Q38" s="793">
        <v>0</v>
      </c>
      <c r="R38" s="793">
        <v>0</v>
      </c>
      <c r="S38" s="793">
        <v>0</v>
      </c>
      <c r="T38" s="793">
        <v>0</v>
      </c>
      <c r="U38" s="793">
        <v>0</v>
      </c>
      <c r="V38" s="793">
        <v>0</v>
      </c>
      <c r="W38" s="793">
        <v>0</v>
      </c>
      <c r="X38" s="793">
        <v>0</v>
      </c>
      <c r="Y38" s="793">
        <v>0</v>
      </c>
      <c r="Z38" s="793">
        <v>0</v>
      </c>
      <c r="AA38" s="793">
        <v>0</v>
      </c>
      <c r="AB38" s="793">
        <v>119882.69</v>
      </c>
      <c r="AC38" s="793">
        <v>360231.67999999999</v>
      </c>
      <c r="AD38" s="793">
        <v>601750.71</v>
      </c>
      <c r="AE38" s="793">
        <v>844445.45000000007</v>
      </c>
      <c r="AF38" s="793">
        <v>1088321.6299999999</v>
      </c>
      <c r="AG38" s="793">
        <v>1333385</v>
      </c>
      <c r="AH38" s="793">
        <v>1579641.33</v>
      </c>
      <c r="AI38" s="793">
        <v>1827096.4500000002</v>
      </c>
      <c r="AJ38" s="793">
        <v>2075756.17</v>
      </c>
      <c r="AK38" s="793">
        <v>2325626.38</v>
      </c>
      <c r="AL38" s="793">
        <v>2576712.9500000002</v>
      </c>
      <c r="AM38" s="793">
        <v>0</v>
      </c>
      <c r="AN38" s="793"/>
      <c r="AO38" s="793"/>
      <c r="AP38" s="793"/>
      <c r="AQ38" s="793"/>
      <c r="AR38" s="793"/>
      <c r="AS38" s="793"/>
      <c r="AT38" s="793"/>
      <c r="AU38" s="793"/>
      <c r="AV38" s="793"/>
      <c r="AW38" s="793"/>
      <c r="AX38" s="793"/>
      <c r="AY38" s="793"/>
      <c r="AZ38" s="793"/>
      <c r="BA38" s="793"/>
      <c r="BB38" s="793"/>
      <c r="BC38" s="793"/>
      <c r="BD38" s="793"/>
      <c r="BE38" s="793"/>
      <c r="BF38" s="793"/>
      <c r="BG38" s="793"/>
      <c r="BH38" s="793"/>
      <c r="BI38" s="793"/>
      <c r="BJ38" s="793"/>
      <c r="BK38" s="793"/>
      <c r="BL38" s="793"/>
      <c r="BM38" s="793"/>
      <c r="BN38" s="793"/>
      <c r="BO38" s="793"/>
      <c r="BP38" s="793"/>
      <c r="BQ38" s="793"/>
      <c r="BR38" s="793"/>
      <c r="BS38" s="793"/>
      <c r="BT38" s="793"/>
      <c r="BU38" s="793"/>
      <c r="BV38" s="793"/>
      <c r="BW38" s="793"/>
      <c r="BX38" s="437">
        <v>0</v>
      </c>
      <c r="BY38" s="437">
        <v>0</v>
      </c>
      <c r="BZ38" s="437">
        <v>1133296.1876923074</v>
      </c>
      <c r="CA38" s="910"/>
      <c r="CB38" s="910"/>
      <c r="CC38" s="910"/>
      <c r="CE38" s="799"/>
      <c r="CF38" s="799"/>
    </row>
    <row r="39" spans="1:84" s="438" customFormat="1">
      <c r="A39" s="783" t="s">
        <v>301</v>
      </c>
      <c r="B39" s="783" t="s">
        <v>302</v>
      </c>
      <c r="C39" s="1033">
        <v>0</v>
      </c>
      <c r="D39" s="1033">
        <v>0</v>
      </c>
      <c r="E39" s="1033">
        <v>0</v>
      </c>
      <c r="F39" s="1033">
        <v>0</v>
      </c>
      <c r="G39" s="1033">
        <v>0</v>
      </c>
      <c r="H39" s="1033">
        <v>0</v>
      </c>
      <c r="I39" s="1033">
        <v>0</v>
      </c>
      <c r="J39" s="1033">
        <v>0</v>
      </c>
      <c r="K39" s="1033">
        <v>0</v>
      </c>
      <c r="L39" s="1033">
        <v>0</v>
      </c>
      <c r="M39" s="1033">
        <v>0</v>
      </c>
      <c r="N39" s="1033">
        <v>0</v>
      </c>
      <c r="O39" s="1033">
        <v>0</v>
      </c>
      <c r="P39" s="793">
        <v>0</v>
      </c>
      <c r="Q39" s="793">
        <v>0</v>
      </c>
      <c r="R39" s="793">
        <v>0</v>
      </c>
      <c r="S39" s="793">
        <v>0</v>
      </c>
      <c r="T39" s="793">
        <v>0</v>
      </c>
      <c r="U39" s="793">
        <v>0</v>
      </c>
      <c r="V39" s="793">
        <v>0</v>
      </c>
      <c r="W39" s="793">
        <v>0</v>
      </c>
      <c r="X39" s="793">
        <v>0</v>
      </c>
      <c r="Y39" s="793">
        <v>0</v>
      </c>
      <c r="Z39" s="793">
        <v>0</v>
      </c>
      <c r="AA39" s="793">
        <v>0</v>
      </c>
      <c r="AB39" s="793">
        <v>17911.060000000001</v>
      </c>
      <c r="AC39" s="793">
        <v>53820.35</v>
      </c>
      <c r="AD39" s="793">
        <v>89904.430000000008</v>
      </c>
      <c r="AE39" s="793">
        <v>126164.17</v>
      </c>
      <c r="AF39" s="793">
        <v>162600.42000000001</v>
      </c>
      <c r="AG39" s="793">
        <v>199214.04</v>
      </c>
      <c r="AH39" s="793">
        <v>236005.89</v>
      </c>
      <c r="AI39" s="793">
        <v>272976.84999999998</v>
      </c>
      <c r="AJ39" s="793">
        <v>310127.78000000003</v>
      </c>
      <c r="AK39" s="793">
        <v>347459.56</v>
      </c>
      <c r="AL39" s="793">
        <v>384973.07</v>
      </c>
      <c r="AM39" s="793">
        <v>0</v>
      </c>
      <c r="AN39" s="793"/>
      <c r="AO39" s="793"/>
      <c r="AP39" s="793"/>
      <c r="AQ39" s="793"/>
      <c r="AR39" s="793"/>
      <c r="AS39" s="793"/>
      <c r="AT39" s="793"/>
      <c r="AU39" s="793"/>
      <c r="AV39" s="793"/>
      <c r="AW39" s="793"/>
      <c r="AX39" s="793"/>
      <c r="AY39" s="793"/>
      <c r="AZ39" s="793"/>
      <c r="BA39" s="793"/>
      <c r="BB39" s="793"/>
      <c r="BC39" s="793"/>
      <c r="BD39" s="793"/>
      <c r="BE39" s="793"/>
      <c r="BF39" s="793"/>
      <c r="BG39" s="793"/>
      <c r="BH39" s="793"/>
      <c r="BI39" s="793"/>
      <c r="BJ39" s="793"/>
      <c r="BK39" s="793"/>
      <c r="BL39" s="793"/>
      <c r="BM39" s="793"/>
      <c r="BN39" s="793"/>
      <c r="BO39" s="793"/>
      <c r="BP39" s="793"/>
      <c r="BQ39" s="793"/>
      <c r="BR39" s="793"/>
      <c r="BS39" s="793"/>
      <c r="BT39" s="793"/>
      <c r="BU39" s="793"/>
      <c r="BV39" s="793"/>
      <c r="BW39" s="793"/>
      <c r="BX39" s="437">
        <v>0</v>
      </c>
      <c r="BY39" s="437">
        <v>0</v>
      </c>
      <c r="BZ39" s="437">
        <v>169319.81692307693</v>
      </c>
      <c r="CA39" s="910"/>
      <c r="CB39" s="910"/>
      <c r="CC39" s="910"/>
      <c r="CE39" s="799"/>
      <c r="CF39" s="799"/>
    </row>
    <row r="40" spans="1:84" s="438" customFormat="1">
      <c r="A40" s="783" t="s">
        <v>303</v>
      </c>
      <c r="B40" s="783" t="s">
        <v>304</v>
      </c>
      <c r="C40" s="1033">
        <v>0</v>
      </c>
      <c r="D40" s="1033">
        <v>0</v>
      </c>
      <c r="E40" s="1033">
        <v>0</v>
      </c>
      <c r="F40" s="1033">
        <v>0</v>
      </c>
      <c r="G40" s="1033">
        <v>0</v>
      </c>
      <c r="H40" s="1033">
        <v>0</v>
      </c>
      <c r="I40" s="1033">
        <v>0</v>
      </c>
      <c r="J40" s="1033">
        <v>0</v>
      </c>
      <c r="K40" s="1033">
        <v>0</v>
      </c>
      <c r="L40" s="1033">
        <v>0</v>
      </c>
      <c r="M40" s="1033">
        <v>0</v>
      </c>
      <c r="N40" s="1033">
        <v>0</v>
      </c>
      <c r="O40" s="1033">
        <v>0</v>
      </c>
      <c r="P40" s="793">
        <v>0</v>
      </c>
      <c r="Q40" s="793">
        <v>0</v>
      </c>
      <c r="R40" s="793">
        <v>0</v>
      </c>
      <c r="S40" s="793">
        <v>0</v>
      </c>
      <c r="T40" s="793">
        <v>0</v>
      </c>
      <c r="U40" s="793">
        <v>0</v>
      </c>
      <c r="V40" s="793">
        <v>0</v>
      </c>
      <c r="W40" s="793">
        <v>0</v>
      </c>
      <c r="X40" s="793">
        <v>0</v>
      </c>
      <c r="Y40" s="793">
        <v>0</v>
      </c>
      <c r="Z40" s="793">
        <v>0</v>
      </c>
      <c r="AA40" s="793">
        <v>0</v>
      </c>
      <c r="AB40" s="793">
        <v>32707.5</v>
      </c>
      <c r="AC40" s="793">
        <v>98281.72</v>
      </c>
      <c r="AD40" s="793">
        <v>164175.16</v>
      </c>
      <c r="AE40" s="793">
        <v>230389.36000000002</v>
      </c>
      <c r="AF40" s="793">
        <v>296925.90000000002</v>
      </c>
      <c r="AG40" s="793">
        <v>363786.33</v>
      </c>
      <c r="AH40" s="793">
        <v>430972.25</v>
      </c>
      <c r="AI40" s="793">
        <v>498485.22000000003</v>
      </c>
      <c r="AJ40" s="793">
        <v>566326.85</v>
      </c>
      <c r="AK40" s="793">
        <v>634498.73</v>
      </c>
      <c r="AL40" s="793">
        <v>703002.47</v>
      </c>
      <c r="AM40" s="793">
        <v>0</v>
      </c>
      <c r="AN40" s="793"/>
      <c r="AO40" s="793"/>
      <c r="AP40" s="793"/>
      <c r="AQ40" s="793"/>
      <c r="AR40" s="793"/>
      <c r="AS40" s="793"/>
      <c r="AT40" s="793"/>
      <c r="AU40" s="793"/>
      <c r="AV40" s="793"/>
      <c r="AW40" s="793"/>
      <c r="AX40" s="793"/>
      <c r="AY40" s="793"/>
      <c r="AZ40" s="793"/>
      <c r="BA40" s="793"/>
      <c r="BB40" s="793"/>
      <c r="BC40" s="793"/>
      <c r="BD40" s="793"/>
      <c r="BE40" s="793"/>
      <c r="BF40" s="793"/>
      <c r="BG40" s="793"/>
      <c r="BH40" s="793"/>
      <c r="BI40" s="793"/>
      <c r="BJ40" s="793"/>
      <c r="BK40" s="793"/>
      <c r="BL40" s="793"/>
      <c r="BM40" s="793"/>
      <c r="BN40" s="793"/>
      <c r="BO40" s="793"/>
      <c r="BP40" s="793"/>
      <c r="BQ40" s="793"/>
      <c r="BR40" s="793"/>
      <c r="BS40" s="793"/>
      <c r="BT40" s="793"/>
      <c r="BU40" s="793"/>
      <c r="BV40" s="793"/>
      <c r="BW40" s="793"/>
      <c r="BX40" s="437">
        <v>0</v>
      </c>
      <c r="BY40" s="437">
        <v>0</v>
      </c>
      <c r="BZ40" s="437">
        <v>309196.26846153848</v>
      </c>
      <c r="CA40" s="910"/>
      <c r="CB40" s="910"/>
      <c r="CC40" s="910"/>
      <c r="CE40" s="799"/>
      <c r="CF40" s="799"/>
    </row>
    <row r="41" spans="1:84" s="438" customFormat="1">
      <c r="A41" s="783" t="s">
        <v>305</v>
      </c>
      <c r="B41" s="783" t="s">
        <v>263</v>
      </c>
      <c r="C41" s="1033">
        <v>0</v>
      </c>
      <c r="D41" s="1033">
        <v>0</v>
      </c>
      <c r="E41" s="1033">
        <v>0</v>
      </c>
      <c r="F41" s="1033">
        <v>0</v>
      </c>
      <c r="G41" s="1033">
        <v>0</v>
      </c>
      <c r="H41" s="1033">
        <v>0</v>
      </c>
      <c r="I41" s="1033">
        <v>0</v>
      </c>
      <c r="J41" s="1033">
        <v>0</v>
      </c>
      <c r="K41" s="1033">
        <v>0</v>
      </c>
      <c r="L41" s="1033">
        <v>0</v>
      </c>
      <c r="M41" s="1033">
        <v>0</v>
      </c>
      <c r="N41" s="1033">
        <v>0</v>
      </c>
      <c r="O41" s="1033">
        <v>0</v>
      </c>
      <c r="P41" s="793">
        <v>6434216.6699999999</v>
      </c>
      <c r="Q41" s="793">
        <v>0</v>
      </c>
      <c r="R41" s="793">
        <v>0</v>
      </c>
      <c r="S41" s="793">
        <v>0</v>
      </c>
      <c r="T41" s="793">
        <v>0</v>
      </c>
      <c r="U41" s="793">
        <v>0</v>
      </c>
      <c r="V41" s="793">
        <v>0</v>
      </c>
      <c r="W41" s="793">
        <v>0</v>
      </c>
      <c r="X41" s="793">
        <v>0</v>
      </c>
      <c r="Y41" s="793">
        <v>0</v>
      </c>
      <c r="Z41" s="793">
        <v>0</v>
      </c>
      <c r="AA41" s="793">
        <v>0</v>
      </c>
      <c r="AB41" s="793">
        <v>0</v>
      </c>
      <c r="AC41" s="793">
        <v>0</v>
      </c>
      <c r="AD41" s="793">
        <v>0</v>
      </c>
      <c r="AE41" s="793">
        <v>0</v>
      </c>
      <c r="AF41" s="793">
        <v>0</v>
      </c>
      <c r="AG41" s="793">
        <v>0</v>
      </c>
      <c r="AH41" s="793">
        <v>0</v>
      </c>
      <c r="AI41" s="793">
        <v>0</v>
      </c>
      <c r="AJ41" s="793">
        <v>0</v>
      </c>
      <c r="AK41" s="793">
        <v>0</v>
      </c>
      <c r="AL41" s="793">
        <v>0</v>
      </c>
      <c r="AM41" s="793">
        <v>0</v>
      </c>
      <c r="AN41" s="793"/>
      <c r="AO41" s="793"/>
      <c r="AP41" s="793"/>
      <c r="AQ41" s="793"/>
      <c r="AR41" s="793"/>
      <c r="AS41" s="793"/>
      <c r="AT41" s="793"/>
      <c r="AU41" s="793"/>
      <c r="AV41" s="793"/>
      <c r="AW41" s="793"/>
      <c r="AX41" s="793"/>
      <c r="AY41" s="793"/>
      <c r="AZ41" s="793"/>
      <c r="BA41" s="793"/>
      <c r="BB41" s="793"/>
      <c r="BC41" s="793"/>
      <c r="BD41" s="793"/>
      <c r="BE41" s="793"/>
      <c r="BF41" s="793"/>
      <c r="BG41" s="793"/>
      <c r="BH41" s="793"/>
      <c r="BI41" s="793"/>
      <c r="BJ41" s="793"/>
      <c r="BK41" s="793"/>
      <c r="BL41" s="793"/>
      <c r="BM41" s="793"/>
      <c r="BN41" s="793"/>
      <c r="BO41" s="793"/>
      <c r="BP41" s="793"/>
      <c r="BQ41" s="793"/>
      <c r="BR41" s="793"/>
      <c r="BS41" s="793"/>
      <c r="BT41" s="793"/>
      <c r="BU41" s="793"/>
      <c r="BV41" s="793"/>
      <c r="BW41" s="793"/>
      <c r="BX41" s="437">
        <v>0</v>
      </c>
      <c r="BY41" s="437">
        <v>494939.74384615384</v>
      </c>
      <c r="BZ41" s="437">
        <v>0</v>
      </c>
      <c r="CA41" s="910"/>
      <c r="CB41" s="910"/>
      <c r="CC41" s="910"/>
      <c r="CE41" s="799"/>
      <c r="CF41" s="799"/>
    </row>
    <row r="42" spans="1:84">
      <c r="A42" s="783" t="s">
        <v>306</v>
      </c>
      <c r="B42" s="783" t="s">
        <v>307</v>
      </c>
      <c r="C42" s="1033">
        <v>0</v>
      </c>
      <c r="D42" s="1033">
        <v>0</v>
      </c>
      <c r="E42" s="1033">
        <v>0</v>
      </c>
      <c r="F42" s="1033">
        <v>0</v>
      </c>
      <c r="G42" s="1033">
        <v>0</v>
      </c>
      <c r="H42" s="1033">
        <v>0</v>
      </c>
      <c r="I42" s="1033">
        <v>0</v>
      </c>
      <c r="J42" s="1033">
        <v>0</v>
      </c>
      <c r="K42" s="1033">
        <v>0</v>
      </c>
      <c r="L42" s="1033">
        <v>0</v>
      </c>
      <c r="M42" s="1033">
        <v>0</v>
      </c>
      <c r="N42" s="1033">
        <v>0</v>
      </c>
      <c r="O42" s="1033">
        <v>0</v>
      </c>
      <c r="P42" s="793">
        <v>26865</v>
      </c>
      <c r="Q42" s="793">
        <v>0</v>
      </c>
      <c r="R42" s="793">
        <v>0</v>
      </c>
      <c r="S42" s="793">
        <v>0</v>
      </c>
      <c r="T42" s="793">
        <v>0</v>
      </c>
      <c r="U42" s="793">
        <v>0</v>
      </c>
      <c r="V42" s="793">
        <v>0</v>
      </c>
      <c r="W42" s="793">
        <v>0</v>
      </c>
      <c r="X42" s="793">
        <v>0</v>
      </c>
      <c r="Y42" s="793">
        <v>0</v>
      </c>
      <c r="Z42" s="793">
        <v>0</v>
      </c>
      <c r="AA42" s="793">
        <v>0</v>
      </c>
      <c r="AB42" s="793">
        <v>0</v>
      </c>
      <c r="AC42" s="793">
        <v>0</v>
      </c>
      <c r="AD42" s="793">
        <v>0</v>
      </c>
      <c r="AE42" s="793">
        <v>0</v>
      </c>
      <c r="AF42" s="793">
        <v>0</v>
      </c>
      <c r="AG42" s="793">
        <v>0</v>
      </c>
      <c r="AH42" s="793">
        <v>0</v>
      </c>
      <c r="AI42" s="793">
        <v>0</v>
      </c>
      <c r="AJ42" s="793">
        <v>0</v>
      </c>
      <c r="AK42" s="793">
        <v>0</v>
      </c>
      <c r="AL42" s="793">
        <v>0</v>
      </c>
      <c r="AM42" s="793">
        <v>0</v>
      </c>
      <c r="AN42" s="793"/>
      <c r="AO42" s="793"/>
      <c r="AP42" s="793"/>
      <c r="AQ42" s="793"/>
      <c r="AR42" s="793"/>
      <c r="AS42" s="793"/>
      <c r="AT42" s="793"/>
      <c r="AU42" s="793"/>
      <c r="AV42" s="793"/>
      <c r="AW42" s="793"/>
      <c r="AX42" s="793"/>
      <c r="AY42" s="793"/>
      <c r="AZ42" s="793"/>
      <c r="BA42" s="793"/>
      <c r="BB42" s="793"/>
      <c r="BC42" s="793"/>
      <c r="BD42" s="793"/>
      <c r="BE42" s="793"/>
      <c r="BF42" s="793"/>
      <c r="BG42" s="793"/>
      <c r="BH42" s="793"/>
      <c r="BI42" s="793"/>
      <c r="BJ42" s="793"/>
      <c r="BK42" s="793"/>
      <c r="BL42" s="793"/>
      <c r="BM42" s="793"/>
      <c r="BN42" s="793"/>
      <c r="BO42" s="793"/>
      <c r="BP42" s="793"/>
      <c r="BQ42" s="793"/>
      <c r="BR42" s="793"/>
      <c r="BS42" s="793"/>
      <c r="BT42" s="793"/>
      <c r="BU42" s="793"/>
      <c r="BV42" s="793"/>
      <c r="BW42" s="793"/>
      <c r="BX42" s="437">
        <v>0</v>
      </c>
      <c r="BY42" s="437">
        <v>2066.5384615384614</v>
      </c>
      <c r="BZ42" s="437">
        <v>0</v>
      </c>
      <c r="CA42" s="910"/>
      <c r="CB42" s="910"/>
      <c r="CC42" s="910"/>
      <c r="CD42" s="438"/>
      <c r="CE42" s="799"/>
      <c r="CF42" s="799"/>
    </row>
    <row r="43" spans="1:84">
      <c r="A43" s="783" t="s">
        <v>1178</v>
      </c>
      <c r="B43" s="783" t="s">
        <v>1179</v>
      </c>
      <c r="C43" s="1033">
        <v>0</v>
      </c>
      <c r="D43" s="1033">
        <v>0</v>
      </c>
      <c r="E43" s="1033">
        <v>0</v>
      </c>
      <c r="F43" s="1033">
        <v>0</v>
      </c>
      <c r="G43" s="1033">
        <v>0</v>
      </c>
      <c r="H43" s="1033">
        <v>0</v>
      </c>
      <c r="I43" s="1033">
        <v>0</v>
      </c>
      <c r="J43" s="1033">
        <v>0</v>
      </c>
      <c r="K43" s="1033">
        <v>0</v>
      </c>
      <c r="L43" s="1033">
        <v>0</v>
      </c>
      <c r="M43" s="1033">
        <v>0</v>
      </c>
      <c r="N43" s="1033">
        <v>0</v>
      </c>
      <c r="O43" s="1033">
        <v>0</v>
      </c>
      <c r="P43" s="793">
        <v>51261</v>
      </c>
      <c r="Q43" s="793">
        <v>154032.53</v>
      </c>
      <c r="R43" s="793">
        <v>257304.36000000002</v>
      </c>
      <c r="S43" s="793">
        <v>348980.42</v>
      </c>
      <c r="T43" s="793">
        <v>429004.26</v>
      </c>
      <c r="U43" s="793">
        <v>485920.15</v>
      </c>
      <c r="V43" s="793">
        <v>545246.11</v>
      </c>
      <c r="W43" s="793">
        <v>630491.36</v>
      </c>
      <c r="X43" s="793">
        <v>716151.59</v>
      </c>
      <c r="Y43" s="793">
        <v>802228.82000000007</v>
      </c>
      <c r="Z43" s="793">
        <v>888725.07000000007</v>
      </c>
      <c r="AA43" s="793">
        <v>975642.38</v>
      </c>
      <c r="AB43" s="793">
        <v>1037352.31</v>
      </c>
      <c r="AC43" s="793">
        <v>1073732.1399999999</v>
      </c>
      <c r="AD43" s="793">
        <v>1110289.07</v>
      </c>
      <c r="AE43" s="793">
        <v>1147023.96</v>
      </c>
      <c r="AF43" s="793">
        <v>1183937.68</v>
      </c>
      <c r="AG43" s="793">
        <v>1221031.08</v>
      </c>
      <c r="AH43" s="793">
        <v>1258305.06</v>
      </c>
      <c r="AI43" s="793">
        <v>1295760.49</v>
      </c>
      <c r="AJ43" s="793">
        <v>1333398.25</v>
      </c>
      <c r="AK43" s="793">
        <v>0</v>
      </c>
      <c r="AL43" s="793">
        <v>0</v>
      </c>
      <c r="AM43" s="793">
        <v>0</v>
      </c>
      <c r="AN43" s="793"/>
      <c r="AO43" s="793"/>
      <c r="AP43" s="793"/>
      <c r="AQ43" s="793"/>
      <c r="AR43" s="793"/>
      <c r="AS43" s="793"/>
      <c r="AT43" s="793"/>
      <c r="AU43" s="793"/>
      <c r="AV43" s="793"/>
      <c r="AW43" s="793"/>
      <c r="AX43" s="793"/>
      <c r="AY43" s="793"/>
      <c r="AZ43" s="793"/>
      <c r="BA43" s="793"/>
      <c r="BB43" s="793"/>
      <c r="BC43" s="793"/>
      <c r="BD43" s="793"/>
      <c r="BE43" s="793"/>
      <c r="BF43" s="793"/>
      <c r="BG43" s="793"/>
      <c r="BH43" s="793"/>
      <c r="BI43" s="793"/>
      <c r="BJ43" s="793"/>
      <c r="BK43" s="793"/>
      <c r="BL43" s="793"/>
      <c r="BM43" s="793"/>
      <c r="BN43" s="793"/>
      <c r="BO43" s="793"/>
      <c r="BP43" s="793"/>
      <c r="BQ43" s="793"/>
      <c r="BR43" s="793"/>
      <c r="BS43" s="793"/>
      <c r="BT43" s="793"/>
      <c r="BU43" s="793"/>
      <c r="BV43" s="793"/>
      <c r="BW43" s="793"/>
      <c r="BX43" s="437">
        <v>0</v>
      </c>
      <c r="BY43" s="437">
        <v>483460.61923076923</v>
      </c>
      <c r="BZ43" s="437">
        <v>895113.26307692309</v>
      </c>
      <c r="CA43" s="910"/>
      <c r="CB43" s="910"/>
      <c r="CC43" s="910"/>
      <c r="CD43" s="438"/>
      <c r="CE43" s="799"/>
      <c r="CF43" s="799"/>
    </row>
    <row r="44" spans="1:84">
      <c r="A44" s="783" t="s">
        <v>1180</v>
      </c>
      <c r="B44" s="783" t="s">
        <v>1181</v>
      </c>
      <c r="C44" s="1033">
        <v>0</v>
      </c>
      <c r="D44" s="1033">
        <v>0</v>
      </c>
      <c r="E44" s="1033">
        <v>0</v>
      </c>
      <c r="F44" s="1033">
        <v>0</v>
      </c>
      <c r="G44" s="1033">
        <v>0</v>
      </c>
      <c r="H44" s="1033">
        <v>0</v>
      </c>
      <c r="I44" s="1033">
        <v>0</v>
      </c>
      <c r="J44" s="1033">
        <v>0</v>
      </c>
      <c r="K44" s="1033">
        <v>0</v>
      </c>
      <c r="L44" s="1033">
        <v>0</v>
      </c>
      <c r="M44" s="1033">
        <v>0</v>
      </c>
      <c r="N44" s="1033">
        <v>0</v>
      </c>
      <c r="O44" s="1033">
        <v>0</v>
      </c>
      <c r="P44" s="793">
        <v>0</v>
      </c>
      <c r="Q44" s="793">
        <v>0</v>
      </c>
      <c r="R44" s="793">
        <v>0</v>
      </c>
      <c r="S44" s="793">
        <v>0</v>
      </c>
      <c r="T44" s="793">
        <v>5000</v>
      </c>
      <c r="U44" s="793">
        <v>15024.35</v>
      </c>
      <c r="V44" s="793">
        <v>26684.98</v>
      </c>
      <c r="W44" s="793">
        <v>42364.38</v>
      </c>
      <c r="X44" s="793">
        <v>60494.61</v>
      </c>
      <c r="Y44" s="793">
        <v>78713.100000000006</v>
      </c>
      <c r="Z44" s="793">
        <v>97020.28</v>
      </c>
      <c r="AA44" s="793">
        <v>123806.57</v>
      </c>
      <c r="AB44" s="793">
        <v>159113.26</v>
      </c>
      <c r="AC44" s="793">
        <v>194591.83000000002</v>
      </c>
      <c r="AD44" s="793">
        <v>230243.1</v>
      </c>
      <c r="AE44" s="793">
        <v>266067.93</v>
      </c>
      <c r="AF44" s="793">
        <v>302067.15000000002</v>
      </c>
      <c r="AG44" s="793">
        <v>338241.61</v>
      </c>
      <c r="AH44" s="793">
        <v>374592.17</v>
      </c>
      <c r="AI44" s="793">
        <v>411119.68</v>
      </c>
      <c r="AJ44" s="793">
        <v>447825.01</v>
      </c>
      <c r="AK44" s="793">
        <v>484709.02</v>
      </c>
      <c r="AL44" s="793">
        <v>521772.58</v>
      </c>
      <c r="AM44" s="793">
        <v>559016.57000000007</v>
      </c>
      <c r="AN44" s="793"/>
      <c r="AO44" s="793"/>
      <c r="AP44" s="793"/>
      <c r="AQ44" s="793"/>
      <c r="AR44" s="793"/>
      <c r="AS44" s="793"/>
      <c r="AT44" s="793"/>
      <c r="AU44" s="793"/>
      <c r="AV44" s="793"/>
      <c r="AW44" s="793"/>
      <c r="AX44" s="793"/>
      <c r="AY44" s="793"/>
      <c r="AZ44" s="793"/>
      <c r="BA44" s="793"/>
      <c r="BB44" s="793"/>
      <c r="BC44" s="793"/>
      <c r="BD44" s="793"/>
      <c r="BE44" s="793"/>
      <c r="BF44" s="793"/>
      <c r="BG44" s="793"/>
      <c r="BH44" s="793"/>
      <c r="BI44" s="793"/>
      <c r="BJ44" s="793"/>
      <c r="BK44" s="793"/>
      <c r="BL44" s="793"/>
      <c r="BM44" s="793"/>
      <c r="BN44" s="793"/>
      <c r="BO44" s="793"/>
      <c r="BP44" s="793"/>
      <c r="BQ44" s="793"/>
      <c r="BR44" s="793"/>
      <c r="BS44" s="793"/>
      <c r="BT44" s="793"/>
      <c r="BU44" s="793"/>
      <c r="BV44" s="793"/>
      <c r="BW44" s="793"/>
      <c r="BX44" s="437">
        <v>0</v>
      </c>
      <c r="BY44" s="437">
        <v>34546.79</v>
      </c>
      <c r="BZ44" s="437">
        <v>339474.34461538459</v>
      </c>
      <c r="CA44" s="910"/>
      <c r="CB44" s="910"/>
      <c r="CC44" s="910"/>
      <c r="CD44" s="438"/>
      <c r="CE44" s="799"/>
      <c r="CF44" s="799"/>
    </row>
    <row r="45" spans="1:84" ht="14.25" customHeight="1">
      <c r="A45" s="783" t="s">
        <v>1182</v>
      </c>
      <c r="B45" s="783" t="s">
        <v>1183</v>
      </c>
      <c r="C45" s="1033">
        <v>0</v>
      </c>
      <c r="D45" s="1033">
        <v>0</v>
      </c>
      <c r="E45" s="1033">
        <v>0</v>
      </c>
      <c r="F45" s="1033">
        <v>0</v>
      </c>
      <c r="G45" s="1033">
        <v>0</v>
      </c>
      <c r="H45" s="1033">
        <v>0</v>
      </c>
      <c r="I45" s="1033">
        <v>0</v>
      </c>
      <c r="J45" s="1033">
        <v>0</v>
      </c>
      <c r="K45" s="1033">
        <v>0</v>
      </c>
      <c r="L45" s="1033">
        <v>0</v>
      </c>
      <c r="M45" s="1033">
        <v>0</v>
      </c>
      <c r="N45" s="1033">
        <v>0</v>
      </c>
      <c r="O45" s="1033">
        <v>0</v>
      </c>
      <c r="P45" s="793">
        <v>0</v>
      </c>
      <c r="Q45" s="793">
        <v>0</v>
      </c>
      <c r="R45" s="793">
        <v>0</v>
      </c>
      <c r="S45" s="793">
        <v>0</v>
      </c>
      <c r="T45" s="793">
        <v>5000</v>
      </c>
      <c r="U45" s="793">
        <v>15024.35</v>
      </c>
      <c r="V45" s="793">
        <v>86500.98</v>
      </c>
      <c r="W45" s="793">
        <v>229213.07</v>
      </c>
      <c r="X45" s="793">
        <v>382103.88</v>
      </c>
      <c r="Y45" s="793">
        <v>535738.97</v>
      </c>
      <c r="Z45" s="793">
        <v>690121.94000000006</v>
      </c>
      <c r="AA45" s="793">
        <v>792351.95000000007</v>
      </c>
      <c r="AB45" s="793">
        <v>842175.12</v>
      </c>
      <c r="AC45" s="793">
        <v>892240.83000000007</v>
      </c>
      <c r="AD45" s="793">
        <v>942550.26</v>
      </c>
      <c r="AE45" s="793">
        <v>993104.59</v>
      </c>
      <c r="AF45" s="793">
        <v>1043905.02</v>
      </c>
      <c r="AG45" s="793">
        <v>1094952.75</v>
      </c>
      <c r="AH45" s="793">
        <v>1146248.98</v>
      </c>
      <c r="AI45" s="793">
        <v>1197794.92</v>
      </c>
      <c r="AJ45" s="793">
        <v>1249591.78</v>
      </c>
      <c r="AK45" s="793">
        <v>1301640.79</v>
      </c>
      <c r="AL45" s="793">
        <v>1353943.18</v>
      </c>
      <c r="AM45" s="793">
        <v>1406500.17</v>
      </c>
      <c r="AN45" s="793"/>
      <c r="AO45" s="793"/>
      <c r="AP45" s="793"/>
      <c r="AQ45" s="793"/>
      <c r="AR45" s="793"/>
      <c r="AS45" s="793"/>
      <c r="AT45" s="793"/>
      <c r="AU45" s="793"/>
      <c r="AV45" s="793"/>
      <c r="AW45" s="793"/>
      <c r="AX45" s="793"/>
      <c r="AY45" s="793"/>
      <c r="AZ45" s="793"/>
      <c r="BA45" s="793"/>
      <c r="BB45" s="793"/>
      <c r="BC45" s="793"/>
      <c r="BD45" s="793"/>
      <c r="BE45" s="793"/>
      <c r="BF45" s="793"/>
      <c r="BG45" s="793"/>
      <c r="BH45" s="793"/>
      <c r="BI45" s="793"/>
      <c r="BJ45" s="793"/>
      <c r="BK45" s="793"/>
      <c r="BL45" s="793"/>
      <c r="BM45" s="793"/>
      <c r="BN45" s="793"/>
      <c r="BO45" s="793"/>
      <c r="BP45" s="793"/>
      <c r="BQ45" s="793"/>
      <c r="BR45" s="793"/>
      <c r="BS45" s="793"/>
      <c r="BT45" s="793"/>
      <c r="BU45" s="793"/>
      <c r="BV45" s="793"/>
      <c r="BW45" s="793"/>
      <c r="BX45" s="437">
        <v>0</v>
      </c>
      <c r="BY45" s="437">
        <v>210465.78</v>
      </c>
      <c r="BZ45" s="437">
        <v>1096692.3338461537</v>
      </c>
      <c r="CA45" s="910"/>
      <c r="CB45" s="910"/>
      <c r="CC45" s="910"/>
      <c r="CD45" s="438"/>
      <c r="CE45" s="799"/>
      <c r="CF45" s="799"/>
    </row>
    <row r="46" spans="1:84">
      <c r="A46" s="783" t="s">
        <v>308</v>
      </c>
      <c r="B46" s="783" t="s">
        <v>309</v>
      </c>
      <c r="C46" s="1033">
        <v>0</v>
      </c>
      <c r="D46" s="1033">
        <v>0</v>
      </c>
      <c r="E46" s="1033">
        <v>0</v>
      </c>
      <c r="F46" s="1033">
        <v>0</v>
      </c>
      <c r="G46" s="1033">
        <v>0</v>
      </c>
      <c r="H46" s="1033">
        <v>0</v>
      </c>
      <c r="I46" s="1033">
        <v>0</v>
      </c>
      <c r="J46" s="1033">
        <v>0</v>
      </c>
      <c r="K46" s="1033">
        <v>0</v>
      </c>
      <c r="L46" s="1033">
        <v>0</v>
      </c>
      <c r="M46" s="1033">
        <v>0</v>
      </c>
      <c r="N46" s="1033">
        <v>0</v>
      </c>
      <c r="O46" s="1033">
        <v>0</v>
      </c>
      <c r="P46" s="793">
        <v>0</v>
      </c>
      <c r="Q46" s="793">
        <v>0</v>
      </c>
      <c r="R46" s="793">
        <v>0</v>
      </c>
      <c r="S46" s="793">
        <v>0</v>
      </c>
      <c r="T46" s="793">
        <v>0</v>
      </c>
      <c r="U46" s="793">
        <v>0</v>
      </c>
      <c r="V46" s="793">
        <v>0</v>
      </c>
      <c r="W46" s="793">
        <v>0</v>
      </c>
      <c r="X46" s="793">
        <v>0</v>
      </c>
      <c r="Y46" s="793">
        <v>0</v>
      </c>
      <c r="Z46" s="793">
        <v>0</v>
      </c>
      <c r="AA46" s="793">
        <v>0</v>
      </c>
      <c r="AB46" s="793">
        <v>850</v>
      </c>
      <c r="AC46" s="793">
        <v>2554.14</v>
      </c>
      <c r="AD46" s="793">
        <v>4266.58</v>
      </c>
      <c r="AE46" s="793">
        <v>5987.35</v>
      </c>
      <c r="AF46" s="793">
        <v>9416.5</v>
      </c>
      <c r="AG46" s="793">
        <v>14562.34</v>
      </c>
      <c r="AH46" s="793">
        <v>102183.23</v>
      </c>
      <c r="AI46" s="793">
        <v>272680.66000000003</v>
      </c>
      <c r="AJ46" s="793">
        <v>486508.07</v>
      </c>
      <c r="AK46" s="793">
        <v>743876.39</v>
      </c>
      <c r="AL46" s="793">
        <v>1083247.58</v>
      </c>
      <c r="AM46" s="793">
        <v>1505020.83</v>
      </c>
      <c r="AN46" s="793"/>
      <c r="AO46" s="793"/>
      <c r="AP46" s="793"/>
      <c r="AQ46" s="793"/>
      <c r="AR46" s="793"/>
      <c r="AS46" s="793"/>
      <c r="AT46" s="793"/>
      <c r="AU46" s="793"/>
      <c r="AV46" s="793"/>
      <c r="AW46" s="793"/>
      <c r="AX46" s="793"/>
      <c r="AY46" s="793"/>
      <c r="AZ46" s="793"/>
      <c r="BA46" s="793"/>
      <c r="BB46" s="793"/>
      <c r="BC46" s="793"/>
      <c r="BD46" s="793"/>
      <c r="BE46" s="793"/>
      <c r="BF46" s="793"/>
      <c r="BG46" s="793"/>
      <c r="BH46" s="793"/>
      <c r="BI46" s="793"/>
      <c r="BJ46" s="793"/>
      <c r="BK46" s="793"/>
      <c r="BL46" s="793"/>
      <c r="BM46" s="793"/>
      <c r="BN46" s="793"/>
      <c r="BO46" s="793"/>
      <c r="BP46" s="793"/>
      <c r="BQ46" s="793"/>
      <c r="BR46" s="793"/>
      <c r="BS46" s="793"/>
      <c r="BT46" s="793"/>
      <c r="BU46" s="793"/>
      <c r="BV46" s="793"/>
      <c r="BW46" s="793"/>
      <c r="BX46" s="437">
        <v>0</v>
      </c>
      <c r="BY46" s="437">
        <v>0</v>
      </c>
      <c r="BZ46" s="437">
        <v>325473.35923076922</v>
      </c>
      <c r="CA46" s="910"/>
      <c r="CB46" s="910"/>
      <c r="CC46" s="910"/>
      <c r="CE46" s="799"/>
      <c r="CF46" s="799"/>
    </row>
    <row r="47" spans="1:84">
      <c r="A47" s="783" t="s">
        <v>1243</v>
      </c>
      <c r="B47" s="783" t="s">
        <v>1244</v>
      </c>
      <c r="C47" s="1033">
        <v>0</v>
      </c>
      <c r="D47" s="1033">
        <v>0</v>
      </c>
      <c r="E47" s="1033">
        <v>0</v>
      </c>
      <c r="F47" s="1033">
        <v>0</v>
      </c>
      <c r="G47" s="1033">
        <v>0</v>
      </c>
      <c r="H47" s="1033">
        <v>0</v>
      </c>
      <c r="I47" s="1033">
        <v>0</v>
      </c>
      <c r="J47" s="1033">
        <v>0</v>
      </c>
      <c r="K47" s="1033">
        <v>0</v>
      </c>
      <c r="L47" s="1033">
        <v>0</v>
      </c>
      <c r="M47" s="1033">
        <v>0</v>
      </c>
      <c r="N47" s="1033">
        <v>0</v>
      </c>
      <c r="O47" s="1033">
        <v>0</v>
      </c>
      <c r="P47" s="793">
        <v>128247.17</v>
      </c>
      <c r="Q47" s="793">
        <v>376091.05</v>
      </c>
      <c r="R47" s="793">
        <v>615866.67000000004</v>
      </c>
      <c r="S47" s="793">
        <v>10337676.67</v>
      </c>
      <c r="T47" s="793">
        <v>20106812.449999999</v>
      </c>
      <c r="U47" s="793">
        <v>20748729.07</v>
      </c>
      <c r="V47" s="793">
        <v>22141517.710000001</v>
      </c>
      <c r="W47" s="793">
        <v>23968608.780000001</v>
      </c>
      <c r="X47" s="793">
        <v>26452561.059999999</v>
      </c>
      <c r="Y47" s="793">
        <v>29074016.469999999</v>
      </c>
      <c r="Z47" s="793">
        <v>31223483.149999999</v>
      </c>
      <c r="AA47" s="793">
        <v>32977879.66</v>
      </c>
      <c r="AB47" s="793">
        <v>34264937.659999996</v>
      </c>
      <c r="AC47" s="793">
        <v>35539854.609999999</v>
      </c>
      <c r="AD47" s="793">
        <v>36820977.859999999</v>
      </c>
      <c r="AE47" s="793">
        <v>41165872.509999998</v>
      </c>
      <c r="AF47" s="793">
        <v>48146028.060000002</v>
      </c>
      <c r="AG47" s="793">
        <v>54764186.520000003</v>
      </c>
      <c r="AH47" s="793">
        <v>61071565.5</v>
      </c>
      <c r="AI47" s="793">
        <v>66992273.490000002</v>
      </c>
      <c r="AJ47" s="793">
        <v>72392757.239999995</v>
      </c>
      <c r="AK47" s="793">
        <v>77305108.819999993</v>
      </c>
      <c r="AL47" s="793">
        <v>82249068.060000002</v>
      </c>
      <c r="AM47" s="793">
        <v>84933275.5</v>
      </c>
      <c r="AN47" s="793"/>
      <c r="AO47" s="793"/>
      <c r="AP47" s="793"/>
      <c r="AQ47" s="793"/>
      <c r="AR47" s="793"/>
      <c r="AS47" s="793"/>
      <c r="AT47" s="793"/>
      <c r="AU47" s="793"/>
      <c r="AV47" s="793"/>
      <c r="AW47" s="793"/>
      <c r="AX47" s="793"/>
      <c r="AY47" s="793"/>
      <c r="AZ47" s="793"/>
      <c r="BA47" s="793"/>
      <c r="BB47" s="793"/>
      <c r="BC47" s="793"/>
      <c r="BD47" s="793"/>
      <c r="BE47" s="793"/>
      <c r="BF47" s="793"/>
      <c r="BG47" s="793"/>
      <c r="BH47" s="793"/>
      <c r="BI47" s="793"/>
      <c r="BJ47" s="793"/>
      <c r="BK47" s="793"/>
      <c r="BL47" s="793"/>
      <c r="BM47" s="793"/>
      <c r="BN47" s="793"/>
      <c r="BO47" s="793"/>
      <c r="BP47" s="793"/>
      <c r="BQ47" s="793"/>
      <c r="BR47" s="793"/>
      <c r="BS47" s="793"/>
      <c r="BT47" s="793"/>
      <c r="BU47" s="793"/>
      <c r="BV47" s="793"/>
      <c r="BW47" s="793"/>
      <c r="BX47" s="437">
        <v>0</v>
      </c>
      <c r="BY47" s="437">
        <v>16780883.839230768</v>
      </c>
      <c r="BZ47" s="437">
        <v>56047983.499230772</v>
      </c>
      <c r="CA47" s="910"/>
      <c r="CB47" s="910"/>
      <c r="CC47" s="910"/>
      <c r="CE47" s="799"/>
      <c r="CF47" s="799"/>
    </row>
    <row r="48" spans="1:84" s="438" customFormat="1">
      <c r="A48" s="783" t="s">
        <v>260</v>
      </c>
      <c r="B48" s="783" t="s">
        <v>261</v>
      </c>
      <c r="C48" s="1033">
        <v>0</v>
      </c>
      <c r="D48" s="1033">
        <v>0</v>
      </c>
      <c r="E48" s="1033">
        <v>0</v>
      </c>
      <c r="F48" s="1033">
        <v>0</v>
      </c>
      <c r="G48" s="1033">
        <v>0</v>
      </c>
      <c r="H48" s="1033">
        <v>0</v>
      </c>
      <c r="I48" s="1033">
        <v>0</v>
      </c>
      <c r="J48" s="1033">
        <v>0</v>
      </c>
      <c r="K48" s="1033">
        <v>0</v>
      </c>
      <c r="L48" s="1033">
        <v>0</v>
      </c>
      <c r="M48" s="1033">
        <v>0</v>
      </c>
      <c r="N48" s="1033">
        <v>0</v>
      </c>
      <c r="O48" s="1033">
        <v>0</v>
      </c>
      <c r="P48" s="793">
        <v>0</v>
      </c>
      <c r="Q48" s="793">
        <v>0</v>
      </c>
      <c r="R48" s="793">
        <v>0</v>
      </c>
      <c r="S48" s="793">
        <v>0</v>
      </c>
      <c r="T48" s="793">
        <v>0</v>
      </c>
      <c r="U48" s="793">
        <v>0</v>
      </c>
      <c r="V48" s="793">
        <v>0</v>
      </c>
      <c r="W48" s="793">
        <v>0</v>
      </c>
      <c r="X48" s="793">
        <v>0</v>
      </c>
      <c r="Y48" s="793">
        <v>0</v>
      </c>
      <c r="Z48" s="793">
        <v>0</v>
      </c>
      <c r="AA48" s="793">
        <v>0</v>
      </c>
      <c r="AB48" s="793">
        <v>0</v>
      </c>
      <c r="AC48" s="793">
        <v>0</v>
      </c>
      <c r="AD48" s="793">
        <v>0</v>
      </c>
      <c r="AE48" s="793">
        <v>0</v>
      </c>
      <c r="AF48" s="793">
        <v>0</v>
      </c>
      <c r="AG48" s="793">
        <v>0</v>
      </c>
      <c r="AH48" s="793">
        <v>0</v>
      </c>
      <c r="AI48" s="793">
        <v>0</v>
      </c>
      <c r="AJ48" s="793">
        <v>0</v>
      </c>
      <c r="AK48" s="793">
        <v>0</v>
      </c>
      <c r="AL48" s="793">
        <v>0</v>
      </c>
      <c r="AM48" s="793">
        <v>0</v>
      </c>
      <c r="AN48" s="793"/>
      <c r="AO48" s="793"/>
      <c r="AP48" s="793"/>
      <c r="AQ48" s="793"/>
      <c r="AR48" s="793"/>
      <c r="AS48" s="793"/>
      <c r="AT48" s="793"/>
      <c r="AU48" s="793"/>
      <c r="AV48" s="793"/>
      <c r="AW48" s="793"/>
      <c r="AX48" s="793"/>
      <c r="AY48" s="793"/>
      <c r="AZ48" s="793"/>
      <c r="BA48" s="793"/>
      <c r="BB48" s="793"/>
      <c r="BC48" s="793"/>
      <c r="BD48" s="793"/>
      <c r="BE48" s="793"/>
      <c r="BF48" s="793"/>
      <c r="BG48" s="793"/>
      <c r="BH48" s="793"/>
      <c r="BI48" s="793"/>
      <c r="BJ48" s="793"/>
      <c r="BK48" s="793"/>
      <c r="BL48" s="793"/>
      <c r="BM48" s="793"/>
      <c r="BN48" s="793"/>
      <c r="BO48" s="793"/>
      <c r="BP48" s="793"/>
      <c r="BQ48" s="793"/>
      <c r="BR48" s="793"/>
      <c r="BS48" s="793"/>
      <c r="BT48" s="793"/>
      <c r="BU48" s="793"/>
      <c r="BV48" s="793"/>
      <c r="BW48" s="793"/>
      <c r="BX48" s="437">
        <v>0</v>
      </c>
      <c r="BY48" s="437">
        <v>0</v>
      </c>
      <c r="BZ48" s="437">
        <v>0</v>
      </c>
      <c r="CA48" s="910"/>
      <c r="CB48" s="910"/>
      <c r="CC48" s="910"/>
    </row>
    <row r="49" spans="1:84">
      <c r="A49" s="783" t="s">
        <v>310</v>
      </c>
      <c r="B49" s="783" t="s">
        <v>311</v>
      </c>
      <c r="C49" s="1033">
        <v>0</v>
      </c>
      <c r="D49" s="1033">
        <v>0</v>
      </c>
      <c r="E49" s="1033">
        <v>0</v>
      </c>
      <c r="F49" s="1033">
        <v>0</v>
      </c>
      <c r="G49" s="1033">
        <v>0</v>
      </c>
      <c r="H49" s="1033">
        <v>0</v>
      </c>
      <c r="I49" s="1033">
        <v>0</v>
      </c>
      <c r="J49" s="1033">
        <v>0</v>
      </c>
      <c r="K49" s="1033">
        <v>0</v>
      </c>
      <c r="L49" s="1033">
        <v>0</v>
      </c>
      <c r="M49" s="1033">
        <v>0</v>
      </c>
      <c r="N49" s="1033">
        <v>0</v>
      </c>
      <c r="O49" s="1033">
        <v>0</v>
      </c>
      <c r="P49" s="793">
        <v>0</v>
      </c>
      <c r="Q49" s="793">
        <v>0</v>
      </c>
      <c r="R49" s="793">
        <v>0</v>
      </c>
      <c r="S49" s="793">
        <v>0</v>
      </c>
      <c r="T49" s="793">
        <v>0</v>
      </c>
      <c r="U49" s="793">
        <v>0</v>
      </c>
      <c r="V49" s="793">
        <v>0</v>
      </c>
      <c r="W49" s="793">
        <v>0</v>
      </c>
      <c r="X49" s="793">
        <v>0</v>
      </c>
      <c r="Y49" s="793">
        <v>0</v>
      </c>
      <c r="Z49" s="793">
        <v>0</v>
      </c>
      <c r="AA49" s="793">
        <v>0</v>
      </c>
      <c r="AB49" s="793">
        <v>0</v>
      </c>
      <c r="AC49" s="793">
        <v>0</v>
      </c>
      <c r="AD49" s="793">
        <v>0</v>
      </c>
      <c r="AE49" s="793">
        <v>0</v>
      </c>
      <c r="AF49" s="793">
        <v>0</v>
      </c>
      <c r="AG49" s="793">
        <v>0</v>
      </c>
      <c r="AH49" s="793">
        <v>0</v>
      </c>
      <c r="AI49" s="793">
        <v>0</v>
      </c>
      <c r="AJ49" s="793">
        <v>0</v>
      </c>
      <c r="AK49" s="793">
        <v>0</v>
      </c>
      <c r="AL49" s="793">
        <v>0</v>
      </c>
      <c r="AM49" s="793">
        <v>0</v>
      </c>
      <c r="AN49" s="793"/>
      <c r="AO49" s="793"/>
      <c r="AP49" s="793"/>
      <c r="AQ49" s="793"/>
      <c r="AR49" s="793"/>
      <c r="AS49" s="793"/>
      <c r="AT49" s="793"/>
      <c r="AU49" s="793"/>
      <c r="AV49" s="793"/>
      <c r="AW49" s="793"/>
      <c r="AX49" s="793"/>
      <c r="AY49" s="793"/>
      <c r="AZ49" s="793"/>
      <c r="BA49" s="793"/>
      <c r="BB49" s="793"/>
      <c r="BC49" s="793"/>
      <c r="BD49" s="793"/>
      <c r="BE49" s="793"/>
      <c r="BF49" s="793"/>
      <c r="BG49" s="793"/>
      <c r="BH49" s="793"/>
      <c r="BI49" s="793"/>
      <c r="BJ49" s="793"/>
      <c r="BK49" s="793"/>
      <c r="BL49" s="793"/>
      <c r="BM49" s="793"/>
      <c r="BN49" s="793"/>
      <c r="BO49" s="793"/>
      <c r="BP49" s="793"/>
      <c r="BQ49" s="793"/>
      <c r="BR49" s="793"/>
      <c r="BS49" s="793"/>
      <c r="BT49" s="793"/>
      <c r="BU49" s="793"/>
      <c r="BV49" s="793"/>
      <c r="BW49" s="793"/>
      <c r="BX49" s="437">
        <v>0</v>
      </c>
      <c r="BY49" s="437">
        <v>0</v>
      </c>
      <c r="BZ49" s="437">
        <v>0</v>
      </c>
      <c r="CA49" s="910"/>
      <c r="CB49" s="910"/>
      <c r="CC49" s="910"/>
    </row>
    <row r="50" spans="1:84">
      <c r="C50" s="1033"/>
      <c r="D50" s="1033"/>
      <c r="E50" s="1033"/>
      <c r="F50" s="1033"/>
      <c r="G50" s="1033"/>
      <c r="H50" s="1033"/>
      <c r="I50" s="1033"/>
      <c r="J50" s="1033"/>
      <c r="K50" s="1033"/>
      <c r="L50" s="1033"/>
      <c r="M50" s="1033"/>
      <c r="N50" s="1033"/>
      <c r="O50" s="1033"/>
      <c r="P50" s="793"/>
      <c r="Q50" s="793"/>
      <c r="R50" s="793"/>
      <c r="S50" s="793"/>
      <c r="T50" s="793"/>
      <c r="U50" s="793"/>
      <c r="V50" s="793"/>
      <c r="W50" s="793"/>
      <c r="X50" s="793"/>
      <c r="Y50" s="793"/>
      <c r="Z50" s="793"/>
      <c r="AA50" s="793"/>
      <c r="AB50" s="793"/>
      <c r="AC50" s="793"/>
      <c r="AD50" s="793"/>
      <c r="AE50" s="793"/>
      <c r="AF50" s="793"/>
      <c r="AG50" s="793"/>
      <c r="AH50" s="793"/>
      <c r="AI50" s="793"/>
      <c r="AJ50" s="793"/>
      <c r="AK50" s="793"/>
      <c r="AL50" s="793"/>
      <c r="AM50" s="793"/>
      <c r="AN50" s="793"/>
      <c r="AO50" s="793"/>
      <c r="AP50" s="793"/>
      <c r="AQ50" s="793"/>
      <c r="AR50" s="793"/>
      <c r="AS50" s="793"/>
      <c r="AT50" s="793"/>
      <c r="AU50" s="793"/>
      <c r="AV50" s="793"/>
      <c r="AW50" s="793"/>
      <c r="AX50" s="793"/>
      <c r="AY50" s="793"/>
      <c r="AZ50" s="793"/>
      <c r="BA50" s="793"/>
      <c r="BB50" s="793"/>
      <c r="BC50" s="793"/>
      <c r="BD50" s="793"/>
      <c r="BE50" s="793"/>
      <c r="BF50" s="793"/>
      <c r="BG50" s="793"/>
      <c r="BH50" s="793"/>
      <c r="BI50" s="793"/>
      <c r="BJ50" s="793"/>
      <c r="BK50" s="793"/>
      <c r="BL50" s="793"/>
      <c r="BM50" s="793"/>
      <c r="BN50" s="793"/>
      <c r="BO50" s="793"/>
      <c r="BP50" s="793"/>
      <c r="BQ50" s="793"/>
      <c r="BR50" s="793"/>
      <c r="BS50" s="793"/>
      <c r="BT50" s="793"/>
      <c r="BU50" s="793"/>
      <c r="BV50" s="793"/>
      <c r="BW50" s="793"/>
      <c r="BX50" s="909"/>
      <c r="BY50" s="909"/>
      <c r="BZ50" s="910"/>
      <c r="CA50" s="910"/>
      <c r="CB50" s="910"/>
      <c r="CC50" s="910"/>
    </row>
    <row r="51" spans="1:84" s="437" customFormat="1">
      <c r="B51" s="791" t="s">
        <v>314</v>
      </c>
      <c r="C51" s="1114">
        <v>46994371.799999997</v>
      </c>
      <c r="D51" s="1114">
        <v>50664098.729999997</v>
      </c>
      <c r="E51" s="1114">
        <v>55923290.370000005</v>
      </c>
      <c r="F51" s="1114">
        <v>59928247.349999994</v>
      </c>
      <c r="G51" s="1114">
        <v>67630803.189999998</v>
      </c>
      <c r="H51" s="1114">
        <v>73420459.430000007</v>
      </c>
      <c r="I51" s="1114">
        <v>84152855.219999999</v>
      </c>
      <c r="J51" s="1114">
        <v>91775466.670000002</v>
      </c>
      <c r="K51" s="1114">
        <v>97196340.579999983</v>
      </c>
      <c r="L51" s="1114">
        <v>102973210.47</v>
      </c>
      <c r="M51" s="1114">
        <v>64943143.119999997</v>
      </c>
      <c r="N51" s="1114">
        <v>67714820.459999993</v>
      </c>
      <c r="O51" s="1114">
        <v>75970345.810000002</v>
      </c>
      <c r="P51" s="1114">
        <v>84474966.840000018</v>
      </c>
      <c r="Q51" s="1114">
        <v>86984377.280000001</v>
      </c>
      <c r="R51" s="1114">
        <v>96612999.940000027</v>
      </c>
      <c r="S51" s="1114">
        <v>115365180.93000002</v>
      </c>
      <c r="T51" s="1114">
        <v>88451654.810000002</v>
      </c>
      <c r="U51" s="1114">
        <v>95745673.119999975</v>
      </c>
      <c r="V51" s="1114">
        <v>104095168.82000002</v>
      </c>
      <c r="W51" s="1114">
        <v>113123992.72999997</v>
      </c>
      <c r="X51" s="1114">
        <v>121739307.21999998</v>
      </c>
      <c r="Y51" s="1114">
        <v>129211070.69</v>
      </c>
      <c r="Z51" s="1114">
        <v>61776036.810000002</v>
      </c>
      <c r="AA51" s="1114">
        <v>65649580.299999997</v>
      </c>
      <c r="AB51" s="1114">
        <v>69477487.969999999</v>
      </c>
      <c r="AC51" s="1114">
        <v>73715512.200000003</v>
      </c>
      <c r="AD51" s="1114">
        <v>76482795.879999995</v>
      </c>
      <c r="AE51" s="1114">
        <v>84193518.930000007</v>
      </c>
      <c r="AF51" s="1114">
        <v>96438215.24000001</v>
      </c>
      <c r="AG51" s="1114">
        <v>107736541.11000001</v>
      </c>
      <c r="AH51" s="1114">
        <v>119327781.87</v>
      </c>
      <c r="AI51" s="1114">
        <v>128759579.34</v>
      </c>
      <c r="AJ51" s="1114">
        <v>139771689.18000001</v>
      </c>
      <c r="AK51" s="1114">
        <v>148697287.03</v>
      </c>
      <c r="AL51" s="1114">
        <v>158744356.75</v>
      </c>
      <c r="AM51" s="1114">
        <v>162612524.48999998</v>
      </c>
      <c r="AN51" s="1114">
        <v>0</v>
      </c>
      <c r="AO51" s="1114">
        <v>0</v>
      </c>
      <c r="AP51" s="1114">
        <v>0</v>
      </c>
      <c r="AQ51" s="1114">
        <v>0</v>
      </c>
      <c r="AR51" s="1114">
        <v>0</v>
      </c>
      <c r="AS51" s="1114">
        <v>0</v>
      </c>
      <c r="AT51" s="1114">
        <v>0</v>
      </c>
      <c r="AU51" s="1114">
        <v>0</v>
      </c>
      <c r="AV51" s="1114">
        <v>0</v>
      </c>
      <c r="AW51" s="1114">
        <v>0</v>
      </c>
      <c r="AX51" s="1114">
        <v>0</v>
      </c>
      <c r="AY51" s="1114">
        <v>0</v>
      </c>
      <c r="AZ51" s="1114">
        <v>0</v>
      </c>
      <c r="BA51" s="1114">
        <v>0</v>
      </c>
      <c r="BB51" s="1114">
        <v>0</v>
      </c>
      <c r="BC51" s="1114">
        <v>0</v>
      </c>
      <c r="BD51" s="1114">
        <v>0</v>
      </c>
      <c r="BE51" s="1114">
        <v>0</v>
      </c>
      <c r="BF51" s="1114">
        <v>0</v>
      </c>
      <c r="BG51" s="1114">
        <v>0</v>
      </c>
      <c r="BH51" s="1114">
        <v>0</v>
      </c>
      <c r="BI51" s="1114">
        <v>0</v>
      </c>
      <c r="BJ51" s="1114">
        <v>0</v>
      </c>
      <c r="BK51" s="1114">
        <v>0</v>
      </c>
      <c r="BL51" s="1114">
        <v>0</v>
      </c>
      <c r="BM51" s="1114">
        <v>0</v>
      </c>
      <c r="BN51" s="1114">
        <v>0</v>
      </c>
      <c r="BO51" s="1114">
        <v>0</v>
      </c>
      <c r="BP51" s="1114">
        <v>0</v>
      </c>
      <c r="BQ51" s="1114">
        <v>0</v>
      </c>
      <c r="BR51" s="1114">
        <v>0</v>
      </c>
      <c r="BS51" s="1114">
        <v>0</v>
      </c>
      <c r="BT51" s="1114">
        <v>0</v>
      </c>
      <c r="BU51" s="1114">
        <v>0</v>
      </c>
      <c r="BV51" s="1114">
        <v>0</v>
      </c>
      <c r="BW51" s="1114">
        <v>0</v>
      </c>
      <c r="BX51" s="1114">
        <v>72240456.283076927</v>
      </c>
      <c r="BY51" s="1114">
        <v>95076330.713076919</v>
      </c>
      <c r="BZ51" s="1114">
        <f>SUM(BZ11:BZ50)</f>
        <v>110123605.40692309</v>
      </c>
      <c r="CA51" s="1114"/>
      <c r="CB51" s="1114"/>
      <c r="CC51" s="1114"/>
      <c r="CD51" s="1114">
        <v>0</v>
      </c>
    </row>
    <row r="52" spans="1:84" s="438" customFormat="1">
      <c r="B52" s="791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</row>
    <row r="53" spans="1:84" s="437" customFormat="1">
      <c r="B53" s="795" t="s">
        <v>315</v>
      </c>
      <c r="C53" s="796">
        <v>82880458.51000002</v>
      </c>
      <c r="D53" s="796">
        <v>88383135.650000006</v>
      </c>
      <c r="E53" s="796">
        <v>84773567.189999968</v>
      </c>
      <c r="F53" s="796">
        <v>93010145.349999994</v>
      </c>
      <c r="G53" s="796">
        <v>91256107.689999998</v>
      </c>
      <c r="H53" s="796">
        <v>89824319.539999962</v>
      </c>
      <c r="I53" s="796">
        <v>94675768.949999958</v>
      </c>
      <c r="J53" s="796">
        <v>96497458.329999939</v>
      </c>
      <c r="K53" s="796">
        <v>102660201.28999999</v>
      </c>
      <c r="L53" s="796">
        <v>105219190.72999999</v>
      </c>
      <c r="M53" s="796">
        <v>106540664.37</v>
      </c>
      <c r="N53" s="796">
        <v>112218783.80000003</v>
      </c>
      <c r="O53" s="796">
        <v>135420892.06</v>
      </c>
      <c r="P53" s="796">
        <v>28888184.312299952</v>
      </c>
      <c r="Q53" s="796">
        <v>11979093.416959956</v>
      </c>
      <c r="R53" s="796">
        <v>5353963.7829919457</v>
      </c>
      <c r="S53" s="796">
        <v>10038530.969798386</v>
      </c>
      <c r="T53" s="796">
        <v>12436116.867959708</v>
      </c>
      <c r="U53" s="796">
        <v>12714023.771592021</v>
      </c>
      <c r="V53" s="796">
        <v>16883154.078318462</v>
      </c>
      <c r="W53" s="796">
        <v>19606220.125663802</v>
      </c>
      <c r="X53" s="796">
        <v>19577917.309132889</v>
      </c>
      <c r="Y53" s="796">
        <v>19691809.647826672</v>
      </c>
      <c r="Z53" s="796">
        <v>33603915.387565434</v>
      </c>
      <c r="AA53" s="796">
        <v>17168014.585513219</v>
      </c>
      <c r="AB53" s="796">
        <v>19002583.841102764</v>
      </c>
      <c r="AC53" s="796">
        <v>20380832.792220667</v>
      </c>
      <c r="AD53" s="796">
        <v>22180138.806444243</v>
      </c>
      <c r="AE53" s="796">
        <v>28395516.393288955</v>
      </c>
      <c r="AF53" s="796">
        <v>30522978.326657906</v>
      </c>
      <c r="AG53" s="796">
        <v>33886752.843331695</v>
      </c>
      <c r="AH53" s="796">
        <v>34725224.782666475</v>
      </c>
      <c r="AI53" s="796">
        <v>33746091.604533464</v>
      </c>
      <c r="AJ53" s="796">
        <v>23681602.866906852</v>
      </c>
      <c r="AK53" s="796">
        <v>24405616.675381541</v>
      </c>
      <c r="AL53" s="796">
        <v>24659359.227076501</v>
      </c>
      <c r="AM53" s="796">
        <v>459417.57941555977</v>
      </c>
      <c r="AN53" s="796">
        <v>0</v>
      </c>
      <c r="AO53" s="796">
        <v>0</v>
      </c>
      <c r="AP53" s="796">
        <v>0</v>
      </c>
      <c r="AQ53" s="796">
        <v>0</v>
      </c>
      <c r="AR53" s="796">
        <v>0</v>
      </c>
      <c r="AS53" s="796">
        <v>0</v>
      </c>
      <c r="AT53" s="796">
        <v>0</v>
      </c>
      <c r="AU53" s="796">
        <v>0</v>
      </c>
      <c r="AV53" s="796">
        <v>0</v>
      </c>
      <c r="AW53" s="796">
        <v>0</v>
      </c>
      <c r="AX53" s="796">
        <v>0</v>
      </c>
      <c r="AY53" s="796">
        <v>0</v>
      </c>
      <c r="AZ53" s="796">
        <v>0</v>
      </c>
      <c r="BA53" s="796">
        <v>0</v>
      </c>
      <c r="BB53" s="796">
        <v>0</v>
      </c>
      <c r="BC53" s="796">
        <v>0</v>
      </c>
      <c r="BD53" s="796">
        <v>0</v>
      </c>
      <c r="BE53" s="796">
        <v>0</v>
      </c>
      <c r="BF53" s="796">
        <v>0</v>
      </c>
      <c r="BG53" s="796">
        <v>0</v>
      </c>
      <c r="BH53" s="796">
        <v>0</v>
      </c>
      <c r="BI53" s="796">
        <v>0</v>
      </c>
      <c r="BJ53" s="796">
        <v>0</v>
      </c>
      <c r="BK53" s="796">
        <v>0</v>
      </c>
      <c r="BL53" s="796">
        <v>0</v>
      </c>
      <c r="BM53" s="796">
        <v>0</v>
      </c>
      <c r="BN53" s="796">
        <v>0</v>
      </c>
      <c r="BO53" s="796">
        <v>0</v>
      </c>
      <c r="BP53" s="796">
        <v>0</v>
      </c>
      <c r="BQ53" s="796">
        <v>0</v>
      </c>
      <c r="BR53" s="796">
        <v>0</v>
      </c>
      <c r="BS53" s="796">
        <v>0</v>
      </c>
      <c r="BT53" s="796">
        <v>0</v>
      </c>
      <c r="BU53" s="796">
        <v>0</v>
      </c>
      <c r="BV53" s="796">
        <v>0</v>
      </c>
      <c r="BW53" s="796">
        <v>0</v>
      </c>
      <c r="BX53" s="796">
        <v>98732478.075384602</v>
      </c>
      <c r="BY53" s="796">
        <v>26659222.488124833</v>
      </c>
      <c r="BZ53" s="796">
        <v>24635493.286503062</v>
      </c>
      <c r="CA53" s="796"/>
      <c r="CB53" s="796"/>
      <c r="CC53" s="796"/>
    </row>
    <row r="54" spans="1:84" s="438" customFormat="1">
      <c r="B54" s="795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</row>
    <row r="55" spans="1:84" s="438" customFormat="1">
      <c r="B55" s="783" t="s">
        <v>1184</v>
      </c>
      <c r="C55" s="439">
        <v>0</v>
      </c>
      <c r="D55" s="439">
        <v>0</v>
      </c>
      <c r="E55" s="439">
        <v>0</v>
      </c>
      <c r="F55" s="439">
        <v>0</v>
      </c>
      <c r="G55" s="439">
        <v>0</v>
      </c>
      <c r="H55" s="439">
        <v>0</v>
      </c>
      <c r="I55" s="439">
        <v>0</v>
      </c>
      <c r="J55" s="439">
        <v>0</v>
      </c>
      <c r="K55" s="439">
        <v>0</v>
      </c>
      <c r="L55" s="439">
        <v>0</v>
      </c>
      <c r="M55" s="439">
        <v>0</v>
      </c>
      <c r="N55" s="439">
        <v>0</v>
      </c>
      <c r="O55" s="439">
        <v>0</v>
      </c>
      <c r="P55" s="439">
        <v>0</v>
      </c>
      <c r="Q55" s="439">
        <v>0</v>
      </c>
      <c r="R55" s="439">
        <v>0</v>
      </c>
      <c r="S55" s="439">
        <v>0</v>
      </c>
      <c r="T55" s="439">
        <v>0</v>
      </c>
      <c r="U55" s="439">
        <v>0</v>
      </c>
      <c r="V55" s="439">
        <v>0</v>
      </c>
      <c r="W55" s="439">
        <v>0</v>
      </c>
      <c r="X55" s="439">
        <v>0</v>
      </c>
      <c r="Y55" s="439">
        <v>0</v>
      </c>
      <c r="Z55" s="439">
        <v>0</v>
      </c>
      <c r="AA55" s="439">
        <v>0</v>
      </c>
      <c r="AB55" s="439">
        <v>0</v>
      </c>
      <c r="AC55" s="439">
        <v>0</v>
      </c>
      <c r="AD55" s="439">
        <v>0</v>
      </c>
      <c r="AE55" s="439">
        <v>0</v>
      </c>
      <c r="AF55" s="439">
        <v>0</v>
      </c>
      <c r="AG55" s="439">
        <v>0</v>
      </c>
      <c r="AH55" s="439">
        <v>0</v>
      </c>
      <c r="AI55" s="439">
        <v>0</v>
      </c>
      <c r="AJ55" s="439">
        <v>0</v>
      </c>
      <c r="AK55" s="439">
        <v>0</v>
      </c>
      <c r="AL55" s="439">
        <v>0</v>
      </c>
      <c r="AM55" s="439">
        <v>0</v>
      </c>
      <c r="AN55" s="439">
        <v>0</v>
      </c>
      <c r="AO55" s="439">
        <v>0</v>
      </c>
      <c r="AP55" s="439">
        <v>0</v>
      </c>
      <c r="AQ55" s="439">
        <v>0</v>
      </c>
      <c r="AR55" s="439">
        <v>0</v>
      </c>
      <c r="AS55" s="439">
        <v>0</v>
      </c>
      <c r="AT55" s="439">
        <v>0</v>
      </c>
      <c r="AU55" s="439">
        <v>0</v>
      </c>
      <c r="AV55" s="439">
        <v>0</v>
      </c>
      <c r="AW55" s="439">
        <v>0</v>
      </c>
      <c r="AX55" s="439">
        <v>0</v>
      </c>
      <c r="AY55" s="439">
        <v>0</v>
      </c>
      <c r="AZ55" s="439">
        <v>0</v>
      </c>
      <c r="BA55" s="439">
        <v>0</v>
      </c>
      <c r="BB55" s="439">
        <v>0</v>
      </c>
      <c r="BC55" s="439">
        <v>0</v>
      </c>
      <c r="BD55" s="439">
        <v>0</v>
      </c>
      <c r="BE55" s="439">
        <v>0</v>
      </c>
      <c r="BF55" s="439">
        <v>0</v>
      </c>
      <c r="BG55" s="439">
        <v>0</v>
      </c>
      <c r="BH55" s="439">
        <v>0</v>
      </c>
      <c r="BI55" s="439">
        <v>0</v>
      </c>
      <c r="BJ55" s="439">
        <v>0</v>
      </c>
      <c r="BK55" s="439">
        <v>0</v>
      </c>
      <c r="BL55" s="439">
        <v>0</v>
      </c>
      <c r="BM55" s="439">
        <v>0</v>
      </c>
      <c r="BN55" s="439">
        <v>0</v>
      </c>
      <c r="BO55" s="439">
        <v>0</v>
      </c>
      <c r="BP55" s="439">
        <v>0</v>
      </c>
      <c r="BQ55" s="439">
        <v>0</v>
      </c>
      <c r="BR55" s="439">
        <v>0</v>
      </c>
      <c r="BS55" s="439">
        <v>0</v>
      </c>
      <c r="BT55" s="439">
        <v>0</v>
      </c>
      <c r="BU55" s="439">
        <v>0</v>
      </c>
      <c r="BV55" s="439">
        <v>0</v>
      </c>
      <c r="BW55" s="439">
        <v>0</v>
      </c>
      <c r="BX55" s="439">
        <v>0</v>
      </c>
      <c r="BY55" s="439">
        <v>0</v>
      </c>
      <c r="BZ55" s="439">
        <v>0</v>
      </c>
      <c r="CA55" s="439"/>
      <c r="CB55" s="439"/>
      <c r="CC55" s="439"/>
      <c r="CD55" s="439">
        <v>0</v>
      </c>
      <c r="CE55" s="439">
        <v>0</v>
      </c>
      <c r="CF55" s="439">
        <v>0</v>
      </c>
    </row>
    <row r="56" spans="1:84">
      <c r="C56" s="797"/>
      <c r="D56" s="797"/>
      <c r="E56" s="797"/>
      <c r="F56" s="797"/>
      <c r="G56" s="797"/>
      <c r="H56" s="797"/>
      <c r="I56" s="797"/>
      <c r="J56" s="797"/>
      <c r="K56" s="797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97"/>
      <c r="Y56" s="797"/>
      <c r="Z56" s="797"/>
      <c r="AA56" s="797"/>
      <c r="AB56" s="797"/>
      <c r="AC56" s="797"/>
      <c r="AD56" s="797"/>
      <c r="AE56" s="797"/>
      <c r="AF56" s="797"/>
      <c r="AG56" s="797"/>
      <c r="AH56" s="797"/>
      <c r="AI56" s="797"/>
      <c r="AJ56" s="797"/>
      <c r="AK56" s="797"/>
      <c r="AL56" s="797"/>
      <c r="AM56" s="797"/>
      <c r="AN56" s="797"/>
      <c r="AO56" s="797"/>
      <c r="AP56" s="797"/>
      <c r="AQ56" s="797"/>
      <c r="AR56" s="797"/>
      <c r="AS56" s="797"/>
      <c r="AT56" s="797"/>
      <c r="AU56" s="797"/>
      <c r="AV56" s="797"/>
      <c r="AW56" s="797"/>
      <c r="AX56" s="797"/>
      <c r="AY56" s="797"/>
      <c r="AZ56" s="797"/>
      <c r="BA56" s="797"/>
      <c r="BB56" s="797"/>
      <c r="BC56" s="797"/>
      <c r="BD56" s="797"/>
      <c r="BE56" s="797"/>
      <c r="BF56" s="797"/>
      <c r="BG56" s="797"/>
      <c r="BH56" s="797"/>
      <c r="BI56" s="797"/>
      <c r="BJ56" s="797"/>
      <c r="BK56" s="797"/>
      <c r="BL56" s="797"/>
      <c r="BM56" s="797"/>
      <c r="BN56" s="797"/>
      <c r="BO56" s="797"/>
      <c r="BP56" s="797"/>
      <c r="BQ56" s="797"/>
      <c r="BR56" s="797"/>
      <c r="BS56" s="797"/>
      <c r="BT56" s="797"/>
      <c r="BU56" s="797"/>
      <c r="BV56" s="797"/>
      <c r="BW56" s="797"/>
    </row>
    <row r="57" spans="1:84" s="798" customFormat="1">
      <c r="C57" s="799"/>
    </row>
    <row r="58" spans="1:84" s="800" customFormat="1" ht="25.5">
      <c r="B58" s="1034" t="s">
        <v>1185</v>
      </c>
      <c r="C58" s="1115">
        <v>0</v>
      </c>
      <c r="D58" s="1115">
        <v>0</v>
      </c>
      <c r="E58" s="1115">
        <v>0</v>
      </c>
      <c r="F58" s="1115">
        <v>0</v>
      </c>
      <c r="G58" s="1115">
        <v>0</v>
      </c>
      <c r="H58" s="1115">
        <v>0</v>
      </c>
      <c r="I58" s="1115">
        <v>0</v>
      </c>
      <c r="J58" s="1115">
        <v>0</v>
      </c>
      <c r="K58" s="1115">
        <v>0</v>
      </c>
      <c r="L58" s="1115">
        <v>0</v>
      </c>
      <c r="M58" s="1115">
        <v>1.1920928955078125E-7</v>
      </c>
      <c r="N58" s="1115">
        <v>1.3411045074462891E-7</v>
      </c>
      <c r="O58" s="1115">
        <v>0</v>
      </c>
      <c r="P58" s="1035">
        <v>0</v>
      </c>
      <c r="Q58" s="1035">
        <v>0</v>
      </c>
      <c r="R58" s="1035">
        <v>0</v>
      </c>
      <c r="S58" s="1035">
        <v>0</v>
      </c>
      <c r="T58" s="1035">
        <v>0</v>
      </c>
      <c r="U58" s="1035">
        <v>0</v>
      </c>
      <c r="V58" s="1035">
        <v>0</v>
      </c>
      <c r="W58" s="1035">
        <v>0</v>
      </c>
      <c r="X58" s="1035">
        <v>0</v>
      </c>
      <c r="Y58" s="1035">
        <v>0</v>
      </c>
      <c r="Z58" s="1035">
        <v>0</v>
      </c>
      <c r="AA58" s="1035">
        <v>0</v>
      </c>
      <c r="AB58" s="1035">
        <v>0</v>
      </c>
      <c r="AC58" s="1035">
        <v>0</v>
      </c>
      <c r="AD58" s="1035">
        <v>0</v>
      </c>
      <c r="AE58" s="1035">
        <v>0</v>
      </c>
      <c r="AF58" s="1035">
        <v>0</v>
      </c>
      <c r="AG58" s="1035">
        <v>0</v>
      </c>
      <c r="AH58" s="1035">
        <v>0</v>
      </c>
      <c r="AI58" s="1035">
        <v>0</v>
      </c>
      <c r="AJ58" s="1035">
        <v>0</v>
      </c>
      <c r="AK58" s="1035">
        <v>0</v>
      </c>
      <c r="AL58" s="1035">
        <v>0</v>
      </c>
      <c r="AM58" s="1035">
        <v>0</v>
      </c>
      <c r="AN58" s="1035">
        <v>0</v>
      </c>
      <c r="AO58" s="1035">
        <v>0</v>
      </c>
      <c r="AP58" s="1035">
        <v>0</v>
      </c>
      <c r="AQ58" s="1035">
        <v>0</v>
      </c>
      <c r="AR58" s="1035">
        <v>0</v>
      </c>
      <c r="AS58" s="1035">
        <v>0</v>
      </c>
      <c r="AT58" s="1035">
        <v>0</v>
      </c>
      <c r="AU58" s="1035">
        <v>0</v>
      </c>
      <c r="AV58" s="1035">
        <v>0</v>
      </c>
      <c r="AW58" s="1035">
        <v>0</v>
      </c>
      <c r="AX58" s="1035">
        <v>0</v>
      </c>
      <c r="AY58" s="1035">
        <v>0</v>
      </c>
      <c r="AZ58" s="1035">
        <v>0</v>
      </c>
      <c r="BA58" s="1035">
        <v>0</v>
      </c>
      <c r="BB58" s="1035">
        <v>0</v>
      </c>
      <c r="BC58" s="1035">
        <v>0</v>
      </c>
      <c r="BD58" s="1035">
        <v>0</v>
      </c>
      <c r="BE58" s="1035">
        <v>0</v>
      </c>
      <c r="BF58" s="1035">
        <v>0</v>
      </c>
      <c r="BG58" s="1035">
        <v>0</v>
      </c>
      <c r="BH58" s="1035">
        <v>0</v>
      </c>
      <c r="BI58" s="1035">
        <v>0</v>
      </c>
      <c r="BJ58" s="1035">
        <v>0</v>
      </c>
      <c r="BK58" s="1035">
        <v>0</v>
      </c>
      <c r="BL58" s="1035">
        <v>0</v>
      </c>
      <c r="BM58" s="1035">
        <v>0</v>
      </c>
      <c r="BN58" s="1035">
        <v>0</v>
      </c>
      <c r="BO58" s="1035">
        <v>0</v>
      </c>
      <c r="BP58" s="1035">
        <v>0</v>
      </c>
      <c r="BQ58" s="1035">
        <v>0</v>
      </c>
      <c r="BR58" s="1035">
        <v>0</v>
      </c>
      <c r="BS58" s="1035">
        <v>0</v>
      </c>
      <c r="BT58" s="1035">
        <v>0</v>
      </c>
      <c r="BU58" s="1035">
        <v>0</v>
      </c>
      <c r="BV58" s="1035">
        <v>0</v>
      </c>
      <c r="BW58" s="1035">
        <v>0</v>
      </c>
    </row>
  </sheetData>
  <pageMargins left="0.7" right="0.7" top="0.75" bottom="0.75" header="0.3" footer="0.3"/>
  <pageSetup scale="2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2060"/>
  </sheetPr>
  <dimension ref="A1:N39"/>
  <sheetViews>
    <sheetView workbookViewId="0">
      <selection activeCell="F73" sqref="F73"/>
    </sheetView>
  </sheetViews>
  <sheetFormatPr defaultRowHeight="12.75"/>
  <cols>
    <col min="1" max="1" width="20" style="383" customWidth="1"/>
    <col min="2" max="2" width="15.85546875" style="383" customWidth="1"/>
    <col min="3" max="14" width="11.5703125" style="383" customWidth="1"/>
    <col min="15" max="256" width="8.85546875" style="383"/>
    <col min="257" max="257" width="20" style="383" customWidth="1"/>
    <col min="258" max="258" width="15.85546875" style="383" customWidth="1"/>
    <col min="259" max="270" width="11.5703125" style="383" customWidth="1"/>
    <col min="271" max="512" width="8.85546875" style="383"/>
    <col min="513" max="513" width="20" style="383" customWidth="1"/>
    <col min="514" max="514" width="15.85546875" style="383" customWidth="1"/>
    <col min="515" max="526" width="11.5703125" style="383" customWidth="1"/>
    <col min="527" max="768" width="8.85546875" style="383"/>
    <col min="769" max="769" width="20" style="383" customWidth="1"/>
    <col min="770" max="770" width="15.85546875" style="383" customWidth="1"/>
    <col min="771" max="782" width="11.5703125" style="383" customWidth="1"/>
    <col min="783" max="1024" width="8.85546875" style="383"/>
    <col min="1025" max="1025" width="20" style="383" customWidth="1"/>
    <col min="1026" max="1026" width="15.85546875" style="383" customWidth="1"/>
    <col min="1027" max="1038" width="11.5703125" style="383" customWidth="1"/>
    <col min="1039" max="1280" width="8.85546875" style="383"/>
    <col min="1281" max="1281" width="20" style="383" customWidth="1"/>
    <col min="1282" max="1282" width="15.85546875" style="383" customWidth="1"/>
    <col min="1283" max="1294" width="11.5703125" style="383" customWidth="1"/>
    <col min="1295" max="1536" width="8.85546875" style="383"/>
    <col min="1537" max="1537" width="20" style="383" customWidth="1"/>
    <col min="1538" max="1538" width="15.85546875" style="383" customWidth="1"/>
    <col min="1539" max="1550" width="11.5703125" style="383" customWidth="1"/>
    <col min="1551" max="1792" width="8.85546875" style="383"/>
    <col min="1793" max="1793" width="20" style="383" customWidth="1"/>
    <col min="1794" max="1794" width="15.85546875" style="383" customWidth="1"/>
    <col min="1795" max="1806" width="11.5703125" style="383" customWidth="1"/>
    <col min="1807" max="2048" width="8.85546875" style="383"/>
    <col min="2049" max="2049" width="20" style="383" customWidth="1"/>
    <col min="2050" max="2050" width="15.85546875" style="383" customWidth="1"/>
    <col min="2051" max="2062" width="11.5703125" style="383" customWidth="1"/>
    <col min="2063" max="2304" width="8.85546875" style="383"/>
    <col min="2305" max="2305" width="20" style="383" customWidth="1"/>
    <col min="2306" max="2306" width="15.85546875" style="383" customWidth="1"/>
    <col min="2307" max="2318" width="11.5703125" style="383" customWidth="1"/>
    <col min="2319" max="2560" width="8.85546875" style="383"/>
    <col min="2561" max="2561" width="20" style="383" customWidth="1"/>
    <col min="2562" max="2562" width="15.85546875" style="383" customWidth="1"/>
    <col min="2563" max="2574" width="11.5703125" style="383" customWidth="1"/>
    <col min="2575" max="2816" width="8.85546875" style="383"/>
    <col min="2817" max="2817" width="20" style="383" customWidth="1"/>
    <col min="2818" max="2818" width="15.85546875" style="383" customWidth="1"/>
    <col min="2819" max="2830" width="11.5703125" style="383" customWidth="1"/>
    <col min="2831" max="3072" width="8.85546875" style="383"/>
    <col min="3073" max="3073" width="20" style="383" customWidth="1"/>
    <col min="3074" max="3074" width="15.85546875" style="383" customWidth="1"/>
    <col min="3075" max="3086" width="11.5703125" style="383" customWidth="1"/>
    <col min="3087" max="3328" width="8.85546875" style="383"/>
    <col min="3329" max="3329" width="20" style="383" customWidth="1"/>
    <col min="3330" max="3330" width="15.85546875" style="383" customWidth="1"/>
    <col min="3331" max="3342" width="11.5703125" style="383" customWidth="1"/>
    <col min="3343" max="3584" width="8.85546875" style="383"/>
    <col min="3585" max="3585" width="20" style="383" customWidth="1"/>
    <col min="3586" max="3586" width="15.85546875" style="383" customWidth="1"/>
    <col min="3587" max="3598" width="11.5703125" style="383" customWidth="1"/>
    <col min="3599" max="3840" width="8.85546875" style="383"/>
    <col min="3841" max="3841" width="20" style="383" customWidth="1"/>
    <col min="3842" max="3842" width="15.85546875" style="383" customWidth="1"/>
    <col min="3843" max="3854" width="11.5703125" style="383" customWidth="1"/>
    <col min="3855" max="4096" width="8.85546875" style="383"/>
    <col min="4097" max="4097" width="20" style="383" customWidth="1"/>
    <col min="4098" max="4098" width="15.85546875" style="383" customWidth="1"/>
    <col min="4099" max="4110" width="11.5703125" style="383" customWidth="1"/>
    <col min="4111" max="4352" width="8.85546875" style="383"/>
    <col min="4353" max="4353" width="20" style="383" customWidth="1"/>
    <col min="4354" max="4354" width="15.85546875" style="383" customWidth="1"/>
    <col min="4355" max="4366" width="11.5703125" style="383" customWidth="1"/>
    <col min="4367" max="4608" width="8.85546875" style="383"/>
    <col min="4609" max="4609" width="20" style="383" customWidth="1"/>
    <col min="4610" max="4610" width="15.85546875" style="383" customWidth="1"/>
    <col min="4611" max="4622" width="11.5703125" style="383" customWidth="1"/>
    <col min="4623" max="4864" width="8.85546875" style="383"/>
    <col min="4865" max="4865" width="20" style="383" customWidth="1"/>
    <col min="4866" max="4866" width="15.85546875" style="383" customWidth="1"/>
    <col min="4867" max="4878" width="11.5703125" style="383" customWidth="1"/>
    <col min="4879" max="5120" width="8.85546875" style="383"/>
    <col min="5121" max="5121" width="20" style="383" customWidth="1"/>
    <col min="5122" max="5122" width="15.85546875" style="383" customWidth="1"/>
    <col min="5123" max="5134" width="11.5703125" style="383" customWidth="1"/>
    <col min="5135" max="5376" width="8.85546875" style="383"/>
    <col min="5377" max="5377" width="20" style="383" customWidth="1"/>
    <col min="5378" max="5378" width="15.85546875" style="383" customWidth="1"/>
    <col min="5379" max="5390" width="11.5703125" style="383" customWidth="1"/>
    <col min="5391" max="5632" width="8.85546875" style="383"/>
    <col min="5633" max="5633" width="20" style="383" customWidth="1"/>
    <col min="5634" max="5634" width="15.85546875" style="383" customWidth="1"/>
    <col min="5635" max="5646" width="11.5703125" style="383" customWidth="1"/>
    <col min="5647" max="5888" width="8.85546875" style="383"/>
    <col min="5889" max="5889" width="20" style="383" customWidth="1"/>
    <col min="5890" max="5890" width="15.85546875" style="383" customWidth="1"/>
    <col min="5891" max="5902" width="11.5703125" style="383" customWidth="1"/>
    <col min="5903" max="6144" width="8.85546875" style="383"/>
    <col min="6145" max="6145" width="20" style="383" customWidth="1"/>
    <col min="6146" max="6146" width="15.85546875" style="383" customWidth="1"/>
    <col min="6147" max="6158" width="11.5703125" style="383" customWidth="1"/>
    <col min="6159" max="6400" width="8.85546875" style="383"/>
    <col min="6401" max="6401" width="20" style="383" customWidth="1"/>
    <col min="6402" max="6402" width="15.85546875" style="383" customWidth="1"/>
    <col min="6403" max="6414" width="11.5703125" style="383" customWidth="1"/>
    <col min="6415" max="6656" width="8.85546875" style="383"/>
    <col min="6657" max="6657" width="20" style="383" customWidth="1"/>
    <col min="6658" max="6658" width="15.85546875" style="383" customWidth="1"/>
    <col min="6659" max="6670" width="11.5703125" style="383" customWidth="1"/>
    <col min="6671" max="6912" width="8.85546875" style="383"/>
    <col min="6913" max="6913" width="20" style="383" customWidth="1"/>
    <col min="6914" max="6914" width="15.85546875" style="383" customWidth="1"/>
    <col min="6915" max="6926" width="11.5703125" style="383" customWidth="1"/>
    <col min="6927" max="7168" width="8.85546875" style="383"/>
    <col min="7169" max="7169" width="20" style="383" customWidth="1"/>
    <col min="7170" max="7170" width="15.85546875" style="383" customWidth="1"/>
    <col min="7171" max="7182" width="11.5703125" style="383" customWidth="1"/>
    <col min="7183" max="7424" width="8.85546875" style="383"/>
    <col min="7425" max="7425" width="20" style="383" customWidth="1"/>
    <col min="7426" max="7426" width="15.85546875" style="383" customWidth="1"/>
    <col min="7427" max="7438" width="11.5703125" style="383" customWidth="1"/>
    <col min="7439" max="7680" width="8.85546875" style="383"/>
    <col min="7681" max="7681" width="20" style="383" customWidth="1"/>
    <col min="7682" max="7682" width="15.85546875" style="383" customWidth="1"/>
    <col min="7683" max="7694" width="11.5703125" style="383" customWidth="1"/>
    <col min="7695" max="7936" width="8.85546875" style="383"/>
    <col min="7937" max="7937" width="20" style="383" customWidth="1"/>
    <col min="7938" max="7938" width="15.85546875" style="383" customWidth="1"/>
    <col min="7939" max="7950" width="11.5703125" style="383" customWidth="1"/>
    <col min="7951" max="8192" width="8.85546875" style="383"/>
    <col min="8193" max="8193" width="20" style="383" customWidth="1"/>
    <col min="8194" max="8194" width="15.85546875" style="383" customWidth="1"/>
    <col min="8195" max="8206" width="11.5703125" style="383" customWidth="1"/>
    <col min="8207" max="8448" width="8.85546875" style="383"/>
    <col min="8449" max="8449" width="20" style="383" customWidth="1"/>
    <col min="8450" max="8450" width="15.85546875" style="383" customWidth="1"/>
    <col min="8451" max="8462" width="11.5703125" style="383" customWidth="1"/>
    <col min="8463" max="8704" width="8.85546875" style="383"/>
    <col min="8705" max="8705" width="20" style="383" customWidth="1"/>
    <col min="8706" max="8706" width="15.85546875" style="383" customWidth="1"/>
    <col min="8707" max="8718" width="11.5703125" style="383" customWidth="1"/>
    <col min="8719" max="8960" width="8.85546875" style="383"/>
    <col min="8961" max="8961" width="20" style="383" customWidth="1"/>
    <col min="8962" max="8962" width="15.85546875" style="383" customWidth="1"/>
    <col min="8963" max="8974" width="11.5703125" style="383" customWidth="1"/>
    <col min="8975" max="9216" width="8.85546875" style="383"/>
    <col min="9217" max="9217" width="20" style="383" customWidth="1"/>
    <col min="9218" max="9218" width="15.85546875" style="383" customWidth="1"/>
    <col min="9219" max="9230" width="11.5703125" style="383" customWidth="1"/>
    <col min="9231" max="9472" width="8.85546875" style="383"/>
    <col min="9473" max="9473" width="20" style="383" customWidth="1"/>
    <col min="9474" max="9474" width="15.85546875" style="383" customWidth="1"/>
    <col min="9475" max="9486" width="11.5703125" style="383" customWidth="1"/>
    <col min="9487" max="9728" width="8.85546875" style="383"/>
    <col min="9729" max="9729" width="20" style="383" customWidth="1"/>
    <col min="9730" max="9730" width="15.85546875" style="383" customWidth="1"/>
    <col min="9731" max="9742" width="11.5703125" style="383" customWidth="1"/>
    <col min="9743" max="9984" width="8.85546875" style="383"/>
    <col min="9985" max="9985" width="20" style="383" customWidth="1"/>
    <col min="9986" max="9986" width="15.85546875" style="383" customWidth="1"/>
    <col min="9987" max="9998" width="11.5703125" style="383" customWidth="1"/>
    <col min="9999" max="10240" width="8.85546875" style="383"/>
    <col min="10241" max="10241" width="20" style="383" customWidth="1"/>
    <col min="10242" max="10242" width="15.85546875" style="383" customWidth="1"/>
    <col min="10243" max="10254" width="11.5703125" style="383" customWidth="1"/>
    <col min="10255" max="10496" width="8.85546875" style="383"/>
    <col min="10497" max="10497" width="20" style="383" customWidth="1"/>
    <col min="10498" max="10498" width="15.85546875" style="383" customWidth="1"/>
    <col min="10499" max="10510" width="11.5703125" style="383" customWidth="1"/>
    <col min="10511" max="10752" width="8.85546875" style="383"/>
    <col min="10753" max="10753" width="20" style="383" customWidth="1"/>
    <col min="10754" max="10754" width="15.85546875" style="383" customWidth="1"/>
    <col min="10755" max="10766" width="11.5703125" style="383" customWidth="1"/>
    <col min="10767" max="11008" width="8.85546875" style="383"/>
    <col min="11009" max="11009" width="20" style="383" customWidth="1"/>
    <col min="11010" max="11010" width="15.85546875" style="383" customWidth="1"/>
    <col min="11011" max="11022" width="11.5703125" style="383" customWidth="1"/>
    <col min="11023" max="11264" width="8.85546875" style="383"/>
    <col min="11265" max="11265" width="20" style="383" customWidth="1"/>
    <col min="11266" max="11266" width="15.85546875" style="383" customWidth="1"/>
    <col min="11267" max="11278" width="11.5703125" style="383" customWidth="1"/>
    <col min="11279" max="11520" width="8.85546875" style="383"/>
    <col min="11521" max="11521" width="20" style="383" customWidth="1"/>
    <col min="11522" max="11522" width="15.85546875" style="383" customWidth="1"/>
    <col min="11523" max="11534" width="11.5703125" style="383" customWidth="1"/>
    <col min="11535" max="11776" width="8.85546875" style="383"/>
    <col min="11777" max="11777" width="20" style="383" customWidth="1"/>
    <col min="11778" max="11778" width="15.85546875" style="383" customWidth="1"/>
    <col min="11779" max="11790" width="11.5703125" style="383" customWidth="1"/>
    <col min="11791" max="12032" width="8.85546875" style="383"/>
    <col min="12033" max="12033" width="20" style="383" customWidth="1"/>
    <col min="12034" max="12034" width="15.85546875" style="383" customWidth="1"/>
    <col min="12035" max="12046" width="11.5703125" style="383" customWidth="1"/>
    <col min="12047" max="12288" width="8.85546875" style="383"/>
    <col min="12289" max="12289" width="20" style="383" customWidth="1"/>
    <col min="12290" max="12290" width="15.85546875" style="383" customWidth="1"/>
    <col min="12291" max="12302" width="11.5703125" style="383" customWidth="1"/>
    <col min="12303" max="12544" width="8.85546875" style="383"/>
    <col min="12545" max="12545" width="20" style="383" customWidth="1"/>
    <col min="12546" max="12546" width="15.85546875" style="383" customWidth="1"/>
    <col min="12547" max="12558" width="11.5703125" style="383" customWidth="1"/>
    <col min="12559" max="12800" width="8.85546875" style="383"/>
    <col min="12801" max="12801" width="20" style="383" customWidth="1"/>
    <col min="12802" max="12802" width="15.85546875" style="383" customWidth="1"/>
    <col min="12803" max="12814" width="11.5703125" style="383" customWidth="1"/>
    <col min="12815" max="13056" width="8.85546875" style="383"/>
    <col min="13057" max="13057" width="20" style="383" customWidth="1"/>
    <col min="13058" max="13058" width="15.85546875" style="383" customWidth="1"/>
    <col min="13059" max="13070" width="11.5703125" style="383" customWidth="1"/>
    <col min="13071" max="13312" width="8.85546875" style="383"/>
    <col min="13313" max="13313" width="20" style="383" customWidth="1"/>
    <col min="13314" max="13314" width="15.85546875" style="383" customWidth="1"/>
    <col min="13315" max="13326" width="11.5703125" style="383" customWidth="1"/>
    <col min="13327" max="13568" width="8.85546875" style="383"/>
    <col min="13569" max="13569" width="20" style="383" customWidth="1"/>
    <col min="13570" max="13570" width="15.85546875" style="383" customWidth="1"/>
    <col min="13571" max="13582" width="11.5703125" style="383" customWidth="1"/>
    <col min="13583" max="13824" width="8.85546875" style="383"/>
    <col min="13825" max="13825" width="20" style="383" customWidth="1"/>
    <col min="13826" max="13826" width="15.85546875" style="383" customWidth="1"/>
    <col min="13827" max="13838" width="11.5703125" style="383" customWidth="1"/>
    <col min="13839" max="14080" width="8.85546875" style="383"/>
    <col min="14081" max="14081" width="20" style="383" customWidth="1"/>
    <col min="14082" max="14082" width="15.85546875" style="383" customWidth="1"/>
    <col min="14083" max="14094" width="11.5703125" style="383" customWidth="1"/>
    <col min="14095" max="14336" width="8.85546875" style="383"/>
    <col min="14337" max="14337" width="20" style="383" customWidth="1"/>
    <col min="14338" max="14338" width="15.85546875" style="383" customWidth="1"/>
    <col min="14339" max="14350" width="11.5703125" style="383" customWidth="1"/>
    <col min="14351" max="14592" width="8.85546875" style="383"/>
    <col min="14593" max="14593" width="20" style="383" customWidth="1"/>
    <col min="14594" max="14594" width="15.85546875" style="383" customWidth="1"/>
    <col min="14595" max="14606" width="11.5703125" style="383" customWidth="1"/>
    <col min="14607" max="14848" width="8.85546875" style="383"/>
    <col min="14849" max="14849" width="20" style="383" customWidth="1"/>
    <col min="14850" max="14850" width="15.85546875" style="383" customWidth="1"/>
    <col min="14851" max="14862" width="11.5703125" style="383" customWidth="1"/>
    <col min="14863" max="15104" width="8.85546875" style="383"/>
    <col min="15105" max="15105" width="20" style="383" customWidth="1"/>
    <col min="15106" max="15106" width="15.85546875" style="383" customWidth="1"/>
    <col min="15107" max="15118" width="11.5703125" style="383" customWidth="1"/>
    <col min="15119" max="15360" width="8.85546875" style="383"/>
    <col min="15361" max="15361" width="20" style="383" customWidth="1"/>
    <col min="15362" max="15362" width="15.85546875" style="383" customWidth="1"/>
    <col min="15363" max="15374" width="11.5703125" style="383" customWidth="1"/>
    <col min="15375" max="15616" width="8.85546875" style="383"/>
    <col min="15617" max="15617" width="20" style="383" customWidth="1"/>
    <col min="15618" max="15618" width="15.85546875" style="383" customWidth="1"/>
    <col min="15619" max="15630" width="11.5703125" style="383" customWidth="1"/>
    <col min="15631" max="15872" width="8.85546875" style="383"/>
    <col min="15873" max="15873" width="20" style="383" customWidth="1"/>
    <col min="15874" max="15874" width="15.85546875" style="383" customWidth="1"/>
    <col min="15875" max="15886" width="11.5703125" style="383" customWidth="1"/>
    <col min="15887" max="16128" width="8.85546875" style="383"/>
    <col min="16129" max="16129" width="20" style="383" customWidth="1"/>
    <col min="16130" max="16130" width="15.85546875" style="383" customWidth="1"/>
    <col min="16131" max="16142" width="11.5703125" style="383" customWidth="1"/>
    <col min="16143" max="16384" width="8.85546875" style="383"/>
  </cols>
  <sheetData>
    <row r="1" spans="1:14">
      <c r="A1" s="383" t="s">
        <v>317</v>
      </c>
    </row>
    <row r="3" spans="1:14" ht="15" hidden="1">
      <c r="B3" s="384">
        <v>43070</v>
      </c>
      <c r="C3" s="384">
        <v>43101</v>
      </c>
      <c r="D3" s="384">
        <v>43132</v>
      </c>
      <c r="E3" s="384">
        <v>43160</v>
      </c>
      <c r="F3" s="384">
        <v>43191</v>
      </c>
      <c r="G3" s="384">
        <v>43221</v>
      </c>
      <c r="H3" s="384">
        <v>43252</v>
      </c>
      <c r="I3" s="384">
        <v>43282</v>
      </c>
      <c r="J3" s="384">
        <v>43313</v>
      </c>
      <c r="K3" s="384">
        <v>43344</v>
      </c>
      <c r="L3" s="384">
        <v>43374</v>
      </c>
      <c r="M3" s="384">
        <v>43405</v>
      </c>
      <c r="N3" s="384">
        <v>43435</v>
      </c>
    </row>
    <row r="4" spans="1:14" ht="21.6" hidden="1" customHeight="1">
      <c r="A4" s="385">
        <v>42736</v>
      </c>
      <c r="B4" s="383">
        <v>0.38574999999999998</v>
      </c>
    </row>
    <row r="5" spans="1:14" ht="21.6" hidden="1" customHeight="1">
      <c r="A5" s="385">
        <v>42767</v>
      </c>
      <c r="B5" s="383">
        <v>0.38574999999999998</v>
      </c>
      <c r="C5" s="383">
        <v>0.38574999999999998</v>
      </c>
    </row>
    <row r="6" spans="1:14" ht="21.6" hidden="1" customHeight="1">
      <c r="A6" s="385">
        <v>42795</v>
      </c>
      <c r="B6" s="383">
        <v>0.38574999999999998</v>
      </c>
      <c r="C6" s="383">
        <v>0.38574999999999998</v>
      </c>
      <c r="D6" s="383">
        <v>0.38574999999999998</v>
      </c>
    </row>
    <row r="7" spans="1:14" ht="21.6" hidden="1" customHeight="1">
      <c r="A7" s="385">
        <v>42826</v>
      </c>
      <c r="B7" s="383">
        <v>0.38574999999999998</v>
      </c>
      <c r="C7" s="383">
        <v>0.38574999999999998</v>
      </c>
      <c r="D7" s="383">
        <v>0.38574999999999998</v>
      </c>
      <c r="E7" s="383">
        <v>0.38574999999999998</v>
      </c>
    </row>
    <row r="8" spans="1:14" ht="21.6" hidden="1" customHeight="1">
      <c r="A8" s="385">
        <v>42856</v>
      </c>
      <c r="B8" s="383">
        <v>0.38574999999999998</v>
      </c>
      <c r="C8" s="383">
        <v>0.38574999999999998</v>
      </c>
      <c r="D8" s="383">
        <v>0.38574999999999998</v>
      </c>
      <c r="E8" s="383">
        <v>0.38574999999999998</v>
      </c>
      <c r="F8" s="383">
        <v>0.38574999999999998</v>
      </c>
    </row>
    <row r="9" spans="1:14" ht="21.6" hidden="1" customHeight="1">
      <c r="A9" s="385">
        <v>42887</v>
      </c>
      <c r="B9" s="383">
        <v>0.38574999999999998</v>
      </c>
      <c r="C9" s="383">
        <v>0.38574999999999998</v>
      </c>
      <c r="D9" s="383">
        <v>0.38574999999999998</v>
      </c>
      <c r="E9" s="383">
        <v>0.38574999999999998</v>
      </c>
      <c r="F9" s="383">
        <v>0.38574999999999998</v>
      </c>
      <c r="G9" s="383">
        <v>0.38574999999999998</v>
      </c>
    </row>
    <row r="10" spans="1:14" ht="21.6" hidden="1" customHeight="1">
      <c r="A10" s="385">
        <v>42917</v>
      </c>
      <c r="B10" s="383">
        <v>0.38574999999999998</v>
      </c>
      <c r="C10" s="383">
        <v>0.38574999999999998</v>
      </c>
      <c r="D10" s="383">
        <v>0.38574999999999998</v>
      </c>
      <c r="E10" s="383">
        <v>0.38574999999999998</v>
      </c>
      <c r="F10" s="383">
        <v>0.38574999999999998</v>
      </c>
      <c r="G10" s="383">
        <v>0.38574999999999998</v>
      </c>
      <c r="H10" s="383">
        <v>0.38574999999999998</v>
      </c>
    </row>
    <row r="11" spans="1:14" ht="21.6" hidden="1" customHeight="1">
      <c r="A11" s="385">
        <v>42948</v>
      </c>
      <c r="B11" s="383">
        <v>0.38574999999999998</v>
      </c>
      <c r="C11" s="383">
        <v>0.38574999999999998</v>
      </c>
      <c r="D11" s="383">
        <v>0.38574999999999998</v>
      </c>
      <c r="E11" s="383">
        <v>0.38574999999999998</v>
      </c>
      <c r="F11" s="383">
        <v>0.38574999999999998</v>
      </c>
      <c r="G11" s="383">
        <v>0.38574999999999998</v>
      </c>
      <c r="H11" s="383">
        <v>0.38574999999999998</v>
      </c>
      <c r="I11" s="383">
        <v>0.38574999999999998</v>
      </c>
    </row>
    <row r="12" spans="1:14" ht="21.6" hidden="1" customHeight="1">
      <c r="A12" s="385">
        <v>42979</v>
      </c>
      <c r="B12" s="383">
        <v>0.38574999999999998</v>
      </c>
      <c r="C12" s="383">
        <v>0.38574999999999998</v>
      </c>
      <c r="D12" s="383">
        <v>0.38574999999999998</v>
      </c>
      <c r="E12" s="383">
        <v>0.38574999999999998</v>
      </c>
      <c r="F12" s="383">
        <v>0.38574999999999998</v>
      </c>
      <c r="G12" s="383">
        <v>0.38574999999999998</v>
      </c>
      <c r="H12" s="383">
        <v>0.38574999999999998</v>
      </c>
      <c r="I12" s="383">
        <v>0.38574999999999998</v>
      </c>
      <c r="J12" s="383">
        <v>0.38574999999999998</v>
      </c>
    </row>
    <row r="13" spans="1:14" ht="21.6" hidden="1" customHeight="1">
      <c r="A13" s="385">
        <v>43009</v>
      </c>
      <c r="B13" s="383">
        <v>0.38574999999999998</v>
      </c>
      <c r="C13" s="383">
        <v>0.38574999999999998</v>
      </c>
      <c r="D13" s="383">
        <v>0.38574999999999998</v>
      </c>
      <c r="E13" s="383">
        <v>0.38574999999999998</v>
      </c>
      <c r="F13" s="383">
        <v>0.38574999999999998</v>
      </c>
      <c r="G13" s="383">
        <v>0.38574999999999998</v>
      </c>
      <c r="H13" s="383">
        <v>0.38574999999999998</v>
      </c>
      <c r="I13" s="383">
        <v>0.38574999999999998</v>
      </c>
      <c r="J13" s="383">
        <v>0.38574999999999998</v>
      </c>
      <c r="K13" s="383">
        <v>0.38574999999999998</v>
      </c>
    </row>
    <row r="14" spans="1:14" ht="21.6" hidden="1" customHeight="1">
      <c r="A14" s="385">
        <v>43040</v>
      </c>
      <c r="B14" s="383">
        <v>0.38574999999999998</v>
      </c>
      <c r="C14" s="383">
        <v>0.38574999999999998</v>
      </c>
      <c r="D14" s="383">
        <v>0.38574999999999998</v>
      </c>
      <c r="E14" s="383">
        <v>0.38574999999999998</v>
      </c>
      <c r="F14" s="383">
        <v>0.38574999999999998</v>
      </c>
      <c r="G14" s="383">
        <v>0.38574999999999998</v>
      </c>
      <c r="H14" s="383">
        <v>0.38574999999999998</v>
      </c>
      <c r="I14" s="383">
        <v>0.38574999999999998</v>
      </c>
      <c r="J14" s="383">
        <v>0.38574999999999998</v>
      </c>
      <c r="K14" s="383">
        <v>0.38574999999999998</v>
      </c>
      <c r="L14" s="383">
        <v>0.38574999999999998</v>
      </c>
    </row>
    <row r="15" spans="1:14" ht="21.6" hidden="1" customHeight="1">
      <c r="A15" s="385">
        <v>43070</v>
      </c>
      <c r="B15" s="383">
        <v>0.38574999999999998</v>
      </c>
      <c r="C15" s="383">
        <v>0.38574999999999998</v>
      </c>
      <c r="D15" s="383">
        <v>0.38574999999999998</v>
      </c>
      <c r="E15" s="383">
        <v>0.38574999999999998</v>
      </c>
      <c r="F15" s="383">
        <v>0.38574999999999998</v>
      </c>
      <c r="G15" s="383">
        <v>0.38574999999999998</v>
      </c>
      <c r="H15" s="383">
        <v>0.38574999999999998</v>
      </c>
      <c r="I15" s="383">
        <v>0.38574999999999998</v>
      </c>
      <c r="J15" s="383">
        <v>0.38574999999999998</v>
      </c>
      <c r="K15" s="383">
        <v>0.38574999999999998</v>
      </c>
      <c r="L15" s="383">
        <v>0.38574999999999998</v>
      </c>
      <c r="M15" s="383">
        <v>0.38574999999999998</v>
      </c>
    </row>
    <row r="16" spans="1:14" ht="21.6" hidden="1" customHeight="1">
      <c r="A16" s="385">
        <v>43101</v>
      </c>
      <c r="B16" s="385"/>
      <c r="C16" s="383">
        <v>0.25345000000000001</v>
      </c>
      <c r="D16" s="383">
        <v>0.25345000000000001</v>
      </c>
      <c r="E16" s="383">
        <v>0.25345000000000001</v>
      </c>
      <c r="F16" s="383">
        <v>0.25345000000000001</v>
      </c>
      <c r="G16" s="383">
        <v>0.25345000000000001</v>
      </c>
      <c r="H16" s="383">
        <v>0.25345000000000001</v>
      </c>
      <c r="I16" s="383">
        <v>0.25345000000000001</v>
      </c>
      <c r="J16" s="383">
        <v>0.25345000000000001</v>
      </c>
      <c r="K16" s="383">
        <v>0.25345000000000001</v>
      </c>
      <c r="L16" s="383">
        <v>0.25345000000000001</v>
      </c>
      <c r="M16" s="383">
        <v>0.25345000000000001</v>
      </c>
      <c r="N16" s="383">
        <v>0.25345000000000001</v>
      </c>
    </row>
    <row r="17" spans="1:14" ht="21.6" hidden="1" customHeight="1">
      <c r="A17" s="385">
        <v>43132</v>
      </c>
      <c r="B17" s="385"/>
      <c r="D17" s="383">
        <v>0.25345000000000001</v>
      </c>
      <c r="E17" s="383">
        <v>0.25345000000000001</v>
      </c>
      <c r="F17" s="383">
        <v>0.25345000000000001</v>
      </c>
      <c r="G17" s="383">
        <v>0.25345000000000001</v>
      </c>
      <c r="H17" s="383">
        <v>0.25345000000000001</v>
      </c>
      <c r="I17" s="383">
        <v>0.25345000000000001</v>
      </c>
      <c r="J17" s="383">
        <v>0.25345000000000001</v>
      </c>
      <c r="K17" s="383">
        <v>0.25345000000000001</v>
      </c>
      <c r="L17" s="383">
        <v>0.25345000000000001</v>
      </c>
      <c r="M17" s="383">
        <v>0.25345000000000001</v>
      </c>
      <c r="N17" s="383">
        <v>0.25345000000000001</v>
      </c>
    </row>
    <row r="18" spans="1:14" ht="21.6" hidden="1" customHeight="1">
      <c r="A18" s="385">
        <v>43160</v>
      </c>
      <c r="B18" s="385"/>
      <c r="E18" s="383">
        <v>0.25345000000000001</v>
      </c>
      <c r="F18" s="383">
        <v>0.25345000000000001</v>
      </c>
      <c r="G18" s="383">
        <v>0.25345000000000001</v>
      </c>
      <c r="H18" s="383">
        <v>0.25345000000000001</v>
      </c>
      <c r="I18" s="383">
        <v>0.25345000000000001</v>
      </c>
      <c r="J18" s="383">
        <v>0.25345000000000001</v>
      </c>
      <c r="K18" s="383">
        <v>0.25345000000000001</v>
      </c>
      <c r="L18" s="383">
        <v>0.25345000000000001</v>
      </c>
      <c r="M18" s="383">
        <v>0.25345000000000001</v>
      </c>
      <c r="N18" s="383">
        <v>0.25345000000000001</v>
      </c>
    </row>
    <row r="19" spans="1:14" ht="21.6" hidden="1" customHeight="1">
      <c r="A19" s="385">
        <v>43191</v>
      </c>
      <c r="B19" s="385"/>
      <c r="F19" s="383">
        <v>0.25345000000000001</v>
      </c>
      <c r="G19" s="383">
        <v>0.25345000000000001</v>
      </c>
      <c r="H19" s="383">
        <v>0.25345000000000001</v>
      </c>
      <c r="I19" s="383">
        <v>0.25345000000000001</v>
      </c>
      <c r="J19" s="383">
        <v>0.25345000000000001</v>
      </c>
      <c r="K19" s="383">
        <v>0.25345000000000001</v>
      </c>
      <c r="L19" s="383">
        <v>0.25345000000000001</v>
      </c>
      <c r="M19" s="383">
        <v>0.25345000000000001</v>
      </c>
      <c r="N19" s="383">
        <v>0.25345000000000001</v>
      </c>
    </row>
    <row r="20" spans="1:14" ht="21.6" hidden="1" customHeight="1">
      <c r="A20" s="385">
        <v>43221</v>
      </c>
      <c r="B20" s="385"/>
      <c r="G20" s="383">
        <v>0.25345000000000001</v>
      </c>
      <c r="H20" s="383">
        <v>0.25345000000000001</v>
      </c>
      <c r="I20" s="383">
        <v>0.25345000000000001</v>
      </c>
      <c r="J20" s="383">
        <v>0.25345000000000001</v>
      </c>
      <c r="K20" s="383">
        <v>0.25345000000000001</v>
      </c>
      <c r="L20" s="383">
        <v>0.25345000000000001</v>
      </c>
      <c r="M20" s="383">
        <v>0.25345000000000001</v>
      </c>
      <c r="N20" s="383">
        <v>0.25345000000000001</v>
      </c>
    </row>
    <row r="21" spans="1:14" ht="21.6" hidden="1" customHeight="1">
      <c r="A21" s="385">
        <v>43252</v>
      </c>
      <c r="B21" s="385"/>
      <c r="H21" s="383">
        <v>0.25345000000000001</v>
      </c>
      <c r="I21" s="383">
        <v>0.25345000000000001</v>
      </c>
      <c r="J21" s="383">
        <v>0.25345000000000001</v>
      </c>
      <c r="K21" s="383">
        <v>0.25345000000000001</v>
      </c>
      <c r="L21" s="383">
        <v>0.25345000000000001</v>
      </c>
      <c r="M21" s="383">
        <v>0.25345000000000001</v>
      </c>
      <c r="N21" s="383">
        <v>0.25345000000000001</v>
      </c>
    </row>
    <row r="22" spans="1:14" ht="21.6" hidden="1" customHeight="1">
      <c r="A22" s="385">
        <v>43282</v>
      </c>
      <c r="B22" s="385"/>
      <c r="I22" s="383">
        <v>0.25345000000000001</v>
      </c>
      <c r="J22" s="383">
        <v>0.25345000000000001</v>
      </c>
      <c r="K22" s="383">
        <v>0.25345000000000001</v>
      </c>
      <c r="L22" s="383">
        <v>0.25345000000000001</v>
      </c>
      <c r="M22" s="383">
        <v>0.25345000000000001</v>
      </c>
      <c r="N22" s="383">
        <v>0.25345000000000001</v>
      </c>
    </row>
    <row r="23" spans="1:14" ht="21.6" hidden="1" customHeight="1">
      <c r="A23" s="385">
        <v>43313</v>
      </c>
      <c r="B23" s="385"/>
      <c r="J23" s="383">
        <v>0.25345000000000001</v>
      </c>
      <c r="K23" s="383">
        <v>0.25345000000000001</v>
      </c>
      <c r="L23" s="383">
        <v>0.25345000000000001</v>
      </c>
      <c r="M23" s="383">
        <v>0.25345000000000001</v>
      </c>
      <c r="N23" s="383">
        <v>0.25345000000000001</v>
      </c>
    </row>
    <row r="24" spans="1:14" ht="21.6" hidden="1" customHeight="1">
      <c r="A24" s="385">
        <v>43344</v>
      </c>
      <c r="B24" s="385"/>
      <c r="K24" s="383">
        <v>0.25345000000000001</v>
      </c>
      <c r="L24" s="383">
        <v>0.25345000000000001</v>
      </c>
      <c r="M24" s="383">
        <v>0.25345000000000001</v>
      </c>
      <c r="N24" s="383">
        <v>0.25345000000000001</v>
      </c>
    </row>
    <row r="25" spans="1:14" ht="21.6" hidden="1" customHeight="1">
      <c r="A25" s="385">
        <v>43374</v>
      </c>
      <c r="B25" s="385"/>
      <c r="L25" s="383">
        <v>0.25345000000000001</v>
      </c>
      <c r="M25" s="383">
        <v>0.25345000000000001</v>
      </c>
      <c r="N25" s="383">
        <v>0.25345000000000001</v>
      </c>
    </row>
    <row r="26" spans="1:14" ht="21.6" hidden="1" customHeight="1">
      <c r="A26" s="385">
        <v>43405</v>
      </c>
      <c r="B26" s="385"/>
      <c r="M26" s="383">
        <v>0.25345000000000001</v>
      </c>
      <c r="N26" s="383">
        <v>0.25345000000000001</v>
      </c>
    </row>
    <row r="27" spans="1:14" ht="21.6" hidden="1" customHeight="1">
      <c r="A27" s="385">
        <v>43435</v>
      </c>
      <c r="B27" s="385"/>
      <c r="N27" s="383">
        <v>0.25345000000000001</v>
      </c>
    </row>
    <row r="28" spans="1:14" ht="15" hidden="1">
      <c r="A28" s="386"/>
      <c r="B28" s="386"/>
    </row>
    <row r="29" spans="1:14" ht="16.5" hidden="1" thickBot="1">
      <c r="A29" s="387" t="s">
        <v>318</v>
      </c>
      <c r="B29" s="388">
        <f>ROUND(SUM(B4:B27)/12,5)</f>
        <v>0.38574999999999998</v>
      </c>
      <c r="C29" s="389">
        <f>ROUND(SUM(C4:C27)/12,5)</f>
        <v>0.37473000000000001</v>
      </c>
      <c r="D29" s="389">
        <f t="shared" ref="D29:M29" si="0">SUM(D4:D27)/12</f>
        <v>0.36369999999999991</v>
      </c>
      <c r="E29" s="389">
        <f t="shared" si="0"/>
        <v>0.35267499999999991</v>
      </c>
      <c r="F29" s="389">
        <f t="shared" si="0"/>
        <v>0.34164999999999995</v>
      </c>
      <c r="G29" s="389">
        <f t="shared" si="0"/>
        <v>0.33062499999999995</v>
      </c>
      <c r="H29" s="389">
        <f t="shared" si="0"/>
        <v>0.31959999999999994</v>
      </c>
      <c r="I29" s="389">
        <f t="shared" si="0"/>
        <v>0.30857499999999999</v>
      </c>
      <c r="J29" s="389">
        <f t="shared" si="0"/>
        <v>0.29754999999999998</v>
      </c>
      <c r="K29" s="389">
        <f t="shared" si="0"/>
        <v>0.28652499999999997</v>
      </c>
      <c r="L29" s="389">
        <f t="shared" si="0"/>
        <v>0.27549999999999997</v>
      </c>
      <c r="M29" s="389">
        <f t="shared" si="0"/>
        <v>0.26447499999999996</v>
      </c>
      <c r="N29" s="389">
        <f>SUM(N4:N27)/12</f>
        <v>0.25345000000000001</v>
      </c>
    </row>
    <row r="30" spans="1:14" ht="20.45" hidden="1" customHeight="1" thickTop="1">
      <c r="A30" s="387" t="s">
        <v>318</v>
      </c>
      <c r="B30" s="390">
        <f>1-B29</f>
        <v>0.61424999999999996</v>
      </c>
      <c r="C30" s="391">
        <f>1-C29</f>
        <v>0.62526999999999999</v>
      </c>
      <c r="D30" s="391">
        <f t="shared" ref="D30:N30" si="1">1-D29</f>
        <v>0.63630000000000009</v>
      </c>
      <c r="E30" s="391">
        <f t="shared" si="1"/>
        <v>0.64732500000000015</v>
      </c>
      <c r="F30" s="391">
        <f t="shared" si="1"/>
        <v>0.65834999999999999</v>
      </c>
      <c r="G30" s="391">
        <f t="shared" si="1"/>
        <v>0.66937500000000005</v>
      </c>
      <c r="H30" s="391">
        <f t="shared" si="1"/>
        <v>0.68040000000000012</v>
      </c>
      <c r="I30" s="391">
        <f t="shared" si="1"/>
        <v>0.69142499999999996</v>
      </c>
      <c r="J30" s="391">
        <f t="shared" si="1"/>
        <v>0.70245000000000002</v>
      </c>
      <c r="K30" s="391">
        <f t="shared" si="1"/>
        <v>0.71347500000000008</v>
      </c>
      <c r="L30" s="391">
        <f t="shared" si="1"/>
        <v>0.72450000000000003</v>
      </c>
      <c r="M30" s="391">
        <f t="shared" si="1"/>
        <v>0.73552499999999998</v>
      </c>
      <c r="N30" s="391">
        <f t="shared" si="1"/>
        <v>0.74655000000000005</v>
      </c>
    </row>
    <row r="31" spans="1:14" s="394" customFormat="1" ht="18.75" hidden="1">
      <c r="A31" s="392"/>
      <c r="B31" s="392"/>
      <c r="C31" s="393">
        <v>43101</v>
      </c>
      <c r="D31" s="393">
        <v>43132</v>
      </c>
      <c r="E31" s="393">
        <v>43160</v>
      </c>
      <c r="F31" s="393">
        <v>43191</v>
      </c>
      <c r="G31" s="393">
        <v>43221</v>
      </c>
      <c r="H31" s="393">
        <v>43252</v>
      </c>
      <c r="I31" s="393">
        <v>43282</v>
      </c>
      <c r="J31" s="393">
        <v>43313</v>
      </c>
      <c r="K31" s="393">
        <v>43344</v>
      </c>
      <c r="L31" s="393">
        <v>43374</v>
      </c>
      <c r="M31" s="393">
        <v>43405</v>
      </c>
      <c r="N31" s="393">
        <v>43435</v>
      </c>
    </row>
    <row r="32" spans="1:14" ht="15" hidden="1">
      <c r="A32" s="386"/>
      <c r="B32" s="395" t="s">
        <v>319</v>
      </c>
      <c r="C32" s="396" t="s">
        <v>320</v>
      </c>
      <c r="D32" s="396" t="s">
        <v>320</v>
      </c>
      <c r="E32" s="396" t="s">
        <v>320</v>
      </c>
      <c r="F32" s="396" t="s">
        <v>320</v>
      </c>
      <c r="G32" s="396" t="s">
        <v>320</v>
      </c>
      <c r="H32" s="396" t="s">
        <v>320</v>
      </c>
      <c r="I32" s="396" t="s">
        <v>320</v>
      </c>
      <c r="J32" s="396" t="s">
        <v>320</v>
      </c>
      <c r="K32" s="396" t="s">
        <v>320</v>
      </c>
      <c r="L32" s="396" t="s">
        <v>320</v>
      </c>
      <c r="M32" s="396" t="s">
        <v>320</v>
      </c>
      <c r="N32" s="396" t="s">
        <v>320</v>
      </c>
    </row>
    <row r="33" spans="1:14" ht="15" hidden="1">
      <c r="A33" s="386"/>
      <c r="B33" s="395" t="s">
        <v>321</v>
      </c>
      <c r="C33" s="396" t="s">
        <v>322</v>
      </c>
      <c r="D33" s="396" t="s">
        <v>322</v>
      </c>
      <c r="E33" s="396" t="s">
        <v>322</v>
      </c>
      <c r="F33" s="396" t="s">
        <v>322</v>
      </c>
      <c r="G33" s="396" t="s">
        <v>322</v>
      </c>
      <c r="H33" s="396" t="s">
        <v>322</v>
      </c>
      <c r="I33" s="396" t="s">
        <v>322</v>
      </c>
      <c r="J33" s="396" t="s">
        <v>322</v>
      </c>
      <c r="K33" s="396" t="s">
        <v>322</v>
      </c>
      <c r="L33" s="396" t="s">
        <v>322</v>
      </c>
      <c r="M33" s="396" t="s">
        <v>322</v>
      </c>
      <c r="N33" s="396" t="s">
        <v>322</v>
      </c>
    </row>
    <row r="34" spans="1:14" ht="15" hidden="1">
      <c r="B34" s="395" t="s">
        <v>323</v>
      </c>
      <c r="C34" s="396" t="s">
        <v>324</v>
      </c>
      <c r="D34" s="396" t="s">
        <v>324</v>
      </c>
      <c r="E34" s="396" t="s">
        <v>324</v>
      </c>
      <c r="F34" s="396" t="s">
        <v>324</v>
      </c>
      <c r="G34" s="396" t="s">
        <v>324</v>
      </c>
      <c r="H34" s="396" t="s">
        <v>324</v>
      </c>
      <c r="I34" s="396" t="s">
        <v>324</v>
      </c>
      <c r="J34" s="396" t="s">
        <v>324</v>
      </c>
      <c r="K34" s="396" t="s">
        <v>324</v>
      </c>
      <c r="L34" s="396" t="s">
        <v>324</v>
      </c>
      <c r="M34" s="396" t="s">
        <v>324</v>
      </c>
      <c r="N34" s="396" t="s">
        <v>324</v>
      </c>
    </row>
    <row r="35" spans="1:14" ht="15">
      <c r="B35" s="397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</row>
    <row r="36" spans="1:14">
      <c r="A36" s="383" t="s">
        <v>325</v>
      </c>
      <c r="B36" s="654">
        <v>0.25345000000000001</v>
      </c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</row>
    <row r="37" spans="1:14">
      <c r="A37" s="383" t="s">
        <v>325</v>
      </c>
      <c r="B37" s="655">
        <f>1-B36</f>
        <v>0.74655000000000005</v>
      </c>
      <c r="C37" s="397"/>
      <c r="D37" s="397"/>
      <c r="E37" s="397"/>
      <c r="F37" s="397"/>
      <c r="G37" s="397"/>
      <c r="H37" s="397"/>
      <c r="I37" s="397"/>
      <c r="J37" s="397"/>
      <c r="K37" s="397"/>
      <c r="L37" s="397"/>
      <c r="M37" s="397"/>
      <c r="N37" s="397"/>
    </row>
    <row r="38" spans="1:14"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</row>
    <row r="39" spans="1:14">
      <c r="B39" s="397"/>
      <c r="C39" s="397"/>
      <c r="D39" s="397"/>
      <c r="E39" s="397"/>
      <c r="F39" s="397"/>
      <c r="G39" s="397"/>
      <c r="H39" s="397"/>
      <c r="I39" s="397"/>
      <c r="J39" s="397"/>
      <c r="K39" s="397"/>
      <c r="L39" s="397"/>
      <c r="M39" s="397"/>
      <c r="N39" s="39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002060"/>
    <pageSetUpPr fitToPage="1"/>
  </sheetPr>
  <dimension ref="A1:U290"/>
  <sheetViews>
    <sheetView workbookViewId="0">
      <pane xSplit="1" ySplit="223" topLeftCell="B274" activePane="bottomRight" state="frozen"/>
      <selection pane="topRight" activeCell="B1" sqref="B1"/>
      <selection pane="bottomLeft" activeCell="A224" sqref="A224"/>
      <selection pane="bottomRight" activeCell="C264" sqref="C264"/>
    </sheetView>
  </sheetViews>
  <sheetFormatPr defaultRowHeight="12.75" outlineLevelRow="1"/>
  <cols>
    <col min="1" max="1" width="11.7109375" style="806" bestFit="1" customWidth="1"/>
    <col min="2" max="2" width="18.42578125" style="806" customWidth="1"/>
    <col min="3" max="3" width="12.5703125" style="806" bestFit="1" customWidth="1"/>
    <col min="4" max="4" width="20.42578125" style="806" customWidth="1"/>
    <col min="5" max="5" width="12.5703125" style="806" bestFit="1" customWidth="1"/>
    <col min="6" max="6" width="18.7109375" style="806" bestFit="1" customWidth="1"/>
    <col min="7" max="7" width="16.5703125" style="806" customWidth="1"/>
    <col min="8" max="8" width="18.140625" style="806" hidden="1" customWidth="1"/>
    <col min="9" max="9" width="18.28515625" style="806" hidden="1" customWidth="1"/>
    <col min="10" max="10" width="18.28515625" style="806" bestFit="1" customWidth="1"/>
    <col min="11" max="11" width="11.85546875" style="806" bestFit="1" customWidth="1"/>
    <col min="12" max="12" width="12.28515625" style="806" bestFit="1" customWidth="1"/>
    <col min="13" max="13" width="10.42578125" style="806" customWidth="1"/>
    <col min="14" max="14" width="9.28515625" style="806" bestFit="1" customWidth="1"/>
    <col min="15" max="18" width="8.85546875" style="806"/>
    <col min="19" max="19" width="19.85546875" style="806" bestFit="1" customWidth="1"/>
    <col min="20" max="20" width="10.42578125" style="806" bestFit="1" customWidth="1"/>
    <col min="21" max="21" width="18.85546875" style="806" customWidth="1"/>
    <col min="22" max="256" width="8.85546875" style="806"/>
    <col min="257" max="257" width="11.7109375" style="806" bestFit="1" customWidth="1"/>
    <col min="258" max="258" width="18.42578125" style="806" customWidth="1"/>
    <col min="259" max="259" width="12.5703125" style="806" bestFit="1" customWidth="1"/>
    <col min="260" max="260" width="20.42578125" style="806" customWidth="1"/>
    <col min="261" max="261" width="12.5703125" style="806" bestFit="1" customWidth="1"/>
    <col min="262" max="262" width="18.7109375" style="806" bestFit="1" customWidth="1"/>
    <col min="263" max="263" width="16.5703125" style="806" customWidth="1"/>
    <col min="264" max="265" width="0" style="806" hidden="1" customWidth="1"/>
    <col min="266" max="266" width="18.28515625" style="806" bestFit="1" customWidth="1"/>
    <col min="267" max="267" width="11.85546875" style="806" bestFit="1" customWidth="1"/>
    <col min="268" max="268" width="12.28515625" style="806" bestFit="1" customWidth="1"/>
    <col min="269" max="269" width="10.42578125" style="806" customWidth="1"/>
    <col min="270" max="270" width="9.28515625" style="806" bestFit="1" customWidth="1"/>
    <col min="271" max="274" width="8.85546875" style="806"/>
    <col min="275" max="275" width="19.85546875" style="806" bestFit="1" customWidth="1"/>
    <col min="276" max="276" width="10.42578125" style="806" bestFit="1" customWidth="1"/>
    <col min="277" max="277" width="18.85546875" style="806" customWidth="1"/>
    <col min="278" max="512" width="8.85546875" style="806"/>
    <col min="513" max="513" width="11.7109375" style="806" bestFit="1" customWidth="1"/>
    <col min="514" max="514" width="18.42578125" style="806" customWidth="1"/>
    <col min="515" max="515" width="12.5703125" style="806" bestFit="1" customWidth="1"/>
    <col min="516" max="516" width="20.42578125" style="806" customWidth="1"/>
    <col min="517" max="517" width="12.5703125" style="806" bestFit="1" customWidth="1"/>
    <col min="518" max="518" width="18.7109375" style="806" bestFit="1" customWidth="1"/>
    <col min="519" max="519" width="16.5703125" style="806" customWidth="1"/>
    <col min="520" max="521" width="0" style="806" hidden="1" customWidth="1"/>
    <col min="522" max="522" width="18.28515625" style="806" bestFit="1" customWidth="1"/>
    <col min="523" max="523" width="11.85546875" style="806" bestFit="1" customWidth="1"/>
    <col min="524" max="524" width="12.28515625" style="806" bestFit="1" customWidth="1"/>
    <col min="525" max="525" width="10.42578125" style="806" customWidth="1"/>
    <col min="526" max="526" width="9.28515625" style="806" bestFit="1" customWidth="1"/>
    <col min="527" max="530" width="8.85546875" style="806"/>
    <col min="531" max="531" width="19.85546875" style="806" bestFit="1" customWidth="1"/>
    <col min="532" max="532" width="10.42578125" style="806" bestFit="1" customWidth="1"/>
    <col min="533" max="533" width="18.85546875" style="806" customWidth="1"/>
    <col min="534" max="768" width="8.85546875" style="806"/>
    <col min="769" max="769" width="11.7109375" style="806" bestFit="1" customWidth="1"/>
    <col min="770" max="770" width="18.42578125" style="806" customWidth="1"/>
    <col min="771" max="771" width="12.5703125" style="806" bestFit="1" customWidth="1"/>
    <col min="772" max="772" width="20.42578125" style="806" customWidth="1"/>
    <col min="773" max="773" width="12.5703125" style="806" bestFit="1" customWidth="1"/>
    <col min="774" max="774" width="18.7109375" style="806" bestFit="1" customWidth="1"/>
    <col min="775" max="775" width="16.5703125" style="806" customWidth="1"/>
    <col min="776" max="777" width="0" style="806" hidden="1" customWidth="1"/>
    <col min="778" max="778" width="18.28515625" style="806" bestFit="1" customWidth="1"/>
    <col min="779" max="779" width="11.85546875" style="806" bestFit="1" customWidth="1"/>
    <col min="780" max="780" width="12.28515625" style="806" bestFit="1" customWidth="1"/>
    <col min="781" max="781" width="10.42578125" style="806" customWidth="1"/>
    <col min="782" max="782" width="9.28515625" style="806" bestFit="1" customWidth="1"/>
    <col min="783" max="786" width="8.85546875" style="806"/>
    <col min="787" max="787" width="19.85546875" style="806" bestFit="1" customWidth="1"/>
    <col min="788" max="788" width="10.42578125" style="806" bestFit="1" customWidth="1"/>
    <col min="789" max="789" width="18.85546875" style="806" customWidth="1"/>
    <col min="790" max="1024" width="8.85546875" style="806"/>
    <col min="1025" max="1025" width="11.7109375" style="806" bestFit="1" customWidth="1"/>
    <col min="1026" max="1026" width="18.42578125" style="806" customWidth="1"/>
    <col min="1027" max="1027" width="12.5703125" style="806" bestFit="1" customWidth="1"/>
    <col min="1028" max="1028" width="20.42578125" style="806" customWidth="1"/>
    <col min="1029" max="1029" width="12.5703125" style="806" bestFit="1" customWidth="1"/>
    <col min="1030" max="1030" width="18.7109375" style="806" bestFit="1" customWidth="1"/>
    <col min="1031" max="1031" width="16.5703125" style="806" customWidth="1"/>
    <col min="1032" max="1033" width="0" style="806" hidden="1" customWidth="1"/>
    <col min="1034" max="1034" width="18.28515625" style="806" bestFit="1" customWidth="1"/>
    <col min="1035" max="1035" width="11.85546875" style="806" bestFit="1" customWidth="1"/>
    <col min="1036" max="1036" width="12.28515625" style="806" bestFit="1" customWidth="1"/>
    <col min="1037" max="1037" width="10.42578125" style="806" customWidth="1"/>
    <col min="1038" max="1038" width="9.28515625" style="806" bestFit="1" customWidth="1"/>
    <col min="1039" max="1042" width="8.85546875" style="806"/>
    <col min="1043" max="1043" width="19.85546875" style="806" bestFit="1" customWidth="1"/>
    <col min="1044" max="1044" width="10.42578125" style="806" bestFit="1" customWidth="1"/>
    <col min="1045" max="1045" width="18.85546875" style="806" customWidth="1"/>
    <col min="1046" max="1280" width="8.85546875" style="806"/>
    <col min="1281" max="1281" width="11.7109375" style="806" bestFit="1" customWidth="1"/>
    <col min="1282" max="1282" width="18.42578125" style="806" customWidth="1"/>
    <col min="1283" max="1283" width="12.5703125" style="806" bestFit="1" customWidth="1"/>
    <col min="1284" max="1284" width="20.42578125" style="806" customWidth="1"/>
    <col min="1285" max="1285" width="12.5703125" style="806" bestFit="1" customWidth="1"/>
    <col min="1286" max="1286" width="18.7109375" style="806" bestFit="1" customWidth="1"/>
    <col min="1287" max="1287" width="16.5703125" style="806" customWidth="1"/>
    <col min="1288" max="1289" width="0" style="806" hidden="1" customWidth="1"/>
    <col min="1290" max="1290" width="18.28515625" style="806" bestFit="1" customWidth="1"/>
    <col min="1291" max="1291" width="11.85546875" style="806" bestFit="1" customWidth="1"/>
    <col min="1292" max="1292" width="12.28515625" style="806" bestFit="1" customWidth="1"/>
    <col min="1293" max="1293" width="10.42578125" style="806" customWidth="1"/>
    <col min="1294" max="1294" width="9.28515625" style="806" bestFit="1" customWidth="1"/>
    <col min="1295" max="1298" width="8.85546875" style="806"/>
    <col min="1299" max="1299" width="19.85546875" style="806" bestFit="1" customWidth="1"/>
    <col min="1300" max="1300" width="10.42578125" style="806" bestFit="1" customWidth="1"/>
    <col min="1301" max="1301" width="18.85546875" style="806" customWidth="1"/>
    <col min="1302" max="1536" width="8.85546875" style="806"/>
    <col min="1537" max="1537" width="11.7109375" style="806" bestFit="1" customWidth="1"/>
    <col min="1538" max="1538" width="18.42578125" style="806" customWidth="1"/>
    <col min="1539" max="1539" width="12.5703125" style="806" bestFit="1" customWidth="1"/>
    <col min="1540" max="1540" width="20.42578125" style="806" customWidth="1"/>
    <col min="1541" max="1541" width="12.5703125" style="806" bestFit="1" customWidth="1"/>
    <col min="1542" max="1542" width="18.7109375" style="806" bestFit="1" customWidth="1"/>
    <col min="1543" max="1543" width="16.5703125" style="806" customWidth="1"/>
    <col min="1544" max="1545" width="0" style="806" hidden="1" customWidth="1"/>
    <col min="1546" max="1546" width="18.28515625" style="806" bestFit="1" customWidth="1"/>
    <col min="1547" max="1547" width="11.85546875" style="806" bestFit="1" customWidth="1"/>
    <col min="1548" max="1548" width="12.28515625" style="806" bestFit="1" customWidth="1"/>
    <col min="1549" max="1549" width="10.42578125" style="806" customWidth="1"/>
    <col min="1550" max="1550" width="9.28515625" style="806" bestFit="1" customWidth="1"/>
    <col min="1551" max="1554" width="8.85546875" style="806"/>
    <col min="1555" max="1555" width="19.85546875" style="806" bestFit="1" customWidth="1"/>
    <col min="1556" max="1556" width="10.42578125" style="806" bestFit="1" customWidth="1"/>
    <col min="1557" max="1557" width="18.85546875" style="806" customWidth="1"/>
    <col min="1558" max="1792" width="8.85546875" style="806"/>
    <col min="1793" max="1793" width="11.7109375" style="806" bestFit="1" customWidth="1"/>
    <col min="1794" max="1794" width="18.42578125" style="806" customWidth="1"/>
    <col min="1795" max="1795" width="12.5703125" style="806" bestFit="1" customWidth="1"/>
    <col min="1796" max="1796" width="20.42578125" style="806" customWidth="1"/>
    <col min="1797" max="1797" width="12.5703125" style="806" bestFit="1" customWidth="1"/>
    <col min="1798" max="1798" width="18.7109375" style="806" bestFit="1" customWidth="1"/>
    <col min="1799" max="1799" width="16.5703125" style="806" customWidth="1"/>
    <col min="1800" max="1801" width="0" style="806" hidden="1" customWidth="1"/>
    <col min="1802" max="1802" width="18.28515625" style="806" bestFit="1" customWidth="1"/>
    <col min="1803" max="1803" width="11.85546875" style="806" bestFit="1" customWidth="1"/>
    <col min="1804" max="1804" width="12.28515625" style="806" bestFit="1" customWidth="1"/>
    <col min="1805" max="1805" width="10.42578125" style="806" customWidth="1"/>
    <col min="1806" max="1806" width="9.28515625" style="806" bestFit="1" customWidth="1"/>
    <col min="1807" max="1810" width="8.85546875" style="806"/>
    <col min="1811" max="1811" width="19.85546875" style="806" bestFit="1" customWidth="1"/>
    <col min="1812" max="1812" width="10.42578125" style="806" bestFit="1" customWidth="1"/>
    <col min="1813" max="1813" width="18.85546875" style="806" customWidth="1"/>
    <col min="1814" max="2048" width="8.85546875" style="806"/>
    <col min="2049" max="2049" width="11.7109375" style="806" bestFit="1" customWidth="1"/>
    <col min="2050" max="2050" width="18.42578125" style="806" customWidth="1"/>
    <col min="2051" max="2051" width="12.5703125" style="806" bestFit="1" customWidth="1"/>
    <col min="2052" max="2052" width="20.42578125" style="806" customWidth="1"/>
    <col min="2053" max="2053" width="12.5703125" style="806" bestFit="1" customWidth="1"/>
    <col min="2054" max="2054" width="18.7109375" style="806" bestFit="1" customWidth="1"/>
    <col min="2055" max="2055" width="16.5703125" style="806" customWidth="1"/>
    <col min="2056" max="2057" width="0" style="806" hidden="1" customWidth="1"/>
    <col min="2058" max="2058" width="18.28515625" style="806" bestFit="1" customWidth="1"/>
    <col min="2059" max="2059" width="11.85546875" style="806" bestFit="1" customWidth="1"/>
    <col min="2060" max="2060" width="12.28515625" style="806" bestFit="1" customWidth="1"/>
    <col min="2061" max="2061" width="10.42578125" style="806" customWidth="1"/>
    <col min="2062" max="2062" width="9.28515625" style="806" bestFit="1" customWidth="1"/>
    <col min="2063" max="2066" width="8.85546875" style="806"/>
    <col min="2067" max="2067" width="19.85546875" style="806" bestFit="1" customWidth="1"/>
    <col min="2068" max="2068" width="10.42578125" style="806" bestFit="1" customWidth="1"/>
    <col min="2069" max="2069" width="18.85546875" style="806" customWidth="1"/>
    <col min="2070" max="2304" width="8.85546875" style="806"/>
    <col min="2305" max="2305" width="11.7109375" style="806" bestFit="1" customWidth="1"/>
    <col min="2306" max="2306" width="18.42578125" style="806" customWidth="1"/>
    <col min="2307" max="2307" width="12.5703125" style="806" bestFit="1" customWidth="1"/>
    <col min="2308" max="2308" width="20.42578125" style="806" customWidth="1"/>
    <col min="2309" max="2309" width="12.5703125" style="806" bestFit="1" customWidth="1"/>
    <col min="2310" max="2310" width="18.7109375" style="806" bestFit="1" customWidth="1"/>
    <col min="2311" max="2311" width="16.5703125" style="806" customWidth="1"/>
    <col min="2312" max="2313" width="0" style="806" hidden="1" customWidth="1"/>
    <col min="2314" max="2314" width="18.28515625" style="806" bestFit="1" customWidth="1"/>
    <col min="2315" max="2315" width="11.85546875" style="806" bestFit="1" customWidth="1"/>
    <col min="2316" max="2316" width="12.28515625" style="806" bestFit="1" customWidth="1"/>
    <col min="2317" max="2317" width="10.42578125" style="806" customWidth="1"/>
    <col min="2318" max="2318" width="9.28515625" style="806" bestFit="1" customWidth="1"/>
    <col min="2319" max="2322" width="8.85546875" style="806"/>
    <col min="2323" max="2323" width="19.85546875" style="806" bestFit="1" customWidth="1"/>
    <col min="2324" max="2324" width="10.42578125" style="806" bestFit="1" customWidth="1"/>
    <col min="2325" max="2325" width="18.85546875" style="806" customWidth="1"/>
    <col min="2326" max="2560" width="8.85546875" style="806"/>
    <col min="2561" max="2561" width="11.7109375" style="806" bestFit="1" customWidth="1"/>
    <col min="2562" max="2562" width="18.42578125" style="806" customWidth="1"/>
    <col min="2563" max="2563" width="12.5703125" style="806" bestFit="1" customWidth="1"/>
    <col min="2564" max="2564" width="20.42578125" style="806" customWidth="1"/>
    <col min="2565" max="2565" width="12.5703125" style="806" bestFit="1" customWidth="1"/>
    <col min="2566" max="2566" width="18.7109375" style="806" bestFit="1" customWidth="1"/>
    <col min="2567" max="2567" width="16.5703125" style="806" customWidth="1"/>
    <col min="2568" max="2569" width="0" style="806" hidden="1" customWidth="1"/>
    <col min="2570" max="2570" width="18.28515625" style="806" bestFit="1" customWidth="1"/>
    <col min="2571" max="2571" width="11.85546875" style="806" bestFit="1" customWidth="1"/>
    <col min="2572" max="2572" width="12.28515625" style="806" bestFit="1" customWidth="1"/>
    <col min="2573" max="2573" width="10.42578125" style="806" customWidth="1"/>
    <col min="2574" max="2574" width="9.28515625" style="806" bestFit="1" customWidth="1"/>
    <col min="2575" max="2578" width="8.85546875" style="806"/>
    <col min="2579" max="2579" width="19.85546875" style="806" bestFit="1" customWidth="1"/>
    <col min="2580" max="2580" width="10.42578125" style="806" bestFit="1" customWidth="1"/>
    <col min="2581" max="2581" width="18.85546875" style="806" customWidth="1"/>
    <col min="2582" max="2816" width="8.85546875" style="806"/>
    <col min="2817" max="2817" width="11.7109375" style="806" bestFit="1" customWidth="1"/>
    <col min="2818" max="2818" width="18.42578125" style="806" customWidth="1"/>
    <col min="2819" max="2819" width="12.5703125" style="806" bestFit="1" customWidth="1"/>
    <col min="2820" max="2820" width="20.42578125" style="806" customWidth="1"/>
    <col min="2821" max="2821" width="12.5703125" style="806" bestFit="1" customWidth="1"/>
    <col min="2822" max="2822" width="18.7109375" style="806" bestFit="1" customWidth="1"/>
    <col min="2823" max="2823" width="16.5703125" style="806" customWidth="1"/>
    <col min="2824" max="2825" width="0" style="806" hidden="1" customWidth="1"/>
    <col min="2826" max="2826" width="18.28515625" style="806" bestFit="1" customWidth="1"/>
    <col min="2827" max="2827" width="11.85546875" style="806" bestFit="1" customWidth="1"/>
    <col min="2828" max="2828" width="12.28515625" style="806" bestFit="1" customWidth="1"/>
    <col min="2829" max="2829" width="10.42578125" style="806" customWidth="1"/>
    <col min="2830" max="2830" width="9.28515625" style="806" bestFit="1" customWidth="1"/>
    <col min="2831" max="2834" width="8.85546875" style="806"/>
    <col min="2835" max="2835" width="19.85546875" style="806" bestFit="1" customWidth="1"/>
    <col min="2836" max="2836" width="10.42578125" style="806" bestFit="1" customWidth="1"/>
    <col min="2837" max="2837" width="18.85546875" style="806" customWidth="1"/>
    <col min="2838" max="3072" width="8.85546875" style="806"/>
    <col min="3073" max="3073" width="11.7109375" style="806" bestFit="1" customWidth="1"/>
    <col min="3074" max="3074" width="18.42578125" style="806" customWidth="1"/>
    <col min="3075" max="3075" width="12.5703125" style="806" bestFit="1" customWidth="1"/>
    <col min="3076" max="3076" width="20.42578125" style="806" customWidth="1"/>
    <col min="3077" max="3077" width="12.5703125" style="806" bestFit="1" customWidth="1"/>
    <col min="3078" max="3078" width="18.7109375" style="806" bestFit="1" customWidth="1"/>
    <col min="3079" max="3079" width="16.5703125" style="806" customWidth="1"/>
    <col min="3080" max="3081" width="0" style="806" hidden="1" customWidth="1"/>
    <col min="3082" max="3082" width="18.28515625" style="806" bestFit="1" customWidth="1"/>
    <col min="3083" max="3083" width="11.85546875" style="806" bestFit="1" customWidth="1"/>
    <col min="3084" max="3084" width="12.28515625" style="806" bestFit="1" customWidth="1"/>
    <col min="3085" max="3085" width="10.42578125" style="806" customWidth="1"/>
    <col min="3086" max="3086" width="9.28515625" style="806" bestFit="1" customWidth="1"/>
    <col min="3087" max="3090" width="8.85546875" style="806"/>
    <col min="3091" max="3091" width="19.85546875" style="806" bestFit="1" customWidth="1"/>
    <col min="3092" max="3092" width="10.42578125" style="806" bestFit="1" customWidth="1"/>
    <col min="3093" max="3093" width="18.85546875" style="806" customWidth="1"/>
    <col min="3094" max="3328" width="8.85546875" style="806"/>
    <col min="3329" max="3329" width="11.7109375" style="806" bestFit="1" customWidth="1"/>
    <col min="3330" max="3330" width="18.42578125" style="806" customWidth="1"/>
    <col min="3331" max="3331" width="12.5703125" style="806" bestFit="1" customWidth="1"/>
    <col min="3332" max="3332" width="20.42578125" style="806" customWidth="1"/>
    <col min="3333" max="3333" width="12.5703125" style="806" bestFit="1" customWidth="1"/>
    <col min="3334" max="3334" width="18.7109375" style="806" bestFit="1" customWidth="1"/>
    <col min="3335" max="3335" width="16.5703125" style="806" customWidth="1"/>
    <col min="3336" max="3337" width="0" style="806" hidden="1" customWidth="1"/>
    <col min="3338" max="3338" width="18.28515625" style="806" bestFit="1" customWidth="1"/>
    <col min="3339" max="3339" width="11.85546875" style="806" bestFit="1" customWidth="1"/>
    <col min="3340" max="3340" width="12.28515625" style="806" bestFit="1" customWidth="1"/>
    <col min="3341" max="3341" width="10.42578125" style="806" customWidth="1"/>
    <col min="3342" max="3342" width="9.28515625" style="806" bestFit="1" customWidth="1"/>
    <col min="3343" max="3346" width="8.85546875" style="806"/>
    <col min="3347" max="3347" width="19.85546875" style="806" bestFit="1" customWidth="1"/>
    <col min="3348" max="3348" width="10.42578125" style="806" bestFit="1" customWidth="1"/>
    <col min="3349" max="3349" width="18.85546875" style="806" customWidth="1"/>
    <col min="3350" max="3584" width="8.85546875" style="806"/>
    <col min="3585" max="3585" width="11.7109375" style="806" bestFit="1" customWidth="1"/>
    <col min="3586" max="3586" width="18.42578125" style="806" customWidth="1"/>
    <col min="3587" max="3587" width="12.5703125" style="806" bestFit="1" customWidth="1"/>
    <col min="3588" max="3588" width="20.42578125" style="806" customWidth="1"/>
    <col min="3589" max="3589" width="12.5703125" style="806" bestFit="1" customWidth="1"/>
    <col min="3590" max="3590" width="18.7109375" style="806" bestFit="1" customWidth="1"/>
    <col min="3591" max="3591" width="16.5703125" style="806" customWidth="1"/>
    <col min="3592" max="3593" width="0" style="806" hidden="1" customWidth="1"/>
    <col min="3594" max="3594" width="18.28515625" style="806" bestFit="1" customWidth="1"/>
    <col min="3595" max="3595" width="11.85546875" style="806" bestFit="1" customWidth="1"/>
    <col min="3596" max="3596" width="12.28515625" style="806" bestFit="1" customWidth="1"/>
    <col min="3597" max="3597" width="10.42578125" style="806" customWidth="1"/>
    <col min="3598" max="3598" width="9.28515625" style="806" bestFit="1" customWidth="1"/>
    <col min="3599" max="3602" width="8.85546875" style="806"/>
    <col min="3603" max="3603" width="19.85546875" style="806" bestFit="1" customWidth="1"/>
    <col min="3604" max="3604" width="10.42578125" style="806" bestFit="1" customWidth="1"/>
    <col min="3605" max="3605" width="18.85546875" style="806" customWidth="1"/>
    <col min="3606" max="3840" width="8.85546875" style="806"/>
    <col min="3841" max="3841" width="11.7109375" style="806" bestFit="1" customWidth="1"/>
    <col min="3842" max="3842" width="18.42578125" style="806" customWidth="1"/>
    <col min="3843" max="3843" width="12.5703125" style="806" bestFit="1" customWidth="1"/>
    <col min="3844" max="3844" width="20.42578125" style="806" customWidth="1"/>
    <col min="3845" max="3845" width="12.5703125" style="806" bestFit="1" customWidth="1"/>
    <col min="3846" max="3846" width="18.7109375" style="806" bestFit="1" customWidth="1"/>
    <col min="3847" max="3847" width="16.5703125" style="806" customWidth="1"/>
    <col min="3848" max="3849" width="0" style="806" hidden="1" customWidth="1"/>
    <col min="3850" max="3850" width="18.28515625" style="806" bestFit="1" customWidth="1"/>
    <col min="3851" max="3851" width="11.85546875" style="806" bestFit="1" customWidth="1"/>
    <col min="3852" max="3852" width="12.28515625" style="806" bestFit="1" customWidth="1"/>
    <col min="3853" max="3853" width="10.42578125" style="806" customWidth="1"/>
    <col min="3854" max="3854" width="9.28515625" style="806" bestFit="1" customWidth="1"/>
    <col min="3855" max="3858" width="8.85546875" style="806"/>
    <col min="3859" max="3859" width="19.85546875" style="806" bestFit="1" customWidth="1"/>
    <col min="3860" max="3860" width="10.42578125" style="806" bestFit="1" customWidth="1"/>
    <col min="3861" max="3861" width="18.85546875" style="806" customWidth="1"/>
    <col min="3862" max="4096" width="8.85546875" style="806"/>
    <col min="4097" max="4097" width="11.7109375" style="806" bestFit="1" customWidth="1"/>
    <col min="4098" max="4098" width="18.42578125" style="806" customWidth="1"/>
    <col min="4099" max="4099" width="12.5703125" style="806" bestFit="1" customWidth="1"/>
    <col min="4100" max="4100" width="20.42578125" style="806" customWidth="1"/>
    <col min="4101" max="4101" width="12.5703125" style="806" bestFit="1" customWidth="1"/>
    <col min="4102" max="4102" width="18.7109375" style="806" bestFit="1" customWidth="1"/>
    <col min="4103" max="4103" width="16.5703125" style="806" customWidth="1"/>
    <col min="4104" max="4105" width="0" style="806" hidden="1" customWidth="1"/>
    <col min="4106" max="4106" width="18.28515625" style="806" bestFit="1" customWidth="1"/>
    <col min="4107" max="4107" width="11.85546875" style="806" bestFit="1" customWidth="1"/>
    <col min="4108" max="4108" width="12.28515625" style="806" bestFit="1" customWidth="1"/>
    <col min="4109" max="4109" width="10.42578125" style="806" customWidth="1"/>
    <col min="4110" max="4110" width="9.28515625" style="806" bestFit="1" customWidth="1"/>
    <col min="4111" max="4114" width="8.85546875" style="806"/>
    <col min="4115" max="4115" width="19.85546875" style="806" bestFit="1" customWidth="1"/>
    <col min="4116" max="4116" width="10.42578125" style="806" bestFit="1" customWidth="1"/>
    <col min="4117" max="4117" width="18.85546875" style="806" customWidth="1"/>
    <col min="4118" max="4352" width="8.85546875" style="806"/>
    <col min="4353" max="4353" width="11.7109375" style="806" bestFit="1" customWidth="1"/>
    <col min="4354" max="4354" width="18.42578125" style="806" customWidth="1"/>
    <col min="4355" max="4355" width="12.5703125" style="806" bestFit="1" customWidth="1"/>
    <col min="4356" max="4356" width="20.42578125" style="806" customWidth="1"/>
    <col min="4357" max="4357" width="12.5703125" style="806" bestFit="1" customWidth="1"/>
    <col min="4358" max="4358" width="18.7109375" style="806" bestFit="1" customWidth="1"/>
    <col min="4359" max="4359" width="16.5703125" style="806" customWidth="1"/>
    <col min="4360" max="4361" width="0" style="806" hidden="1" customWidth="1"/>
    <col min="4362" max="4362" width="18.28515625" style="806" bestFit="1" customWidth="1"/>
    <col min="4363" max="4363" width="11.85546875" style="806" bestFit="1" customWidth="1"/>
    <col min="4364" max="4364" width="12.28515625" style="806" bestFit="1" customWidth="1"/>
    <col min="4365" max="4365" width="10.42578125" style="806" customWidth="1"/>
    <col min="4366" max="4366" width="9.28515625" style="806" bestFit="1" customWidth="1"/>
    <col min="4367" max="4370" width="8.85546875" style="806"/>
    <col min="4371" max="4371" width="19.85546875" style="806" bestFit="1" customWidth="1"/>
    <col min="4372" max="4372" width="10.42578125" style="806" bestFit="1" customWidth="1"/>
    <col min="4373" max="4373" width="18.85546875" style="806" customWidth="1"/>
    <col min="4374" max="4608" width="8.85546875" style="806"/>
    <col min="4609" max="4609" width="11.7109375" style="806" bestFit="1" customWidth="1"/>
    <col min="4610" max="4610" width="18.42578125" style="806" customWidth="1"/>
    <col min="4611" max="4611" width="12.5703125" style="806" bestFit="1" customWidth="1"/>
    <col min="4612" max="4612" width="20.42578125" style="806" customWidth="1"/>
    <col min="4613" max="4613" width="12.5703125" style="806" bestFit="1" customWidth="1"/>
    <col min="4614" max="4614" width="18.7109375" style="806" bestFit="1" customWidth="1"/>
    <col min="4615" max="4615" width="16.5703125" style="806" customWidth="1"/>
    <col min="4616" max="4617" width="0" style="806" hidden="1" customWidth="1"/>
    <col min="4618" max="4618" width="18.28515625" style="806" bestFit="1" customWidth="1"/>
    <col min="4619" max="4619" width="11.85546875" style="806" bestFit="1" customWidth="1"/>
    <col min="4620" max="4620" width="12.28515625" style="806" bestFit="1" customWidth="1"/>
    <col min="4621" max="4621" width="10.42578125" style="806" customWidth="1"/>
    <col min="4622" max="4622" width="9.28515625" style="806" bestFit="1" customWidth="1"/>
    <col min="4623" max="4626" width="8.85546875" style="806"/>
    <col min="4627" max="4627" width="19.85546875" style="806" bestFit="1" customWidth="1"/>
    <col min="4628" max="4628" width="10.42578125" style="806" bestFit="1" customWidth="1"/>
    <col min="4629" max="4629" width="18.85546875" style="806" customWidth="1"/>
    <col min="4630" max="4864" width="8.85546875" style="806"/>
    <col min="4865" max="4865" width="11.7109375" style="806" bestFit="1" customWidth="1"/>
    <col min="4866" max="4866" width="18.42578125" style="806" customWidth="1"/>
    <col min="4867" max="4867" width="12.5703125" style="806" bestFit="1" customWidth="1"/>
    <col min="4868" max="4868" width="20.42578125" style="806" customWidth="1"/>
    <col min="4869" max="4869" width="12.5703125" style="806" bestFit="1" customWidth="1"/>
    <col min="4870" max="4870" width="18.7109375" style="806" bestFit="1" customWidth="1"/>
    <col min="4871" max="4871" width="16.5703125" style="806" customWidth="1"/>
    <col min="4872" max="4873" width="0" style="806" hidden="1" customWidth="1"/>
    <col min="4874" max="4874" width="18.28515625" style="806" bestFit="1" customWidth="1"/>
    <col min="4875" max="4875" width="11.85546875" style="806" bestFit="1" customWidth="1"/>
    <col min="4876" max="4876" width="12.28515625" style="806" bestFit="1" customWidth="1"/>
    <col min="4877" max="4877" width="10.42578125" style="806" customWidth="1"/>
    <col min="4878" max="4878" width="9.28515625" style="806" bestFit="1" customWidth="1"/>
    <col min="4879" max="4882" width="8.85546875" style="806"/>
    <col min="4883" max="4883" width="19.85546875" style="806" bestFit="1" customWidth="1"/>
    <col min="4884" max="4884" width="10.42578125" style="806" bestFit="1" customWidth="1"/>
    <col min="4885" max="4885" width="18.85546875" style="806" customWidth="1"/>
    <col min="4886" max="5120" width="8.85546875" style="806"/>
    <col min="5121" max="5121" width="11.7109375" style="806" bestFit="1" customWidth="1"/>
    <col min="5122" max="5122" width="18.42578125" style="806" customWidth="1"/>
    <col min="5123" max="5123" width="12.5703125" style="806" bestFit="1" customWidth="1"/>
    <col min="5124" max="5124" width="20.42578125" style="806" customWidth="1"/>
    <col min="5125" max="5125" width="12.5703125" style="806" bestFit="1" customWidth="1"/>
    <col min="5126" max="5126" width="18.7109375" style="806" bestFit="1" customWidth="1"/>
    <col min="5127" max="5127" width="16.5703125" style="806" customWidth="1"/>
    <col min="5128" max="5129" width="0" style="806" hidden="1" customWidth="1"/>
    <col min="5130" max="5130" width="18.28515625" style="806" bestFit="1" customWidth="1"/>
    <col min="5131" max="5131" width="11.85546875" style="806" bestFit="1" customWidth="1"/>
    <col min="5132" max="5132" width="12.28515625" style="806" bestFit="1" customWidth="1"/>
    <col min="5133" max="5133" width="10.42578125" style="806" customWidth="1"/>
    <col min="5134" max="5134" width="9.28515625" style="806" bestFit="1" customWidth="1"/>
    <col min="5135" max="5138" width="8.85546875" style="806"/>
    <col min="5139" max="5139" width="19.85546875" style="806" bestFit="1" customWidth="1"/>
    <col min="5140" max="5140" width="10.42578125" style="806" bestFit="1" customWidth="1"/>
    <col min="5141" max="5141" width="18.85546875" style="806" customWidth="1"/>
    <col min="5142" max="5376" width="8.85546875" style="806"/>
    <col min="5377" max="5377" width="11.7109375" style="806" bestFit="1" customWidth="1"/>
    <col min="5378" max="5378" width="18.42578125" style="806" customWidth="1"/>
    <col min="5379" max="5379" width="12.5703125" style="806" bestFit="1" customWidth="1"/>
    <col min="5380" max="5380" width="20.42578125" style="806" customWidth="1"/>
    <col min="5381" max="5381" width="12.5703125" style="806" bestFit="1" customWidth="1"/>
    <col min="5382" max="5382" width="18.7109375" style="806" bestFit="1" customWidth="1"/>
    <col min="5383" max="5383" width="16.5703125" style="806" customWidth="1"/>
    <col min="5384" max="5385" width="0" style="806" hidden="1" customWidth="1"/>
    <col min="5386" max="5386" width="18.28515625" style="806" bestFit="1" customWidth="1"/>
    <col min="5387" max="5387" width="11.85546875" style="806" bestFit="1" customWidth="1"/>
    <col min="5388" max="5388" width="12.28515625" style="806" bestFit="1" customWidth="1"/>
    <col min="5389" max="5389" width="10.42578125" style="806" customWidth="1"/>
    <col min="5390" max="5390" width="9.28515625" style="806" bestFit="1" customWidth="1"/>
    <col min="5391" max="5394" width="8.85546875" style="806"/>
    <col min="5395" max="5395" width="19.85546875" style="806" bestFit="1" customWidth="1"/>
    <col min="5396" max="5396" width="10.42578125" style="806" bestFit="1" customWidth="1"/>
    <col min="5397" max="5397" width="18.85546875" style="806" customWidth="1"/>
    <col min="5398" max="5632" width="8.85546875" style="806"/>
    <col min="5633" max="5633" width="11.7109375" style="806" bestFit="1" customWidth="1"/>
    <col min="5634" max="5634" width="18.42578125" style="806" customWidth="1"/>
    <col min="5635" max="5635" width="12.5703125" style="806" bestFit="1" customWidth="1"/>
    <col min="5636" max="5636" width="20.42578125" style="806" customWidth="1"/>
    <col min="5637" max="5637" width="12.5703125" style="806" bestFit="1" customWidth="1"/>
    <col min="5638" max="5638" width="18.7109375" style="806" bestFit="1" customWidth="1"/>
    <col min="5639" max="5639" width="16.5703125" style="806" customWidth="1"/>
    <col min="5640" max="5641" width="0" style="806" hidden="1" customWidth="1"/>
    <col min="5642" max="5642" width="18.28515625" style="806" bestFit="1" customWidth="1"/>
    <col min="5643" max="5643" width="11.85546875" style="806" bestFit="1" customWidth="1"/>
    <col min="5644" max="5644" width="12.28515625" style="806" bestFit="1" customWidth="1"/>
    <col min="5645" max="5645" width="10.42578125" style="806" customWidth="1"/>
    <col min="5646" max="5646" width="9.28515625" style="806" bestFit="1" customWidth="1"/>
    <col min="5647" max="5650" width="8.85546875" style="806"/>
    <col min="5651" max="5651" width="19.85546875" style="806" bestFit="1" customWidth="1"/>
    <col min="5652" max="5652" width="10.42578125" style="806" bestFit="1" customWidth="1"/>
    <col min="5653" max="5653" width="18.85546875" style="806" customWidth="1"/>
    <col min="5654" max="5888" width="8.85546875" style="806"/>
    <col min="5889" max="5889" width="11.7109375" style="806" bestFit="1" customWidth="1"/>
    <col min="5890" max="5890" width="18.42578125" style="806" customWidth="1"/>
    <col min="5891" max="5891" width="12.5703125" style="806" bestFit="1" customWidth="1"/>
    <col min="5892" max="5892" width="20.42578125" style="806" customWidth="1"/>
    <col min="5893" max="5893" width="12.5703125" style="806" bestFit="1" customWidth="1"/>
    <col min="5894" max="5894" width="18.7109375" style="806" bestFit="1" customWidth="1"/>
    <col min="5895" max="5895" width="16.5703125" style="806" customWidth="1"/>
    <col min="5896" max="5897" width="0" style="806" hidden="1" customWidth="1"/>
    <col min="5898" max="5898" width="18.28515625" style="806" bestFit="1" customWidth="1"/>
    <col min="5899" max="5899" width="11.85546875" style="806" bestFit="1" customWidth="1"/>
    <col min="5900" max="5900" width="12.28515625" style="806" bestFit="1" customWidth="1"/>
    <col min="5901" max="5901" width="10.42578125" style="806" customWidth="1"/>
    <col min="5902" max="5902" width="9.28515625" style="806" bestFit="1" customWidth="1"/>
    <col min="5903" max="5906" width="8.85546875" style="806"/>
    <col min="5907" max="5907" width="19.85546875" style="806" bestFit="1" customWidth="1"/>
    <col min="5908" max="5908" width="10.42578125" style="806" bestFit="1" customWidth="1"/>
    <col min="5909" max="5909" width="18.85546875" style="806" customWidth="1"/>
    <col min="5910" max="6144" width="8.85546875" style="806"/>
    <col min="6145" max="6145" width="11.7109375" style="806" bestFit="1" customWidth="1"/>
    <col min="6146" max="6146" width="18.42578125" style="806" customWidth="1"/>
    <col min="6147" max="6147" width="12.5703125" style="806" bestFit="1" customWidth="1"/>
    <col min="6148" max="6148" width="20.42578125" style="806" customWidth="1"/>
    <col min="6149" max="6149" width="12.5703125" style="806" bestFit="1" customWidth="1"/>
    <col min="6150" max="6150" width="18.7109375" style="806" bestFit="1" customWidth="1"/>
    <col min="6151" max="6151" width="16.5703125" style="806" customWidth="1"/>
    <col min="6152" max="6153" width="0" style="806" hidden="1" customWidth="1"/>
    <col min="6154" max="6154" width="18.28515625" style="806" bestFit="1" customWidth="1"/>
    <col min="6155" max="6155" width="11.85546875" style="806" bestFit="1" customWidth="1"/>
    <col min="6156" max="6156" width="12.28515625" style="806" bestFit="1" customWidth="1"/>
    <col min="6157" max="6157" width="10.42578125" style="806" customWidth="1"/>
    <col min="6158" max="6158" width="9.28515625" style="806" bestFit="1" customWidth="1"/>
    <col min="6159" max="6162" width="8.85546875" style="806"/>
    <col min="6163" max="6163" width="19.85546875" style="806" bestFit="1" customWidth="1"/>
    <col min="6164" max="6164" width="10.42578125" style="806" bestFit="1" customWidth="1"/>
    <col min="6165" max="6165" width="18.85546875" style="806" customWidth="1"/>
    <col min="6166" max="6400" width="8.85546875" style="806"/>
    <col min="6401" max="6401" width="11.7109375" style="806" bestFit="1" customWidth="1"/>
    <col min="6402" max="6402" width="18.42578125" style="806" customWidth="1"/>
    <col min="6403" max="6403" width="12.5703125" style="806" bestFit="1" customWidth="1"/>
    <col min="6404" max="6404" width="20.42578125" style="806" customWidth="1"/>
    <col min="6405" max="6405" width="12.5703125" style="806" bestFit="1" customWidth="1"/>
    <col min="6406" max="6406" width="18.7109375" style="806" bestFit="1" customWidth="1"/>
    <col min="6407" max="6407" width="16.5703125" style="806" customWidth="1"/>
    <col min="6408" max="6409" width="0" style="806" hidden="1" customWidth="1"/>
    <col min="6410" max="6410" width="18.28515625" style="806" bestFit="1" customWidth="1"/>
    <col min="6411" max="6411" width="11.85546875" style="806" bestFit="1" customWidth="1"/>
    <col min="6412" max="6412" width="12.28515625" style="806" bestFit="1" customWidth="1"/>
    <col min="6413" max="6413" width="10.42578125" style="806" customWidth="1"/>
    <col min="6414" max="6414" width="9.28515625" style="806" bestFit="1" customWidth="1"/>
    <col min="6415" max="6418" width="8.85546875" style="806"/>
    <col min="6419" max="6419" width="19.85546875" style="806" bestFit="1" customWidth="1"/>
    <col min="6420" max="6420" width="10.42578125" style="806" bestFit="1" customWidth="1"/>
    <col min="6421" max="6421" width="18.85546875" style="806" customWidth="1"/>
    <col min="6422" max="6656" width="8.85546875" style="806"/>
    <col min="6657" max="6657" width="11.7109375" style="806" bestFit="1" customWidth="1"/>
    <col min="6658" max="6658" width="18.42578125" style="806" customWidth="1"/>
    <col min="6659" max="6659" width="12.5703125" style="806" bestFit="1" customWidth="1"/>
    <col min="6660" max="6660" width="20.42578125" style="806" customWidth="1"/>
    <col min="6661" max="6661" width="12.5703125" style="806" bestFit="1" customWidth="1"/>
    <col min="6662" max="6662" width="18.7109375" style="806" bestFit="1" customWidth="1"/>
    <col min="6663" max="6663" width="16.5703125" style="806" customWidth="1"/>
    <col min="6664" max="6665" width="0" style="806" hidden="1" customWidth="1"/>
    <col min="6666" max="6666" width="18.28515625" style="806" bestFit="1" customWidth="1"/>
    <col min="6667" max="6667" width="11.85546875" style="806" bestFit="1" customWidth="1"/>
    <col min="6668" max="6668" width="12.28515625" style="806" bestFit="1" customWidth="1"/>
    <col min="6669" max="6669" width="10.42578125" style="806" customWidth="1"/>
    <col min="6670" max="6670" width="9.28515625" style="806" bestFit="1" customWidth="1"/>
    <col min="6671" max="6674" width="8.85546875" style="806"/>
    <col min="6675" max="6675" width="19.85546875" style="806" bestFit="1" customWidth="1"/>
    <col min="6676" max="6676" width="10.42578125" style="806" bestFit="1" customWidth="1"/>
    <col min="6677" max="6677" width="18.85546875" style="806" customWidth="1"/>
    <col min="6678" max="6912" width="8.85546875" style="806"/>
    <col min="6913" max="6913" width="11.7109375" style="806" bestFit="1" customWidth="1"/>
    <col min="6914" max="6914" width="18.42578125" style="806" customWidth="1"/>
    <col min="6915" max="6915" width="12.5703125" style="806" bestFit="1" customWidth="1"/>
    <col min="6916" max="6916" width="20.42578125" style="806" customWidth="1"/>
    <col min="6917" max="6917" width="12.5703125" style="806" bestFit="1" customWidth="1"/>
    <col min="6918" max="6918" width="18.7109375" style="806" bestFit="1" customWidth="1"/>
    <col min="6919" max="6919" width="16.5703125" style="806" customWidth="1"/>
    <col min="6920" max="6921" width="0" style="806" hidden="1" customWidth="1"/>
    <col min="6922" max="6922" width="18.28515625" style="806" bestFit="1" customWidth="1"/>
    <col min="6923" max="6923" width="11.85546875" style="806" bestFit="1" customWidth="1"/>
    <col min="6924" max="6924" width="12.28515625" style="806" bestFit="1" customWidth="1"/>
    <col min="6925" max="6925" width="10.42578125" style="806" customWidth="1"/>
    <col min="6926" max="6926" width="9.28515625" style="806" bestFit="1" customWidth="1"/>
    <col min="6927" max="6930" width="8.85546875" style="806"/>
    <col min="6931" max="6931" width="19.85546875" style="806" bestFit="1" customWidth="1"/>
    <col min="6932" max="6932" width="10.42578125" style="806" bestFit="1" customWidth="1"/>
    <col min="6933" max="6933" width="18.85546875" style="806" customWidth="1"/>
    <col min="6934" max="7168" width="8.85546875" style="806"/>
    <col min="7169" max="7169" width="11.7109375" style="806" bestFit="1" customWidth="1"/>
    <col min="7170" max="7170" width="18.42578125" style="806" customWidth="1"/>
    <col min="7171" max="7171" width="12.5703125" style="806" bestFit="1" customWidth="1"/>
    <col min="7172" max="7172" width="20.42578125" style="806" customWidth="1"/>
    <col min="7173" max="7173" width="12.5703125" style="806" bestFit="1" customWidth="1"/>
    <col min="7174" max="7174" width="18.7109375" style="806" bestFit="1" customWidth="1"/>
    <col min="7175" max="7175" width="16.5703125" style="806" customWidth="1"/>
    <col min="7176" max="7177" width="0" style="806" hidden="1" customWidth="1"/>
    <col min="7178" max="7178" width="18.28515625" style="806" bestFit="1" customWidth="1"/>
    <col min="7179" max="7179" width="11.85546875" style="806" bestFit="1" customWidth="1"/>
    <col min="7180" max="7180" width="12.28515625" style="806" bestFit="1" customWidth="1"/>
    <col min="7181" max="7181" width="10.42578125" style="806" customWidth="1"/>
    <col min="7182" max="7182" width="9.28515625" style="806" bestFit="1" customWidth="1"/>
    <col min="7183" max="7186" width="8.85546875" style="806"/>
    <col min="7187" max="7187" width="19.85546875" style="806" bestFit="1" customWidth="1"/>
    <col min="7188" max="7188" width="10.42578125" style="806" bestFit="1" customWidth="1"/>
    <col min="7189" max="7189" width="18.85546875" style="806" customWidth="1"/>
    <col min="7190" max="7424" width="8.85546875" style="806"/>
    <col min="7425" max="7425" width="11.7109375" style="806" bestFit="1" customWidth="1"/>
    <col min="7426" max="7426" width="18.42578125" style="806" customWidth="1"/>
    <col min="7427" max="7427" width="12.5703125" style="806" bestFit="1" customWidth="1"/>
    <col min="7428" max="7428" width="20.42578125" style="806" customWidth="1"/>
    <col min="7429" max="7429" width="12.5703125" style="806" bestFit="1" customWidth="1"/>
    <col min="7430" max="7430" width="18.7109375" style="806" bestFit="1" customWidth="1"/>
    <col min="7431" max="7431" width="16.5703125" style="806" customWidth="1"/>
    <col min="7432" max="7433" width="0" style="806" hidden="1" customWidth="1"/>
    <col min="7434" max="7434" width="18.28515625" style="806" bestFit="1" customWidth="1"/>
    <col min="7435" max="7435" width="11.85546875" style="806" bestFit="1" customWidth="1"/>
    <col min="7436" max="7436" width="12.28515625" style="806" bestFit="1" customWidth="1"/>
    <col min="7437" max="7437" width="10.42578125" style="806" customWidth="1"/>
    <col min="7438" max="7438" width="9.28515625" style="806" bestFit="1" customWidth="1"/>
    <col min="7439" max="7442" width="8.85546875" style="806"/>
    <col min="7443" max="7443" width="19.85546875" style="806" bestFit="1" customWidth="1"/>
    <col min="7444" max="7444" width="10.42578125" style="806" bestFit="1" customWidth="1"/>
    <col min="7445" max="7445" width="18.85546875" style="806" customWidth="1"/>
    <col min="7446" max="7680" width="8.85546875" style="806"/>
    <col min="7681" max="7681" width="11.7109375" style="806" bestFit="1" customWidth="1"/>
    <col min="7682" max="7682" width="18.42578125" style="806" customWidth="1"/>
    <col min="7683" max="7683" width="12.5703125" style="806" bestFit="1" customWidth="1"/>
    <col min="7684" max="7684" width="20.42578125" style="806" customWidth="1"/>
    <col min="7685" max="7685" width="12.5703125" style="806" bestFit="1" customWidth="1"/>
    <col min="7686" max="7686" width="18.7109375" style="806" bestFit="1" customWidth="1"/>
    <col min="7687" max="7687" width="16.5703125" style="806" customWidth="1"/>
    <col min="7688" max="7689" width="0" style="806" hidden="1" customWidth="1"/>
    <col min="7690" max="7690" width="18.28515625" style="806" bestFit="1" customWidth="1"/>
    <col min="7691" max="7691" width="11.85546875" style="806" bestFit="1" customWidth="1"/>
    <col min="7692" max="7692" width="12.28515625" style="806" bestFit="1" customWidth="1"/>
    <col min="7693" max="7693" width="10.42578125" style="806" customWidth="1"/>
    <col min="7694" max="7694" width="9.28515625" style="806" bestFit="1" customWidth="1"/>
    <col min="7695" max="7698" width="8.85546875" style="806"/>
    <col min="7699" max="7699" width="19.85546875" style="806" bestFit="1" customWidth="1"/>
    <col min="7700" max="7700" width="10.42578125" style="806" bestFit="1" customWidth="1"/>
    <col min="7701" max="7701" width="18.85546875" style="806" customWidth="1"/>
    <col min="7702" max="7936" width="8.85546875" style="806"/>
    <col min="7937" max="7937" width="11.7109375" style="806" bestFit="1" customWidth="1"/>
    <col min="7938" max="7938" width="18.42578125" style="806" customWidth="1"/>
    <col min="7939" max="7939" width="12.5703125" style="806" bestFit="1" customWidth="1"/>
    <col min="7940" max="7940" width="20.42578125" style="806" customWidth="1"/>
    <col min="7941" max="7941" width="12.5703125" style="806" bestFit="1" customWidth="1"/>
    <col min="7942" max="7942" width="18.7109375" style="806" bestFit="1" customWidth="1"/>
    <col min="7943" max="7943" width="16.5703125" style="806" customWidth="1"/>
    <col min="7944" max="7945" width="0" style="806" hidden="1" customWidth="1"/>
    <col min="7946" max="7946" width="18.28515625" style="806" bestFit="1" customWidth="1"/>
    <col min="7947" max="7947" width="11.85546875" style="806" bestFit="1" customWidth="1"/>
    <col min="7948" max="7948" width="12.28515625" style="806" bestFit="1" customWidth="1"/>
    <col min="7949" max="7949" width="10.42578125" style="806" customWidth="1"/>
    <col min="7950" max="7950" width="9.28515625" style="806" bestFit="1" customWidth="1"/>
    <col min="7951" max="7954" width="8.85546875" style="806"/>
    <col min="7955" max="7955" width="19.85546875" style="806" bestFit="1" customWidth="1"/>
    <col min="7956" max="7956" width="10.42578125" style="806" bestFit="1" customWidth="1"/>
    <col min="7957" max="7957" width="18.85546875" style="806" customWidth="1"/>
    <col min="7958" max="8192" width="8.85546875" style="806"/>
    <col min="8193" max="8193" width="11.7109375" style="806" bestFit="1" customWidth="1"/>
    <col min="8194" max="8194" width="18.42578125" style="806" customWidth="1"/>
    <col min="8195" max="8195" width="12.5703125" style="806" bestFit="1" customWidth="1"/>
    <col min="8196" max="8196" width="20.42578125" style="806" customWidth="1"/>
    <col min="8197" max="8197" width="12.5703125" style="806" bestFit="1" customWidth="1"/>
    <col min="8198" max="8198" width="18.7109375" style="806" bestFit="1" customWidth="1"/>
    <col min="8199" max="8199" width="16.5703125" style="806" customWidth="1"/>
    <col min="8200" max="8201" width="0" style="806" hidden="1" customWidth="1"/>
    <col min="8202" max="8202" width="18.28515625" style="806" bestFit="1" customWidth="1"/>
    <col min="8203" max="8203" width="11.85546875" style="806" bestFit="1" customWidth="1"/>
    <col min="8204" max="8204" width="12.28515625" style="806" bestFit="1" customWidth="1"/>
    <col min="8205" max="8205" width="10.42578125" style="806" customWidth="1"/>
    <col min="8206" max="8206" width="9.28515625" style="806" bestFit="1" customWidth="1"/>
    <col min="8207" max="8210" width="8.85546875" style="806"/>
    <col min="8211" max="8211" width="19.85546875" style="806" bestFit="1" customWidth="1"/>
    <col min="8212" max="8212" width="10.42578125" style="806" bestFit="1" customWidth="1"/>
    <col min="8213" max="8213" width="18.85546875" style="806" customWidth="1"/>
    <col min="8214" max="8448" width="8.85546875" style="806"/>
    <col min="8449" max="8449" width="11.7109375" style="806" bestFit="1" customWidth="1"/>
    <col min="8450" max="8450" width="18.42578125" style="806" customWidth="1"/>
    <col min="8451" max="8451" width="12.5703125" style="806" bestFit="1" customWidth="1"/>
    <col min="8452" max="8452" width="20.42578125" style="806" customWidth="1"/>
    <col min="8453" max="8453" width="12.5703125" style="806" bestFit="1" customWidth="1"/>
    <col min="8454" max="8454" width="18.7109375" style="806" bestFit="1" customWidth="1"/>
    <col min="8455" max="8455" width="16.5703125" style="806" customWidth="1"/>
    <col min="8456" max="8457" width="0" style="806" hidden="1" customWidth="1"/>
    <col min="8458" max="8458" width="18.28515625" style="806" bestFit="1" customWidth="1"/>
    <col min="8459" max="8459" width="11.85546875" style="806" bestFit="1" customWidth="1"/>
    <col min="8460" max="8460" width="12.28515625" style="806" bestFit="1" customWidth="1"/>
    <col min="8461" max="8461" width="10.42578125" style="806" customWidth="1"/>
    <col min="8462" max="8462" width="9.28515625" style="806" bestFit="1" customWidth="1"/>
    <col min="8463" max="8466" width="8.85546875" style="806"/>
    <col min="8467" max="8467" width="19.85546875" style="806" bestFit="1" customWidth="1"/>
    <col min="8468" max="8468" width="10.42578125" style="806" bestFit="1" customWidth="1"/>
    <col min="8469" max="8469" width="18.85546875" style="806" customWidth="1"/>
    <col min="8470" max="8704" width="8.85546875" style="806"/>
    <col min="8705" max="8705" width="11.7109375" style="806" bestFit="1" customWidth="1"/>
    <col min="8706" max="8706" width="18.42578125" style="806" customWidth="1"/>
    <col min="8707" max="8707" width="12.5703125" style="806" bestFit="1" customWidth="1"/>
    <col min="8708" max="8708" width="20.42578125" style="806" customWidth="1"/>
    <col min="8709" max="8709" width="12.5703125" style="806" bestFit="1" customWidth="1"/>
    <col min="8710" max="8710" width="18.7109375" style="806" bestFit="1" customWidth="1"/>
    <col min="8711" max="8711" width="16.5703125" style="806" customWidth="1"/>
    <col min="8712" max="8713" width="0" style="806" hidden="1" customWidth="1"/>
    <col min="8714" max="8714" width="18.28515625" style="806" bestFit="1" customWidth="1"/>
    <col min="8715" max="8715" width="11.85546875" style="806" bestFit="1" customWidth="1"/>
    <col min="8716" max="8716" width="12.28515625" style="806" bestFit="1" customWidth="1"/>
    <col min="8717" max="8717" width="10.42578125" style="806" customWidth="1"/>
    <col min="8718" max="8718" width="9.28515625" style="806" bestFit="1" customWidth="1"/>
    <col min="8719" max="8722" width="8.85546875" style="806"/>
    <col min="8723" max="8723" width="19.85546875" style="806" bestFit="1" customWidth="1"/>
    <col min="8724" max="8724" width="10.42578125" style="806" bestFit="1" customWidth="1"/>
    <col min="8725" max="8725" width="18.85546875" style="806" customWidth="1"/>
    <col min="8726" max="8960" width="8.85546875" style="806"/>
    <col min="8961" max="8961" width="11.7109375" style="806" bestFit="1" customWidth="1"/>
    <col min="8962" max="8962" width="18.42578125" style="806" customWidth="1"/>
    <col min="8963" max="8963" width="12.5703125" style="806" bestFit="1" customWidth="1"/>
    <col min="8964" max="8964" width="20.42578125" style="806" customWidth="1"/>
    <col min="8965" max="8965" width="12.5703125" style="806" bestFit="1" customWidth="1"/>
    <col min="8966" max="8966" width="18.7109375" style="806" bestFit="1" customWidth="1"/>
    <col min="8967" max="8967" width="16.5703125" style="806" customWidth="1"/>
    <col min="8968" max="8969" width="0" style="806" hidden="1" customWidth="1"/>
    <col min="8970" max="8970" width="18.28515625" style="806" bestFit="1" customWidth="1"/>
    <col min="8971" max="8971" width="11.85546875" style="806" bestFit="1" customWidth="1"/>
    <col min="8972" max="8972" width="12.28515625" style="806" bestFit="1" customWidth="1"/>
    <col min="8973" max="8973" width="10.42578125" style="806" customWidth="1"/>
    <col min="8974" max="8974" width="9.28515625" style="806" bestFit="1" customWidth="1"/>
    <col min="8975" max="8978" width="8.85546875" style="806"/>
    <col min="8979" max="8979" width="19.85546875" style="806" bestFit="1" customWidth="1"/>
    <col min="8980" max="8980" width="10.42578125" style="806" bestFit="1" customWidth="1"/>
    <col min="8981" max="8981" width="18.85546875" style="806" customWidth="1"/>
    <col min="8982" max="9216" width="8.85546875" style="806"/>
    <col min="9217" max="9217" width="11.7109375" style="806" bestFit="1" customWidth="1"/>
    <col min="9218" max="9218" width="18.42578125" style="806" customWidth="1"/>
    <col min="9219" max="9219" width="12.5703125" style="806" bestFit="1" customWidth="1"/>
    <col min="9220" max="9220" width="20.42578125" style="806" customWidth="1"/>
    <col min="9221" max="9221" width="12.5703125" style="806" bestFit="1" customWidth="1"/>
    <col min="9222" max="9222" width="18.7109375" style="806" bestFit="1" customWidth="1"/>
    <col min="9223" max="9223" width="16.5703125" style="806" customWidth="1"/>
    <col min="9224" max="9225" width="0" style="806" hidden="1" customWidth="1"/>
    <col min="9226" max="9226" width="18.28515625" style="806" bestFit="1" customWidth="1"/>
    <col min="9227" max="9227" width="11.85546875" style="806" bestFit="1" customWidth="1"/>
    <col min="9228" max="9228" width="12.28515625" style="806" bestFit="1" customWidth="1"/>
    <col min="9229" max="9229" width="10.42578125" style="806" customWidth="1"/>
    <col min="9230" max="9230" width="9.28515625" style="806" bestFit="1" customWidth="1"/>
    <col min="9231" max="9234" width="8.85546875" style="806"/>
    <col min="9235" max="9235" width="19.85546875" style="806" bestFit="1" customWidth="1"/>
    <col min="9236" max="9236" width="10.42578125" style="806" bestFit="1" customWidth="1"/>
    <col min="9237" max="9237" width="18.85546875" style="806" customWidth="1"/>
    <col min="9238" max="9472" width="8.85546875" style="806"/>
    <col min="9473" max="9473" width="11.7109375" style="806" bestFit="1" customWidth="1"/>
    <col min="9474" max="9474" width="18.42578125" style="806" customWidth="1"/>
    <col min="9475" max="9475" width="12.5703125" style="806" bestFit="1" customWidth="1"/>
    <col min="9476" max="9476" width="20.42578125" style="806" customWidth="1"/>
    <col min="9477" max="9477" width="12.5703125" style="806" bestFit="1" customWidth="1"/>
    <col min="9478" max="9478" width="18.7109375" style="806" bestFit="1" customWidth="1"/>
    <col min="9479" max="9479" width="16.5703125" style="806" customWidth="1"/>
    <col min="9480" max="9481" width="0" style="806" hidden="1" customWidth="1"/>
    <col min="9482" max="9482" width="18.28515625" style="806" bestFit="1" customWidth="1"/>
    <col min="9483" max="9483" width="11.85546875" style="806" bestFit="1" customWidth="1"/>
    <col min="9484" max="9484" width="12.28515625" style="806" bestFit="1" customWidth="1"/>
    <col min="9485" max="9485" width="10.42578125" style="806" customWidth="1"/>
    <col min="9486" max="9486" width="9.28515625" style="806" bestFit="1" customWidth="1"/>
    <col min="9487" max="9490" width="8.85546875" style="806"/>
    <col min="9491" max="9491" width="19.85546875" style="806" bestFit="1" customWidth="1"/>
    <col min="9492" max="9492" width="10.42578125" style="806" bestFit="1" customWidth="1"/>
    <col min="9493" max="9493" width="18.85546875" style="806" customWidth="1"/>
    <col min="9494" max="9728" width="8.85546875" style="806"/>
    <col min="9729" max="9729" width="11.7109375" style="806" bestFit="1" customWidth="1"/>
    <col min="9730" max="9730" width="18.42578125" style="806" customWidth="1"/>
    <col min="9731" max="9731" width="12.5703125" style="806" bestFit="1" customWidth="1"/>
    <col min="9732" max="9732" width="20.42578125" style="806" customWidth="1"/>
    <col min="9733" max="9733" width="12.5703125" style="806" bestFit="1" customWidth="1"/>
    <col min="9734" max="9734" width="18.7109375" style="806" bestFit="1" customWidth="1"/>
    <col min="9735" max="9735" width="16.5703125" style="806" customWidth="1"/>
    <col min="9736" max="9737" width="0" style="806" hidden="1" customWidth="1"/>
    <col min="9738" max="9738" width="18.28515625" style="806" bestFit="1" customWidth="1"/>
    <col min="9739" max="9739" width="11.85546875" style="806" bestFit="1" customWidth="1"/>
    <col min="9740" max="9740" width="12.28515625" style="806" bestFit="1" customWidth="1"/>
    <col min="9741" max="9741" width="10.42578125" style="806" customWidth="1"/>
    <col min="9742" max="9742" width="9.28515625" style="806" bestFit="1" customWidth="1"/>
    <col min="9743" max="9746" width="8.85546875" style="806"/>
    <col min="9747" max="9747" width="19.85546875" style="806" bestFit="1" customWidth="1"/>
    <col min="9748" max="9748" width="10.42578125" style="806" bestFit="1" customWidth="1"/>
    <col min="9749" max="9749" width="18.85546875" style="806" customWidth="1"/>
    <col min="9750" max="9984" width="8.85546875" style="806"/>
    <col min="9985" max="9985" width="11.7109375" style="806" bestFit="1" customWidth="1"/>
    <col min="9986" max="9986" width="18.42578125" style="806" customWidth="1"/>
    <col min="9987" max="9987" width="12.5703125" style="806" bestFit="1" customWidth="1"/>
    <col min="9988" max="9988" width="20.42578125" style="806" customWidth="1"/>
    <col min="9989" max="9989" width="12.5703125" style="806" bestFit="1" customWidth="1"/>
    <col min="9990" max="9990" width="18.7109375" style="806" bestFit="1" customWidth="1"/>
    <col min="9991" max="9991" width="16.5703125" style="806" customWidth="1"/>
    <col min="9992" max="9993" width="0" style="806" hidden="1" customWidth="1"/>
    <col min="9994" max="9994" width="18.28515625" style="806" bestFit="1" customWidth="1"/>
    <col min="9995" max="9995" width="11.85546875" style="806" bestFit="1" customWidth="1"/>
    <col min="9996" max="9996" width="12.28515625" style="806" bestFit="1" customWidth="1"/>
    <col min="9997" max="9997" width="10.42578125" style="806" customWidth="1"/>
    <col min="9998" max="9998" width="9.28515625" style="806" bestFit="1" customWidth="1"/>
    <col min="9999" max="10002" width="8.85546875" style="806"/>
    <col min="10003" max="10003" width="19.85546875" style="806" bestFit="1" customWidth="1"/>
    <col min="10004" max="10004" width="10.42578125" style="806" bestFit="1" customWidth="1"/>
    <col min="10005" max="10005" width="18.85546875" style="806" customWidth="1"/>
    <col min="10006" max="10240" width="8.85546875" style="806"/>
    <col min="10241" max="10241" width="11.7109375" style="806" bestFit="1" customWidth="1"/>
    <col min="10242" max="10242" width="18.42578125" style="806" customWidth="1"/>
    <col min="10243" max="10243" width="12.5703125" style="806" bestFit="1" customWidth="1"/>
    <col min="10244" max="10244" width="20.42578125" style="806" customWidth="1"/>
    <col min="10245" max="10245" width="12.5703125" style="806" bestFit="1" customWidth="1"/>
    <col min="10246" max="10246" width="18.7109375" style="806" bestFit="1" customWidth="1"/>
    <col min="10247" max="10247" width="16.5703125" style="806" customWidth="1"/>
    <col min="10248" max="10249" width="0" style="806" hidden="1" customWidth="1"/>
    <col min="10250" max="10250" width="18.28515625" style="806" bestFit="1" customWidth="1"/>
    <col min="10251" max="10251" width="11.85546875" style="806" bestFit="1" customWidth="1"/>
    <col min="10252" max="10252" width="12.28515625" style="806" bestFit="1" customWidth="1"/>
    <col min="10253" max="10253" width="10.42578125" style="806" customWidth="1"/>
    <col min="10254" max="10254" width="9.28515625" style="806" bestFit="1" customWidth="1"/>
    <col min="10255" max="10258" width="8.85546875" style="806"/>
    <col min="10259" max="10259" width="19.85546875" style="806" bestFit="1" customWidth="1"/>
    <col min="10260" max="10260" width="10.42578125" style="806" bestFit="1" customWidth="1"/>
    <col min="10261" max="10261" width="18.85546875" style="806" customWidth="1"/>
    <col min="10262" max="10496" width="8.85546875" style="806"/>
    <col min="10497" max="10497" width="11.7109375" style="806" bestFit="1" customWidth="1"/>
    <col min="10498" max="10498" width="18.42578125" style="806" customWidth="1"/>
    <col min="10499" max="10499" width="12.5703125" style="806" bestFit="1" customWidth="1"/>
    <col min="10500" max="10500" width="20.42578125" style="806" customWidth="1"/>
    <col min="10501" max="10501" width="12.5703125" style="806" bestFit="1" customWidth="1"/>
    <col min="10502" max="10502" width="18.7109375" style="806" bestFit="1" customWidth="1"/>
    <col min="10503" max="10503" width="16.5703125" style="806" customWidth="1"/>
    <col min="10504" max="10505" width="0" style="806" hidden="1" customWidth="1"/>
    <col min="10506" max="10506" width="18.28515625" style="806" bestFit="1" customWidth="1"/>
    <col min="10507" max="10507" width="11.85546875" style="806" bestFit="1" customWidth="1"/>
    <col min="10508" max="10508" width="12.28515625" style="806" bestFit="1" customWidth="1"/>
    <col min="10509" max="10509" width="10.42578125" style="806" customWidth="1"/>
    <col min="10510" max="10510" width="9.28515625" style="806" bestFit="1" customWidth="1"/>
    <col min="10511" max="10514" width="8.85546875" style="806"/>
    <col min="10515" max="10515" width="19.85546875" style="806" bestFit="1" customWidth="1"/>
    <col min="10516" max="10516" width="10.42578125" style="806" bestFit="1" customWidth="1"/>
    <col min="10517" max="10517" width="18.85546875" style="806" customWidth="1"/>
    <col min="10518" max="10752" width="8.85546875" style="806"/>
    <col min="10753" max="10753" width="11.7109375" style="806" bestFit="1" customWidth="1"/>
    <col min="10754" max="10754" width="18.42578125" style="806" customWidth="1"/>
    <col min="10755" max="10755" width="12.5703125" style="806" bestFit="1" customWidth="1"/>
    <col min="10756" max="10756" width="20.42578125" style="806" customWidth="1"/>
    <col min="10757" max="10757" width="12.5703125" style="806" bestFit="1" customWidth="1"/>
    <col min="10758" max="10758" width="18.7109375" style="806" bestFit="1" customWidth="1"/>
    <col min="10759" max="10759" width="16.5703125" style="806" customWidth="1"/>
    <col min="10760" max="10761" width="0" style="806" hidden="1" customWidth="1"/>
    <col min="10762" max="10762" width="18.28515625" style="806" bestFit="1" customWidth="1"/>
    <col min="10763" max="10763" width="11.85546875" style="806" bestFit="1" customWidth="1"/>
    <col min="10764" max="10764" width="12.28515625" style="806" bestFit="1" customWidth="1"/>
    <col min="10765" max="10765" width="10.42578125" style="806" customWidth="1"/>
    <col min="10766" max="10766" width="9.28515625" style="806" bestFit="1" customWidth="1"/>
    <col min="10767" max="10770" width="8.85546875" style="806"/>
    <col min="10771" max="10771" width="19.85546875" style="806" bestFit="1" customWidth="1"/>
    <col min="10772" max="10772" width="10.42578125" style="806" bestFit="1" customWidth="1"/>
    <col min="10773" max="10773" width="18.85546875" style="806" customWidth="1"/>
    <col min="10774" max="11008" width="8.85546875" style="806"/>
    <col min="11009" max="11009" width="11.7109375" style="806" bestFit="1" customWidth="1"/>
    <col min="11010" max="11010" width="18.42578125" style="806" customWidth="1"/>
    <col min="11011" max="11011" width="12.5703125" style="806" bestFit="1" customWidth="1"/>
    <col min="11012" max="11012" width="20.42578125" style="806" customWidth="1"/>
    <col min="11013" max="11013" width="12.5703125" style="806" bestFit="1" customWidth="1"/>
    <col min="11014" max="11014" width="18.7109375" style="806" bestFit="1" customWidth="1"/>
    <col min="11015" max="11015" width="16.5703125" style="806" customWidth="1"/>
    <col min="11016" max="11017" width="0" style="806" hidden="1" customWidth="1"/>
    <col min="11018" max="11018" width="18.28515625" style="806" bestFit="1" customWidth="1"/>
    <col min="11019" max="11019" width="11.85546875" style="806" bestFit="1" customWidth="1"/>
    <col min="11020" max="11020" width="12.28515625" style="806" bestFit="1" customWidth="1"/>
    <col min="11021" max="11021" width="10.42578125" style="806" customWidth="1"/>
    <col min="11022" max="11022" width="9.28515625" style="806" bestFit="1" customWidth="1"/>
    <col min="11023" max="11026" width="8.85546875" style="806"/>
    <col min="11027" max="11027" width="19.85546875" style="806" bestFit="1" customWidth="1"/>
    <col min="11028" max="11028" width="10.42578125" style="806" bestFit="1" customWidth="1"/>
    <col min="11029" max="11029" width="18.85546875" style="806" customWidth="1"/>
    <col min="11030" max="11264" width="8.85546875" style="806"/>
    <col min="11265" max="11265" width="11.7109375" style="806" bestFit="1" customWidth="1"/>
    <col min="11266" max="11266" width="18.42578125" style="806" customWidth="1"/>
    <col min="11267" max="11267" width="12.5703125" style="806" bestFit="1" customWidth="1"/>
    <col min="11268" max="11268" width="20.42578125" style="806" customWidth="1"/>
    <col min="11269" max="11269" width="12.5703125" style="806" bestFit="1" customWidth="1"/>
    <col min="11270" max="11270" width="18.7109375" style="806" bestFit="1" customWidth="1"/>
    <col min="11271" max="11271" width="16.5703125" style="806" customWidth="1"/>
    <col min="11272" max="11273" width="0" style="806" hidden="1" customWidth="1"/>
    <col min="11274" max="11274" width="18.28515625" style="806" bestFit="1" customWidth="1"/>
    <col min="11275" max="11275" width="11.85546875" style="806" bestFit="1" customWidth="1"/>
    <col min="11276" max="11276" width="12.28515625" style="806" bestFit="1" customWidth="1"/>
    <col min="11277" max="11277" width="10.42578125" style="806" customWidth="1"/>
    <col min="11278" max="11278" width="9.28515625" style="806" bestFit="1" customWidth="1"/>
    <col min="11279" max="11282" width="8.85546875" style="806"/>
    <col min="11283" max="11283" width="19.85546875" style="806" bestFit="1" customWidth="1"/>
    <col min="11284" max="11284" width="10.42578125" style="806" bestFit="1" customWidth="1"/>
    <col min="11285" max="11285" width="18.85546875" style="806" customWidth="1"/>
    <col min="11286" max="11520" width="8.85546875" style="806"/>
    <col min="11521" max="11521" width="11.7109375" style="806" bestFit="1" customWidth="1"/>
    <col min="11522" max="11522" width="18.42578125" style="806" customWidth="1"/>
    <col min="11523" max="11523" width="12.5703125" style="806" bestFit="1" customWidth="1"/>
    <col min="11524" max="11524" width="20.42578125" style="806" customWidth="1"/>
    <col min="11525" max="11525" width="12.5703125" style="806" bestFit="1" customWidth="1"/>
    <col min="11526" max="11526" width="18.7109375" style="806" bestFit="1" customWidth="1"/>
    <col min="11527" max="11527" width="16.5703125" style="806" customWidth="1"/>
    <col min="11528" max="11529" width="0" style="806" hidden="1" customWidth="1"/>
    <col min="11530" max="11530" width="18.28515625" style="806" bestFit="1" customWidth="1"/>
    <col min="11531" max="11531" width="11.85546875" style="806" bestFit="1" customWidth="1"/>
    <col min="11532" max="11532" width="12.28515625" style="806" bestFit="1" customWidth="1"/>
    <col min="11533" max="11533" width="10.42578125" style="806" customWidth="1"/>
    <col min="11534" max="11534" width="9.28515625" style="806" bestFit="1" customWidth="1"/>
    <col min="11535" max="11538" width="8.85546875" style="806"/>
    <col min="11539" max="11539" width="19.85546875" style="806" bestFit="1" customWidth="1"/>
    <col min="11540" max="11540" width="10.42578125" style="806" bestFit="1" customWidth="1"/>
    <col min="11541" max="11541" width="18.85546875" style="806" customWidth="1"/>
    <col min="11542" max="11776" width="8.85546875" style="806"/>
    <col min="11777" max="11777" width="11.7109375" style="806" bestFit="1" customWidth="1"/>
    <col min="11778" max="11778" width="18.42578125" style="806" customWidth="1"/>
    <col min="11779" max="11779" width="12.5703125" style="806" bestFit="1" customWidth="1"/>
    <col min="11780" max="11780" width="20.42578125" style="806" customWidth="1"/>
    <col min="11781" max="11781" width="12.5703125" style="806" bestFit="1" customWidth="1"/>
    <col min="11782" max="11782" width="18.7109375" style="806" bestFit="1" customWidth="1"/>
    <col min="11783" max="11783" width="16.5703125" style="806" customWidth="1"/>
    <col min="11784" max="11785" width="0" style="806" hidden="1" customWidth="1"/>
    <col min="11786" max="11786" width="18.28515625" style="806" bestFit="1" customWidth="1"/>
    <col min="11787" max="11787" width="11.85546875" style="806" bestFit="1" customWidth="1"/>
    <col min="11788" max="11788" width="12.28515625" style="806" bestFit="1" customWidth="1"/>
    <col min="11789" max="11789" width="10.42578125" style="806" customWidth="1"/>
    <col min="11790" max="11790" width="9.28515625" style="806" bestFit="1" customWidth="1"/>
    <col min="11791" max="11794" width="8.85546875" style="806"/>
    <col min="11795" max="11795" width="19.85546875" style="806" bestFit="1" customWidth="1"/>
    <col min="11796" max="11796" width="10.42578125" style="806" bestFit="1" customWidth="1"/>
    <col min="11797" max="11797" width="18.85546875" style="806" customWidth="1"/>
    <col min="11798" max="12032" width="8.85546875" style="806"/>
    <col min="12033" max="12033" width="11.7109375" style="806" bestFit="1" customWidth="1"/>
    <col min="12034" max="12034" width="18.42578125" style="806" customWidth="1"/>
    <col min="12035" max="12035" width="12.5703125" style="806" bestFit="1" customWidth="1"/>
    <col min="12036" max="12036" width="20.42578125" style="806" customWidth="1"/>
    <col min="12037" max="12037" width="12.5703125" style="806" bestFit="1" customWidth="1"/>
    <col min="12038" max="12038" width="18.7109375" style="806" bestFit="1" customWidth="1"/>
    <col min="12039" max="12039" width="16.5703125" style="806" customWidth="1"/>
    <col min="12040" max="12041" width="0" style="806" hidden="1" customWidth="1"/>
    <col min="12042" max="12042" width="18.28515625" style="806" bestFit="1" customWidth="1"/>
    <col min="12043" max="12043" width="11.85546875" style="806" bestFit="1" customWidth="1"/>
    <col min="12044" max="12044" width="12.28515625" style="806" bestFit="1" customWidth="1"/>
    <col min="12045" max="12045" width="10.42578125" style="806" customWidth="1"/>
    <col min="12046" max="12046" width="9.28515625" style="806" bestFit="1" customWidth="1"/>
    <col min="12047" max="12050" width="8.85546875" style="806"/>
    <col min="12051" max="12051" width="19.85546875" style="806" bestFit="1" customWidth="1"/>
    <col min="12052" max="12052" width="10.42578125" style="806" bestFit="1" customWidth="1"/>
    <col min="12053" max="12053" width="18.85546875" style="806" customWidth="1"/>
    <col min="12054" max="12288" width="8.85546875" style="806"/>
    <col min="12289" max="12289" width="11.7109375" style="806" bestFit="1" customWidth="1"/>
    <col min="12290" max="12290" width="18.42578125" style="806" customWidth="1"/>
    <col min="12291" max="12291" width="12.5703125" style="806" bestFit="1" customWidth="1"/>
    <col min="12292" max="12292" width="20.42578125" style="806" customWidth="1"/>
    <col min="12293" max="12293" width="12.5703125" style="806" bestFit="1" customWidth="1"/>
    <col min="12294" max="12294" width="18.7109375" style="806" bestFit="1" customWidth="1"/>
    <col min="12295" max="12295" width="16.5703125" style="806" customWidth="1"/>
    <col min="12296" max="12297" width="0" style="806" hidden="1" customWidth="1"/>
    <col min="12298" max="12298" width="18.28515625" style="806" bestFit="1" customWidth="1"/>
    <col min="12299" max="12299" width="11.85546875" style="806" bestFit="1" customWidth="1"/>
    <col min="12300" max="12300" width="12.28515625" style="806" bestFit="1" customWidth="1"/>
    <col min="12301" max="12301" width="10.42578125" style="806" customWidth="1"/>
    <col min="12302" max="12302" width="9.28515625" style="806" bestFit="1" customWidth="1"/>
    <col min="12303" max="12306" width="8.85546875" style="806"/>
    <col min="12307" max="12307" width="19.85546875" style="806" bestFit="1" customWidth="1"/>
    <col min="12308" max="12308" width="10.42578125" style="806" bestFit="1" customWidth="1"/>
    <col min="12309" max="12309" width="18.85546875" style="806" customWidth="1"/>
    <col min="12310" max="12544" width="8.85546875" style="806"/>
    <col min="12545" max="12545" width="11.7109375" style="806" bestFit="1" customWidth="1"/>
    <col min="12546" max="12546" width="18.42578125" style="806" customWidth="1"/>
    <col min="12547" max="12547" width="12.5703125" style="806" bestFit="1" customWidth="1"/>
    <col min="12548" max="12548" width="20.42578125" style="806" customWidth="1"/>
    <col min="12549" max="12549" width="12.5703125" style="806" bestFit="1" customWidth="1"/>
    <col min="12550" max="12550" width="18.7109375" style="806" bestFit="1" customWidth="1"/>
    <col min="12551" max="12551" width="16.5703125" style="806" customWidth="1"/>
    <col min="12552" max="12553" width="0" style="806" hidden="1" customWidth="1"/>
    <col min="12554" max="12554" width="18.28515625" style="806" bestFit="1" customWidth="1"/>
    <col min="12555" max="12555" width="11.85546875" style="806" bestFit="1" customWidth="1"/>
    <col min="12556" max="12556" width="12.28515625" style="806" bestFit="1" customWidth="1"/>
    <col min="12557" max="12557" width="10.42578125" style="806" customWidth="1"/>
    <col min="12558" max="12558" width="9.28515625" style="806" bestFit="1" customWidth="1"/>
    <col min="12559" max="12562" width="8.85546875" style="806"/>
    <col min="12563" max="12563" width="19.85546875" style="806" bestFit="1" customWidth="1"/>
    <col min="12564" max="12564" width="10.42578125" style="806" bestFit="1" customWidth="1"/>
    <col min="12565" max="12565" width="18.85546875" style="806" customWidth="1"/>
    <col min="12566" max="12800" width="8.85546875" style="806"/>
    <col min="12801" max="12801" width="11.7109375" style="806" bestFit="1" customWidth="1"/>
    <col min="12802" max="12802" width="18.42578125" style="806" customWidth="1"/>
    <col min="12803" max="12803" width="12.5703125" style="806" bestFit="1" customWidth="1"/>
    <col min="12804" max="12804" width="20.42578125" style="806" customWidth="1"/>
    <col min="12805" max="12805" width="12.5703125" style="806" bestFit="1" customWidth="1"/>
    <col min="12806" max="12806" width="18.7109375" style="806" bestFit="1" customWidth="1"/>
    <col min="12807" max="12807" width="16.5703125" style="806" customWidth="1"/>
    <col min="12808" max="12809" width="0" style="806" hidden="1" customWidth="1"/>
    <col min="12810" max="12810" width="18.28515625" style="806" bestFit="1" customWidth="1"/>
    <col min="12811" max="12811" width="11.85546875" style="806" bestFit="1" customWidth="1"/>
    <col min="12812" max="12812" width="12.28515625" style="806" bestFit="1" customWidth="1"/>
    <col min="12813" max="12813" width="10.42578125" style="806" customWidth="1"/>
    <col min="12814" max="12814" width="9.28515625" style="806" bestFit="1" customWidth="1"/>
    <col min="12815" max="12818" width="8.85546875" style="806"/>
    <col min="12819" max="12819" width="19.85546875" style="806" bestFit="1" customWidth="1"/>
    <col min="12820" max="12820" width="10.42578125" style="806" bestFit="1" customWidth="1"/>
    <col min="12821" max="12821" width="18.85546875" style="806" customWidth="1"/>
    <col min="12822" max="13056" width="8.85546875" style="806"/>
    <col min="13057" max="13057" width="11.7109375" style="806" bestFit="1" customWidth="1"/>
    <col min="13058" max="13058" width="18.42578125" style="806" customWidth="1"/>
    <col min="13059" max="13059" width="12.5703125" style="806" bestFit="1" customWidth="1"/>
    <col min="13060" max="13060" width="20.42578125" style="806" customWidth="1"/>
    <col min="13061" max="13061" width="12.5703125" style="806" bestFit="1" customWidth="1"/>
    <col min="13062" max="13062" width="18.7109375" style="806" bestFit="1" customWidth="1"/>
    <col min="13063" max="13063" width="16.5703125" style="806" customWidth="1"/>
    <col min="13064" max="13065" width="0" style="806" hidden="1" customWidth="1"/>
    <col min="13066" max="13066" width="18.28515625" style="806" bestFit="1" customWidth="1"/>
    <col min="13067" max="13067" width="11.85546875" style="806" bestFit="1" customWidth="1"/>
    <col min="13068" max="13068" width="12.28515625" style="806" bestFit="1" customWidth="1"/>
    <col min="13069" max="13069" width="10.42578125" style="806" customWidth="1"/>
    <col min="13070" max="13070" width="9.28515625" style="806" bestFit="1" customWidth="1"/>
    <col min="13071" max="13074" width="8.85546875" style="806"/>
    <col min="13075" max="13075" width="19.85546875" style="806" bestFit="1" customWidth="1"/>
    <col min="13076" max="13076" width="10.42578125" style="806" bestFit="1" customWidth="1"/>
    <col min="13077" max="13077" width="18.85546875" style="806" customWidth="1"/>
    <col min="13078" max="13312" width="8.85546875" style="806"/>
    <col min="13313" max="13313" width="11.7109375" style="806" bestFit="1" customWidth="1"/>
    <col min="13314" max="13314" width="18.42578125" style="806" customWidth="1"/>
    <col min="13315" max="13315" width="12.5703125" style="806" bestFit="1" customWidth="1"/>
    <col min="13316" max="13316" width="20.42578125" style="806" customWidth="1"/>
    <col min="13317" max="13317" width="12.5703125" style="806" bestFit="1" customWidth="1"/>
    <col min="13318" max="13318" width="18.7109375" style="806" bestFit="1" customWidth="1"/>
    <col min="13319" max="13319" width="16.5703125" style="806" customWidth="1"/>
    <col min="13320" max="13321" width="0" style="806" hidden="1" customWidth="1"/>
    <col min="13322" max="13322" width="18.28515625" style="806" bestFit="1" customWidth="1"/>
    <col min="13323" max="13323" width="11.85546875" style="806" bestFit="1" customWidth="1"/>
    <col min="13324" max="13324" width="12.28515625" style="806" bestFit="1" customWidth="1"/>
    <col min="13325" max="13325" width="10.42578125" style="806" customWidth="1"/>
    <col min="13326" max="13326" width="9.28515625" style="806" bestFit="1" customWidth="1"/>
    <col min="13327" max="13330" width="8.85546875" style="806"/>
    <col min="13331" max="13331" width="19.85546875" style="806" bestFit="1" customWidth="1"/>
    <col min="13332" max="13332" width="10.42578125" style="806" bestFit="1" customWidth="1"/>
    <col min="13333" max="13333" width="18.85546875" style="806" customWidth="1"/>
    <col min="13334" max="13568" width="8.85546875" style="806"/>
    <col min="13569" max="13569" width="11.7109375" style="806" bestFit="1" customWidth="1"/>
    <col min="13570" max="13570" width="18.42578125" style="806" customWidth="1"/>
    <col min="13571" max="13571" width="12.5703125" style="806" bestFit="1" customWidth="1"/>
    <col min="13572" max="13572" width="20.42578125" style="806" customWidth="1"/>
    <col min="13573" max="13573" width="12.5703125" style="806" bestFit="1" customWidth="1"/>
    <col min="13574" max="13574" width="18.7109375" style="806" bestFit="1" customWidth="1"/>
    <col min="13575" max="13575" width="16.5703125" style="806" customWidth="1"/>
    <col min="13576" max="13577" width="0" style="806" hidden="1" customWidth="1"/>
    <col min="13578" max="13578" width="18.28515625" style="806" bestFit="1" customWidth="1"/>
    <col min="13579" max="13579" width="11.85546875" style="806" bestFit="1" customWidth="1"/>
    <col min="13580" max="13580" width="12.28515625" style="806" bestFit="1" customWidth="1"/>
    <col min="13581" max="13581" width="10.42578125" style="806" customWidth="1"/>
    <col min="13582" max="13582" width="9.28515625" style="806" bestFit="1" customWidth="1"/>
    <col min="13583" max="13586" width="8.85546875" style="806"/>
    <col min="13587" max="13587" width="19.85546875" style="806" bestFit="1" customWidth="1"/>
    <col min="13588" max="13588" width="10.42578125" style="806" bestFit="1" customWidth="1"/>
    <col min="13589" max="13589" width="18.85546875" style="806" customWidth="1"/>
    <col min="13590" max="13824" width="8.85546875" style="806"/>
    <col min="13825" max="13825" width="11.7109375" style="806" bestFit="1" customWidth="1"/>
    <col min="13826" max="13826" width="18.42578125" style="806" customWidth="1"/>
    <col min="13827" max="13827" width="12.5703125" style="806" bestFit="1" customWidth="1"/>
    <col min="13828" max="13828" width="20.42578125" style="806" customWidth="1"/>
    <col min="13829" max="13829" width="12.5703125" style="806" bestFit="1" customWidth="1"/>
    <col min="13830" max="13830" width="18.7109375" style="806" bestFit="1" customWidth="1"/>
    <col min="13831" max="13831" width="16.5703125" style="806" customWidth="1"/>
    <col min="13832" max="13833" width="0" style="806" hidden="1" customWidth="1"/>
    <col min="13834" max="13834" width="18.28515625" style="806" bestFit="1" customWidth="1"/>
    <col min="13835" max="13835" width="11.85546875" style="806" bestFit="1" customWidth="1"/>
    <col min="13836" max="13836" width="12.28515625" style="806" bestFit="1" customWidth="1"/>
    <col min="13837" max="13837" width="10.42578125" style="806" customWidth="1"/>
    <col min="13838" max="13838" width="9.28515625" style="806" bestFit="1" customWidth="1"/>
    <col min="13839" max="13842" width="8.85546875" style="806"/>
    <col min="13843" max="13843" width="19.85546875" style="806" bestFit="1" customWidth="1"/>
    <col min="13844" max="13844" width="10.42578125" style="806" bestFit="1" customWidth="1"/>
    <col min="13845" max="13845" width="18.85546875" style="806" customWidth="1"/>
    <col min="13846" max="14080" width="8.85546875" style="806"/>
    <col min="14081" max="14081" width="11.7109375" style="806" bestFit="1" customWidth="1"/>
    <col min="14082" max="14082" width="18.42578125" style="806" customWidth="1"/>
    <col min="14083" max="14083" width="12.5703125" style="806" bestFit="1" customWidth="1"/>
    <col min="14084" max="14084" width="20.42578125" style="806" customWidth="1"/>
    <col min="14085" max="14085" width="12.5703125" style="806" bestFit="1" customWidth="1"/>
    <col min="14086" max="14086" width="18.7109375" style="806" bestFit="1" customWidth="1"/>
    <col min="14087" max="14087" width="16.5703125" style="806" customWidth="1"/>
    <col min="14088" max="14089" width="0" style="806" hidden="1" customWidth="1"/>
    <col min="14090" max="14090" width="18.28515625" style="806" bestFit="1" customWidth="1"/>
    <col min="14091" max="14091" width="11.85546875" style="806" bestFit="1" customWidth="1"/>
    <col min="14092" max="14092" width="12.28515625" style="806" bestFit="1" customWidth="1"/>
    <col min="14093" max="14093" width="10.42578125" style="806" customWidth="1"/>
    <col min="14094" max="14094" width="9.28515625" style="806" bestFit="1" customWidth="1"/>
    <col min="14095" max="14098" width="8.85546875" style="806"/>
    <col min="14099" max="14099" width="19.85546875" style="806" bestFit="1" customWidth="1"/>
    <col min="14100" max="14100" width="10.42578125" style="806" bestFit="1" customWidth="1"/>
    <col min="14101" max="14101" width="18.85546875" style="806" customWidth="1"/>
    <col min="14102" max="14336" width="8.85546875" style="806"/>
    <col min="14337" max="14337" width="11.7109375" style="806" bestFit="1" customWidth="1"/>
    <col min="14338" max="14338" width="18.42578125" style="806" customWidth="1"/>
    <col min="14339" max="14339" width="12.5703125" style="806" bestFit="1" customWidth="1"/>
    <col min="14340" max="14340" width="20.42578125" style="806" customWidth="1"/>
    <col min="14341" max="14341" width="12.5703125" style="806" bestFit="1" customWidth="1"/>
    <col min="14342" max="14342" width="18.7109375" style="806" bestFit="1" customWidth="1"/>
    <col min="14343" max="14343" width="16.5703125" style="806" customWidth="1"/>
    <col min="14344" max="14345" width="0" style="806" hidden="1" customWidth="1"/>
    <col min="14346" max="14346" width="18.28515625" style="806" bestFit="1" customWidth="1"/>
    <col min="14347" max="14347" width="11.85546875" style="806" bestFit="1" customWidth="1"/>
    <col min="14348" max="14348" width="12.28515625" style="806" bestFit="1" customWidth="1"/>
    <col min="14349" max="14349" width="10.42578125" style="806" customWidth="1"/>
    <col min="14350" max="14350" width="9.28515625" style="806" bestFit="1" customWidth="1"/>
    <col min="14351" max="14354" width="8.85546875" style="806"/>
    <col min="14355" max="14355" width="19.85546875" style="806" bestFit="1" customWidth="1"/>
    <col min="14356" max="14356" width="10.42578125" style="806" bestFit="1" customWidth="1"/>
    <col min="14357" max="14357" width="18.85546875" style="806" customWidth="1"/>
    <col min="14358" max="14592" width="8.85546875" style="806"/>
    <col min="14593" max="14593" width="11.7109375" style="806" bestFit="1" customWidth="1"/>
    <col min="14594" max="14594" width="18.42578125" style="806" customWidth="1"/>
    <col min="14595" max="14595" width="12.5703125" style="806" bestFit="1" customWidth="1"/>
    <col min="14596" max="14596" width="20.42578125" style="806" customWidth="1"/>
    <col min="14597" max="14597" width="12.5703125" style="806" bestFit="1" customWidth="1"/>
    <col min="14598" max="14598" width="18.7109375" style="806" bestFit="1" customWidth="1"/>
    <col min="14599" max="14599" width="16.5703125" style="806" customWidth="1"/>
    <col min="14600" max="14601" width="0" style="806" hidden="1" customWidth="1"/>
    <col min="14602" max="14602" width="18.28515625" style="806" bestFit="1" customWidth="1"/>
    <col min="14603" max="14603" width="11.85546875" style="806" bestFit="1" customWidth="1"/>
    <col min="14604" max="14604" width="12.28515625" style="806" bestFit="1" customWidth="1"/>
    <col min="14605" max="14605" width="10.42578125" style="806" customWidth="1"/>
    <col min="14606" max="14606" width="9.28515625" style="806" bestFit="1" customWidth="1"/>
    <col min="14607" max="14610" width="8.85546875" style="806"/>
    <col min="14611" max="14611" width="19.85546875" style="806" bestFit="1" customWidth="1"/>
    <col min="14612" max="14612" width="10.42578125" style="806" bestFit="1" customWidth="1"/>
    <col min="14613" max="14613" width="18.85546875" style="806" customWidth="1"/>
    <col min="14614" max="14848" width="8.85546875" style="806"/>
    <col min="14849" max="14849" width="11.7109375" style="806" bestFit="1" customWidth="1"/>
    <col min="14850" max="14850" width="18.42578125" style="806" customWidth="1"/>
    <col min="14851" max="14851" width="12.5703125" style="806" bestFit="1" customWidth="1"/>
    <col min="14852" max="14852" width="20.42578125" style="806" customWidth="1"/>
    <col min="14853" max="14853" width="12.5703125" style="806" bestFit="1" customWidth="1"/>
    <col min="14854" max="14854" width="18.7109375" style="806" bestFit="1" customWidth="1"/>
    <col min="14855" max="14855" width="16.5703125" style="806" customWidth="1"/>
    <col min="14856" max="14857" width="0" style="806" hidden="1" customWidth="1"/>
    <col min="14858" max="14858" width="18.28515625" style="806" bestFit="1" customWidth="1"/>
    <col min="14859" max="14859" width="11.85546875" style="806" bestFit="1" customWidth="1"/>
    <col min="14860" max="14860" width="12.28515625" style="806" bestFit="1" customWidth="1"/>
    <col min="14861" max="14861" width="10.42578125" style="806" customWidth="1"/>
    <col min="14862" max="14862" width="9.28515625" style="806" bestFit="1" customWidth="1"/>
    <col min="14863" max="14866" width="8.85546875" style="806"/>
    <col min="14867" max="14867" width="19.85546875" style="806" bestFit="1" customWidth="1"/>
    <col min="14868" max="14868" width="10.42578125" style="806" bestFit="1" customWidth="1"/>
    <col min="14869" max="14869" width="18.85546875" style="806" customWidth="1"/>
    <col min="14870" max="15104" width="8.85546875" style="806"/>
    <col min="15105" max="15105" width="11.7109375" style="806" bestFit="1" customWidth="1"/>
    <col min="15106" max="15106" width="18.42578125" style="806" customWidth="1"/>
    <col min="15107" max="15107" width="12.5703125" style="806" bestFit="1" customWidth="1"/>
    <col min="15108" max="15108" width="20.42578125" style="806" customWidth="1"/>
    <col min="15109" max="15109" width="12.5703125" style="806" bestFit="1" customWidth="1"/>
    <col min="15110" max="15110" width="18.7109375" style="806" bestFit="1" customWidth="1"/>
    <col min="15111" max="15111" width="16.5703125" style="806" customWidth="1"/>
    <col min="15112" max="15113" width="0" style="806" hidden="1" customWidth="1"/>
    <col min="15114" max="15114" width="18.28515625" style="806" bestFit="1" customWidth="1"/>
    <col min="15115" max="15115" width="11.85546875" style="806" bestFit="1" customWidth="1"/>
    <col min="15116" max="15116" width="12.28515625" style="806" bestFit="1" customWidth="1"/>
    <col min="15117" max="15117" width="10.42578125" style="806" customWidth="1"/>
    <col min="15118" max="15118" width="9.28515625" style="806" bestFit="1" customWidth="1"/>
    <col min="15119" max="15122" width="8.85546875" style="806"/>
    <col min="15123" max="15123" width="19.85546875" style="806" bestFit="1" customWidth="1"/>
    <col min="15124" max="15124" width="10.42578125" style="806" bestFit="1" customWidth="1"/>
    <col min="15125" max="15125" width="18.85546875" style="806" customWidth="1"/>
    <col min="15126" max="15360" width="8.85546875" style="806"/>
    <col min="15361" max="15361" width="11.7109375" style="806" bestFit="1" customWidth="1"/>
    <col min="15362" max="15362" width="18.42578125" style="806" customWidth="1"/>
    <col min="15363" max="15363" width="12.5703125" style="806" bestFit="1" customWidth="1"/>
    <col min="15364" max="15364" width="20.42578125" style="806" customWidth="1"/>
    <col min="15365" max="15365" width="12.5703125" style="806" bestFit="1" customWidth="1"/>
    <col min="15366" max="15366" width="18.7109375" style="806" bestFit="1" customWidth="1"/>
    <col min="15367" max="15367" width="16.5703125" style="806" customWidth="1"/>
    <col min="15368" max="15369" width="0" style="806" hidden="1" customWidth="1"/>
    <col min="15370" max="15370" width="18.28515625" style="806" bestFit="1" customWidth="1"/>
    <col min="15371" max="15371" width="11.85546875" style="806" bestFit="1" customWidth="1"/>
    <col min="15372" max="15372" width="12.28515625" style="806" bestFit="1" customWidth="1"/>
    <col min="15373" max="15373" width="10.42578125" style="806" customWidth="1"/>
    <col min="15374" max="15374" width="9.28515625" style="806" bestFit="1" customWidth="1"/>
    <col min="15375" max="15378" width="8.85546875" style="806"/>
    <col min="15379" max="15379" width="19.85546875" style="806" bestFit="1" customWidth="1"/>
    <col min="15380" max="15380" width="10.42578125" style="806" bestFit="1" customWidth="1"/>
    <col min="15381" max="15381" width="18.85546875" style="806" customWidth="1"/>
    <col min="15382" max="15616" width="8.85546875" style="806"/>
    <col min="15617" max="15617" width="11.7109375" style="806" bestFit="1" customWidth="1"/>
    <col min="15618" max="15618" width="18.42578125" style="806" customWidth="1"/>
    <col min="15619" max="15619" width="12.5703125" style="806" bestFit="1" customWidth="1"/>
    <col min="15620" max="15620" width="20.42578125" style="806" customWidth="1"/>
    <col min="15621" max="15621" width="12.5703125" style="806" bestFit="1" customWidth="1"/>
    <col min="15622" max="15622" width="18.7109375" style="806" bestFit="1" customWidth="1"/>
    <col min="15623" max="15623" width="16.5703125" style="806" customWidth="1"/>
    <col min="15624" max="15625" width="0" style="806" hidden="1" customWidth="1"/>
    <col min="15626" max="15626" width="18.28515625" style="806" bestFit="1" customWidth="1"/>
    <col min="15627" max="15627" width="11.85546875" style="806" bestFit="1" customWidth="1"/>
    <col min="15628" max="15628" width="12.28515625" style="806" bestFit="1" customWidth="1"/>
    <col min="15629" max="15629" width="10.42578125" style="806" customWidth="1"/>
    <col min="15630" max="15630" width="9.28515625" style="806" bestFit="1" customWidth="1"/>
    <col min="15631" max="15634" width="8.85546875" style="806"/>
    <col min="15635" max="15635" width="19.85546875" style="806" bestFit="1" customWidth="1"/>
    <col min="15636" max="15636" width="10.42578125" style="806" bestFit="1" customWidth="1"/>
    <col min="15637" max="15637" width="18.85546875" style="806" customWidth="1"/>
    <col min="15638" max="15872" width="8.85546875" style="806"/>
    <col min="15873" max="15873" width="11.7109375" style="806" bestFit="1" customWidth="1"/>
    <col min="15874" max="15874" width="18.42578125" style="806" customWidth="1"/>
    <col min="15875" max="15875" width="12.5703125" style="806" bestFit="1" customWidth="1"/>
    <col min="15876" max="15876" width="20.42578125" style="806" customWidth="1"/>
    <col min="15877" max="15877" width="12.5703125" style="806" bestFit="1" customWidth="1"/>
    <col min="15878" max="15878" width="18.7109375" style="806" bestFit="1" customWidth="1"/>
    <col min="15879" max="15879" width="16.5703125" style="806" customWidth="1"/>
    <col min="15880" max="15881" width="0" style="806" hidden="1" customWidth="1"/>
    <col min="15882" max="15882" width="18.28515625" style="806" bestFit="1" customWidth="1"/>
    <col min="15883" max="15883" width="11.85546875" style="806" bestFit="1" customWidth="1"/>
    <col min="15884" max="15884" width="12.28515625" style="806" bestFit="1" customWidth="1"/>
    <col min="15885" max="15885" width="10.42578125" style="806" customWidth="1"/>
    <col min="15886" max="15886" width="9.28515625" style="806" bestFit="1" customWidth="1"/>
    <col min="15887" max="15890" width="8.85546875" style="806"/>
    <col min="15891" max="15891" width="19.85546875" style="806" bestFit="1" customWidth="1"/>
    <col min="15892" max="15892" width="10.42578125" style="806" bestFit="1" customWidth="1"/>
    <col min="15893" max="15893" width="18.85546875" style="806" customWidth="1"/>
    <col min="15894" max="16128" width="8.85546875" style="806"/>
    <col min="16129" max="16129" width="11.7109375" style="806" bestFit="1" customWidth="1"/>
    <col min="16130" max="16130" width="18.42578125" style="806" customWidth="1"/>
    <col min="16131" max="16131" width="12.5703125" style="806" bestFit="1" customWidth="1"/>
    <col min="16132" max="16132" width="20.42578125" style="806" customWidth="1"/>
    <col min="16133" max="16133" width="12.5703125" style="806" bestFit="1" customWidth="1"/>
    <col min="16134" max="16134" width="18.7109375" style="806" bestFit="1" customWidth="1"/>
    <col min="16135" max="16135" width="16.5703125" style="806" customWidth="1"/>
    <col min="16136" max="16137" width="0" style="806" hidden="1" customWidth="1"/>
    <col min="16138" max="16138" width="18.28515625" style="806" bestFit="1" customWidth="1"/>
    <col min="16139" max="16139" width="11.85546875" style="806" bestFit="1" customWidth="1"/>
    <col min="16140" max="16140" width="12.28515625" style="806" bestFit="1" customWidth="1"/>
    <col min="16141" max="16141" width="10.42578125" style="806" customWidth="1"/>
    <col min="16142" max="16142" width="9.28515625" style="806" bestFit="1" customWidth="1"/>
    <col min="16143" max="16146" width="8.85546875" style="806"/>
    <col min="16147" max="16147" width="19.85546875" style="806" bestFit="1" customWidth="1"/>
    <col min="16148" max="16148" width="10.42578125" style="806" bestFit="1" customWidth="1"/>
    <col min="16149" max="16149" width="18.85546875" style="806" customWidth="1"/>
    <col min="16150" max="16384" width="8.85546875" style="806"/>
  </cols>
  <sheetData>
    <row r="1" spans="1:21" ht="15">
      <c r="A1" s="804"/>
      <c r="B1" s="805" t="s">
        <v>232</v>
      </c>
      <c r="C1" s="805"/>
      <c r="D1" s="805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</row>
    <row r="2" spans="1:21" ht="15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</row>
    <row r="3" spans="1:21" ht="15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</row>
    <row r="4" spans="1:21" ht="15">
      <c r="A4" s="804"/>
      <c r="C4" s="804"/>
      <c r="D4" s="804"/>
      <c r="E4" s="804"/>
      <c r="F4" s="804"/>
    </row>
    <row r="5" spans="1:21" ht="15">
      <c r="A5" s="804"/>
      <c r="B5" s="804"/>
      <c r="C5" s="804"/>
      <c r="D5" s="804"/>
      <c r="E5" s="804"/>
      <c r="F5" s="804"/>
    </row>
    <row r="6" spans="1:21" ht="15.75">
      <c r="A6" s="807" t="s">
        <v>326</v>
      </c>
      <c r="B6" s="804"/>
      <c r="C6" s="808"/>
      <c r="D6" s="804"/>
      <c r="E6" s="804"/>
      <c r="F6" s="804"/>
    </row>
    <row r="7" spans="1:21" ht="15">
      <c r="A7" s="804"/>
      <c r="B7" s="804"/>
      <c r="C7" s="804"/>
      <c r="D7" s="804"/>
      <c r="E7" s="804"/>
      <c r="F7" s="804"/>
    </row>
    <row r="8" spans="1:21" ht="15">
      <c r="A8" s="804"/>
      <c r="B8" s="804">
        <f>5032-2947</f>
        <v>2085</v>
      </c>
      <c r="C8" s="804"/>
      <c r="D8" s="804"/>
      <c r="E8" s="804"/>
      <c r="F8" s="804"/>
    </row>
    <row r="9" spans="1:21" ht="15">
      <c r="A9" s="804"/>
      <c r="B9" s="809"/>
      <c r="C9" s="809"/>
      <c r="D9" s="809"/>
      <c r="E9" s="809"/>
      <c r="F9" s="809"/>
    </row>
    <row r="10" spans="1:21" ht="15">
      <c r="A10" s="804"/>
      <c r="B10" s="809" t="s">
        <v>327</v>
      </c>
      <c r="C10" s="809" t="s">
        <v>328</v>
      </c>
      <c r="D10" s="809" t="s">
        <v>329</v>
      </c>
      <c r="E10" s="809" t="s">
        <v>328</v>
      </c>
      <c r="F10" s="804"/>
    </row>
    <row r="11" spans="1:21" ht="15">
      <c r="A11" s="804"/>
      <c r="B11" s="810" t="s">
        <v>330</v>
      </c>
      <c r="C11" s="810" t="s">
        <v>331</v>
      </c>
      <c r="D11" s="810" t="s">
        <v>332</v>
      </c>
      <c r="E11" s="810" t="s">
        <v>331</v>
      </c>
      <c r="F11" s="804"/>
    </row>
    <row r="12" spans="1:21" ht="15">
      <c r="A12" s="804"/>
      <c r="B12" s="809"/>
      <c r="C12" s="809"/>
      <c r="D12" s="809"/>
      <c r="E12" s="809"/>
      <c r="F12" s="811">
        <v>1387151.6</v>
      </c>
    </row>
    <row r="13" spans="1:21" ht="16.5" customHeight="1">
      <c r="A13" s="804"/>
      <c r="B13" s="804"/>
      <c r="C13" s="804"/>
      <c r="D13" s="804" t="s">
        <v>333</v>
      </c>
      <c r="E13" s="804"/>
      <c r="F13" s="804"/>
    </row>
    <row r="14" spans="1:21" ht="16.5" hidden="1" customHeight="1" outlineLevel="1">
      <c r="A14" s="812" t="s">
        <v>334</v>
      </c>
      <c r="B14" s="813">
        <v>2947</v>
      </c>
      <c r="C14" s="814"/>
      <c r="D14" s="813">
        <f>ROUND(F14/1000,0)</f>
        <v>1387</v>
      </c>
      <c r="E14" s="814"/>
      <c r="F14" s="815">
        <v>1387151.6</v>
      </c>
    </row>
    <row r="15" spans="1:21" ht="16.5" hidden="1" customHeight="1" outlineLevel="1">
      <c r="A15" s="812" t="s">
        <v>335</v>
      </c>
      <c r="B15" s="813">
        <v>2947</v>
      </c>
      <c r="C15" s="814"/>
      <c r="D15" s="813">
        <f t="shared" ref="D15:D78" si="0">ROUND(F15/1000,0)</f>
        <v>1394</v>
      </c>
      <c r="E15" s="814"/>
      <c r="F15" s="811">
        <f t="shared" ref="F15:F78" si="1">F14+6637.1</f>
        <v>1393788.7000000002</v>
      </c>
    </row>
    <row r="16" spans="1:21" ht="16.5" hidden="1" customHeight="1" outlineLevel="1">
      <c r="A16" s="812" t="s">
        <v>336</v>
      </c>
      <c r="B16" s="813">
        <v>2947</v>
      </c>
      <c r="C16" s="814"/>
      <c r="D16" s="813">
        <f t="shared" si="0"/>
        <v>1400</v>
      </c>
      <c r="E16" s="814"/>
      <c r="F16" s="811">
        <f t="shared" si="1"/>
        <v>1400425.8000000003</v>
      </c>
    </row>
    <row r="17" spans="1:6" ht="16.5" hidden="1" customHeight="1" outlineLevel="1">
      <c r="A17" s="812" t="s">
        <v>337</v>
      </c>
      <c r="B17" s="813">
        <v>2947</v>
      </c>
      <c r="C17" s="814"/>
      <c r="D17" s="813">
        <f t="shared" si="0"/>
        <v>1407</v>
      </c>
      <c r="E17" s="814"/>
      <c r="F17" s="811">
        <f t="shared" si="1"/>
        <v>1407062.9000000004</v>
      </c>
    </row>
    <row r="18" spans="1:6" ht="16.5" hidden="1" customHeight="1" outlineLevel="1">
      <c r="A18" s="812" t="s">
        <v>338</v>
      </c>
      <c r="B18" s="813">
        <v>2947</v>
      </c>
      <c r="C18" s="814"/>
      <c r="D18" s="813">
        <f t="shared" si="0"/>
        <v>1414</v>
      </c>
      <c r="E18" s="814"/>
      <c r="F18" s="811">
        <f t="shared" si="1"/>
        <v>1413700.0000000005</v>
      </c>
    </row>
    <row r="19" spans="1:6" ht="16.5" hidden="1" customHeight="1" outlineLevel="1">
      <c r="A19" s="812" t="s">
        <v>339</v>
      </c>
      <c r="B19" s="813">
        <v>2947</v>
      </c>
      <c r="C19" s="814"/>
      <c r="D19" s="813">
        <f t="shared" si="0"/>
        <v>1420</v>
      </c>
      <c r="E19" s="814"/>
      <c r="F19" s="811">
        <f t="shared" si="1"/>
        <v>1420337.1000000006</v>
      </c>
    </row>
    <row r="20" spans="1:6" ht="16.5" hidden="1" customHeight="1" outlineLevel="1">
      <c r="A20" s="812" t="s">
        <v>340</v>
      </c>
      <c r="B20" s="813">
        <v>2947</v>
      </c>
      <c r="C20" s="814"/>
      <c r="D20" s="813">
        <f t="shared" si="0"/>
        <v>1427</v>
      </c>
      <c r="E20" s="814"/>
      <c r="F20" s="811">
        <f t="shared" si="1"/>
        <v>1426974.2000000007</v>
      </c>
    </row>
    <row r="21" spans="1:6" ht="16.5" hidden="1" customHeight="1" outlineLevel="1">
      <c r="A21" s="812" t="s">
        <v>341</v>
      </c>
      <c r="B21" s="813">
        <v>2947</v>
      </c>
      <c r="C21" s="814"/>
      <c r="D21" s="813">
        <f t="shared" si="0"/>
        <v>1434</v>
      </c>
      <c r="E21" s="814"/>
      <c r="F21" s="811">
        <f t="shared" si="1"/>
        <v>1433611.3000000007</v>
      </c>
    </row>
    <row r="22" spans="1:6" ht="16.5" hidden="1" customHeight="1" outlineLevel="1">
      <c r="A22" s="812" t="s">
        <v>342</v>
      </c>
      <c r="B22" s="813">
        <v>2947</v>
      </c>
      <c r="C22" s="814"/>
      <c r="D22" s="813">
        <f>ROUND(F22/1000,0)</f>
        <v>1440</v>
      </c>
      <c r="E22" s="814"/>
      <c r="F22" s="811">
        <f t="shared" si="1"/>
        <v>1440248.4000000008</v>
      </c>
    </row>
    <row r="23" spans="1:6" ht="16.5" hidden="1" customHeight="1" outlineLevel="1">
      <c r="A23" s="812" t="s">
        <v>343</v>
      </c>
      <c r="B23" s="813">
        <v>2947</v>
      </c>
      <c r="C23" s="814"/>
      <c r="D23" s="813">
        <f t="shared" si="0"/>
        <v>1447</v>
      </c>
      <c r="E23" s="814"/>
      <c r="F23" s="811">
        <f t="shared" si="1"/>
        <v>1446885.5000000009</v>
      </c>
    </row>
    <row r="24" spans="1:6" ht="16.5" hidden="1" customHeight="1" outlineLevel="1">
      <c r="A24" s="812" t="s">
        <v>344</v>
      </c>
      <c r="B24" s="813">
        <v>2947</v>
      </c>
      <c r="C24" s="814"/>
      <c r="D24" s="813">
        <f t="shared" si="0"/>
        <v>1454</v>
      </c>
      <c r="E24" s="814"/>
      <c r="F24" s="811">
        <f t="shared" si="1"/>
        <v>1453522.600000001</v>
      </c>
    </row>
    <row r="25" spans="1:6" ht="16.5" hidden="1" customHeight="1" outlineLevel="1">
      <c r="A25" s="812" t="s">
        <v>345</v>
      </c>
      <c r="B25" s="813">
        <v>2947</v>
      </c>
      <c r="C25" s="814"/>
      <c r="D25" s="813">
        <f>ROUND(F25/1000,0)</f>
        <v>1460</v>
      </c>
      <c r="E25" s="814"/>
      <c r="F25" s="811">
        <f t="shared" si="1"/>
        <v>1460159.7000000011</v>
      </c>
    </row>
    <row r="26" spans="1:6" ht="16.5" hidden="1" customHeight="1" outlineLevel="1">
      <c r="A26" s="812" t="s">
        <v>346</v>
      </c>
      <c r="B26" s="813">
        <v>2947</v>
      </c>
      <c r="C26" s="814">
        <f>ROUND((SUM(B14:B26)/13),0)</f>
        <v>2947</v>
      </c>
      <c r="D26" s="813">
        <f>ROUND(F26/1000,0)</f>
        <v>1467</v>
      </c>
      <c r="E26" s="814">
        <f t="shared" ref="E26:G87" si="2">ROUND((SUM(D14:D26)/13),2)</f>
        <v>1427</v>
      </c>
      <c r="F26" s="811">
        <f t="shared" si="1"/>
        <v>1466796.8000000012</v>
      </c>
    </row>
    <row r="27" spans="1:6" ht="16.5" hidden="1" customHeight="1" outlineLevel="1">
      <c r="A27" s="812" t="s">
        <v>347</v>
      </c>
      <c r="B27" s="813">
        <v>2947</v>
      </c>
      <c r="C27" s="814">
        <f t="shared" ref="C27:C57" si="3">ROUND((SUM(B15:B27)/13),0)</f>
        <v>2947</v>
      </c>
      <c r="D27" s="813">
        <f t="shared" si="0"/>
        <v>1473</v>
      </c>
      <c r="E27" s="814">
        <f t="shared" si="2"/>
        <v>1433.62</v>
      </c>
      <c r="F27" s="811">
        <f t="shared" si="1"/>
        <v>1473433.9000000013</v>
      </c>
    </row>
    <row r="28" spans="1:6" ht="16.5" hidden="1" customHeight="1" outlineLevel="1">
      <c r="A28" s="812" t="s">
        <v>348</v>
      </c>
      <c r="B28" s="813">
        <v>2947</v>
      </c>
      <c r="C28" s="814">
        <f t="shared" si="3"/>
        <v>2947</v>
      </c>
      <c r="D28" s="813">
        <f t="shared" si="0"/>
        <v>1480</v>
      </c>
      <c r="E28" s="814">
        <f t="shared" si="2"/>
        <v>1440.23</v>
      </c>
      <c r="F28" s="811">
        <f t="shared" si="1"/>
        <v>1480071.0000000014</v>
      </c>
    </row>
    <row r="29" spans="1:6" ht="16.5" hidden="1" customHeight="1" outlineLevel="1">
      <c r="A29" s="812" t="s">
        <v>349</v>
      </c>
      <c r="B29" s="813">
        <v>2947</v>
      </c>
      <c r="C29" s="814">
        <f t="shared" si="3"/>
        <v>2947</v>
      </c>
      <c r="D29" s="813">
        <f t="shared" si="0"/>
        <v>1487</v>
      </c>
      <c r="E29" s="814">
        <f t="shared" si="2"/>
        <v>1446.92</v>
      </c>
      <c r="F29" s="811">
        <f t="shared" si="1"/>
        <v>1486708.1000000015</v>
      </c>
    </row>
    <row r="30" spans="1:6" ht="16.5" hidden="1" customHeight="1" outlineLevel="1">
      <c r="A30" s="812" t="s">
        <v>350</v>
      </c>
      <c r="B30" s="813">
        <v>2947</v>
      </c>
      <c r="C30" s="814">
        <f t="shared" si="3"/>
        <v>2947</v>
      </c>
      <c r="D30" s="813">
        <f t="shared" si="0"/>
        <v>1493</v>
      </c>
      <c r="E30" s="814">
        <f t="shared" si="2"/>
        <v>1453.54</v>
      </c>
      <c r="F30" s="811">
        <f t="shared" si="1"/>
        <v>1493345.2000000016</v>
      </c>
    </row>
    <row r="31" spans="1:6" ht="16.5" hidden="1" customHeight="1" outlineLevel="1">
      <c r="A31" s="812" t="s">
        <v>351</v>
      </c>
      <c r="B31" s="813">
        <v>2947</v>
      </c>
      <c r="C31" s="814">
        <f t="shared" si="3"/>
        <v>2947</v>
      </c>
      <c r="D31" s="813">
        <f t="shared" si="0"/>
        <v>1500</v>
      </c>
      <c r="E31" s="814">
        <f t="shared" si="2"/>
        <v>1460.15</v>
      </c>
      <c r="F31" s="811">
        <f t="shared" si="1"/>
        <v>1499982.3000000017</v>
      </c>
    </row>
    <row r="32" spans="1:6" ht="16.5" hidden="1" customHeight="1" outlineLevel="1">
      <c r="A32" s="812" t="s">
        <v>352</v>
      </c>
      <c r="B32" s="813">
        <v>2947</v>
      </c>
      <c r="C32" s="814">
        <f t="shared" si="3"/>
        <v>2947</v>
      </c>
      <c r="D32" s="813">
        <f t="shared" si="0"/>
        <v>1507</v>
      </c>
      <c r="E32" s="814">
        <f t="shared" si="2"/>
        <v>1466.85</v>
      </c>
      <c r="F32" s="811">
        <f t="shared" si="1"/>
        <v>1506619.4000000018</v>
      </c>
    </row>
    <row r="33" spans="1:6" ht="16.5" hidden="1" customHeight="1" outlineLevel="1">
      <c r="A33" s="812" t="s">
        <v>353</v>
      </c>
      <c r="B33" s="813">
        <v>2947</v>
      </c>
      <c r="C33" s="814">
        <f t="shared" si="3"/>
        <v>2947</v>
      </c>
      <c r="D33" s="813">
        <f t="shared" si="0"/>
        <v>1513</v>
      </c>
      <c r="E33" s="814">
        <f t="shared" si="2"/>
        <v>1473.46</v>
      </c>
      <c r="F33" s="811">
        <f t="shared" si="1"/>
        <v>1513256.5000000019</v>
      </c>
    </row>
    <row r="34" spans="1:6" ht="16.5" hidden="1" customHeight="1" outlineLevel="1">
      <c r="A34" s="812" t="s">
        <v>354</v>
      </c>
      <c r="B34" s="813">
        <v>2947</v>
      </c>
      <c r="C34" s="814">
        <f t="shared" si="3"/>
        <v>2947</v>
      </c>
      <c r="D34" s="813">
        <f>ROUND(F34/1000,0)</f>
        <v>1520</v>
      </c>
      <c r="E34" s="814">
        <f>ROUND((SUM(D22:D34)/13),2)</f>
        <v>1480.08</v>
      </c>
      <c r="F34" s="811">
        <f>F33+6637.1</f>
        <v>1519893.600000002</v>
      </c>
    </row>
    <row r="35" spans="1:6" ht="16.5" hidden="1" customHeight="1" outlineLevel="1">
      <c r="A35" s="812" t="s">
        <v>355</v>
      </c>
      <c r="B35" s="813">
        <v>2947</v>
      </c>
      <c r="C35" s="814">
        <f t="shared" si="3"/>
        <v>2947</v>
      </c>
      <c r="D35" s="813">
        <f t="shared" si="0"/>
        <v>1527</v>
      </c>
      <c r="E35" s="814">
        <f t="shared" si="2"/>
        <v>1486.77</v>
      </c>
      <c r="F35" s="811">
        <f t="shared" si="1"/>
        <v>1526530.700000002</v>
      </c>
    </row>
    <row r="36" spans="1:6" ht="16.5" hidden="1" customHeight="1" outlineLevel="1">
      <c r="A36" s="812" t="s">
        <v>356</v>
      </c>
      <c r="B36" s="813">
        <v>2947</v>
      </c>
      <c r="C36" s="814">
        <f t="shared" si="3"/>
        <v>2947</v>
      </c>
      <c r="D36" s="813">
        <f t="shared" si="0"/>
        <v>1533</v>
      </c>
      <c r="E36" s="814">
        <f t="shared" si="2"/>
        <v>1493.38</v>
      </c>
      <c r="F36" s="811">
        <f t="shared" si="1"/>
        <v>1533167.8000000021</v>
      </c>
    </row>
    <row r="37" spans="1:6" ht="16.5" hidden="1" customHeight="1" outlineLevel="1">
      <c r="A37" s="812" t="s">
        <v>357</v>
      </c>
      <c r="B37" s="813">
        <v>2947</v>
      </c>
      <c r="C37" s="814">
        <f t="shared" si="3"/>
        <v>2947</v>
      </c>
      <c r="D37" s="813">
        <f t="shared" si="0"/>
        <v>1540</v>
      </c>
      <c r="E37" s="814">
        <f t="shared" si="2"/>
        <v>1500</v>
      </c>
      <c r="F37" s="811">
        <f t="shared" si="1"/>
        <v>1539804.9000000022</v>
      </c>
    </row>
    <row r="38" spans="1:6" ht="16.5" hidden="1" customHeight="1" outlineLevel="1">
      <c r="A38" s="812" t="s">
        <v>358</v>
      </c>
      <c r="B38" s="813">
        <v>2947</v>
      </c>
      <c r="C38" s="814">
        <f t="shared" si="3"/>
        <v>2947</v>
      </c>
      <c r="D38" s="813">
        <f t="shared" si="0"/>
        <v>1546</v>
      </c>
      <c r="E38" s="814">
        <f t="shared" si="2"/>
        <v>1506.62</v>
      </c>
      <c r="F38" s="811">
        <f t="shared" si="1"/>
        <v>1546442.0000000023</v>
      </c>
    </row>
    <row r="39" spans="1:6" ht="16.5" hidden="1" customHeight="1" outlineLevel="1">
      <c r="A39" s="816" t="s">
        <v>359</v>
      </c>
      <c r="B39" s="813">
        <v>2947</v>
      </c>
      <c r="C39" s="814">
        <f t="shared" si="3"/>
        <v>2947</v>
      </c>
      <c r="D39" s="813">
        <f t="shared" si="0"/>
        <v>1553</v>
      </c>
      <c r="E39" s="814">
        <f t="shared" si="2"/>
        <v>1513.23</v>
      </c>
      <c r="F39" s="811">
        <f t="shared" si="1"/>
        <v>1553079.1000000024</v>
      </c>
    </row>
    <row r="40" spans="1:6" ht="16.5" hidden="1" customHeight="1" outlineLevel="1">
      <c r="A40" s="816" t="s">
        <v>360</v>
      </c>
      <c r="B40" s="813">
        <v>2947</v>
      </c>
      <c r="C40" s="814">
        <f t="shared" si="3"/>
        <v>2947</v>
      </c>
      <c r="D40" s="813">
        <f t="shared" si="0"/>
        <v>1560</v>
      </c>
      <c r="E40" s="814">
        <f t="shared" si="2"/>
        <v>1519.92</v>
      </c>
      <c r="F40" s="811">
        <f t="shared" si="1"/>
        <v>1559716.2000000025</v>
      </c>
    </row>
    <row r="41" spans="1:6" ht="16.5" hidden="1" customHeight="1" outlineLevel="1">
      <c r="A41" s="817" t="s">
        <v>361</v>
      </c>
      <c r="B41" s="813">
        <v>2947</v>
      </c>
      <c r="C41" s="814">
        <f t="shared" si="3"/>
        <v>2947</v>
      </c>
      <c r="D41" s="813">
        <f t="shared" si="0"/>
        <v>1566</v>
      </c>
      <c r="E41" s="814">
        <f t="shared" si="2"/>
        <v>1526.54</v>
      </c>
      <c r="F41" s="811">
        <f t="shared" si="1"/>
        <v>1566353.3000000026</v>
      </c>
    </row>
    <row r="42" spans="1:6" ht="16.5" hidden="1" customHeight="1" outlineLevel="1">
      <c r="A42" s="817" t="s">
        <v>362</v>
      </c>
      <c r="B42" s="813">
        <v>2947</v>
      </c>
      <c r="C42" s="814">
        <f t="shared" si="3"/>
        <v>2947</v>
      </c>
      <c r="D42" s="813">
        <f t="shared" si="0"/>
        <v>1573</v>
      </c>
      <c r="E42" s="814">
        <f t="shared" si="2"/>
        <v>1533.15</v>
      </c>
      <c r="F42" s="811">
        <f t="shared" si="1"/>
        <v>1572990.4000000027</v>
      </c>
    </row>
    <row r="43" spans="1:6" ht="16.5" hidden="1" customHeight="1" outlineLevel="1">
      <c r="A43" s="817" t="s">
        <v>363</v>
      </c>
      <c r="B43" s="813">
        <v>2947</v>
      </c>
      <c r="C43" s="814">
        <f t="shared" si="3"/>
        <v>2947</v>
      </c>
      <c r="D43" s="813">
        <f t="shared" si="0"/>
        <v>1580</v>
      </c>
      <c r="E43" s="814">
        <f t="shared" si="2"/>
        <v>1539.85</v>
      </c>
      <c r="F43" s="811">
        <f t="shared" si="1"/>
        <v>1579627.5000000028</v>
      </c>
    </row>
    <row r="44" spans="1:6" ht="16.5" hidden="1" customHeight="1" outlineLevel="1">
      <c r="A44" s="817" t="s">
        <v>364</v>
      </c>
      <c r="B44" s="813">
        <v>2947</v>
      </c>
      <c r="C44" s="814">
        <f t="shared" si="3"/>
        <v>2947</v>
      </c>
      <c r="D44" s="813">
        <f t="shared" si="0"/>
        <v>1586</v>
      </c>
      <c r="E44" s="814">
        <f t="shared" si="2"/>
        <v>1546.46</v>
      </c>
      <c r="F44" s="811">
        <f t="shared" si="1"/>
        <v>1586264.6000000029</v>
      </c>
    </row>
    <row r="45" spans="1:6" ht="16.5" hidden="1" customHeight="1" outlineLevel="1">
      <c r="A45" s="817" t="s">
        <v>365</v>
      </c>
      <c r="B45" s="813">
        <v>2947</v>
      </c>
      <c r="C45" s="814">
        <f t="shared" si="3"/>
        <v>2947</v>
      </c>
      <c r="D45" s="813">
        <f t="shared" si="0"/>
        <v>1593</v>
      </c>
      <c r="E45" s="814">
        <f t="shared" si="2"/>
        <v>1553.08</v>
      </c>
      <c r="F45" s="811">
        <f t="shared" si="1"/>
        <v>1592901.700000003</v>
      </c>
    </row>
    <row r="46" spans="1:6" ht="16.5" hidden="1" customHeight="1" outlineLevel="1">
      <c r="A46" s="817" t="s">
        <v>366</v>
      </c>
      <c r="B46" s="813">
        <v>2947</v>
      </c>
      <c r="C46" s="814">
        <f t="shared" si="3"/>
        <v>2947</v>
      </c>
      <c r="D46" s="813">
        <f t="shared" si="0"/>
        <v>1600</v>
      </c>
      <c r="E46" s="814">
        <f t="shared" si="2"/>
        <v>1559.77</v>
      </c>
      <c r="F46" s="811">
        <f t="shared" si="1"/>
        <v>1599538.8000000031</v>
      </c>
    </row>
    <row r="47" spans="1:6" ht="16.5" hidden="1" customHeight="1" outlineLevel="1">
      <c r="A47" s="817" t="s">
        <v>367</v>
      </c>
      <c r="B47" s="813">
        <v>2947</v>
      </c>
      <c r="C47" s="814">
        <f t="shared" si="3"/>
        <v>2947</v>
      </c>
      <c r="D47" s="813">
        <f t="shared" si="0"/>
        <v>1606</v>
      </c>
      <c r="E47" s="814">
        <f t="shared" si="2"/>
        <v>1566.38</v>
      </c>
      <c r="F47" s="811">
        <f t="shared" si="1"/>
        <v>1606175.9000000032</v>
      </c>
    </row>
    <row r="48" spans="1:6" ht="16.5" hidden="1" customHeight="1" outlineLevel="1">
      <c r="A48" s="817" t="s">
        <v>368</v>
      </c>
      <c r="B48" s="813">
        <v>2947</v>
      </c>
      <c r="C48" s="814">
        <f t="shared" si="3"/>
        <v>2947</v>
      </c>
      <c r="D48" s="813">
        <f t="shared" si="0"/>
        <v>1613</v>
      </c>
      <c r="E48" s="814">
        <f t="shared" si="2"/>
        <v>1573</v>
      </c>
      <c r="F48" s="811">
        <f t="shared" si="1"/>
        <v>1612813.0000000033</v>
      </c>
    </row>
    <row r="49" spans="1:6" ht="16.5" hidden="1" customHeight="1" outlineLevel="1">
      <c r="A49" s="817" t="s">
        <v>369</v>
      </c>
      <c r="B49" s="813">
        <v>2947</v>
      </c>
      <c r="C49" s="814">
        <f t="shared" si="3"/>
        <v>2947</v>
      </c>
      <c r="D49" s="813">
        <f t="shared" si="0"/>
        <v>1619</v>
      </c>
      <c r="E49" s="814">
        <f t="shared" si="2"/>
        <v>1579.62</v>
      </c>
      <c r="F49" s="811">
        <f t="shared" si="1"/>
        <v>1619450.1000000034</v>
      </c>
    </row>
    <row r="50" spans="1:6" ht="16.5" hidden="1" customHeight="1" outlineLevel="1">
      <c r="A50" s="817" t="s">
        <v>370</v>
      </c>
      <c r="B50" s="813">
        <v>2947</v>
      </c>
      <c r="C50" s="814">
        <f t="shared" si="3"/>
        <v>2947</v>
      </c>
      <c r="D50" s="813">
        <f t="shared" si="0"/>
        <v>1626</v>
      </c>
      <c r="E50" s="814">
        <f t="shared" si="2"/>
        <v>1586.23</v>
      </c>
      <c r="F50" s="811">
        <f t="shared" si="1"/>
        <v>1626087.2000000034</v>
      </c>
    </row>
    <row r="51" spans="1:6" ht="16.5" hidden="1" customHeight="1" outlineLevel="1">
      <c r="A51" s="817" t="s">
        <v>371</v>
      </c>
      <c r="B51" s="813">
        <v>2947</v>
      </c>
      <c r="C51" s="814">
        <f t="shared" si="3"/>
        <v>2947</v>
      </c>
      <c r="D51" s="813">
        <f t="shared" si="0"/>
        <v>1633</v>
      </c>
      <c r="E51" s="814">
        <f t="shared" si="2"/>
        <v>1592.92</v>
      </c>
      <c r="F51" s="811">
        <f t="shared" si="1"/>
        <v>1632724.3000000035</v>
      </c>
    </row>
    <row r="52" spans="1:6" ht="16.5" hidden="1" customHeight="1" outlineLevel="1">
      <c r="A52" s="816" t="s">
        <v>372</v>
      </c>
      <c r="B52" s="813">
        <v>2947</v>
      </c>
      <c r="C52" s="814">
        <f t="shared" si="3"/>
        <v>2947</v>
      </c>
      <c r="D52" s="813">
        <f t="shared" si="0"/>
        <v>1639</v>
      </c>
      <c r="E52" s="814">
        <f t="shared" si="2"/>
        <v>1599.54</v>
      </c>
      <c r="F52" s="811">
        <f t="shared" si="1"/>
        <v>1639361.4000000036</v>
      </c>
    </row>
    <row r="53" spans="1:6" ht="16.5" hidden="1" customHeight="1" outlineLevel="1">
      <c r="A53" s="817" t="s">
        <v>373</v>
      </c>
      <c r="B53" s="813">
        <v>2947</v>
      </c>
      <c r="C53" s="814">
        <f t="shared" si="3"/>
        <v>2947</v>
      </c>
      <c r="D53" s="813">
        <f t="shared" si="0"/>
        <v>1646</v>
      </c>
      <c r="E53" s="814">
        <f t="shared" si="2"/>
        <v>1606.15</v>
      </c>
      <c r="F53" s="811">
        <f t="shared" si="1"/>
        <v>1645998.5000000037</v>
      </c>
    </row>
    <row r="54" spans="1:6" ht="16.5" hidden="1" customHeight="1" outlineLevel="1">
      <c r="A54" s="817" t="s">
        <v>374</v>
      </c>
      <c r="B54" s="813">
        <v>2947</v>
      </c>
      <c r="C54" s="814">
        <f t="shared" si="3"/>
        <v>2947</v>
      </c>
      <c r="D54" s="813">
        <f t="shared" si="0"/>
        <v>1653</v>
      </c>
      <c r="E54" s="814">
        <f t="shared" si="2"/>
        <v>1612.85</v>
      </c>
      <c r="F54" s="811">
        <f t="shared" si="1"/>
        <v>1652635.6000000038</v>
      </c>
    </row>
    <row r="55" spans="1:6" ht="16.5" hidden="1" customHeight="1" outlineLevel="1">
      <c r="A55" s="817" t="s">
        <v>375</v>
      </c>
      <c r="B55" s="813">
        <v>2947</v>
      </c>
      <c r="C55" s="814">
        <f t="shared" si="3"/>
        <v>2947</v>
      </c>
      <c r="D55" s="813">
        <f t="shared" si="0"/>
        <v>1659</v>
      </c>
      <c r="E55" s="814">
        <f t="shared" si="2"/>
        <v>1619.46</v>
      </c>
      <c r="F55" s="811">
        <f t="shared" si="1"/>
        <v>1659272.7000000039</v>
      </c>
    </row>
    <row r="56" spans="1:6" ht="16.5" hidden="1" customHeight="1" outlineLevel="1">
      <c r="A56" s="817" t="s">
        <v>376</v>
      </c>
      <c r="B56" s="813">
        <v>2947</v>
      </c>
      <c r="C56" s="814">
        <f t="shared" si="3"/>
        <v>2947</v>
      </c>
      <c r="D56" s="813">
        <f t="shared" si="0"/>
        <v>1666</v>
      </c>
      <c r="E56" s="814">
        <f t="shared" si="2"/>
        <v>1626.08</v>
      </c>
      <c r="F56" s="811">
        <f t="shared" si="1"/>
        <v>1665909.800000004</v>
      </c>
    </row>
    <row r="57" spans="1:6" ht="16.5" hidden="1" customHeight="1" outlineLevel="1">
      <c r="A57" s="817" t="s">
        <v>377</v>
      </c>
      <c r="B57" s="813">
        <v>2947</v>
      </c>
      <c r="C57" s="814">
        <f t="shared" si="3"/>
        <v>2947</v>
      </c>
      <c r="D57" s="813">
        <f t="shared" si="0"/>
        <v>1673</v>
      </c>
      <c r="E57" s="814">
        <f t="shared" si="2"/>
        <v>1632.77</v>
      </c>
      <c r="F57" s="811">
        <f t="shared" si="1"/>
        <v>1672546.9000000041</v>
      </c>
    </row>
    <row r="58" spans="1:6" ht="16.5" hidden="1" customHeight="1" outlineLevel="1">
      <c r="A58" s="817" t="s">
        <v>378</v>
      </c>
      <c r="B58" s="813">
        <v>2947</v>
      </c>
      <c r="C58" s="814">
        <f>ROUND((SUM(B46:B58)/13),0)</f>
        <v>2947</v>
      </c>
      <c r="D58" s="813">
        <f t="shared" si="0"/>
        <v>1679</v>
      </c>
      <c r="E58" s="814">
        <f t="shared" si="2"/>
        <v>1639.38</v>
      </c>
      <c r="F58" s="811">
        <f t="shared" si="1"/>
        <v>1679184.0000000042</v>
      </c>
    </row>
    <row r="59" spans="1:6" ht="16.5" hidden="1" customHeight="1" outlineLevel="1">
      <c r="A59" s="817" t="s">
        <v>379</v>
      </c>
      <c r="B59" s="813">
        <v>2947</v>
      </c>
      <c r="C59" s="814">
        <f>ROUND((SUM(B47:B59)/13),0)</f>
        <v>2947</v>
      </c>
      <c r="D59" s="813">
        <f t="shared" si="0"/>
        <v>1686</v>
      </c>
      <c r="E59" s="814">
        <f t="shared" si="2"/>
        <v>1646</v>
      </c>
      <c r="F59" s="811">
        <f t="shared" si="1"/>
        <v>1685821.1000000043</v>
      </c>
    </row>
    <row r="60" spans="1:6" ht="16.5" hidden="1" customHeight="1" outlineLevel="1">
      <c r="A60" s="817" t="s">
        <v>380</v>
      </c>
      <c r="B60" s="813">
        <v>2947</v>
      </c>
      <c r="C60" s="814">
        <f>ROUND((SUM(B48:B60)/13),0)</f>
        <v>2947</v>
      </c>
      <c r="D60" s="813">
        <f t="shared" si="0"/>
        <v>1692</v>
      </c>
      <c r="E60" s="814">
        <f t="shared" si="2"/>
        <v>1652.62</v>
      </c>
      <c r="F60" s="811">
        <f t="shared" si="1"/>
        <v>1692458.2000000044</v>
      </c>
    </row>
    <row r="61" spans="1:6" ht="16.5" hidden="1" customHeight="1" outlineLevel="1">
      <c r="A61" s="817" t="s">
        <v>381</v>
      </c>
      <c r="B61" s="813">
        <v>2947</v>
      </c>
      <c r="C61" s="814">
        <f>ROUND((SUM(B49:B61)/13),0)</f>
        <v>2947</v>
      </c>
      <c r="D61" s="813">
        <f t="shared" si="0"/>
        <v>1699</v>
      </c>
      <c r="E61" s="814">
        <f t="shared" si="2"/>
        <v>1659.23</v>
      </c>
      <c r="F61" s="811">
        <f t="shared" si="1"/>
        <v>1699095.3000000045</v>
      </c>
    </row>
    <row r="62" spans="1:6" ht="16.5" hidden="1" customHeight="1" outlineLevel="1">
      <c r="A62" s="817" t="s">
        <v>382</v>
      </c>
      <c r="B62" s="813">
        <v>2947</v>
      </c>
      <c r="C62" s="814">
        <f>ROUND((SUM(B50:B62)/13),0)</f>
        <v>2947</v>
      </c>
      <c r="D62" s="813">
        <f t="shared" si="0"/>
        <v>1706</v>
      </c>
      <c r="E62" s="814">
        <f t="shared" si="2"/>
        <v>1665.92</v>
      </c>
      <c r="F62" s="811">
        <f t="shared" si="1"/>
        <v>1705732.4000000046</v>
      </c>
    </row>
    <row r="63" spans="1:6" ht="16.5" hidden="1" customHeight="1" outlineLevel="1">
      <c r="A63" s="816" t="s">
        <v>383</v>
      </c>
      <c r="B63" s="813">
        <v>2947</v>
      </c>
      <c r="C63" s="814">
        <f t="shared" ref="C63:C109" si="4">ROUND((SUM(B51:B63)/13),0)</f>
        <v>2947</v>
      </c>
      <c r="D63" s="813">
        <f t="shared" si="0"/>
        <v>1712</v>
      </c>
      <c r="E63" s="814">
        <f t="shared" si="2"/>
        <v>1672.54</v>
      </c>
      <c r="F63" s="811">
        <f t="shared" si="1"/>
        <v>1712369.5000000047</v>
      </c>
    </row>
    <row r="64" spans="1:6" ht="16.5" hidden="1" customHeight="1" outlineLevel="1">
      <c r="A64" s="816" t="s">
        <v>384</v>
      </c>
      <c r="B64" s="813">
        <v>2947</v>
      </c>
      <c r="C64" s="814">
        <f t="shared" si="4"/>
        <v>2947</v>
      </c>
      <c r="D64" s="813">
        <f t="shared" si="0"/>
        <v>1719</v>
      </c>
      <c r="E64" s="814">
        <f t="shared" si="2"/>
        <v>1679.15</v>
      </c>
      <c r="F64" s="811">
        <f t="shared" si="1"/>
        <v>1719006.6000000047</v>
      </c>
    </row>
    <row r="65" spans="1:6" ht="16.5" hidden="1" customHeight="1" outlineLevel="1">
      <c r="A65" s="816" t="s">
        <v>385</v>
      </c>
      <c r="B65" s="813">
        <v>2947</v>
      </c>
      <c r="C65" s="814">
        <f t="shared" si="4"/>
        <v>2947</v>
      </c>
      <c r="D65" s="813">
        <f t="shared" si="0"/>
        <v>1726</v>
      </c>
      <c r="E65" s="814">
        <f t="shared" si="2"/>
        <v>1685.85</v>
      </c>
      <c r="F65" s="811">
        <f t="shared" si="1"/>
        <v>1725643.7000000048</v>
      </c>
    </row>
    <row r="66" spans="1:6" ht="16.5" hidden="1" customHeight="1" outlineLevel="1">
      <c r="A66" s="816" t="s">
        <v>386</v>
      </c>
      <c r="B66" s="813">
        <v>2947</v>
      </c>
      <c r="C66" s="814">
        <f t="shared" si="4"/>
        <v>2947</v>
      </c>
      <c r="D66" s="813">
        <f t="shared" si="0"/>
        <v>1732</v>
      </c>
      <c r="E66" s="814">
        <f t="shared" si="2"/>
        <v>1692.46</v>
      </c>
      <c r="F66" s="811">
        <f t="shared" si="1"/>
        <v>1732280.8000000049</v>
      </c>
    </row>
    <row r="67" spans="1:6" ht="16.5" hidden="1" customHeight="1" outlineLevel="1">
      <c r="A67" s="816" t="s">
        <v>387</v>
      </c>
      <c r="B67" s="813">
        <v>2947</v>
      </c>
      <c r="C67" s="814">
        <f t="shared" si="4"/>
        <v>2947</v>
      </c>
      <c r="D67" s="813">
        <f t="shared" si="0"/>
        <v>1739</v>
      </c>
      <c r="E67" s="814">
        <f t="shared" si="2"/>
        <v>1699.08</v>
      </c>
      <c r="F67" s="811">
        <f t="shared" si="1"/>
        <v>1738917.900000005</v>
      </c>
    </row>
    <row r="68" spans="1:6" ht="16.5" hidden="1" customHeight="1" outlineLevel="1">
      <c r="A68" s="816" t="s">
        <v>388</v>
      </c>
      <c r="B68" s="813">
        <v>2947</v>
      </c>
      <c r="C68" s="814">
        <f t="shared" si="4"/>
        <v>2947</v>
      </c>
      <c r="D68" s="813">
        <f t="shared" si="0"/>
        <v>1746</v>
      </c>
      <c r="E68" s="814">
        <f t="shared" si="2"/>
        <v>1705.77</v>
      </c>
      <c r="F68" s="811">
        <f t="shared" si="1"/>
        <v>1745555.0000000051</v>
      </c>
    </row>
    <row r="69" spans="1:6" ht="16.5" hidden="1" customHeight="1" outlineLevel="1">
      <c r="A69" s="816" t="s">
        <v>389</v>
      </c>
      <c r="B69" s="813">
        <v>2947</v>
      </c>
      <c r="C69" s="814">
        <f t="shared" si="4"/>
        <v>2947</v>
      </c>
      <c r="D69" s="813">
        <f t="shared" si="0"/>
        <v>1752</v>
      </c>
      <c r="E69" s="814">
        <f t="shared" si="2"/>
        <v>1712.38</v>
      </c>
      <c r="F69" s="811">
        <f t="shared" si="1"/>
        <v>1752192.1000000052</v>
      </c>
    </row>
    <row r="70" spans="1:6" ht="16.5" hidden="1" customHeight="1" outlineLevel="1">
      <c r="A70" s="816" t="s">
        <v>390</v>
      </c>
      <c r="B70" s="813">
        <v>2947</v>
      </c>
      <c r="C70" s="814">
        <f t="shared" si="4"/>
        <v>2947</v>
      </c>
      <c r="D70" s="813">
        <f t="shared" si="0"/>
        <v>1759</v>
      </c>
      <c r="E70" s="814">
        <f t="shared" si="2"/>
        <v>1719</v>
      </c>
      <c r="F70" s="811">
        <f t="shared" si="1"/>
        <v>1758829.2000000053</v>
      </c>
    </row>
    <row r="71" spans="1:6" ht="16.5" hidden="1" customHeight="1" outlineLevel="1">
      <c r="A71" s="816" t="s">
        <v>391</v>
      </c>
      <c r="B71" s="813">
        <v>2947</v>
      </c>
      <c r="C71" s="814">
        <f t="shared" si="4"/>
        <v>2947</v>
      </c>
      <c r="D71" s="813">
        <f t="shared" si="0"/>
        <v>1765</v>
      </c>
      <c r="E71" s="814">
        <f t="shared" si="2"/>
        <v>1725.62</v>
      </c>
      <c r="F71" s="811">
        <f t="shared" si="1"/>
        <v>1765466.3000000054</v>
      </c>
    </row>
    <row r="72" spans="1:6" ht="16.5" hidden="1" customHeight="1" outlineLevel="1">
      <c r="A72" s="816" t="s">
        <v>392</v>
      </c>
      <c r="B72" s="813">
        <v>2947</v>
      </c>
      <c r="C72" s="814">
        <f t="shared" si="4"/>
        <v>2947</v>
      </c>
      <c r="D72" s="813">
        <f t="shared" si="0"/>
        <v>1772</v>
      </c>
      <c r="E72" s="814">
        <f t="shared" si="2"/>
        <v>1732.23</v>
      </c>
      <c r="F72" s="811">
        <f t="shared" si="1"/>
        <v>1772103.4000000055</v>
      </c>
    </row>
    <row r="73" spans="1:6" ht="16.5" hidden="1" customHeight="1" outlineLevel="1">
      <c r="A73" s="816" t="s">
        <v>393</v>
      </c>
      <c r="B73" s="813">
        <v>2947</v>
      </c>
      <c r="C73" s="814">
        <f t="shared" si="4"/>
        <v>2947</v>
      </c>
      <c r="D73" s="813">
        <f t="shared" si="0"/>
        <v>1779</v>
      </c>
      <c r="E73" s="814">
        <f t="shared" si="2"/>
        <v>1738.92</v>
      </c>
      <c r="F73" s="811">
        <f t="shared" si="1"/>
        <v>1778740.5000000056</v>
      </c>
    </row>
    <row r="74" spans="1:6" ht="16.5" hidden="1" customHeight="1" outlineLevel="1">
      <c r="A74" s="816" t="s">
        <v>394</v>
      </c>
      <c r="B74" s="813">
        <v>2947</v>
      </c>
      <c r="C74" s="814">
        <f t="shared" si="4"/>
        <v>2947</v>
      </c>
      <c r="D74" s="813">
        <f t="shared" si="0"/>
        <v>1785</v>
      </c>
      <c r="E74" s="814">
        <f t="shared" si="2"/>
        <v>1745.54</v>
      </c>
      <c r="F74" s="811">
        <f t="shared" si="1"/>
        <v>1785377.6000000057</v>
      </c>
    </row>
    <row r="75" spans="1:6" ht="16.5" hidden="1" customHeight="1" outlineLevel="1">
      <c r="A75" s="818">
        <v>39083</v>
      </c>
      <c r="B75" s="813">
        <v>2947</v>
      </c>
      <c r="C75" s="814">
        <f t="shared" si="4"/>
        <v>2947</v>
      </c>
      <c r="D75" s="813">
        <f t="shared" si="0"/>
        <v>1792</v>
      </c>
      <c r="E75" s="814">
        <f t="shared" si="2"/>
        <v>1752.15</v>
      </c>
      <c r="F75" s="811">
        <f t="shared" si="1"/>
        <v>1792014.7000000058</v>
      </c>
    </row>
    <row r="76" spans="1:6" ht="16.5" hidden="1" customHeight="1" outlineLevel="1">
      <c r="A76" s="818">
        <v>39114</v>
      </c>
      <c r="B76" s="813">
        <v>2947</v>
      </c>
      <c r="C76" s="814">
        <f t="shared" si="4"/>
        <v>2947</v>
      </c>
      <c r="D76" s="813">
        <f t="shared" si="0"/>
        <v>1799</v>
      </c>
      <c r="E76" s="814">
        <f t="shared" si="2"/>
        <v>1758.85</v>
      </c>
      <c r="F76" s="811">
        <f t="shared" si="1"/>
        <v>1798651.8000000059</v>
      </c>
    </row>
    <row r="77" spans="1:6" ht="16.5" hidden="1" customHeight="1" outlineLevel="1">
      <c r="A77" s="818">
        <v>39142</v>
      </c>
      <c r="B77" s="813">
        <v>2947</v>
      </c>
      <c r="C77" s="814">
        <f t="shared" si="4"/>
        <v>2947</v>
      </c>
      <c r="D77" s="813">
        <f t="shared" si="0"/>
        <v>1805</v>
      </c>
      <c r="E77" s="814">
        <f t="shared" si="2"/>
        <v>1765.46</v>
      </c>
      <c r="F77" s="811">
        <f t="shared" si="1"/>
        <v>1805288.900000006</v>
      </c>
    </row>
    <row r="78" spans="1:6" ht="16.5" hidden="1" customHeight="1" outlineLevel="1">
      <c r="A78" s="818">
        <v>39173</v>
      </c>
      <c r="B78" s="813">
        <v>2947</v>
      </c>
      <c r="C78" s="814">
        <f t="shared" si="4"/>
        <v>2947</v>
      </c>
      <c r="D78" s="813">
        <f t="shared" si="0"/>
        <v>1812</v>
      </c>
      <c r="E78" s="814">
        <f t="shared" si="2"/>
        <v>1772.08</v>
      </c>
      <c r="F78" s="811">
        <f t="shared" si="1"/>
        <v>1811926.0000000061</v>
      </c>
    </row>
    <row r="79" spans="1:6" ht="16.5" hidden="1" customHeight="1" outlineLevel="1">
      <c r="A79" s="818">
        <v>39203</v>
      </c>
      <c r="B79" s="813">
        <v>2947</v>
      </c>
      <c r="C79" s="814">
        <f t="shared" si="4"/>
        <v>2947</v>
      </c>
      <c r="D79" s="813">
        <f t="shared" ref="D79:D109" si="5">ROUND(F79/1000,0)</f>
        <v>1819</v>
      </c>
      <c r="E79" s="814">
        <f t="shared" si="2"/>
        <v>1778.77</v>
      </c>
      <c r="F79" s="811">
        <f t="shared" ref="F79:F109" si="6">F78+6637.1</f>
        <v>1818563.1000000061</v>
      </c>
    </row>
    <row r="80" spans="1:6" ht="16.5" hidden="1" customHeight="1" outlineLevel="1">
      <c r="A80" s="818">
        <v>39234</v>
      </c>
      <c r="B80" s="813">
        <v>2947</v>
      </c>
      <c r="C80" s="814">
        <f t="shared" si="4"/>
        <v>2947</v>
      </c>
      <c r="D80" s="813">
        <f t="shared" si="5"/>
        <v>1825</v>
      </c>
      <c r="E80" s="814">
        <f t="shared" si="2"/>
        <v>1785.38</v>
      </c>
      <c r="F80" s="811">
        <f t="shared" si="6"/>
        <v>1825200.2000000062</v>
      </c>
    </row>
    <row r="81" spans="1:7" ht="16.5" hidden="1" customHeight="1" outlineLevel="1">
      <c r="A81" s="818">
        <v>39264</v>
      </c>
      <c r="B81" s="813">
        <v>2947</v>
      </c>
      <c r="C81" s="814">
        <f t="shared" si="4"/>
        <v>2947</v>
      </c>
      <c r="D81" s="813">
        <f t="shared" si="5"/>
        <v>1832</v>
      </c>
      <c r="E81" s="814">
        <f t="shared" si="2"/>
        <v>1792</v>
      </c>
      <c r="F81" s="811">
        <f t="shared" si="6"/>
        <v>1831837.3000000063</v>
      </c>
    </row>
    <row r="82" spans="1:7" ht="16.5" hidden="1" customHeight="1" outlineLevel="1">
      <c r="A82" s="818">
        <v>39295</v>
      </c>
      <c r="B82" s="813">
        <v>2947</v>
      </c>
      <c r="C82" s="814">
        <f t="shared" si="4"/>
        <v>2947</v>
      </c>
      <c r="D82" s="813">
        <f t="shared" si="5"/>
        <v>1838</v>
      </c>
      <c r="E82" s="814">
        <f t="shared" si="2"/>
        <v>1798.62</v>
      </c>
      <c r="F82" s="811">
        <f t="shared" si="6"/>
        <v>1838474.4000000064</v>
      </c>
    </row>
    <row r="83" spans="1:7" ht="16.5" hidden="1" customHeight="1" outlineLevel="1">
      <c r="A83" s="818">
        <v>39326</v>
      </c>
      <c r="B83" s="813">
        <v>2947</v>
      </c>
      <c r="C83" s="814">
        <f t="shared" si="4"/>
        <v>2947</v>
      </c>
      <c r="D83" s="813">
        <f t="shared" si="5"/>
        <v>1845</v>
      </c>
      <c r="E83" s="814">
        <f t="shared" si="2"/>
        <v>1805.23</v>
      </c>
      <c r="F83" s="811">
        <f t="shared" si="6"/>
        <v>1845111.5000000065</v>
      </c>
    </row>
    <row r="84" spans="1:7" ht="16.5" hidden="1" customHeight="1" outlineLevel="1">
      <c r="A84" s="818">
        <v>39356</v>
      </c>
      <c r="B84" s="813">
        <v>2947</v>
      </c>
      <c r="C84" s="814">
        <f t="shared" si="4"/>
        <v>2947</v>
      </c>
      <c r="D84" s="813">
        <f t="shared" si="5"/>
        <v>1852</v>
      </c>
      <c r="E84" s="814">
        <f t="shared" si="2"/>
        <v>1811.92</v>
      </c>
      <c r="F84" s="811">
        <f t="shared" si="6"/>
        <v>1851748.6000000066</v>
      </c>
    </row>
    <row r="85" spans="1:7" ht="16.5" hidden="1" customHeight="1" outlineLevel="1">
      <c r="A85" s="818">
        <v>39387</v>
      </c>
      <c r="B85" s="813">
        <v>2947</v>
      </c>
      <c r="C85" s="814">
        <f t="shared" si="4"/>
        <v>2947</v>
      </c>
      <c r="D85" s="813">
        <f t="shared" si="5"/>
        <v>1858</v>
      </c>
      <c r="E85" s="814">
        <f t="shared" si="2"/>
        <v>1818.54</v>
      </c>
      <c r="F85" s="811">
        <f t="shared" si="6"/>
        <v>1858385.7000000067</v>
      </c>
    </row>
    <row r="86" spans="1:7" ht="16.5" hidden="1" customHeight="1" outlineLevel="1">
      <c r="A86" s="818">
        <v>39417</v>
      </c>
      <c r="B86" s="813">
        <v>2947</v>
      </c>
      <c r="C86" s="814">
        <f t="shared" si="4"/>
        <v>2947</v>
      </c>
      <c r="D86" s="813">
        <f t="shared" si="5"/>
        <v>1865</v>
      </c>
      <c r="E86" s="814">
        <f t="shared" si="2"/>
        <v>1825.15</v>
      </c>
      <c r="F86" s="811">
        <f t="shared" si="6"/>
        <v>1865022.8000000068</v>
      </c>
    </row>
    <row r="87" spans="1:7" ht="16.5" hidden="1" customHeight="1" outlineLevel="1">
      <c r="A87" s="818">
        <v>39448</v>
      </c>
      <c r="B87" s="813">
        <v>2947</v>
      </c>
      <c r="C87" s="814">
        <f t="shared" si="4"/>
        <v>2947</v>
      </c>
      <c r="D87" s="813">
        <f t="shared" si="5"/>
        <v>1872</v>
      </c>
      <c r="E87" s="814">
        <f t="shared" si="2"/>
        <v>1831.85</v>
      </c>
      <c r="F87" s="811">
        <f t="shared" si="6"/>
        <v>1871659.9000000069</v>
      </c>
      <c r="G87" s="814">
        <f t="shared" si="2"/>
        <v>1831837.3</v>
      </c>
    </row>
    <row r="88" spans="1:7" ht="16.5" hidden="1" customHeight="1" outlineLevel="1">
      <c r="A88" s="818">
        <v>39479</v>
      </c>
      <c r="B88" s="813">
        <v>2947</v>
      </c>
      <c r="C88" s="814">
        <f t="shared" si="4"/>
        <v>2947</v>
      </c>
      <c r="D88" s="813">
        <f t="shared" si="5"/>
        <v>1878</v>
      </c>
      <c r="E88" s="814">
        <f t="shared" ref="E88:G103" si="7">ROUND((SUM(D76:D88)/13),2)</f>
        <v>1838.46</v>
      </c>
      <c r="F88" s="811">
        <f t="shared" si="6"/>
        <v>1878297.000000007</v>
      </c>
      <c r="G88" s="814">
        <f t="shared" si="7"/>
        <v>1838474.4</v>
      </c>
    </row>
    <row r="89" spans="1:7" ht="16.5" hidden="1" customHeight="1" outlineLevel="1">
      <c r="A89" s="818">
        <v>39508</v>
      </c>
      <c r="B89" s="813">
        <v>2947</v>
      </c>
      <c r="C89" s="814">
        <f t="shared" si="4"/>
        <v>2947</v>
      </c>
      <c r="D89" s="813">
        <f t="shared" si="5"/>
        <v>1885</v>
      </c>
      <c r="E89" s="814">
        <f t="shared" si="7"/>
        <v>1845.08</v>
      </c>
      <c r="F89" s="811">
        <f t="shared" si="6"/>
        <v>1884934.1000000071</v>
      </c>
      <c r="G89" s="814">
        <f t="shared" si="7"/>
        <v>1845111.5</v>
      </c>
    </row>
    <row r="90" spans="1:7" ht="16.5" hidden="1" customHeight="1" outlineLevel="1">
      <c r="A90" s="818">
        <v>39539</v>
      </c>
      <c r="B90" s="813">
        <v>2947</v>
      </c>
      <c r="C90" s="814">
        <f t="shared" si="4"/>
        <v>2947</v>
      </c>
      <c r="D90" s="813">
        <f t="shared" si="5"/>
        <v>1892</v>
      </c>
      <c r="E90" s="814">
        <f t="shared" si="7"/>
        <v>1851.77</v>
      </c>
      <c r="F90" s="811">
        <f t="shared" si="6"/>
        <v>1891571.2000000072</v>
      </c>
      <c r="G90" s="814">
        <f t="shared" si="7"/>
        <v>1851748.6</v>
      </c>
    </row>
    <row r="91" spans="1:7" ht="16.5" hidden="1" customHeight="1" outlineLevel="1">
      <c r="A91" s="818">
        <v>39569</v>
      </c>
      <c r="B91" s="813">
        <v>2947</v>
      </c>
      <c r="C91" s="814">
        <f t="shared" si="4"/>
        <v>2947</v>
      </c>
      <c r="D91" s="813">
        <f t="shared" si="5"/>
        <v>1898</v>
      </c>
      <c r="E91" s="814">
        <f t="shared" si="7"/>
        <v>1858.38</v>
      </c>
      <c r="F91" s="811">
        <f t="shared" si="6"/>
        <v>1898208.3000000073</v>
      </c>
      <c r="G91" s="814">
        <f t="shared" si="7"/>
        <v>1858385.7</v>
      </c>
    </row>
    <row r="92" spans="1:7" ht="16.5" hidden="1" customHeight="1" outlineLevel="1">
      <c r="A92" s="818">
        <v>39600</v>
      </c>
      <c r="B92" s="813">
        <v>2947</v>
      </c>
      <c r="C92" s="814">
        <f t="shared" si="4"/>
        <v>2947</v>
      </c>
      <c r="D92" s="813">
        <f t="shared" si="5"/>
        <v>1905</v>
      </c>
      <c r="E92" s="814">
        <f t="shared" si="7"/>
        <v>1865</v>
      </c>
      <c r="F92" s="811">
        <f t="shared" si="6"/>
        <v>1904845.4000000074</v>
      </c>
      <c r="G92" s="814">
        <f t="shared" si="7"/>
        <v>1865022.8</v>
      </c>
    </row>
    <row r="93" spans="1:7" ht="16.5" hidden="1" customHeight="1" outlineLevel="1">
      <c r="A93" s="818">
        <v>39630</v>
      </c>
      <c r="B93" s="813">
        <v>2947</v>
      </c>
      <c r="C93" s="814">
        <f t="shared" si="4"/>
        <v>2947</v>
      </c>
      <c r="D93" s="813">
        <f t="shared" si="5"/>
        <v>1911</v>
      </c>
      <c r="E93" s="814">
        <f t="shared" si="7"/>
        <v>1871.62</v>
      </c>
      <c r="F93" s="811">
        <f t="shared" si="6"/>
        <v>1911482.5000000075</v>
      </c>
      <c r="G93" s="814">
        <f t="shared" si="7"/>
        <v>1871659.9</v>
      </c>
    </row>
    <row r="94" spans="1:7" ht="16.5" hidden="1" customHeight="1" outlineLevel="1">
      <c r="A94" s="818">
        <v>39661</v>
      </c>
      <c r="B94" s="813">
        <v>2947</v>
      </c>
      <c r="C94" s="814">
        <f>ROUND((SUM(B82:B94)/13),0)</f>
        <v>2947</v>
      </c>
      <c r="D94" s="813">
        <f t="shared" si="5"/>
        <v>1918</v>
      </c>
      <c r="E94" s="814">
        <f t="shared" si="7"/>
        <v>1878.23</v>
      </c>
      <c r="F94" s="811">
        <f t="shared" si="6"/>
        <v>1918119.6000000075</v>
      </c>
      <c r="G94" s="814">
        <f t="shared" si="7"/>
        <v>1878297</v>
      </c>
    </row>
    <row r="95" spans="1:7" ht="16.5" hidden="1" customHeight="1" outlineLevel="1">
      <c r="A95" s="818">
        <v>39692</v>
      </c>
      <c r="B95" s="813">
        <v>2947</v>
      </c>
      <c r="C95" s="814">
        <f t="shared" si="4"/>
        <v>2947</v>
      </c>
      <c r="D95" s="813">
        <f t="shared" si="5"/>
        <v>1925</v>
      </c>
      <c r="E95" s="814">
        <f t="shared" si="7"/>
        <v>1884.92</v>
      </c>
      <c r="F95" s="811">
        <f t="shared" si="6"/>
        <v>1924756.7000000076</v>
      </c>
      <c r="G95" s="814">
        <f t="shared" si="7"/>
        <v>1884934.1</v>
      </c>
    </row>
    <row r="96" spans="1:7" ht="16.5" hidden="1" customHeight="1" outlineLevel="1">
      <c r="A96" s="818">
        <v>39722</v>
      </c>
      <c r="B96" s="813">
        <v>2947</v>
      </c>
      <c r="C96" s="814">
        <f t="shared" si="4"/>
        <v>2947</v>
      </c>
      <c r="D96" s="813">
        <f t="shared" si="5"/>
        <v>1931</v>
      </c>
      <c r="E96" s="814">
        <f t="shared" si="7"/>
        <v>1891.54</v>
      </c>
      <c r="F96" s="811">
        <f t="shared" si="6"/>
        <v>1931393.8000000077</v>
      </c>
      <c r="G96" s="814">
        <f t="shared" si="7"/>
        <v>1891571.2</v>
      </c>
    </row>
    <row r="97" spans="1:7" ht="16.5" hidden="1" customHeight="1" outlineLevel="1">
      <c r="A97" s="818">
        <v>39753</v>
      </c>
      <c r="B97" s="813">
        <v>2947</v>
      </c>
      <c r="C97" s="814">
        <f t="shared" si="4"/>
        <v>2947</v>
      </c>
      <c r="D97" s="813">
        <f t="shared" si="5"/>
        <v>1938</v>
      </c>
      <c r="E97" s="814">
        <f t="shared" si="7"/>
        <v>1898.15</v>
      </c>
      <c r="F97" s="811">
        <f t="shared" si="6"/>
        <v>1938030.9000000078</v>
      </c>
      <c r="G97" s="814">
        <f t="shared" si="7"/>
        <v>1898208.3</v>
      </c>
    </row>
    <row r="98" spans="1:7" ht="16.5" hidden="1" customHeight="1" outlineLevel="1">
      <c r="A98" s="818">
        <v>39783</v>
      </c>
      <c r="B98" s="813">
        <v>2947</v>
      </c>
      <c r="C98" s="814">
        <f t="shared" si="4"/>
        <v>2947</v>
      </c>
      <c r="D98" s="813">
        <f t="shared" si="5"/>
        <v>1945</v>
      </c>
      <c r="E98" s="814">
        <f t="shared" si="7"/>
        <v>1904.85</v>
      </c>
      <c r="F98" s="811">
        <f t="shared" si="6"/>
        <v>1944668.0000000079</v>
      </c>
      <c r="G98" s="814">
        <f t="shared" si="7"/>
        <v>1904845.4</v>
      </c>
    </row>
    <row r="99" spans="1:7" ht="16.5" hidden="1" customHeight="1" outlineLevel="1">
      <c r="A99" s="818">
        <v>39814</v>
      </c>
      <c r="B99" s="813">
        <v>2947</v>
      </c>
      <c r="C99" s="814">
        <f t="shared" si="4"/>
        <v>2947</v>
      </c>
      <c r="D99" s="813">
        <f t="shared" si="5"/>
        <v>1951</v>
      </c>
      <c r="E99" s="814">
        <f t="shared" si="7"/>
        <v>1911.46</v>
      </c>
      <c r="F99" s="811">
        <f t="shared" si="6"/>
        <v>1951305.100000008</v>
      </c>
      <c r="G99" s="814">
        <f t="shared" si="7"/>
        <v>1911482.5</v>
      </c>
    </row>
    <row r="100" spans="1:7" ht="16.5" hidden="1" customHeight="1" outlineLevel="1">
      <c r="A100" s="818">
        <v>39845</v>
      </c>
      <c r="B100" s="813">
        <v>2947</v>
      </c>
      <c r="C100" s="814">
        <f t="shared" si="4"/>
        <v>2947</v>
      </c>
      <c r="D100" s="813">
        <f t="shared" si="5"/>
        <v>1958</v>
      </c>
      <c r="E100" s="814">
        <f t="shared" si="7"/>
        <v>1918.08</v>
      </c>
      <c r="F100" s="811">
        <f t="shared" si="6"/>
        <v>1957942.2000000081</v>
      </c>
      <c r="G100" s="814">
        <f t="shared" si="7"/>
        <v>1918119.6</v>
      </c>
    </row>
    <row r="101" spans="1:7" ht="16.5" hidden="1" customHeight="1" outlineLevel="1">
      <c r="A101" s="818">
        <v>39873</v>
      </c>
      <c r="B101" s="813">
        <v>2947</v>
      </c>
      <c r="C101" s="814">
        <f t="shared" si="4"/>
        <v>2947</v>
      </c>
      <c r="D101" s="813">
        <f t="shared" si="5"/>
        <v>1965</v>
      </c>
      <c r="E101" s="814">
        <f t="shared" si="7"/>
        <v>1924.77</v>
      </c>
      <c r="F101" s="811">
        <f t="shared" si="6"/>
        <v>1964579.3000000082</v>
      </c>
      <c r="G101" s="814">
        <f t="shared" si="7"/>
        <v>1924756.7</v>
      </c>
    </row>
    <row r="102" spans="1:7" ht="16.5" hidden="1" customHeight="1" outlineLevel="1">
      <c r="A102" s="818">
        <v>39904</v>
      </c>
      <c r="B102" s="813">
        <v>2947</v>
      </c>
      <c r="C102" s="814">
        <f t="shared" si="4"/>
        <v>2947</v>
      </c>
      <c r="D102" s="813">
        <f t="shared" si="5"/>
        <v>1971</v>
      </c>
      <c r="E102" s="814">
        <f t="shared" si="7"/>
        <v>1931.38</v>
      </c>
      <c r="F102" s="811">
        <f t="shared" si="6"/>
        <v>1971216.4000000083</v>
      </c>
      <c r="G102" s="814">
        <f t="shared" si="7"/>
        <v>1931393.8</v>
      </c>
    </row>
    <row r="103" spans="1:7" ht="16.5" hidden="1" customHeight="1" outlineLevel="1">
      <c r="A103" s="818">
        <v>39934</v>
      </c>
      <c r="B103" s="813">
        <v>2947</v>
      </c>
      <c r="C103" s="814">
        <f t="shared" si="4"/>
        <v>2947</v>
      </c>
      <c r="D103" s="813">
        <f t="shared" si="5"/>
        <v>1978</v>
      </c>
      <c r="E103" s="814">
        <f t="shared" si="7"/>
        <v>1938</v>
      </c>
      <c r="F103" s="811">
        <f t="shared" si="6"/>
        <v>1977853.5000000084</v>
      </c>
      <c r="G103" s="814">
        <f t="shared" si="7"/>
        <v>1938030.9</v>
      </c>
    </row>
    <row r="104" spans="1:7" ht="16.5" hidden="1" customHeight="1" outlineLevel="1">
      <c r="A104" s="818">
        <v>39965</v>
      </c>
      <c r="B104" s="813">
        <v>2947</v>
      </c>
      <c r="C104" s="814">
        <f t="shared" si="4"/>
        <v>2947</v>
      </c>
      <c r="D104" s="813">
        <f t="shared" si="5"/>
        <v>1984</v>
      </c>
      <c r="E104" s="814">
        <f t="shared" ref="E104:E109" si="8">ROUND((SUM(D92:D104)/13),2)</f>
        <v>1944.62</v>
      </c>
      <c r="F104" s="811">
        <f t="shared" si="6"/>
        <v>1984490.6000000085</v>
      </c>
      <c r="G104" s="814">
        <f t="shared" ref="G104:G167" si="9">ROUND((SUM(F92:F104)/13),2)</f>
        <v>1944668</v>
      </c>
    </row>
    <row r="105" spans="1:7" ht="16.5" hidden="1" customHeight="1" outlineLevel="1">
      <c r="A105" s="818">
        <v>39995</v>
      </c>
      <c r="B105" s="813">
        <v>2947</v>
      </c>
      <c r="C105" s="814">
        <f t="shared" si="4"/>
        <v>2947</v>
      </c>
      <c r="D105" s="813">
        <f t="shared" si="5"/>
        <v>1991</v>
      </c>
      <c r="E105" s="814">
        <f t="shared" si="8"/>
        <v>1951.23</v>
      </c>
      <c r="F105" s="811">
        <f t="shared" si="6"/>
        <v>1991127.7000000086</v>
      </c>
      <c r="G105" s="814">
        <f t="shared" si="9"/>
        <v>1951305.1</v>
      </c>
    </row>
    <row r="106" spans="1:7" ht="16.5" hidden="1" customHeight="1" outlineLevel="1">
      <c r="A106" s="818">
        <v>40026</v>
      </c>
      <c r="B106" s="813">
        <v>2947</v>
      </c>
      <c r="C106" s="814">
        <f t="shared" si="4"/>
        <v>2947</v>
      </c>
      <c r="D106" s="813">
        <f t="shared" si="5"/>
        <v>1998</v>
      </c>
      <c r="E106" s="814">
        <f t="shared" si="8"/>
        <v>1957.92</v>
      </c>
      <c r="F106" s="811">
        <f t="shared" si="6"/>
        <v>1997764.8000000087</v>
      </c>
      <c r="G106" s="814">
        <f t="shared" si="9"/>
        <v>1957942.2</v>
      </c>
    </row>
    <row r="107" spans="1:7" ht="16.5" hidden="1" customHeight="1" outlineLevel="1">
      <c r="A107" s="818">
        <v>40057</v>
      </c>
      <c r="B107" s="813">
        <v>2947</v>
      </c>
      <c r="C107" s="814">
        <f t="shared" si="4"/>
        <v>2947</v>
      </c>
      <c r="D107" s="813">
        <f t="shared" si="5"/>
        <v>2004</v>
      </c>
      <c r="E107" s="814">
        <f t="shared" si="8"/>
        <v>1964.54</v>
      </c>
      <c r="F107" s="811">
        <f t="shared" si="6"/>
        <v>2004401.9000000088</v>
      </c>
      <c r="G107" s="814">
        <f t="shared" si="9"/>
        <v>1964579.3</v>
      </c>
    </row>
    <row r="108" spans="1:7" ht="16.5" hidden="1" customHeight="1" outlineLevel="1">
      <c r="A108" s="818">
        <v>40087</v>
      </c>
      <c r="B108" s="813">
        <v>2947</v>
      </c>
      <c r="C108" s="814">
        <f t="shared" si="4"/>
        <v>2947</v>
      </c>
      <c r="D108" s="813">
        <f t="shared" si="5"/>
        <v>2011</v>
      </c>
      <c r="E108" s="814">
        <f t="shared" si="8"/>
        <v>1971.15</v>
      </c>
      <c r="F108" s="811">
        <f t="shared" si="6"/>
        <v>2011039.0000000088</v>
      </c>
      <c r="G108" s="814">
        <f t="shared" si="9"/>
        <v>1971216.4</v>
      </c>
    </row>
    <row r="109" spans="1:7" ht="16.5" hidden="1" customHeight="1" outlineLevel="1">
      <c r="A109" s="818">
        <v>40118</v>
      </c>
      <c r="B109" s="813">
        <v>2947</v>
      </c>
      <c r="C109" s="814">
        <f t="shared" si="4"/>
        <v>2947</v>
      </c>
      <c r="D109" s="813">
        <f t="shared" si="5"/>
        <v>2018</v>
      </c>
      <c r="E109" s="814">
        <f t="shared" si="8"/>
        <v>1977.85</v>
      </c>
      <c r="F109" s="811">
        <f t="shared" si="6"/>
        <v>2017676.1000000089</v>
      </c>
      <c r="G109" s="814">
        <f t="shared" si="9"/>
        <v>1977853.5</v>
      </c>
    </row>
    <row r="110" spans="1:7" ht="16.5" hidden="1" customHeight="1" outlineLevel="1">
      <c r="A110" s="818">
        <v>40148</v>
      </c>
      <c r="B110" s="813">
        <v>2947</v>
      </c>
      <c r="C110" s="814">
        <f>ROUND((SUM(B98:B110)/13),0)</f>
        <v>2947</v>
      </c>
      <c r="D110" s="813">
        <f>ROUND(F110/1000,0)</f>
        <v>2024</v>
      </c>
      <c r="E110" s="814">
        <f>ROUND((SUM(D98:D110)/13),2)</f>
        <v>1984.46</v>
      </c>
      <c r="F110" s="811">
        <f>F109+6637.1</f>
        <v>2024313.200000009</v>
      </c>
      <c r="G110" s="814">
        <f t="shared" si="9"/>
        <v>1984490.6</v>
      </c>
    </row>
    <row r="111" spans="1:7" ht="16.5" hidden="1" customHeight="1" outlineLevel="1">
      <c r="A111" s="818">
        <v>40179</v>
      </c>
      <c r="B111" s="813">
        <v>2947</v>
      </c>
      <c r="C111" s="814">
        <f t="shared" ref="C111:C134" si="10">ROUND((SUM(B99:B111)/13),0)</f>
        <v>2947</v>
      </c>
      <c r="D111" s="813">
        <f t="shared" ref="D111:D174" si="11">ROUND(F111/1000,0)</f>
        <v>2031</v>
      </c>
      <c r="E111" s="814">
        <f t="shared" ref="E111:E134" si="12">ROUND((SUM(D99:D111)/13),2)</f>
        <v>1991.08</v>
      </c>
      <c r="F111" s="811">
        <f t="shared" ref="F111:F174" si="13">F110+6637.1</f>
        <v>2030950.3000000091</v>
      </c>
      <c r="G111" s="814">
        <f t="shared" si="9"/>
        <v>1991127.7</v>
      </c>
    </row>
    <row r="112" spans="1:7" ht="16.5" hidden="1" customHeight="1" outlineLevel="1">
      <c r="A112" s="818">
        <v>40210</v>
      </c>
      <c r="B112" s="813">
        <v>2947</v>
      </c>
      <c r="C112" s="814">
        <f t="shared" si="10"/>
        <v>2947</v>
      </c>
      <c r="D112" s="813">
        <f t="shared" si="11"/>
        <v>2038</v>
      </c>
      <c r="E112" s="814">
        <f t="shared" si="12"/>
        <v>1997.77</v>
      </c>
      <c r="F112" s="811">
        <f t="shared" si="13"/>
        <v>2037587.4000000092</v>
      </c>
      <c r="G112" s="814">
        <f t="shared" si="9"/>
        <v>1997764.8</v>
      </c>
    </row>
    <row r="113" spans="1:7" ht="16.5" hidden="1" customHeight="1" outlineLevel="1">
      <c r="A113" s="818">
        <v>40238</v>
      </c>
      <c r="B113" s="813">
        <v>2947</v>
      </c>
      <c r="C113" s="814">
        <f t="shared" si="10"/>
        <v>2947</v>
      </c>
      <c r="D113" s="813">
        <f t="shared" si="11"/>
        <v>2044</v>
      </c>
      <c r="E113" s="814">
        <f t="shared" si="12"/>
        <v>2004.38</v>
      </c>
      <c r="F113" s="811">
        <f t="shared" si="13"/>
        <v>2044224.5000000093</v>
      </c>
      <c r="G113" s="814">
        <f t="shared" si="9"/>
        <v>2004401.9</v>
      </c>
    </row>
    <row r="114" spans="1:7" ht="16.5" hidden="1" customHeight="1" outlineLevel="1">
      <c r="A114" s="818">
        <v>40269</v>
      </c>
      <c r="B114" s="813">
        <v>2947</v>
      </c>
      <c r="C114" s="814">
        <f t="shared" si="10"/>
        <v>2947</v>
      </c>
      <c r="D114" s="813">
        <f t="shared" si="11"/>
        <v>2051</v>
      </c>
      <c r="E114" s="814">
        <f t="shared" si="12"/>
        <v>2011</v>
      </c>
      <c r="F114" s="811">
        <f t="shared" si="13"/>
        <v>2050861.6000000094</v>
      </c>
      <c r="G114" s="814">
        <f t="shared" si="9"/>
        <v>2011039</v>
      </c>
    </row>
    <row r="115" spans="1:7" ht="16.5" hidden="1" customHeight="1" outlineLevel="1">
      <c r="A115" s="818">
        <v>40299</v>
      </c>
      <c r="B115" s="813">
        <v>2947</v>
      </c>
      <c r="C115" s="814">
        <f t="shared" si="10"/>
        <v>2947</v>
      </c>
      <c r="D115" s="813">
        <f t="shared" si="11"/>
        <v>2057</v>
      </c>
      <c r="E115" s="814">
        <f t="shared" si="12"/>
        <v>2017.62</v>
      </c>
      <c r="F115" s="811">
        <f t="shared" si="13"/>
        <v>2057498.7000000095</v>
      </c>
      <c r="G115" s="814">
        <f t="shared" si="9"/>
        <v>2017676.1</v>
      </c>
    </row>
    <row r="116" spans="1:7" ht="16.5" hidden="1" customHeight="1" outlineLevel="1">
      <c r="A116" s="818">
        <v>40330</v>
      </c>
      <c r="B116" s="813">
        <v>2947</v>
      </c>
      <c r="C116" s="814">
        <f t="shared" si="10"/>
        <v>2947</v>
      </c>
      <c r="D116" s="813">
        <f t="shared" si="11"/>
        <v>2064</v>
      </c>
      <c r="E116" s="814">
        <f t="shared" si="12"/>
        <v>2024.23</v>
      </c>
      <c r="F116" s="811">
        <f t="shared" si="13"/>
        <v>2064135.8000000096</v>
      </c>
      <c r="G116" s="814">
        <f t="shared" si="9"/>
        <v>2024313.2</v>
      </c>
    </row>
    <row r="117" spans="1:7" ht="16.5" hidden="1" customHeight="1" outlineLevel="1">
      <c r="A117" s="818">
        <v>40360</v>
      </c>
      <c r="B117" s="813">
        <v>2947</v>
      </c>
      <c r="C117" s="814">
        <f t="shared" si="10"/>
        <v>2947</v>
      </c>
      <c r="D117" s="813">
        <f t="shared" si="11"/>
        <v>2071</v>
      </c>
      <c r="E117" s="814">
        <f t="shared" si="12"/>
        <v>2030.92</v>
      </c>
      <c r="F117" s="811">
        <f t="shared" si="13"/>
        <v>2070772.9000000097</v>
      </c>
      <c r="G117" s="814">
        <f t="shared" si="9"/>
        <v>2030950.3</v>
      </c>
    </row>
    <row r="118" spans="1:7" ht="16.5" hidden="1" customHeight="1" outlineLevel="1">
      <c r="A118" s="818">
        <v>40391</v>
      </c>
      <c r="B118" s="813">
        <v>2947</v>
      </c>
      <c r="C118" s="814">
        <f t="shared" si="10"/>
        <v>2947</v>
      </c>
      <c r="D118" s="813">
        <f t="shared" si="11"/>
        <v>2077</v>
      </c>
      <c r="E118" s="814">
        <f t="shared" si="12"/>
        <v>2037.54</v>
      </c>
      <c r="F118" s="811">
        <f t="shared" si="13"/>
        <v>2077410.0000000098</v>
      </c>
      <c r="G118" s="814">
        <f t="shared" si="9"/>
        <v>2037587.4</v>
      </c>
    </row>
    <row r="119" spans="1:7" ht="16.5" hidden="1" customHeight="1" outlineLevel="1">
      <c r="A119" s="818">
        <v>40422</v>
      </c>
      <c r="B119" s="813">
        <v>2947</v>
      </c>
      <c r="C119" s="814">
        <f t="shared" si="10"/>
        <v>2947</v>
      </c>
      <c r="D119" s="813">
        <f t="shared" si="11"/>
        <v>2084</v>
      </c>
      <c r="E119" s="814">
        <f t="shared" si="12"/>
        <v>2044.15</v>
      </c>
      <c r="F119" s="811">
        <f t="shared" si="13"/>
        <v>2084047.1000000099</v>
      </c>
      <c r="G119" s="814">
        <f t="shared" si="9"/>
        <v>2044224.5</v>
      </c>
    </row>
    <row r="120" spans="1:7" ht="16.5" hidden="1" customHeight="1" outlineLevel="1">
      <c r="A120" s="818">
        <v>40452</v>
      </c>
      <c r="B120" s="813">
        <v>2947</v>
      </c>
      <c r="C120" s="814">
        <f t="shared" si="10"/>
        <v>2947</v>
      </c>
      <c r="D120" s="813">
        <f t="shared" si="11"/>
        <v>2091</v>
      </c>
      <c r="E120" s="814">
        <f t="shared" si="12"/>
        <v>2050.85</v>
      </c>
      <c r="F120" s="811">
        <f t="shared" si="13"/>
        <v>2090684.20000001</v>
      </c>
      <c r="G120" s="814">
        <f t="shared" si="9"/>
        <v>2050861.6</v>
      </c>
    </row>
    <row r="121" spans="1:7" ht="16.5" hidden="1" customHeight="1" outlineLevel="1">
      <c r="A121" s="818">
        <v>40483</v>
      </c>
      <c r="B121" s="813">
        <v>2947</v>
      </c>
      <c r="C121" s="814">
        <f t="shared" si="10"/>
        <v>2947</v>
      </c>
      <c r="D121" s="813">
        <f t="shared" si="11"/>
        <v>2097</v>
      </c>
      <c r="E121" s="814">
        <f t="shared" si="12"/>
        <v>2057.46</v>
      </c>
      <c r="F121" s="811">
        <f t="shared" si="13"/>
        <v>2097321.3000000101</v>
      </c>
      <c r="G121" s="814">
        <f t="shared" si="9"/>
        <v>2057498.7</v>
      </c>
    </row>
    <row r="122" spans="1:7" ht="16.5" hidden="1" customHeight="1" outlineLevel="1">
      <c r="A122" s="818">
        <v>40513</v>
      </c>
      <c r="B122" s="813">
        <v>2947</v>
      </c>
      <c r="C122" s="814">
        <f t="shared" si="10"/>
        <v>2947</v>
      </c>
      <c r="D122" s="813">
        <f t="shared" si="11"/>
        <v>2104</v>
      </c>
      <c r="E122" s="814">
        <f t="shared" si="12"/>
        <v>2064.08</v>
      </c>
      <c r="F122" s="811">
        <f t="shared" si="13"/>
        <v>2103958.4000000102</v>
      </c>
      <c r="G122" s="814">
        <f t="shared" si="9"/>
        <v>2064135.8</v>
      </c>
    </row>
    <row r="123" spans="1:7" ht="16.5" hidden="1" customHeight="1" outlineLevel="1">
      <c r="A123" s="818">
        <v>40544</v>
      </c>
      <c r="B123" s="813">
        <v>2947</v>
      </c>
      <c r="C123" s="814">
        <f t="shared" si="10"/>
        <v>2947</v>
      </c>
      <c r="D123" s="813">
        <f t="shared" si="11"/>
        <v>2111</v>
      </c>
      <c r="E123" s="814">
        <f t="shared" si="12"/>
        <v>2070.77</v>
      </c>
      <c r="F123" s="811">
        <f>F122+6637.1</f>
        <v>2110595.5000000102</v>
      </c>
      <c r="G123" s="814">
        <f t="shared" si="9"/>
        <v>2070772.9</v>
      </c>
    </row>
    <row r="124" spans="1:7" ht="16.5" hidden="1" customHeight="1" outlineLevel="1">
      <c r="A124" s="818">
        <v>40575</v>
      </c>
      <c r="B124" s="813">
        <v>2947</v>
      </c>
      <c r="C124" s="814">
        <f t="shared" si="10"/>
        <v>2947</v>
      </c>
      <c r="D124" s="813">
        <f t="shared" si="11"/>
        <v>2117</v>
      </c>
      <c r="E124" s="814">
        <f t="shared" si="12"/>
        <v>2077.38</v>
      </c>
      <c r="F124" s="811">
        <f t="shared" si="13"/>
        <v>2117232.6000000103</v>
      </c>
      <c r="G124" s="814">
        <f t="shared" si="9"/>
        <v>2077410</v>
      </c>
    </row>
    <row r="125" spans="1:7" ht="16.5" hidden="1" customHeight="1" outlineLevel="1">
      <c r="A125" s="818">
        <v>40603</v>
      </c>
      <c r="B125" s="813">
        <v>2947</v>
      </c>
      <c r="C125" s="814">
        <f t="shared" si="10"/>
        <v>2947</v>
      </c>
      <c r="D125" s="813">
        <f t="shared" si="11"/>
        <v>2124</v>
      </c>
      <c r="E125" s="814">
        <f t="shared" si="12"/>
        <v>2084</v>
      </c>
      <c r="F125" s="811">
        <f t="shared" si="13"/>
        <v>2123869.7000000104</v>
      </c>
      <c r="G125" s="814">
        <f t="shared" si="9"/>
        <v>2084047.1</v>
      </c>
    </row>
    <row r="126" spans="1:7" ht="16.5" hidden="1" customHeight="1" outlineLevel="1">
      <c r="A126" s="818">
        <v>40634</v>
      </c>
      <c r="B126" s="813">
        <v>2947</v>
      </c>
      <c r="C126" s="814">
        <f t="shared" si="10"/>
        <v>2947</v>
      </c>
      <c r="D126" s="813">
        <f t="shared" si="11"/>
        <v>2131</v>
      </c>
      <c r="E126" s="814">
        <f t="shared" si="12"/>
        <v>2090.69</v>
      </c>
      <c r="F126" s="811">
        <f t="shared" si="13"/>
        <v>2130506.8000000105</v>
      </c>
      <c r="G126" s="814">
        <f t="shared" si="9"/>
        <v>2090684.2</v>
      </c>
    </row>
    <row r="127" spans="1:7" ht="16.5" hidden="1" customHeight="1" outlineLevel="1">
      <c r="A127" s="818">
        <v>40664</v>
      </c>
      <c r="B127" s="813">
        <v>2947</v>
      </c>
      <c r="C127" s="814">
        <f t="shared" si="10"/>
        <v>2947</v>
      </c>
      <c r="D127" s="813">
        <f t="shared" si="11"/>
        <v>2137</v>
      </c>
      <c r="E127" s="814">
        <f t="shared" si="12"/>
        <v>2097.31</v>
      </c>
      <c r="F127" s="811">
        <f t="shared" si="13"/>
        <v>2137143.9000000106</v>
      </c>
      <c r="G127" s="814">
        <f t="shared" si="9"/>
        <v>2097321.2999999998</v>
      </c>
    </row>
    <row r="128" spans="1:7" ht="16.5" hidden="1" customHeight="1" outlineLevel="1">
      <c r="A128" s="818">
        <v>40695</v>
      </c>
      <c r="B128" s="813">
        <v>2947</v>
      </c>
      <c r="C128" s="814">
        <f t="shared" si="10"/>
        <v>2947</v>
      </c>
      <c r="D128" s="813">
        <f t="shared" si="11"/>
        <v>2144</v>
      </c>
      <c r="E128" s="814">
        <f t="shared" si="12"/>
        <v>2104</v>
      </c>
      <c r="F128" s="811">
        <f t="shared" si="13"/>
        <v>2143781.0000000107</v>
      </c>
      <c r="G128" s="814">
        <f t="shared" si="9"/>
        <v>2103958.4</v>
      </c>
    </row>
    <row r="129" spans="1:7" ht="16.5" hidden="1" customHeight="1" outlineLevel="1">
      <c r="A129" s="818">
        <v>40725</v>
      </c>
      <c r="B129" s="813">
        <v>2947</v>
      </c>
      <c r="C129" s="814">
        <f t="shared" si="10"/>
        <v>2947</v>
      </c>
      <c r="D129" s="813">
        <f t="shared" si="11"/>
        <v>2150</v>
      </c>
      <c r="E129" s="814">
        <f t="shared" si="12"/>
        <v>2110.62</v>
      </c>
      <c r="F129" s="811">
        <f t="shared" si="13"/>
        <v>2150418.1000000108</v>
      </c>
      <c r="G129" s="814">
        <f t="shared" si="9"/>
        <v>2110595.5</v>
      </c>
    </row>
    <row r="130" spans="1:7" ht="16.5" hidden="1" customHeight="1" outlineLevel="1">
      <c r="A130" s="818">
        <v>40756</v>
      </c>
      <c r="B130" s="813">
        <v>2947</v>
      </c>
      <c r="C130" s="814">
        <f t="shared" si="10"/>
        <v>2947</v>
      </c>
      <c r="D130" s="813">
        <f t="shared" si="11"/>
        <v>2157</v>
      </c>
      <c r="E130" s="814">
        <f t="shared" si="12"/>
        <v>2117.23</v>
      </c>
      <c r="F130" s="811">
        <f t="shared" si="13"/>
        <v>2157055.2000000109</v>
      </c>
      <c r="G130" s="814">
        <f t="shared" si="9"/>
        <v>2117232.6</v>
      </c>
    </row>
    <row r="131" spans="1:7" ht="16.5" hidden="1" customHeight="1" outlineLevel="1">
      <c r="A131" s="818">
        <v>40787</v>
      </c>
      <c r="B131" s="813">
        <v>2947</v>
      </c>
      <c r="C131" s="814">
        <f t="shared" si="10"/>
        <v>2947</v>
      </c>
      <c r="D131" s="813">
        <f t="shared" si="11"/>
        <v>2164</v>
      </c>
      <c r="E131" s="814">
        <f t="shared" si="12"/>
        <v>2123.92</v>
      </c>
      <c r="F131" s="811">
        <f t="shared" si="13"/>
        <v>2163692.300000011</v>
      </c>
      <c r="G131" s="814">
        <f t="shared" si="9"/>
        <v>2123869.7000000002</v>
      </c>
    </row>
    <row r="132" spans="1:7" ht="16.5" hidden="1" customHeight="1" outlineLevel="1">
      <c r="A132" s="818">
        <v>40817</v>
      </c>
      <c r="B132" s="813">
        <v>2947</v>
      </c>
      <c r="C132" s="814">
        <f t="shared" si="10"/>
        <v>2947</v>
      </c>
      <c r="D132" s="813">
        <f t="shared" si="11"/>
        <v>2170</v>
      </c>
      <c r="E132" s="814">
        <f t="shared" si="12"/>
        <v>2130.54</v>
      </c>
      <c r="F132" s="811">
        <f t="shared" si="13"/>
        <v>2170329.4000000111</v>
      </c>
      <c r="G132" s="814">
        <f t="shared" si="9"/>
        <v>2130506.7999999998</v>
      </c>
    </row>
    <row r="133" spans="1:7" ht="16.5" hidden="1" customHeight="1" outlineLevel="1">
      <c r="A133" s="818">
        <v>40848</v>
      </c>
      <c r="B133" s="813">
        <v>2947</v>
      </c>
      <c r="C133" s="814">
        <f t="shared" si="10"/>
        <v>2947</v>
      </c>
      <c r="D133" s="813">
        <f t="shared" si="11"/>
        <v>2177</v>
      </c>
      <c r="E133" s="814">
        <f t="shared" si="12"/>
        <v>2137.15</v>
      </c>
      <c r="F133" s="811">
        <f t="shared" si="13"/>
        <v>2176966.5000000112</v>
      </c>
      <c r="G133" s="814">
        <f t="shared" si="9"/>
        <v>2137143.9</v>
      </c>
    </row>
    <row r="134" spans="1:7" ht="16.5" hidden="1" customHeight="1" outlineLevel="1">
      <c r="A134" s="818">
        <v>40878</v>
      </c>
      <c r="B134" s="813">
        <v>2947</v>
      </c>
      <c r="C134" s="814">
        <f t="shared" si="10"/>
        <v>2947</v>
      </c>
      <c r="D134" s="813">
        <f t="shared" si="11"/>
        <v>2184</v>
      </c>
      <c r="E134" s="814">
        <f t="shared" si="12"/>
        <v>2143.85</v>
      </c>
      <c r="F134" s="811">
        <f t="shared" si="13"/>
        <v>2183603.6000000113</v>
      </c>
      <c r="G134" s="814">
        <f t="shared" si="9"/>
        <v>2143781</v>
      </c>
    </row>
    <row r="135" spans="1:7" ht="16.5" hidden="1" customHeight="1" outlineLevel="1">
      <c r="A135" s="818">
        <v>40939</v>
      </c>
      <c r="B135" s="813">
        <v>2947</v>
      </c>
      <c r="C135" s="814">
        <f t="shared" ref="C135:C198" si="14">ROUND((SUM(B123:B135)/13),0)</f>
        <v>2947</v>
      </c>
      <c r="D135" s="813">
        <f t="shared" si="11"/>
        <v>2190</v>
      </c>
      <c r="E135" s="814">
        <f t="shared" ref="E135:E198" si="15">ROUND((SUM(D123:D135)/13),2)</f>
        <v>2150.46</v>
      </c>
      <c r="F135" s="811">
        <f t="shared" si="13"/>
        <v>2190240.7000000114</v>
      </c>
      <c r="G135" s="814">
        <f t="shared" si="9"/>
        <v>2150418.1</v>
      </c>
    </row>
    <row r="136" spans="1:7" ht="16.5" hidden="1" customHeight="1" outlineLevel="1">
      <c r="A136" s="818">
        <v>40968</v>
      </c>
      <c r="B136" s="813">
        <v>2947</v>
      </c>
      <c r="C136" s="814">
        <f t="shared" si="14"/>
        <v>2947</v>
      </c>
      <c r="D136" s="813">
        <f t="shared" si="11"/>
        <v>2197</v>
      </c>
      <c r="E136" s="814">
        <f t="shared" si="15"/>
        <v>2157.08</v>
      </c>
      <c r="F136" s="811">
        <f t="shared" si="13"/>
        <v>2196877.8000000115</v>
      </c>
      <c r="G136" s="814">
        <f t="shared" si="9"/>
        <v>2157055.2000000002</v>
      </c>
    </row>
    <row r="137" spans="1:7" ht="16.5" hidden="1" customHeight="1" outlineLevel="1">
      <c r="A137" s="818">
        <v>40999</v>
      </c>
      <c r="B137" s="813">
        <v>2947</v>
      </c>
      <c r="C137" s="814">
        <f t="shared" si="14"/>
        <v>2947</v>
      </c>
      <c r="D137" s="813">
        <f t="shared" si="11"/>
        <v>2204</v>
      </c>
      <c r="E137" s="814">
        <f t="shared" si="15"/>
        <v>2163.77</v>
      </c>
      <c r="F137" s="811">
        <f t="shared" si="13"/>
        <v>2203514.9000000115</v>
      </c>
      <c r="G137" s="814">
        <f t="shared" si="9"/>
        <v>2163692.2999999998</v>
      </c>
    </row>
    <row r="138" spans="1:7" ht="16.5" hidden="1" customHeight="1" outlineLevel="1">
      <c r="A138" s="818">
        <v>41029</v>
      </c>
      <c r="B138" s="813">
        <v>2947</v>
      </c>
      <c r="C138" s="814">
        <f t="shared" si="14"/>
        <v>2947</v>
      </c>
      <c r="D138" s="813">
        <f t="shared" si="11"/>
        <v>2210</v>
      </c>
      <c r="E138" s="814">
        <f t="shared" si="15"/>
        <v>2170.38</v>
      </c>
      <c r="F138" s="811">
        <f t="shared" si="13"/>
        <v>2210152.0000000116</v>
      </c>
      <c r="G138" s="814">
        <f t="shared" si="9"/>
        <v>2170329.4</v>
      </c>
    </row>
    <row r="139" spans="1:7" ht="16.5" hidden="1" customHeight="1" outlineLevel="1">
      <c r="A139" s="818">
        <v>41060</v>
      </c>
      <c r="B139" s="813">
        <v>2947</v>
      </c>
      <c r="C139" s="814">
        <f t="shared" si="14"/>
        <v>2947</v>
      </c>
      <c r="D139" s="813">
        <f t="shared" si="11"/>
        <v>2217</v>
      </c>
      <c r="E139" s="814">
        <f t="shared" si="15"/>
        <v>2177</v>
      </c>
      <c r="F139" s="811">
        <f t="shared" si="13"/>
        <v>2216789.1000000117</v>
      </c>
      <c r="G139" s="814">
        <f t="shared" si="9"/>
        <v>2176966.5</v>
      </c>
    </row>
    <row r="140" spans="1:7" ht="16.5" hidden="1" customHeight="1" outlineLevel="1">
      <c r="A140" s="818">
        <v>41090</v>
      </c>
      <c r="B140" s="813">
        <v>2947</v>
      </c>
      <c r="C140" s="814">
        <f t="shared" si="14"/>
        <v>2947</v>
      </c>
      <c r="D140" s="813">
        <f t="shared" si="11"/>
        <v>2223</v>
      </c>
      <c r="E140" s="814">
        <f t="shared" si="15"/>
        <v>2183.62</v>
      </c>
      <c r="F140" s="811">
        <f t="shared" si="13"/>
        <v>2223426.2000000118</v>
      </c>
      <c r="G140" s="814">
        <f t="shared" si="9"/>
        <v>2183603.6</v>
      </c>
    </row>
    <row r="141" spans="1:7" ht="16.5" hidden="1" customHeight="1" outlineLevel="1">
      <c r="A141" s="818">
        <v>41121</v>
      </c>
      <c r="B141" s="813">
        <v>2947</v>
      </c>
      <c r="C141" s="814">
        <f t="shared" si="14"/>
        <v>2947</v>
      </c>
      <c r="D141" s="813">
        <f t="shared" si="11"/>
        <v>2230</v>
      </c>
      <c r="E141" s="814">
        <f t="shared" si="15"/>
        <v>2190.23</v>
      </c>
      <c r="F141" s="811">
        <f t="shared" si="13"/>
        <v>2230063.3000000119</v>
      </c>
      <c r="G141" s="814">
        <f t="shared" si="9"/>
        <v>2190240.7000000002</v>
      </c>
    </row>
    <row r="142" spans="1:7" ht="16.5" hidden="1" customHeight="1" outlineLevel="1">
      <c r="A142" s="818">
        <v>41152</v>
      </c>
      <c r="B142" s="813">
        <v>2947</v>
      </c>
      <c r="C142" s="814">
        <f t="shared" si="14"/>
        <v>2947</v>
      </c>
      <c r="D142" s="813">
        <f t="shared" si="11"/>
        <v>2237</v>
      </c>
      <c r="E142" s="814">
        <f t="shared" si="15"/>
        <v>2196.92</v>
      </c>
      <c r="F142" s="811">
        <f t="shared" si="13"/>
        <v>2236700.400000012</v>
      </c>
      <c r="G142" s="814">
        <f t="shared" si="9"/>
        <v>2196877.7999999998</v>
      </c>
    </row>
    <row r="143" spans="1:7" ht="16.5" hidden="1" customHeight="1" outlineLevel="1">
      <c r="A143" s="818">
        <v>41182</v>
      </c>
      <c r="B143" s="813">
        <v>2947</v>
      </c>
      <c r="C143" s="814">
        <f t="shared" si="14"/>
        <v>2947</v>
      </c>
      <c r="D143" s="813">
        <f t="shared" si="11"/>
        <v>2243</v>
      </c>
      <c r="E143" s="814">
        <f t="shared" si="15"/>
        <v>2203.54</v>
      </c>
      <c r="F143" s="811">
        <f t="shared" si="13"/>
        <v>2243337.5000000121</v>
      </c>
      <c r="G143" s="814">
        <f t="shared" si="9"/>
        <v>2203514.9</v>
      </c>
    </row>
    <row r="144" spans="1:7" ht="16.5" hidden="1" customHeight="1" outlineLevel="1">
      <c r="A144" s="818">
        <v>41213</v>
      </c>
      <c r="B144" s="813">
        <v>2947</v>
      </c>
      <c r="C144" s="814">
        <f t="shared" si="14"/>
        <v>2947</v>
      </c>
      <c r="D144" s="813">
        <f t="shared" si="11"/>
        <v>2250</v>
      </c>
      <c r="E144" s="814">
        <f t="shared" si="15"/>
        <v>2210.15</v>
      </c>
      <c r="F144" s="811">
        <f t="shared" si="13"/>
        <v>2249974.6000000122</v>
      </c>
      <c r="G144" s="814">
        <f t="shared" si="9"/>
        <v>2210152</v>
      </c>
    </row>
    <row r="145" spans="1:7" ht="16.5" hidden="1" customHeight="1" outlineLevel="1">
      <c r="A145" s="818">
        <v>41243</v>
      </c>
      <c r="B145" s="813">
        <v>2947</v>
      </c>
      <c r="C145" s="814">
        <f t="shared" si="14"/>
        <v>2947</v>
      </c>
      <c r="D145" s="813">
        <f t="shared" si="11"/>
        <v>2257</v>
      </c>
      <c r="E145" s="814">
        <f t="shared" si="15"/>
        <v>2216.85</v>
      </c>
      <c r="F145" s="811">
        <f t="shared" si="13"/>
        <v>2256611.7000000123</v>
      </c>
      <c r="G145" s="814">
        <f t="shared" si="9"/>
        <v>2216789.1</v>
      </c>
    </row>
    <row r="146" spans="1:7" ht="16.5" hidden="1" customHeight="1" outlineLevel="1">
      <c r="A146" s="818">
        <v>41274</v>
      </c>
      <c r="B146" s="813">
        <v>2947</v>
      </c>
      <c r="C146" s="814">
        <f t="shared" si="14"/>
        <v>2947</v>
      </c>
      <c r="D146" s="813">
        <f t="shared" si="11"/>
        <v>2263</v>
      </c>
      <c r="E146" s="814">
        <f t="shared" si="15"/>
        <v>2223.46</v>
      </c>
      <c r="F146" s="811">
        <f t="shared" si="13"/>
        <v>2263248.8000000124</v>
      </c>
      <c r="G146" s="814">
        <f t="shared" si="9"/>
        <v>2223426.2000000002</v>
      </c>
    </row>
    <row r="147" spans="1:7" ht="16.5" hidden="1" customHeight="1" outlineLevel="1">
      <c r="A147" s="818">
        <v>41305</v>
      </c>
      <c r="B147" s="813">
        <v>2947</v>
      </c>
      <c r="C147" s="814">
        <f t="shared" si="14"/>
        <v>2947</v>
      </c>
      <c r="D147" s="813">
        <f t="shared" si="11"/>
        <v>2270</v>
      </c>
      <c r="E147" s="814">
        <f t="shared" si="15"/>
        <v>2230.08</v>
      </c>
      <c r="F147" s="811">
        <f>F146+6637.1</f>
        <v>2269885.9000000125</v>
      </c>
      <c r="G147" s="814">
        <f t="shared" si="9"/>
        <v>2230063.2999999998</v>
      </c>
    </row>
    <row r="148" spans="1:7" ht="16.5" hidden="1" customHeight="1" outlineLevel="1">
      <c r="A148" s="818">
        <v>41333</v>
      </c>
      <c r="B148" s="813">
        <v>2947</v>
      </c>
      <c r="C148" s="814">
        <f t="shared" si="14"/>
        <v>2947</v>
      </c>
      <c r="D148" s="813">
        <f t="shared" si="11"/>
        <v>2277</v>
      </c>
      <c r="E148" s="814">
        <f t="shared" si="15"/>
        <v>2236.77</v>
      </c>
      <c r="F148" s="811">
        <f t="shared" si="13"/>
        <v>2276523.0000000126</v>
      </c>
      <c r="G148" s="814">
        <f t="shared" si="9"/>
        <v>2236700.4</v>
      </c>
    </row>
    <row r="149" spans="1:7" ht="16.5" hidden="1" customHeight="1" outlineLevel="1">
      <c r="A149" s="818">
        <v>41364</v>
      </c>
      <c r="B149" s="813">
        <v>2947</v>
      </c>
      <c r="C149" s="814">
        <f t="shared" si="14"/>
        <v>2947</v>
      </c>
      <c r="D149" s="813">
        <f t="shared" si="11"/>
        <v>2283</v>
      </c>
      <c r="E149" s="814">
        <f t="shared" si="15"/>
        <v>2243.38</v>
      </c>
      <c r="F149" s="811">
        <f t="shared" si="13"/>
        <v>2283160.1000000127</v>
      </c>
      <c r="G149" s="814">
        <f t="shared" si="9"/>
        <v>2243337.5</v>
      </c>
    </row>
    <row r="150" spans="1:7" ht="16.5" hidden="1" customHeight="1" outlineLevel="1">
      <c r="A150" s="818">
        <v>41394</v>
      </c>
      <c r="B150" s="813">
        <v>2947</v>
      </c>
      <c r="C150" s="814">
        <f t="shared" si="14"/>
        <v>2947</v>
      </c>
      <c r="D150" s="813">
        <f t="shared" si="11"/>
        <v>2290</v>
      </c>
      <c r="E150" s="814">
        <f t="shared" si="15"/>
        <v>2250</v>
      </c>
      <c r="F150" s="811">
        <f t="shared" si="13"/>
        <v>2289797.2000000128</v>
      </c>
      <c r="G150" s="814">
        <f t="shared" si="9"/>
        <v>2249974.6</v>
      </c>
    </row>
    <row r="151" spans="1:7" ht="16.5" hidden="1" customHeight="1" outlineLevel="1">
      <c r="A151" s="818">
        <v>41425</v>
      </c>
      <c r="B151" s="813">
        <v>2947</v>
      </c>
      <c r="C151" s="814">
        <f t="shared" si="14"/>
        <v>2947</v>
      </c>
      <c r="D151" s="813">
        <f t="shared" si="11"/>
        <v>2296</v>
      </c>
      <c r="E151" s="814">
        <f t="shared" si="15"/>
        <v>2256.62</v>
      </c>
      <c r="F151" s="811">
        <f t="shared" si="13"/>
        <v>2296434.3000000129</v>
      </c>
      <c r="G151" s="814">
        <f t="shared" si="9"/>
        <v>2256611.7000000002</v>
      </c>
    </row>
    <row r="152" spans="1:7" ht="16.5" hidden="1" customHeight="1" outlineLevel="1">
      <c r="A152" s="818">
        <v>41455</v>
      </c>
      <c r="B152" s="813">
        <v>2947</v>
      </c>
      <c r="C152" s="814">
        <f t="shared" si="14"/>
        <v>2947</v>
      </c>
      <c r="D152" s="813">
        <f t="shared" si="11"/>
        <v>2303</v>
      </c>
      <c r="E152" s="814">
        <f t="shared" si="15"/>
        <v>2263.23</v>
      </c>
      <c r="F152" s="811">
        <f t="shared" si="13"/>
        <v>2303071.4000000129</v>
      </c>
      <c r="G152" s="814">
        <f t="shared" si="9"/>
        <v>2263248.7999999998</v>
      </c>
    </row>
    <row r="153" spans="1:7" ht="16.5" hidden="1" customHeight="1" outlineLevel="1">
      <c r="A153" s="818">
        <v>41486</v>
      </c>
      <c r="B153" s="813">
        <v>2947</v>
      </c>
      <c r="C153" s="814">
        <f t="shared" si="14"/>
        <v>2947</v>
      </c>
      <c r="D153" s="813">
        <f t="shared" si="11"/>
        <v>2310</v>
      </c>
      <c r="E153" s="814">
        <f t="shared" si="15"/>
        <v>2269.92</v>
      </c>
      <c r="F153" s="811">
        <f t="shared" si="13"/>
        <v>2309708.500000013</v>
      </c>
      <c r="G153" s="814">
        <f t="shared" si="9"/>
        <v>2269885.9</v>
      </c>
    </row>
    <row r="154" spans="1:7" ht="16.5" hidden="1" customHeight="1" outlineLevel="1">
      <c r="A154" s="818">
        <v>41517</v>
      </c>
      <c r="B154" s="813">
        <v>2947</v>
      </c>
      <c r="C154" s="814">
        <f t="shared" si="14"/>
        <v>2947</v>
      </c>
      <c r="D154" s="813">
        <f t="shared" si="11"/>
        <v>2316</v>
      </c>
      <c r="E154" s="814">
        <f t="shared" si="15"/>
        <v>2276.54</v>
      </c>
      <c r="F154" s="811">
        <f t="shared" si="13"/>
        <v>2316345.6000000131</v>
      </c>
      <c r="G154" s="814">
        <f t="shared" si="9"/>
        <v>2276523</v>
      </c>
    </row>
    <row r="155" spans="1:7" ht="16.5" hidden="1" customHeight="1" outlineLevel="1">
      <c r="A155" s="818">
        <v>41547</v>
      </c>
      <c r="B155" s="813">
        <v>2947</v>
      </c>
      <c r="C155" s="814">
        <f t="shared" si="14"/>
        <v>2947</v>
      </c>
      <c r="D155" s="813">
        <f t="shared" si="11"/>
        <v>2323</v>
      </c>
      <c r="E155" s="814">
        <f t="shared" si="15"/>
        <v>2283.15</v>
      </c>
      <c r="F155" s="811">
        <f t="shared" si="13"/>
        <v>2322982.7000000132</v>
      </c>
      <c r="G155" s="814">
        <f t="shared" si="9"/>
        <v>2283160.1</v>
      </c>
    </row>
    <row r="156" spans="1:7" ht="16.5" hidden="1" customHeight="1" outlineLevel="1">
      <c r="A156" s="818">
        <v>41578</v>
      </c>
      <c r="B156" s="813">
        <v>2947</v>
      </c>
      <c r="C156" s="814">
        <f t="shared" si="14"/>
        <v>2947</v>
      </c>
      <c r="D156" s="813">
        <f t="shared" si="11"/>
        <v>2330</v>
      </c>
      <c r="E156" s="814">
        <f t="shared" si="15"/>
        <v>2289.85</v>
      </c>
      <c r="F156" s="811">
        <f t="shared" si="13"/>
        <v>2329619.8000000133</v>
      </c>
      <c r="G156" s="814">
        <f t="shared" si="9"/>
        <v>2289797.2000000002</v>
      </c>
    </row>
    <row r="157" spans="1:7" ht="16.5" hidden="1" customHeight="1" outlineLevel="1">
      <c r="A157" s="818">
        <v>41608</v>
      </c>
      <c r="B157" s="813">
        <v>2947</v>
      </c>
      <c r="C157" s="814">
        <f t="shared" si="14"/>
        <v>2947</v>
      </c>
      <c r="D157" s="813">
        <f t="shared" si="11"/>
        <v>2336</v>
      </c>
      <c r="E157" s="814">
        <f t="shared" si="15"/>
        <v>2296.46</v>
      </c>
      <c r="F157" s="811">
        <f t="shared" si="13"/>
        <v>2336256.9000000134</v>
      </c>
      <c r="G157" s="814">
        <f t="shared" si="9"/>
        <v>2296434.2999999998</v>
      </c>
    </row>
    <row r="158" spans="1:7" ht="16.5" hidden="1" customHeight="1" outlineLevel="1">
      <c r="A158" s="818">
        <v>41639</v>
      </c>
      <c r="B158" s="813">
        <v>2947</v>
      </c>
      <c r="C158" s="814">
        <f t="shared" si="14"/>
        <v>2947</v>
      </c>
      <c r="D158" s="813">
        <f t="shared" si="11"/>
        <v>2343</v>
      </c>
      <c r="E158" s="814">
        <f t="shared" si="15"/>
        <v>2303.08</v>
      </c>
      <c r="F158" s="811">
        <f t="shared" si="13"/>
        <v>2342894.0000000135</v>
      </c>
      <c r="G158" s="814">
        <f t="shared" si="9"/>
        <v>2303071.4</v>
      </c>
    </row>
    <row r="159" spans="1:7" ht="16.5" hidden="1" customHeight="1" outlineLevel="1">
      <c r="A159" s="818">
        <v>41670</v>
      </c>
      <c r="B159" s="813">
        <v>2947</v>
      </c>
      <c r="C159" s="814">
        <f t="shared" si="14"/>
        <v>2947</v>
      </c>
      <c r="D159" s="813">
        <f t="shared" si="11"/>
        <v>2350</v>
      </c>
      <c r="E159" s="814">
        <f t="shared" si="15"/>
        <v>2309.77</v>
      </c>
      <c r="F159" s="811">
        <f t="shared" si="13"/>
        <v>2349531.1000000136</v>
      </c>
      <c r="G159" s="814">
        <f t="shared" si="9"/>
        <v>2309708.5</v>
      </c>
    </row>
    <row r="160" spans="1:7" ht="16.5" hidden="1" customHeight="1" outlineLevel="1">
      <c r="A160" s="818">
        <v>41698</v>
      </c>
      <c r="B160" s="813">
        <v>2947</v>
      </c>
      <c r="C160" s="814">
        <f t="shared" si="14"/>
        <v>2947</v>
      </c>
      <c r="D160" s="813">
        <f t="shared" si="11"/>
        <v>2356</v>
      </c>
      <c r="E160" s="814">
        <f t="shared" si="15"/>
        <v>2316.38</v>
      </c>
      <c r="F160" s="811">
        <f t="shared" si="13"/>
        <v>2356168.2000000137</v>
      </c>
      <c r="G160" s="814">
        <f t="shared" si="9"/>
        <v>2316345.6</v>
      </c>
    </row>
    <row r="161" spans="1:7" ht="16.5" hidden="1" customHeight="1" outlineLevel="1">
      <c r="A161" s="818">
        <v>41729</v>
      </c>
      <c r="B161" s="813">
        <v>2947</v>
      </c>
      <c r="C161" s="814">
        <f t="shared" si="14"/>
        <v>2947</v>
      </c>
      <c r="D161" s="813">
        <f t="shared" si="11"/>
        <v>2363</v>
      </c>
      <c r="E161" s="814">
        <f t="shared" si="15"/>
        <v>2323</v>
      </c>
      <c r="F161" s="811">
        <f t="shared" si="13"/>
        <v>2362805.3000000138</v>
      </c>
      <c r="G161" s="814">
        <f t="shared" si="9"/>
        <v>2322982.7000000002</v>
      </c>
    </row>
    <row r="162" spans="1:7" ht="16.5" hidden="1" customHeight="1" outlineLevel="1">
      <c r="A162" s="818">
        <v>41759</v>
      </c>
      <c r="B162" s="813">
        <v>2947</v>
      </c>
      <c r="C162" s="814">
        <f t="shared" si="14"/>
        <v>2947</v>
      </c>
      <c r="D162" s="813">
        <f t="shared" si="11"/>
        <v>2369</v>
      </c>
      <c r="E162" s="814">
        <f t="shared" si="15"/>
        <v>2329.62</v>
      </c>
      <c r="F162" s="811">
        <f t="shared" si="13"/>
        <v>2369442.4000000139</v>
      </c>
      <c r="G162" s="814">
        <f t="shared" si="9"/>
        <v>2329619.7999999998</v>
      </c>
    </row>
    <row r="163" spans="1:7" ht="16.5" hidden="1" customHeight="1" outlineLevel="1">
      <c r="A163" s="818">
        <v>41790</v>
      </c>
      <c r="B163" s="813">
        <v>2947</v>
      </c>
      <c r="C163" s="814">
        <f t="shared" si="14"/>
        <v>2947</v>
      </c>
      <c r="D163" s="813">
        <f t="shared" si="11"/>
        <v>2376</v>
      </c>
      <c r="E163" s="814">
        <f t="shared" si="15"/>
        <v>2336.23</v>
      </c>
      <c r="F163" s="811">
        <f t="shared" si="13"/>
        <v>2376079.500000014</v>
      </c>
      <c r="G163" s="814">
        <f t="shared" si="9"/>
        <v>2336256.9</v>
      </c>
    </row>
    <row r="164" spans="1:7" ht="16.5" hidden="1" customHeight="1" outlineLevel="1">
      <c r="A164" s="818">
        <v>41820</v>
      </c>
      <c r="B164" s="813">
        <v>2947</v>
      </c>
      <c r="C164" s="814">
        <f t="shared" si="14"/>
        <v>2947</v>
      </c>
      <c r="D164" s="813">
        <f t="shared" si="11"/>
        <v>2383</v>
      </c>
      <c r="E164" s="814">
        <f t="shared" si="15"/>
        <v>2342.92</v>
      </c>
      <c r="F164" s="811">
        <f t="shared" si="13"/>
        <v>2382716.6000000141</v>
      </c>
      <c r="G164" s="814">
        <f t="shared" si="9"/>
        <v>2342894</v>
      </c>
    </row>
    <row r="165" spans="1:7" ht="16.5" hidden="1" customHeight="1" outlineLevel="1">
      <c r="A165" s="818">
        <v>41851</v>
      </c>
      <c r="B165" s="813">
        <v>2947</v>
      </c>
      <c r="C165" s="814">
        <f t="shared" si="14"/>
        <v>2947</v>
      </c>
      <c r="D165" s="813">
        <f t="shared" si="11"/>
        <v>2389</v>
      </c>
      <c r="E165" s="814">
        <f t="shared" si="15"/>
        <v>2349.54</v>
      </c>
      <c r="F165" s="811">
        <f t="shared" si="13"/>
        <v>2389353.7000000142</v>
      </c>
      <c r="G165" s="814">
        <f t="shared" si="9"/>
        <v>2349531.1</v>
      </c>
    </row>
    <row r="166" spans="1:7" ht="16.5" hidden="1" customHeight="1" outlineLevel="1">
      <c r="A166" s="818">
        <v>41882</v>
      </c>
      <c r="B166" s="813">
        <v>2947</v>
      </c>
      <c r="C166" s="814">
        <f t="shared" si="14"/>
        <v>2947</v>
      </c>
      <c r="D166" s="813">
        <f t="shared" si="11"/>
        <v>2396</v>
      </c>
      <c r="E166" s="814">
        <f t="shared" si="15"/>
        <v>2356.15</v>
      </c>
      <c r="F166" s="811">
        <f t="shared" si="13"/>
        <v>2395990.8000000142</v>
      </c>
      <c r="G166" s="814">
        <f t="shared" si="9"/>
        <v>2356168.2000000002</v>
      </c>
    </row>
    <row r="167" spans="1:7" ht="16.5" hidden="1" customHeight="1" outlineLevel="1">
      <c r="A167" s="818">
        <v>41912</v>
      </c>
      <c r="B167" s="813">
        <v>2947</v>
      </c>
      <c r="C167" s="814">
        <f t="shared" si="14"/>
        <v>2947</v>
      </c>
      <c r="D167" s="813">
        <f t="shared" si="11"/>
        <v>2403</v>
      </c>
      <c r="E167" s="814">
        <f t="shared" si="15"/>
        <v>2362.85</v>
      </c>
      <c r="F167" s="811">
        <f t="shared" si="13"/>
        <v>2402627.9000000143</v>
      </c>
      <c r="G167" s="814">
        <f t="shared" si="9"/>
        <v>2362805.2999999998</v>
      </c>
    </row>
    <row r="168" spans="1:7" ht="16.5" hidden="1" customHeight="1" outlineLevel="1">
      <c r="A168" s="818">
        <v>41943</v>
      </c>
      <c r="B168" s="813">
        <v>2947</v>
      </c>
      <c r="C168" s="814">
        <f t="shared" si="14"/>
        <v>2947</v>
      </c>
      <c r="D168" s="813">
        <f t="shared" si="11"/>
        <v>2409</v>
      </c>
      <c r="E168" s="814">
        <f t="shared" si="15"/>
        <v>2369.46</v>
      </c>
      <c r="F168" s="811">
        <f t="shared" si="13"/>
        <v>2409265.0000000144</v>
      </c>
      <c r="G168" s="814">
        <f t="shared" ref="G168:G170" si="16">ROUND((SUM(F156:F168)/13),2)</f>
        <v>2369442.4</v>
      </c>
    </row>
    <row r="169" spans="1:7" ht="16.5" hidden="1" customHeight="1" outlineLevel="1">
      <c r="A169" s="818">
        <v>41973</v>
      </c>
      <c r="B169" s="813">
        <v>2947</v>
      </c>
      <c r="C169" s="814">
        <f t="shared" si="14"/>
        <v>2947</v>
      </c>
      <c r="D169" s="813">
        <f t="shared" si="11"/>
        <v>2416</v>
      </c>
      <c r="E169" s="814">
        <f t="shared" si="15"/>
        <v>2376.08</v>
      </c>
      <c r="F169" s="811">
        <f t="shared" si="13"/>
        <v>2415902.1000000145</v>
      </c>
      <c r="G169" s="814">
        <f t="shared" si="16"/>
        <v>2376079.5</v>
      </c>
    </row>
    <row r="170" spans="1:7" ht="16.5" hidden="1" customHeight="1" outlineLevel="1">
      <c r="A170" s="818">
        <v>42004</v>
      </c>
      <c r="B170" s="813">
        <v>2947</v>
      </c>
      <c r="C170" s="814">
        <f t="shared" si="14"/>
        <v>2947</v>
      </c>
      <c r="D170" s="813">
        <f t="shared" si="11"/>
        <v>2423</v>
      </c>
      <c r="E170" s="814">
        <f t="shared" si="15"/>
        <v>2382.77</v>
      </c>
      <c r="F170" s="811">
        <f t="shared" si="13"/>
        <v>2422539.2000000146</v>
      </c>
      <c r="G170" s="814">
        <f t="shared" si="16"/>
        <v>2382716.6</v>
      </c>
    </row>
    <row r="171" spans="1:7" ht="15" hidden="1" outlineLevel="1">
      <c r="A171" s="818">
        <v>42035</v>
      </c>
      <c r="B171" s="813">
        <v>2947</v>
      </c>
      <c r="C171" s="814">
        <f t="shared" si="14"/>
        <v>2947</v>
      </c>
      <c r="D171" s="813">
        <f t="shared" si="11"/>
        <v>2429</v>
      </c>
      <c r="E171" s="814">
        <f t="shared" si="15"/>
        <v>2389.38</v>
      </c>
      <c r="F171" s="811">
        <f t="shared" si="13"/>
        <v>2429176.3000000147</v>
      </c>
      <c r="G171" s="814">
        <f>ROUND((SUM(F159:F171)/13),2)</f>
        <v>2389353.7000000002</v>
      </c>
    </row>
    <row r="172" spans="1:7" ht="15" hidden="1" outlineLevel="1">
      <c r="A172" s="818">
        <v>42063</v>
      </c>
      <c r="B172" s="813">
        <v>2947</v>
      </c>
      <c r="C172" s="814">
        <f t="shared" si="14"/>
        <v>2947</v>
      </c>
      <c r="D172" s="813">
        <f t="shared" si="11"/>
        <v>2436</v>
      </c>
      <c r="E172" s="814">
        <f t="shared" si="15"/>
        <v>2396</v>
      </c>
      <c r="F172" s="811">
        <f t="shared" si="13"/>
        <v>2435813.4000000148</v>
      </c>
      <c r="G172" s="814">
        <f>ROUND((SUM(F160:F172)/13),2)</f>
        <v>2395990.7999999998</v>
      </c>
    </row>
    <row r="173" spans="1:7" ht="15" hidden="1" outlineLevel="1">
      <c r="A173" s="818">
        <v>42094</v>
      </c>
      <c r="B173" s="813">
        <v>2947</v>
      </c>
      <c r="C173" s="814">
        <f t="shared" si="14"/>
        <v>2947</v>
      </c>
      <c r="D173" s="813">
        <f t="shared" si="11"/>
        <v>2442</v>
      </c>
      <c r="E173" s="814">
        <f t="shared" si="15"/>
        <v>2402.62</v>
      </c>
      <c r="F173" s="811">
        <f t="shared" si="13"/>
        <v>2442450.5000000149</v>
      </c>
      <c r="G173" s="814">
        <f>ROUND((SUM(F161:F173)/13),2)</f>
        <v>2402627.9</v>
      </c>
    </row>
    <row r="174" spans="1:7" ht="15" hidden="1" outlineLevel="1">
      <c r="A174" s="818">
        <v>42124</v>
      </c>
      <c r="B174" s="813">
        <v>2947</v>
      </c>
      <c r="C174" s="814">
        <f t="shared" si="14"/>
        <v>2947</v>
      </c>
      <c r="D174" s="813">
        <f t="shared" si="11"/>
        <v>2449</v>
      </c>
      <c r="E174" s="814">
        <f t="shared" si="15"/>
        <v>2409.23</v>
      </c>
      <c r="F174" s="811">
        <f t="shared" si="13"/>
        <v>2449087.600000015</v>
      </c>
      <c r="G174" s="814">
        <f>ROUND((SUM(F162:F174)/13),2)</f>
        <v>2409265</v>
      </c>
    </row>
    <row r="175" spans="1:7" ht="15" hidden="1" outlineLevel="1">
      <c r="A175" s="818">
        <v>42155</v>
      </c>
      <c r="B175" s="813">
        <v>2947</v>
      </c>
      <c r="C175" s="814">
        <f t="shared" si="14"/>
        <v>2947</v>
      </c>
      <c r="D175" s="813">
        <f t="shared" ref="D175:D179" si="17">ROUND(F175/1000,0)</f>
        <v>2456</v>
      </c>
      <c r="E175" s="814">
        <f t="shared" si="15"/>
        <v>2415.92</v>
      </c>
      <c r="F175" s="811">
        <f t="shared" ref="F175:F238" si="18">F174+6637.1</f>
        <v>2455724.7000000151</v>
      </c>
      <c r="G175" s="814">
        <f>ROUND((SUM(F163:F175)/13),2)</f>
        <v>2415902.1</v>
      </c>
    </row>
    <row r="176" spans="1:7" ht="15" hidden="1" outlineLevel="1">
      <c r="A176" s="818">
        <v>42185</v>
      </c>
      <c r="B176" s="813">
        <v>2947</v>
      </c>
      <c r="C176" s="814">
        <f t="shared" si="14"/>
        <v>2947</v>
      </c>
      <c r="D176" s="813">
        <f t="shared" si="17"/>
        <v>2462</v>
      </c>
      <c r="E176" s="814">
        <f t="shared" si="15"/>
        <v>2422.54</v>
      </c>
      <c r="F176" s="811">
        <f t="shared" si="18"/>
        <v>2462361.8000000152</v>
      </c>
      <c r="G176" s="814">
        <f t="shared" ref="G176:G239" si="19">ROUND((SUM(F164:F176)/13),2)</f>
        <v>2422539.2000000002</v>
      </c>
    </row>
    <row r="177" spans="1:7" ht="15" hidden="1" outlineLevel="1">
      <c r="A177" s="818">
        <v>42216</v>
      </c>
      <c r="B177" s="813">
        <v>2947</v>
      </c>
      <c r="C177" s="814">
        <f t="shared" si="14"/>
        <v>2947</v>
      </c>
      <c r="D177" s="813">
        <f t="shared" si="17"/>
        <v>2469</v>
      </c>
      <c r="E177" s="814">
        <f t="shared" si="15"/>
        <v>2429.15</v>
      </c>
      <c r="F177" s="811">
        <f t="shared" si="18"/>
        <v>2468998.9000000153</v>
      </c>
      <c r="G177" s="814">
        <f t="shared" si="19"/>
        <v>2429176.2999999998</v>
      </c>
    </row>
    <row r="178" spans="1:7" ht="15" hidden="1" outlineLevel="1">
      <c r="A178" s="818">
        <v>42247</v>
      </c>
      <c r="B178" s="813">
        <v>2947</v>
      </c>
      <c r="C178" s="814">
        <f t="shared" si="14"/>
        <v>2947</v>
      </c>
      <c r="D178" s="813">
        <f t="shared" si="17"/>
        <v>2476</v>
      </c>
      <c r="E178" s="814">
        <f t="shared" si="15"/>
        <v>2435.85</v>
      </c>
      <c r="F178" s="811">
        <f t="shared" si="18"/>
        <v>2475636.0000000154</v>
      </c>
      <c r="G178" s="814">
        <f t="shared" si="19"/>
        <v>2435813.4</v>
      </c>
    </row>
    <row r="179" spans="1:7" ht="15" hidden="1" outlineLevel="1">
      <c r="A179" s="818">
        <v>42277</v>
      </c>
      <c r="B179" s="813">
        <v>2947</v>
      </c>
      <c r="C179" s="814">
        <f t="shared" si="14"/>
        <v>2947</v>
      </c>
      <c r="D179" s="813">
        <f t="shared" si="17"/>
        <v>2482</v>
      </c>
      <c r="E179" s="814">
        <f t="shared" si="15"/>
        <v>2442.46</v>
      </c>
      <c r="F179" s="811">
        <f t="shared" si="18"/>
        <v>2482273.1000000155</v>
      </c>
      <c r="G179" s="814">
        <f t="shared" si="19"/>
        <v>2442450.5</v>
      </c>
    </row>
    <row r="180" spans="1:7" ht="15" hidden="1" outlineLevel="1">
      <c r="A180" s="818">
        <v>42308</v>
      </c>
      <c r="B180" s="813">
        <v>2947</v>
      </c>
      <c r="C180" s="814">
        <f t="shared" si="14"/>
        <v>2947</v>
      </c>
      <c r="D180" s="813">
        <f>ROUND(F180/1000,0)</f>
        <v>2489</v>
      </c>
      <c r="E180" s="814">
        <f t="shared" si="15"/>
        <v>2449.08</v>
      </c>
      <c r="F180" s="811">
        <f t="shared" si="18"/>
        <v>2488910.2000000156</v>
      </c>
      <c r="G180" s="814">
        <f t="shared" si="19"/>
        <v>2449087.6</v>
      </c>
    </row>
    <row r="181" spans="1:7" ht="15" hidden="1" outlineLevel="1">
      <c r="A181" s="818">
        <v>42338</v>
      </c>
      <c r="B181" s="813">
        <v>2947</v>
      </c>
      <c r="C181" s="814">
        <f t="shared" si="14"/>
        <v>2947</v>
      </c>
      <c r="D181" s="813">
        <f>ROUND(F181/1000,0)</f>
        <v>2496</v>
      </c>
      <c r="E181" s="814">
        <f t="shared" si="15"/>
        <v>2455.77</v>
      </c>
      <c r="F181" s="811">
        <f t="shared" si="18"/>
        <v>2495547.3000000156</v>
      </c>
      <c r="G181" s="814">
        <f t="shared" si="19"/>
        <v>2455724.7000000002</v>
      </c>
    </row>
    <row r="182" spans="1:7" ht="15" hidden="1" outlineLevel="1">
      <c r="A182" s="818">
        <v>42369</v>
      </c>
      <c r="B182" s="813">
        <v>2947</v>
      </c>
      <c r="C182" s="814">
        <f t="shared" si="14"/>
        <v>2947</v>
      </c>
      <c r="D182" s="813">
        <f>ROUND(F182/1000,0)</f>
        <v>2502</v>
      </c>
      <c r="E182" s="814">
        <f t="shared" si="15"/>
        <v>2462.38</v>
      </c>
      <c r="F182" s="811">
        <f t="shared" si="18"/>
        <v>2502184.4000000157</v>
      </c>
      <c r="G182" s="814">
        <f t="shared" si="19"/>
        <v>2462361.7999999998</v>
      </c>
    </row>
    <row r="183" spans="1:7" ht="15" hidden="1" outlineLevel="1">
      <c r="A183" s="818">
        <v>42400</v>
      </c>
      <c r="B183" s="813">
        <v>2947</v>
      </c>
      <c r="C183" s="814">
        <f t="shared" si="14"/>
        <v>2947</v>
      </c>
      <c r="D183" s="813">
        <f t="shared" ref="D183:D242" si="20">ROUND(F183/1000,0)</f>
        <v>2509</v>
      </c>
      <c r="E183" s="814">
        <f t="shared" si="15"/>
        <v>2469</v>
      </c>
      <c r="F183" s="811">
        <f t="shared" si="18"/>
        <v>2508821.5000000158</v>
      </c>
      <c r="G183" s="814">
        <f t="shared" si="19"/>
        <v>2468998.9</v>
      </c>
    </row>
    <row r="184" spans="1:7" ht="15" hidden="1" outlineLevel="1">
      <c r="A184" s="818">
        <v>42429</v>
      </c>
      <c r="B184" s="813">
        <v>2947</v>
      </c>
      <c r="C184" s="814">
        <f t="shared" si="14"/>
        <v>2947</v>
      </c>
      <c r="D184" s="813">
        <f t="shared" si="20"/>
        <v>2515</v>
      </c>
      <c r="E184" s="814">
        <f t="shared" si="15"/>
        <v>2475.62</v>
      </c>
      <c r="F184" s="811">
        <f t="shared" si="18"/>
        <v>2515458.6000000159</v>
      </c>
      <c r="G184" s="814">
        <f t="shared" si="19"/>
        <v>2475636</v>
      </c>
    </row>
    <row r="185" spans="1:7" ht="15" hidden="1" outlineLevel="1">
      <c r="A185" s="818">
        <v>42460</v>
      </c>
      <c r="B185" s="813">
        <v>2947</v>
      </c>
      <c r="C185" s="814">
        <f t="shared" si="14"/>
        <v>2947</v>
      </c>
      <c r="D185" s="813">
        <f t="shared" si="20"/>
        <v>2522</v>
      </c>
      <c r="E185" s="814">
        <f t="shared" si="15"/>
        <v>2482.23</v>
      </c>
      <c r="F185" s="811">
        <f t="shared" si="18"/>
        <v>2522095.700000016</v>
      </c>
      <c r="G185" s="814">
        <f t="shared" si="19"/>
        <v>2482273.1</v>
      </c>
    </row>
    <row r="186" spans="1:7" ht="15" hidden="1" outlineLevel="1">
      <c r="A186" s="818">
        <v>42490</v>
      </c>
      <c r="B186" s="813">
        <v>2947</v>
      </c>
      <c r="C186" s="814">
        <f t="shared" si="14"/>
        <v>2947</v>
      </c>
      <c r="D186" s="813">
        <f t="shared" si="20"/>
        <v>2529</v>
      </c>
      <c r="E186" s="814">
        <f t="shared" si="15"/>
        <v>2488.92</v>
      </c>
      <c r="F186" s="811">
        <f t="shared" si="18"/>
        <v>2528732.8000000161</v>
      </c>
      <c r="G186" s="814">
        <f t="shared" si="19"/>
        <v>2488910.2000000002</v>
      </c>
    </row>
    <row r="187" spans="1:7" ht="15" hidden="1" outlineLevel="1">
      <c r="A187" s="818">
        <v>42521</v>
      </c>
      <c r="B187" s="813">
        <v>2947</v>
      </c>
      <c r="C187" s="814">
        <f t="shared" si="14"/>
        <v>2947</v>
      </c>
      <c r="D187" s="813">
        <f t="shared" si="20"/>
        <v>2535</v>
      </c>
      <c r="E187" s="814">
        <f t="shared" si="15"/>
        <v>2495.54</v>
      </c>
      <c r="F187" s="811">
        <f t="shared" si="18"/>
        <v>2535369.9000000162</v>
      </c>
      <c r="G187" s="814">
        <f t="shared" si="19"/>
        <v>2495547.2999999998</v>
      </c>
    </row>
    <row r="188" spans="1:7" ht="15" hidden="1" outlineLevel="1">
      <c r="A188" s="818">
        <v>42551</v>
      </c>
      <c r="B188" s="813">
        <v>2947</v>
      </c>
      <c r="C188" s="814">
        <f t="shared" si="14"/>
        <v>2947</v>
      </c>
      <c r="D188" s="813">
        <f t="shared" si="20"/>
        <v>2542</v>
      </c>
      <c r="E188" s="814">
        <f t="shared" si="15"/>
        <v>2502.15</v>
      </c>
      <c r="F188" s="811">
        <f t="shared" si="18"/>
        <v>2542007.0000000163</v>
      </c>
      <c r="G188" s="814">
        <f t="shared" si="19"/>
        <v>2502184.4</v>
      </c>
    </row>
    <row r="189" spans="1:7" ht="15" hidden="1" outlineLevel="1">
      <c r="A189" s="818">
        <v>42582</v>
      </c>
      <c r="B189" s="813">
        <v>2947</v>
      </c>
      <c r="C189" s="814">
        <f t="shared" si="14"/>
        <v>2947</v>
      </c>
      <c r="D189" s="813">
        <f t="shared" si="20"/>
        <v>2549</v>
      </c>
      <c r="E189" s="814">
        <f t="shared" si="15"/>
        <v>2508.85</v>
      </c>
      <c r="F189" s="811">
        <f t="shared" si="18"/>
        <v>2548644.1000000164</v>
      </c>
      <c r="G189" s="814">
        <f t="shared" si="19"/>
        <v>2508821.5</v>
      </c>
    </row>
    <row r="190" spans="1:7" ht="15" hidden="1" outlineLevel="1">
      <c r="A190" s="818">
        <v>42613</v>
      </c>
      <c r="B190" s="813">
        <v>2947</v>
      </c>
      <c r="C190" s="814">
        <f t="shared" si="14"/>
        <v>2947</v>
      </c>
      <c r="D190" s="813">
        <f t="shared" si="20"/>
        <v>2555</v>
      </c>
      <c r="E190" s="814">
        <f t="shared" si="15"/>
        <v>2515.46</v>
      </c>
      <c r="F190" s="811">
        <f t="shared" si="18"/>
        <v>2555281.2000000165</v>
      </c>
      <c r="G190" s="814">
        <f t="shared" si="19"/>
        <v>2515458.6</v>
      </c>
    </row>
    <row r="191" spans="1:7" ht="15" hidden="1" outlineLevel="1">
      <c r="A191" s="818">
        <v>42643</v>
      </c>
      <c r="B191" s="813">
        <v>2947</v>
      </c>
      <c r="C191" s="814">
        <f t="shared" si="14"/>
        <v>2947</v>
      </c>
      <c r="D191" s="813">
        <f t="shared" si="20"/>
        <v>2562</v>
      </c>
      <c r="E191" s="814">
        <f t="shared" si="15"/>
        <v>2522.08</v>
      </c>
      <c r="F191" s="811">
        <f t="shared" si="18"/>
        <v>2561918.3000000166</v>
      </c>
      <c r="G191" s="814">
        <f t="shared" si="19"/>
        <v>2522095.7000000002</v>
      </c>
    </row>
    <row r="192" spans="1:7" ht="15" hidden="1" outlineLevel="1">
      <c r="A192" s="818">
        <v>42674</v>
      </c>
      <c r="B192" s="813">
        <v>2947</v>
      </c>
      <c r="C192" s="814">
        <f t="shared" si="14"/>
        <v>2947</v>
      </c>
      <c r="D192" s="813">
        <f t="shared" si="20"/>
        <v>2569</v>
      </c>
      <c r="E192" s="814">
        <f t="shared" si="15"/>
        <v>2528.77</v>
      </c>
      <c r="F192" s="811">
        <f t="shared" si="18"/>
        <v>2568555.4000000167</v>
      </c>
      <c r="G192" s="814">
        <f t="shared" si="19"/>
        <v>2528732.7999999998</v>
      </c>
    </row>
    <row r="193" spans="1:7" ht="15" hidden="1" outlineLevel="1">
      <c r="A193" s="818">
        <v>42704</v>
      </c>
      <c r="B193" s="813">
        <v>2947</v>
      </c>
      <c r="C193" s="814">
        <f t="shared" si="14"/>
        <v>2947</v>
      </c>
      <c r="D193" s="813">
        <f t="shared" si="20"/>
        <v>2575</v>
      </c>
      <c r="E193" s="814">
        <f t="shared" si="15"/>
        <v>2535.38</v>
      </c>
      <c r="F193" s="811">
        <f t="shared" si="18"/>
        <v>2575192.5000000168</v>
      </c>
      <c r="G193" s="814">
        <f t="shared" si="19"/>
        <v>2535369.9</v>
      </c>
    </row>
    <row r="194" spans="1:7" ht="15" hidden="1" outlineLevel="1">
      <c r="A194" s="818">
        <v>42735</v>
      </c>
      <c r="B194" s="813">
        <v>2947</v>
      </c>
      <c r="C194" s="814">
        <f t="shared" si="14"/>
        <v>2947</v>
      </c>
      <c r="D194" s="813">
        <f t="shared" si="20"/>
        <v>2582</v>
      </c>
      <c r="E194" s="814">
        <f t="shared" si="15"/>
        <v>2542</v>
      </c>
      <c r="F194" s="811">
        <f t="shared" si="18"/>
        <v>2581829.6000000169</v>
      </c>
      <c r="G194" s="814">
        <f t="shared" si="19"/>
        <v>2542007</v>
      </c>
    </row>
    <row r="195" spans="1:7" ht="15" hidden="1" outlineLevel="1">
      <c r="A195" s="818">
        <v>42766</v>
      </c>
      <c r="B195" s="813">
        <v>2947</v>
      </c>
      <c r="C195" s="814">
        <f t="shared" si="14"/>
        <v>2947</v>
      </c>
      <c r="D195" s="813">
        <f t="shared" si="20"/>
        <v>2588</v>
      </c>
      <c r="E195" s="814">
        <f t="shared" si="15"/>
        <v>2548.62</v>
      </c>
      <c r="F195" s="811">
        <f t="shared" si="18"/>
        <v>2588466.700000017</v>
      </c>
      <c r="G195" s="814">
        <f t="shared" si="19"/>
        <v>2548644.1</v>
      </c>
    </row>
    <row r="196" spans="1:7" ht="15" hidden="1" outlineLevel="1">
      <c r="A196" s="818">
        <v>42794</v>
      </c>
      <c r="B196" s="813">
        <v>2947</v>
      </c>
      <c r="C196" s="814">
        <f t="shared" si="14"/>
        <v>2947</v>
      </c>
      <c r="D196" s="813">
        <f t="shared" si="20"/>
        <v>2595</v>
      </c>
      <c r="E196" s="814">
        <f t="shared" si="15"/>
        <v>2555.23</v>
      </c>
      <c r="F196" s="811">
        <f t="shared" si="18"/>
        <v>2595103.800000017</v>
      </c>
      <c r="G196" s="814">
        <f t="shared" si="19"/>
        <v>2555281.2000000002</v>
      </c>
    </row>
    <row r="197" spans="1:7" ht="15" hidden="1" outlineLevel="1">
      <c r="A197" s="818">
        <v>42825</v>
      </c>
      <c r="B197" s="813">
        <v>2947</v>
      </c>
      <c r="C197" s="814">
        <f t="shared" si="14"/>
        <v>2947</v>
      </c>
      <c r="D197" s="813">
        <f t="shared" si="20"/>
        <v>2602</v>
      </c>
      <c r="E197" s="814">
        <f t="shared" si="15"/>
        <v>2561.92</v>
      </c>
      <c r="F197" s="811">
        <f t="shared" si="18"/>
        <v>2601740.9000000171</v>
      </c>
      <c r="G197" s="814">
        <f t="shared" si="19"/>
        <v>2561918.2999999998</v>
      </c>
    </row>
    <row r="198" spans="1:7" ht="15" hidden="1" outlineLevel="1">
      <c r="A198" s="818">
        <v>42855</v>
      </c>
      <c r="B198" s="813">
        <v>2947</v>
      </c>
      <c r="C198" s="814">
        <f t="shared" si="14"/>
        <v>2947</v>
      </c>
      <c r="D198" s="813">
        <f t="shared" si="20"/>
        <v>2608</v>
      </c>
      <c r="E198" s="814">
        <f t="shared" si="15"/>
        <v>2568.54</v>
      </c>
      <c r="F198" s="811">
        <f t="shared" si="18"/>
        <v>2608378.0000000172</v>
      </c>
      <c r="G198" s="814">
        <f t="shared" si="19"/>
        <v>2568555.4</v>
      </c>
    </row>
    <row r="199" spans="1:7" ht="15" hidden="1" outlineLevel="1">
      <c r="A199" s="818">
        <v>42886</v>
      </c>
      <c r="B199" s="813">
        <v>2947</v>
      </c>
      <c r="C199" s="814">
        <f t="shared" ref="C199:C212" si="21">ROUND((SUM(B187:B199)/13),0)</f>
        <v>2947</v>
      </c>
      <c r="D199" s="813">
        <f t="shared" si="20"/>
        <v>2615</v>
      </c>
      <c r="E199" s="814">
        <f t="shared" ref="E199:E242" si="22">ROUND((SUM(D187:D199)/13),2)</f>
        <v>2575.15</v>
      </c>
      <c r="F199" s="811">
        <f t="shared" si="18"/>
        <v>2615015.1000000173</v>
      </c>
      <c r="G199" s="814">
        <f t="shared" si="19"/>
        <v>2575192.5</v>
      </c>
    </row>
    <row r="200" spans="1:7" ht="15" hidden="1" outlineLevel="1">
      <c r="A200" s="818">
        <v>42916</v>
      </c>
      <c r="B200" s="813">
        <v>2947</v>
      </c>
      <c r="C200" s="814">
        <f t="shared" si="21"/>
        <v>2947</v>
      </c>
      <c r="D200" s="813">
        <f t="shared" si="20"/>
        <v>2622</v>
      </c>
      <c r="E200" s="814">
        <f t="shared" si="22"/>
        <v>2581.85</v>
      </c>
      <c r="F200" s="811">
        <f t="shared" si="18"/>
        <v>2621652.2000000174</v>
      </c>
      <c r="G200" s="814">
        <f t="shared" si="19"/>
        <v>2581829.6</v>
      </c>
    </row>
    <row r="201" spans="1:7" ht="15" hidden="1" outlineLevel="1">
      <c r="A201" s="818">
        <v>42947</v>
      </c>
      <c r="B201" s="813">
        <v>2947</v>
      </c>
      <c r="C201" s="814">
        <f t="shared" si="21"/>
        <v>2947</v>
      </c>
      <c r="D201" s="813">
        <f t="shared" si="20"/>
        <v>2628</v>
      </c>
      <c r="E201" s="814">
        <f t="shared" si="22"/>
        <v>2588.46</v>
      </c>
      <c r="F201" s="811">
        <f t="shared" si="18"/>
        <v>2628289.3000000175</v>
      </c>
      <c r="G201" s="814">
        <f t="shared" si="19"/>
        <v>2588466.7000000002</v>
      </c>
    </row>
    <row r="202" spans="1:7" ht="15" hidden="1" outlineLevel="1">
      <c r="A202" s="818">
        <v>42978</v>
      </c>
      <c r="B202" s="813">
        <v>2947</v>
      </c>
      <c r="C202" s="814">
        <f t="shared" si="21"/>
        <v>2947</v>
      </c>
      <c r="D202" s="813">
        <f t="shared" si="20"/>
        <v>2635</v>
      </c>
      <c r="E202" s="814">
        <f t="shared" si="22"/>
        <v>2595.08</v>
      </c>
      <c r="F202" s="811">
        <f t="shared" si="18"/>
        <v>2634926.4000000176</v>
      </c>
      <c r="G202" s="814">
        <f t="shared" si="19"/>
        <v>2595103.7999999998</v>
      </c>
    </row>
    <row r="203" spans="1:7" ht="15" hidden="1" outlineLevel="1">
      <c r="A203" s="818">
        <v>43008</v>
      </c>
      <c r="B203" s="813">
        <v>2947</v>
      </c>
      <c r="C203" s="814">
        <f t="shared" si="21"/>
        <v>2947</v>
      </c>
      <c r="D203" s="813">
        <f t="shared" si="20"/>
        <v>2642</v>
      </c>
      <c r="E203" s="814">
        <f t="shared" si="22"/>
        <v>2601.77</v>
      </c>
      <c r="F203" s="811">
        <f t="shared" si="18"/>
        <v>2641563.5000000177</v>
      </c>
      <c r="G203" s="814">
        <f t="shared" si="19"/>
        <v>2601740.9</v>
      </c>
    </row>
    <row r="204" spans="1:7" ht="15" hidden="1" outlineLevel="1">
      <c r="A204" s="818">
        <v>43039</v>
      </c>
      <c r="B204" s="813">
        <v>2947</v>
      </c>
      <c r="C204" s="814">
        <f t="shared" si="21"/>
        <v>2947</v>
      </c>
      <c r="D204" s="813">
        <f t="shared" si="20"/>
        <v>2648</v>
      </c>
      <c r="E204" s="814">
        <f t="shared" si="22"/>
        <v>2608.38</v>
      </c>
      <c r="F204" s="811">
        <f t="shared" si="18"/>
        <v>2648200.6000000178</v>
      </c>
      <c r="G204" s="814">
        <f t="shared" si="19"/>
        <v>2608378</v>
      </c>
    </row>
    <row r="205" spans="1:7" ht="15" hidden="1" outlineLevel="1">
      <c r="A205" s="818">
        <v>43069</v>
      </c>
      <c r="B205" s="813">
        <v>2947</v>
      </c>
      <c r="C205" s="814">
        <f t="shared" si="21"/>
        <v>2947</v>
      </c>
      <c r="D205" s="813">
        <f t="shared" si="20"/>
        <v>2655</v>
      </c>
      <c r="E205" s="814">
        <f t="shared" si="22"/>
        <v>2615</v>
      </c>
      <c r="F205" s="811">
        <f t="shared" si="18"/>
        <v>2654837.7000000179</v>
      </c>
      <c r="G205" s="814">
        <f t="shared" si="19"/>
        <v>2615015.1</v>
      </c>
    </row>
    <row r="206" spans="1:7" ht="15" hidden="1" outlineLevel="1">
      <c r="A206" s="818">
        <v>43100</v>
      </c>
      <c r="B206" s="813">
        <v>2947</v>
      </c>
      <c r="C206" s="814">
        <f t="shared" si="21"/>
        <v>2947</v>
      </c>
      <c r="D206" s="813">
        <f t="shared" si="20"/>
        <v>2661</v>
      </c>
      <c r="E206" s="814">
        <f t="shared" si="22"/>
        <v>2621.62</v>
      </c>
      <c r="F206" s="811">
        <f t="shared" si="18"/>
        <v>2661474.800000018</v>
      </c>
      <c r="G206" s="814">
        <f t="shared" si="19"/>
        <v>2621652.2000000002</v>
      </c>
    </row>
    <row r="207" spans="1:7" ht="15" hidden="1" outlineLevel="1">
      <c r="A207" s="818">
        <v>43131</v>
      </c>
      <c r="B207" s="813">
        <v>2947</v>
      </c>
      <c r="C207" s="814">
        <f t="shared" si="21"/>
        <v>2947</v>
      </c>
      <c r="D207" s="813">
        <f t="shared" si="20"/>
        <v>2668</v>
      </c>
      <c r="E207" s="814">
        <f t="shared" si="22"/>
        <v>2628.23</v>
      </c>
      <c r="F207" s="811">
        <f t="shared" si="18"/>
        <v>2668111.9000000181</v>
      </c>
      <c r="G207" s="814">
        <f t="shared" si="19"/>
        <v>2628289.2999999998</v>
      </c>
    </row>
    <row r="208" spans="1:7" ht="15" hidden="1" outlineLevel="1">
      <c r="A208" s="818">
        <v>43159</v>
      </c>
      <c r="B208" s="813">
        <v>2947</v>
      </c>
      <c r="C208" s="814">
        <f t="shared" si="21"/>
        <v>2947</v>
      </c>
      <c r="D208" s="813">
        <f t="shared" si="20"/>
        <v>2675</v>
      </c>
      <c r="E208" s="814">
        <f t="shared" si="22"/>
        <v>2634.92</v>
      </c>
      <c r="F208" s="811">
        <f t="shared" si="18"/>
        <v>2674749.0000000182</v>
      </c>
      <c r="G208" s="814">
        <f t="shared" si="19"/>
        <v>2634926.4</v>
      </c>
    </row>
    <row r="209" spans="1:7" ht="15" hidden="1" outlineLevel="1">
      <c r="A209" s="818">
        <v>43190</v>
      </c>
      <c r="B209" s="813">
        <v>2947</v>
      </c>
      <c r="C209" s="814">
        <f t="shared" si="21"/>
        <v>2947</v>
      </c>
      <c r="D209" s="813">
        <f t="shared" si="20"/>
        <v>2681</v>
      </c>
      <c r="E209" s="814">
        <f t="shared" si="22"/>
        <v>2641.54</v>
      </c>
      <c r="F209" s="811">
        <f t="shared" si="18"/>
        <v>2681386.1000000183</v>
      </c>
      <c r="G209" s="814">
        <f t="shared" si="19"/>
        <v>2641563.5</v>
      </c>
    </row>
    <row r="210" spans="1:7" ht="15" hidden="1" outlineLevel="1">
      <c r="A210" s="818">
        <v>43220</v>
      </c>
      <c r="B210" s="813">
        <v>2947</v>
      </c>
      <c r="C210" s="814">
        <f t="shared" si="21"/>
        <v>2947</v>
      </c>
      <c r="D210" s="813">
        <f t="shared" si="20"/>
        <v>2688</v>
      </c>
      <c r="E210" s="814">
        <f t="shared" si="22"/>
        <v>2648.15</v>
      </c>
      <c r="F210" s="811">
        <f t="shared" si="18"/>
        <v>2688023.2000000183</v>
      </c>
      <c r="G210" s="814">
        <f t="shared" si="19"/>
        <v>2648200.6</v>
      </c>
    </row>
    <row r="211" spans="1:7" ht="15" hidden="1" outlineLevel="1">
      <c r="A211" s="818">
        <v>43251</v>
      </c>
      <c r="B211" s="813">
        <v>2947</v>
      </c>
      <c r="C211" s="814">
        <f t="shared" si="21"/>
        <v>2947</v>
      </c>
      <c r="D211" s="813">
        <f t="shared" si="20"/>
        <v>2695</v>
      </c>
      <c r="E211" s="814">
        <f t="shared" si="22"/>
        <v>2654.85</v>
      </c>
      <c r="F211" s="811">
        <f t="shared" si="18"/>
        <v>2694660.3000000184</v>
      </c>
      <c r="G211" s="814">
        <f t="shared" si="19"/>
        <v>2654837.7000000002</v>
      </c>
    </row>
    <row r="212" spans="1:7" ht="15" hidden="1" outlineLevel="1">
      <c r="A212" s="818">
        <v>43281</v>
      </c>
      <c r="B212" s="813">
        <v>2947</v>
      </c>
      <c r="C212" s="814">
        <f t="shared" si="21"/>
        <v>2947</v>
      </c>
      <c r="D212" s="813">
        <f t="shared" si="20"/>
        <v>2701</v>
      </c>
      <c r="E212" s="814">
        <f t="shared" si="22"/>
        <v>2661.46</v>
      </c>
      <c r="F212" s="811">
        <f t="shared" si="18"/>
        <v>2701297.4000000185</v>
      </c>
      <c r="G212" s="814">
        <f t="shared" si="19"/>
        <v>2661474.7999999998</v>
      </c>
    </row>
    <row r="213" spans="1:7" ht="15" hidden="1" outlineLevel="1">
      <c r="A213" s="818">
        <v>43312</v>
      </c>
      <c r="B213" s="813">
        <v>2947</v>
      </c>
      <c r="C213" s="814">
        <f>ROUND((SUM(B201:B213)/13),0)</f>
        <v>2947</v>
      </c>
      <c r="D213" s="813">
        <f t="shared" si="20"/>
        <v>2708</v>
      </c>
      <c r="E213" s="814">
        <f t="shared" si="22"/>
        <v>2668.08</v>
      </c>
      <c r="F213" s="811">
        <f t="shared" si="18"/>
        <v>2707934.5000000186</v>
      </c>
      <c r="G213" s="814">
        <f t="shared" si="19"/>
        <v>2668111.9</v>
      </c>
    </row>
    <row r="214" spans="1:7" ht="15" hidden="1" outlineLevel="1">
      <c r="A214" s="818">
        <v>43343</v>
      </c>
      <c r="B214" s="813">
        <v>2947</v>
      </c>
      <c r="C214" s="814">
        <f t="shared" ref="C214:C228" si="23">ROUND((SUM(B202:B214)/13),0)</f>
        <v>2947</v>
      </c>
      <c r="D214" s="813">
        <f t="shared" si="20"/>
        <v>2715</v>
      </c>
      <c r="E214" s="814">
        <f t="shared" si="22"/>
        <v>2674.77</v>
      </c>
      <c r="F214" s="811">
        <f t="shared" si="18"/>
        <v>2714571.6000000187</v>
      </c>
      <c r="G214" s="814">
        <f t="shared" si="19"/>
        <v>2674749</v>
      </c>
    </row>
    <row r="215" spans="1:7" ht="15" hidden="1" outlineLevel="1">
      <c r="A215" s="818">
        <v>43373</v>
      </c>
      <c r="B215" s="813">
        <v>2947</v>
      </c>
      <c r="C215" s="814">
        <f t="shared" si="23"/>
        <v>2947</v>
      </c>
      <c r="D215" s="813">
        <f t="shared" si="20"/>
        <v>2721</v>
      </c>
      <c r="E215" s="814">
        <f t="shared" si="22"/>
        <v>2681.38</v>
      </c>
      <c r="F215" s="811">
        <f t="shared" si="18"/>
        <v>2721208.7000000188</v>
      </c>
      <c r="G215" s="814">
        <f t="shared" si="19"/>
        <v>2681386.1</v>
      </c>
    </row>
    <row r="216" spans="1:7" ht="15" hidden="1" outlineLevel="1">
      <c r="A216" s="818">
        <v>43404</v>
      </c>
      <c r="B216" s="813">
        <v>2947</v>
      </c>
      <c r="C216" s="814">
        <f t="shared" si="23"/>
        <v>2947</v>
      </c>
      <c r="D216" s="813">
        <f t="shared" si="20"/>
        <v>2728</v>
      </c>
      <c r="E216" s="814">
        <f t="shared" si="22"/>
        <v>2688</v>
      </c>
      <c r="F216" s="811">
        <f t="shared" si="18"/>
        <v>2727845.8000000189</v>
      </c>
      <c r="G216" s="814">
        <f t="shared" si="19"/>
        <v>2688023.2</v>
      </c>
    </row>
    <row r="217" spans="1:7" ht="15" hidden="1" outlineLevel="1">
      <c r="A217" s="818">
        <v>43434</v>
      </c>
      <c r="B217" s="813">
        <v>2947</v>
      </c>
      <c r="C217" s="814">
        <f t="shared" si="23"/>
        <v>2947</v>
      </c>
      <c r="D217" s="813">
        <f t="shared" si="20"/>
        <v>2734</v>
      </c>
      <c r="E217" s="814">
        <f t="shared" si="22"/>
        <v>2694.62</v>
      </c>
      <c r="F217" s="811">
        <f t="shared" si="18"/>
        <v>2734482.900000019</v>
      </c>
      <c r="G217" s="814">
        <f t="shared" si="19"/>
        <v>2694660.3</v>
      </c>
    </row>
    <row r="218" spans="1:7" ht="15" hidden="1" outlineLevel="1">
      <c r="A218" s="818">
        <v>43465</v>
      </c>
      <c r="B218" s="813">
        <v>2947</v>
      </c>
      <c r="C218" s="814">
        <f t="shared" si="23"/>
        <v>2947</v>
      </c>
      <c r="D218" s="813">
        <f t="shared" si="20"/>
        <v>2741</v>
      </c>
      <c r="E218" s="814">
        <f t="shared" si="22"/>
        <v>2701.23</v>
      </c>
      <c r="F218" s="811">
        <f t="shared" si="18"/>
        <v>2741120.0000000191</v>
      </c>
      <c r="G218" s="814">
        <f t="shared" si="19"/>
        <v>2701297.4</v>
      </c>
    </row>
    <row r="219" spans="1:7" ht="15" hidden="1" outlineLevel="1">
      <c r="A219" s="818">
        <v>43496</v>
      </c>
      <c r="B219" s="813">
        <v>2947</v>
      </c>
      <c r="C219" s="814">
        <f t="shared" si="23"/>
        <v>2947</v>
      </c>
      <c r="D219" s="813">
        <f t="shared" si="20"/>
        <v>2748</v>
      </c>
      <c r="E219" s="814">
        <f t="shared" si="22"/>
        <v>2707.92</v>
      </c>
      <c r="F219" s="811">
        <f t="shared" si="18"/>
        <v>2747757.1000000192</v>
      </c>
      <c r="G219" s="814">
        <f t="shared" si="19"/>
        <v>2707934.5</v>
      </c>
    </row>
    <row r="220" spans="1:7" ht="15" hidden="1" outlineLevel="1">
      <c r="A220" s="818">
        <v>43524</v>
      </c>
      <c r="B220" s="813">
        <v>2947</v>
      </c>
      <c r="C220" s="814">
        <f t="shared" si="23"/>
        <v>2947</v>
      </c>
      <c r="D220" s="813">
        <f t="shared" si="20"/>
        <v>2754</v>
      </c>
      <c r="E220" s="814">
        <f t="shared" si="22"/>
        <v>2714.54</v>
      </c>
      <c r="F220" s="811">
        <f t="shared" si="18"/>
        <v>2754394.2000000193</v>
      </c>
      <c r="G220" s="814">
        <f t="shared" si="19"/>
        <v>2714571.6</v>
      </c>
    </row>
    <row r="221" spans="1:7" ht="15" hidden="1" outlineLevel="1">
      <c r="A221" s="818">
        <v>43555</v>
      </c>
      <c r="B221" s="813">
        <v>2947</v>
      </c>
      <c r="C221" s="814">
        <f t="shared" si="23"/>
        <v>2947</v>
      </c>
      <c r="D221" s="813">
        <f t="shared" si="20"/>
        <v>2761</v>
      </c>
      <c r="E221" s="814">
        <f t="shared" si="22"/>
        <v>2721.15</v>
      </c>
      <c r="F221" s="811">
        <f t="shared" si="18"/>
        <v>2761031.3000000194</v>
      </c>
      <c r="G221" s="814">
        <f t="shared" si="19"/>
        <v>2721208.7</v>
      </c>
    </row>
    <row r="222" spans="1:7" ht="15" hidden="1" outlineLevel="1">
      <c r="A222" s="818">
        <v>43585</v>
      </c>
      <c r="B222" s="813">
        <v>2947</v>
      </c>
      <c r="C222" s="814">
        <f t="shared" si="23"/>
        <v>2947</v>
      </c>
      <c r="D222" s="813">
        <f t="shared" si="20"/>
        <v>2768</v>
      </c>
      <c r="E222" s="814">
        <f t="shared" si="22"/>
        <v>2727.85</v>
      </c>
      <c r="F222" s="811">
        <f t="shared" si="18"/>
        <v>2767668.4000000195</v>
      </c>
      <c r="G222" s="814">
        <f t="shared" si="19"/>
        <v>2727845.8</v>
      </c>
    </row>
    <row r="223" spans="1:7" ht="15" hidden="1" outlineLevel="1">
      <c r="A223" s="818">
        <v>43616</v>
      </c>
      <c r="B223" s="813">
        <v>2947</v>
      </c>
      <c r="C223" s="814">
        <f t="shared" si="23"/>
        <v>2947</v>
      </c>
      <c r="D223" s="813">
        <f t="shared" si="20"/>
        <v>2774</v>
      </c>
      <c r="E223" s="814">
        <f t="shared" si="22"/>
        <v>2734.46</v>
      </c>
      <c r="F223" s="811">
        <f t="shared" si="18"/>
        <v>2774305.5000000196</v>
      </c>
      <c r="G223" s="814">
        <f t="shared" si="19"/>
        <v>2734482.9</v>
      </c>
    </row>
    <row r="224" spans="1:7" ht="15" collapsed="1">
      <c r="A224" s="818">
        <v>43646</v>
      </c>
      <c r="B224" s="813">
        <v>2947</v>
      </c>
      <c r="C224" s="814">
        <f t="shared" si="23"/>
        <v>2947</v>
      </c>
      <c r="D224" s="813">
        <f t="shared" si="20"/>
        <v>2781</v>
      </c>
      <c r="E224" s="814">
        <f t="shared" si="22"/>
        <v>2741.08</v>
      </c>
      <c r="F224" s="811">
        <f t="shared" si="18"/>
        <v>2780942.6000000197</v>
      </c>
      <c r="G224" s="814">
        <f t="shared" si="19"/>
        <v>2741120</v>
      </c>
    </row>
    <row r="225" spans="1:13" ht="15">
      <c r="A225" s="818">
        <v>43677</v>
      </c>
      <c r="B225" s="813">
        <v>2947</v>
      </c>
      <c r="C225" s="814">
        <f t="shared" si="23"/>
        <v>2947</v>
      </c>
      <c r="D225" s="813">
        <f t="shared" si="20"/>
        <v>2788</v>
      </c>
      <c r="E225" s="814">
        <f t="shared" si="22"/>
        <v>2747.77</v>
      </c>
      <c r="F225" s="811">
        <f t="shared" si="18"/>
        <v>2787579.7000000197</v>
      </c>
      <c r="G225" s="814">
        <f t="shared" si="19"/>
        <v>2747757.1</v>
      </c>
      <c r="L225" s="819">
        <f>5031897.24-F12</f>
        <v>3644745.64</v>
      </c>
      <c r="M225" s="806" t="s">
        <v>395</v>
      </c>
    </row>
    <row r="226" spans="1:13" ht="15">
      <c r="A226" s="818">
        <v>43708</v>
      </c>
      <c r="B226" s="813">
        <v>2947</v>
      </c>
      <c r="C226" s="814">
        <f t="shared" si="23"/>
        <v>2947</v>
      </c>
      <c r="D226" s="813">
        <f t="shared" si="20"/>
        <v>2794</v>
      </c>
      <c r="E226" s="814">
        <f t="shared" si="22"/>
        <v>2754.38</v>
      </c>
      <c r="F226" s="811">
        <f t="shared" si="18"/>
        <v>2794216.8000000198</v>
      </c>
      <c r="G226" s="814">
        <f t="shared" si="19"/>
        <v>2754394.2</v>
      </c>
      <c r="L226" s="819">
        <f>5031897.24-5005041.43</f>
        <v>26855.810000000522</v>
      </c>
      <c r="M226" s="806" t="s">
        <v>396</v>
      </c>
    </row>
    <row r="227" spans="1:13" ht="15">
      <c r="A227" s="818">
        <v>43738</v>
      </c>
      <c r="B227" s="813">
        <v>2947</v>
      </c>
      <c r="C227" s="814">
        <f t="shared" si="23"/>
        <v>2947</v>
      </c>
      <c r="D227" s="813">
        <f t="shared" si="20"/>
        <v>2801</v>
      </c>
      <c r="E227" s="814">
        <f t="shared" si="22"/>
        <v>2761</v>
      </c>
      <c r="F227" s="811">
        <f t="shared" si="18"/>
        <v>2800853.9000000199</v>
      </c>
      <c r="G227" s="814">
        <f t="shared" si="19"/>
        <v>2761031.3</v>
      </c>
      <c r="L227" s="819">
        <f>+L226+(5949.73*3)</f>
        <v>44705.000000000524</v>
      </c>
      <c r="M227" s="806" t="s">
        <v>397</v>
      </c>
    </row>
    <row r="228" spans="1:13" ht="15">
      <c r="A228" s="818">
        <v>43769</v>
      </c>
      <c r="B228" s="813">
        <v>2947</v>
      </c>
      <c r="C228" s="814">
        <f t="shared" si="23"/>
        <v>2947</v>
      </c>
      <c r="D228" s="813">
        <f t="shared" si="20"/>
        <v>2807</v>
      </c>
      <c r="E228" s="814">
        <f t="shared" si="22"/>
        <v>2767.62</v>
      </c>
      <c r="F228" s="811">
        <f t="shared" si="18"/>
        <v>2807491.00000002</v>
      </c>
      <c r="G228" s="814">
        <f t="shared" si="19"/>
        <v>2767668.4</v>
      </c>
      <c r="L228" s="819"/>
    </row>
    <row r="229" spans="1:13" ht="15">
      <c r="A229" s="818">
        <v>43799</v>
      </c>
      <c r="B229" s="813">
        <v>2947</v>
      </c>
      <c r="C229" s="814">
        <f>ROUND((SUM(B217:B229)/13),0)</f>
        <v>2947</v>
      </c>
      <c r="D229" s="813">
        <f t="shared" si="20"/>
        <v>2814</v>
      </c>
      <c r="E229" s="814">
        <f t="shared" si="22"/>
        <v>2774.23</v>
      </c>
      <c r="F229" s="811">
        <f t="shared" si="18"/>
        <v>2814128.1000000201</v>
      </c>
      <c r="G229" s="814">
        <f t="shared" si="19"/>
        <v>2774305.5</v>
      </c>
      <c r="L229" s="819">
        <v>2946879</v>
      </c>
      <c r="M229" s="806" t="s">
        <v>398</v>
      </c>
    </row>
    <row r="230" spans="1:13" ht="15">
      <c r="A230" s="818">
        <v>43830</v>
      </c>
      <c r="B230" s="813">
        <v>2947</v>
      </c>
      <c r="C230" s="814">
        <f t="shared" ref="C230:C239" si="24">ROUND((SUM(B218:B230)/13),0)</f>
        <v>2947</v>
      </c>
      <c r="D230" s="813">
        <f t="shared" si="20"/>
        <v>2821</v>
      </c>
      <c r="E230" s="814">
        <f t="shared" si="22"/>
        <v>2780.92</v>
      </c>
      <c r="F230" s="811">
        <f t="shared" si="18"/>
        <v>2820765.2000000202</v>
      </c>
      <c r="G230" s="814">
        <f t="shared" si="19"/>
        <v>2780942.6</v>
      </c>
      <c r="L230" s="819"/>
    </row>
    <row r="231" spans="1:13" ht="15">
      <c r="A231" s="818">
        <v>43861</v>
      </c>
      <c r="B231" s="813">
        <v>2947</v>
      </c>
      <c r="C231" s="814">
        <f t="shared" si="24"/>
        <v>2947</v>
      </c>
      <c r="D231" s="813">
        <f t="shared" si="20"/>
        <v>2827</v>
      </c>
      <c r="E231" s="814">
        <f t="shared" si="22"/>
        <v>2787.54</v>
      </c>
      <c r="F231" s="811">
        <f t="shared" si="18"/>
        <v>2827402.3000000203</v>
      </c>
      <c r="G231" s="814">
        <f t="shared" si="19"/>
        <v>2787579.7</v>
      </c>
    </row>
    <row r="232" spans="1:13" ht="15">
      <c r="A232" s="818">
        <v>43890</v>
      </c>
      <c r="B232" s="813">
        <v>2947</v>
      </c>
      <c r="C232" s="814">
        <f t="shared" si="24"/>
        <v>2947</v>
      </c>
      <c r="D232" s="813">
        <f t="shared" si="20"/>
        <v>2834</v>
      </c>
      <c r="E232" s="814">
        <f t="shared" si="22"/>
        <v>2794.15</v>
      </c>
      <c r="F232" s="811">
        <f t="shared" si="18"/>
        <v>2834039.4000000204</v>
      </c>
      <c r="G232" s="814">
        <f t="shared" si="19"/>
        <v>2794216.8</v>
      </c>
    </row>
    <row r="233" spans="1:13" ht="15">
      <c r="A233" s="818">
        <v>43921</v>
      </c>
      <c r="B233" s="813">
        <v>2947</v>
      </c>
      <c r="C233" s="814">
        <f t="shared" si="24"/>
        <v>2947</v>
      </c>
      <c r="D233" s="813">
        <f t="shared" si="20"/>
        <v>2841</v>
      </c>
      <c r="E233" s="814">
        <f t="shared" si="22"/>
        <v>2800.85</v>
      </c>
      <c r="F233" s="811">
        <f t="shared" si="18"/>
        <v>2840676.5000000205</v>
      </c>
      <c r="G233" s="814">
        <f t="shared" si="19"/>
        <v>2800853.9</v>
      </c>
    </row>
    <row r="234" spans="1:13" ht="15">
      <c r="A234" s="818">
        <v>43951</v>
      </c>
      <c r="B234" s="813">
        <v>2947</v>
      </c>
      <c r="C234" s="814">
        <f t="shared" si="24"/>
        <v>2947</v>
      </c>
      <c r="D234" s="813">
        <f t="shared" si="20"/>
        <v>2847</v>
      </c>
      <c r="E234" s="814">
        <f t="shared" si="22"/>
        <v>2807.46</v>
      </c>
      <c r="F234" s="811">
        <f t="shared" si="18"/>
        <v>2847313.6000000206</v>
      </c>
      <c r="G234" s="814">
        <f t="shared" si="19"/>
        <v>2807491</v>
      </c>
    </row>
    <row r="235" spans="1:13" ht="15">
      <c r="A235" s="818">
        <v>43982</v>
      </c>
      <c r="B235" s="813">
        <v>2947</v>
      </c>
      <c r="C235" s="814">
        <f t="shared" si="24"/>
        <v>2947</v>
      </c>
      <c r="D235" s="813">
        <f t="shared" si="20"/>
        <v>2854</v>
      </c>
      <c r="E235" s="814">
        <f t="shared" si="22"/>
        <v>2814.08</v>
      </c>
      <c r="F235" s="811">
        <f t="shared" si="18"/>
        <v>2853950.7000000207</v>
      </c>
      <c r="G235" s="814">
        <f t="shared" si="19"/>
        <v>2814128.1</v>
      </c>
    </row>
    <row r="236" spans="1:13" ht="15">
      <c r="A236" s="818">
        <v>44012</v>
      </c>
      <c r="B236" s="813">
        <v>2947</v>
      </c>
      <c r="C236" s="814">
        <f t="shared" si="24"/>
        <v>2947</v>
      </c>
      <c r="D236" s="813">
        <f t="shared" si="20"/>
        <v>2861</v>
      </c>
      <c r="E236" s="814">
        <f t="shared" si="22"/>
        <v>2820.77</v>
      </c>
      <c r="F236" s="811">
        <f t="shared" si="18"/>
        <v>2860587.8000000208</v>
      </c>
      <c r="G236" s="814">
        <f t="shared" si="19"/>
        <v>2820765.2</v>
      </c>
    </row>
    <row r="237" spans="1:13" ht="15">
      <c r="A237" s="818">
        <v>44043</v>
      </c>
      <c r="B237" s="813">
        <v>2947</v>
      </c>
      <c r="C237" s="814">
        <f t="shared" si="24"/>
        <v>2947</v>
      </c>
      <c r="D237" s="813">
        <f t="shared" si="20"/>
        <v>2867</v>
      </c>
      <c r="E237" s="814">
        <f t="shared" si="22"/>
        <v>2827.38</v>
      </c>
      <c r="F237" s="811">
        <f t="shared" si="18"/>
        <v>2867224.9000000209</v>
      </c>
      <c r="G237" s="814">
        <f t="shared" si="19"/>
        <v>2827402.3</v>
      </c>
    </row>
    <row r="238" spans="1:13" ht="15">
      <c r="A238" s="818">
        <v>44074</v>
      </c>
      <c r="B238" s="813">
        <v>2947</v>
      </c>
      <c r="C238" s="814">
        <f t="shared" si="24"/>
        <v>2947</v>
      </c>
      <c r="D238" s="813">
        <f t="shared" si="20"/>
        <v>2874</v>
      </c>
      <c r="E238" s="814">
        <f t="shared" si="22"/>
        <v>2834</v>
      </c>
      <c r="F238" s="811">
        <f t="shared" si="18"/>
        <v>2873862.000000021</v>
      </c>
      <c r="G238" s="814">
        <f t="shared" si="19"/>
        <v>2834039.4</v>
      </c>
    </row>
    <row r="239" spans="1:13" ht="15">
      <c r="A239" s="818">
        <v>44104</v>
      </c>
      <c r="B239" s="813">
        <v>2947</v>
      </c>
      <c r="C239" s="814">
        <f t="shared" si="24"/>
        <v>2947</v>
      </c>
      <c r="D239" s="813">
        <f t="shared" si="20"/>
        <v>2880</v>
      </c>
      <c r="E239" s="814">
        <f t="shared" si="22"/>
        <v>2840.62</v>
      </c>
      <c r="F239" s="811">
        <f t="shared" ref="F239" si="25">F238+6637.1</f>
        <v>2880499.100000021</v>
      </c>
      <c r="G239" s="814">
        <f t="shared" si="19"/>
        <v>2840676.5</v>
      </c>
    </row>
    <row r="240" spans="1:13" ht="15">
      <c r="A240" s="818">
        <v>44135</v>
      </c>
      <c r="B240" s="813">
        <v>2947</v>
      </c>
      <c r="C240" s="814">
        <f t="shared" ref="C240:C249" si="26">ROUND((SUM(B228:B240)/13),0)</f>
        <v>2947</v>
      </c>
      <c r="D240" s="813">
        <f t="shared" si="20"/>
        <v>2887</v>
      </c>
      <c r="E240" s="814">
        <f t="shared" si="22"/>
        <v>2847.23</v>
      </c>
      <c r="F240" s="811">
        <f>F239+6637.1</f>
        <v>2887136.2000000211</v>
      </c>
      <c r="G240" s="814">
        <f t="shared" ref="G240:G249" si="27">ROUND((SUM(F228:F240)/13),2)</f>
        <v>2847313.6</v>
      </c>
    </row>
    <row r="241" spans="1:7" ht="15">
      <c r="A241" s="818">
        <v>44165</v>
      </c>
      <c r="B241" s="813">
        <v>2947</v>
      </c>
      <c r="C241" s="814">
        <f t="shared" si="26"/>
        <v>2947</v>
      </c>
      <c r="D241" s="813">
        <f t="shared" si="20"/>
        <v>2894</v>
      </c>
      <c r="E241" s="814">
        <f t="shared" si="22"/>
        <v>2853.92</v>
      </c>
      <c r="F241" s="811">
        <f>F240+6637.1</f>
        <v>2893773.3000000212</v>
      </c>
      <c r="G241" s="814">
        <f t="shared" si="27"/>
        <v>2853950.7</v>
      </c>
    </row>
    <row r="242" spans="1:7" ht="15">
      <c r="A242" s="818">
        <v>44196</v>
      </c>
      <c r="B242" s="813">
        <v>2947</v>
      </c>
      <c r="C242" s="814">
        <f t="shared" si="26"/>
        <v>2947</v>
      </c>
      <c r="D242" s="813">
        <f t="shared" si="20"/>
        <v>2902</v>
      </c>
      <c r="E242" s="814">
        <f t="shared" si="22"/>
        <v>2860.69</v>
      </c>
      <c r="F242" s="820">
        <f>2946879-44705</f>
        <v>2902174</v>
      </c>
      <c r="G242" s="814">
        <f t="shared" si="27"/>
        <v>2860723.46</v>
      </c>
    </row>
    <row r="243" spans="1:7" ht="15">
      <c r="A243" s="818">
        <v>44227</v>
      </c>
      <c r="B243" s="813">
        <v>2947</v>
      </c>
      <c r="C243" s="814">
        <f t="shared" si="26"/>
        <v>2947</v>
      </c>
      <c r="D243" s="813">
        <f>ROUND(F243/1000,0)</f>
        <v>2908</v>
      </c>
      <c r="E243" s="814">
        <f>ROUND((SUM(D231:D243)/13),2)</f>
        <v>2867.38</v>
      </c>
      <c r="F243" s="820">
        <f t="shared" ref="F243:F248" si="28">F242+5949.73</f>
        <v>2908123.73</v>
      </c>
      <c r="G243" s="814">
        <f t="shared" si="27"/>
        <v>2867443.35</v>
      </c>
    </row>
    <row r="244" spans="1:7" ht="15">
      <c r="A244" s="818">
        <v>44255</v>
      </c>
      <c r="B244" s="813">
        <v>2947</v>
      </c>
      <c r="C244" s="814">
        <f t="shared" si="26"/>
        <v>2947</v>
      </c>
      <c r="D244" s="813">
        <f>ROUND(F244/1000,0)</f>
        <v>2914</v>
      </c>
      <c r="E244" s="814">
        <f>ROUND((SUM(D232:D244)/13),2)</f>
        <v>2874.08</v>
      </c>
      <c r="F244" s="820">
        <f t="shared" si="28"/>
        <v>2914073.46</v>
      </c>
      <c r="G244" s="814">
        <f t="shared" si="27"/>
        <v>2874110.36</v>
      </c>
    </row>
    <row r="245" spans="1:7" ht="15">
      <c r="A245" s="818">
        <v>44286</v>
      </c>
      <c r="B245" s="813">
        <v>2947</v>
      </c>
      <c r="C245" s="814">
        <f t="shared" si="26"/>
        <v>2947</v>
      </c>
      <c r="D245" s="813">
        <f t="shared" ref="D245:D261" si="29">ROUND(F245/1000,0)</f>
        <v>2920</v>
      </c>
      <c r="E245" s="814">
        <f t="shared" ref="E245:E260" si="30">ROUND((SUM(D233:D245)/13),2)</f>
        <v>2880.69</v>
      </c>
      <c r="F245" s="820">
        <f t="shared" si="28"/>
        <v>2920023.19</v>
      </c>
      <c r="G245" s="814">
        <f t="shared" si="27"/>
        <v>2880724.5</v>
      </c>
    </row>
    <row r="246" spans="1:7" ht="15">
      <c r="A246" s="818">
        <v>44316</v>
      </c>
      <c r="B246" s="813">
        <v>2947</v>
      </c>
      <c r="C246" s="814">
        <f t="shared" si="26"/>
        <v>2947</v>
      </c>
      <c r="D246" s="813">
        <f t="shared" si="29"/>
        <v>2926</v>
      </c>
      <c r="E246" s="814">
        <f t="shared" si="30"/>
        <v>2887.23</v>
      </c>
      <c r="F246" s="820">
        <f t="shared" si="28"/>
        <v>2925972.92</v>
      </c>
      <c r="G246" s="814">
        <f t="shared" si="27"/>
        <v>2887285.76</v>
      </c>
    </row>
    <row r="247" spans="1:7" ht="15">
      <c r="A247" s="818">
        <v>44347</v>
      </c>
      <c r="B247" s="813">
        <v>2947</v>
      </c>
      <c r="C247" s="814">
        <f t="shared" si="26"/>
        <v>2947</v>
      </c>
      <c r="D247" s="813">
        <f t="shared" si="29"/>
        <v>2932</v>
      </c>
      <c r="E247" s="814">
        <f t="shared" si="30"/>
        <v>2893.77</v>
      </c>
      <c r="F247" s="820">
        <f t="shared" si="28"/>
        <v>2931922.65</v>
      </c>
      <c r="G247" s="814">
        <f t="shared" si="27"/>
        <v>2893794.15</v>
      </c>
    </row>
    <row r="248" spans="1:7" ht="15">
      <c r="A248" s="818">
        <v>44377</v>
      </c>
      <c r="B248" s="821">
        <v>2947</v>
      </c>
      <c r="C248" s="822">
        <f t="shared" si="26"/>
        <v>2947</v>
      </c>
      <c r="D248" s="821">
        <f t="shared" si="29"/>
        <v>2938</v>
      </c>
      <c r="E248" s="822">
        <f t="shared" si="30"/>
        <v>2900.23</v>
      </c>
      <c r="F248" s="820">
        <f t="shared" si="28"/>
        <v>2937872.38</v>
      </c>
      <c r="G248" s="814">
        <f t="shared" si="27"/>
        <v>2900249.66</v>
      </c>
    </row>
    <row r="249" spans="1:7" ht="15">
      <c r="A249" s="818">
        <v>44408</v>
      </c>
      <c r="B249" s="813">
        <v>2947</v>
      </c>
      <c r="C249" s="814">
        <f t="shared" si="26"/>
        <v>2947</v>
      </c>
      <c r="D249" s="813">
        <f t="shared" si="29"/>
        <v>2947</v>
      </c>
      <c r="E249" s="814">
        <f t="shared" si="30"/>
        <v>2906.85</v>
      </c>
      <c r="F249" s="820">
        <f>F248+5949.73+3056.89</f>
        <v>2946879</v>
      </c>
      <c r="G249" s="814">
        <f t="shared" si="27"/>
        <v>2906887.45</v>
      </c>
    </row>
    <row r="250" spans="1:7" ht="15">
      <c r="A250" s="818">
        <v>44439</v>
      </c>
      <c r="B250" s="813">
        <v>2947</v>
      </c>
      <c r="C250" s="814">
        <f t="shared" ref="C250:C260" si="31">ROUND((SUM(B238:B250)/13),0)</f>
        <v>2947</v>
      </c>
      <c r="D250" s="813">
        <f t="shared" si="29"/>
        <v>2947</v>
      </c>
      <c r="E250" s="814">
        <f t="shared" si="30"/>
        <v>2913</v>
      </c>
      <c r="F250" s="811">
        <f>+F249</f>
        <v>2946879</v>
      </c>
      <c r="G250" s="814">
        <f t="shared" ref="G250:G260" si="32">ROUND((SUM(F238:F250)/13),2)</f>
        <v>2913014.69</v>
      </c>
    </row>
    <row r="251" spans="1:7" ht="15">
      <c r="A251" s="818">
        <v>44469</v>
      </c>
      <c r="B251" s="813">
        <v>2947</v>
      </c>
      <c r="C251" s="814">
        <f t="shared" si="31"/>
        <v>2947</v>
      </c>
      <c r="D251" s="813">
        <f t="shared" si="29"/>
        <v>2947</v>
      </c>
      <c r="E251" s="814">
        <f t="shared" si="30"/>
        <v>2918.62</v>
      </c>
      <c r="F251" s="811">
        <f>+F250</f>
        <v>2946879</v>
      </c>
      <c r="G251" s="814">
        <f t="shared" si="32"/>
        <v>2918631.38</v>
      </c>
    </row>
    <row r="252" spans="1:7" ht="15">
      <c r="A252" s="818">
        <v>44500</v>
      </c>
      <c r="B252" s="813">
        <v>2947</v>
      </c>
      <c r="C252" s="814">
        <f t="shared" si="31"/>
        <v>2947</v>
      </c>
      <c r="D252" s="813">
        <f t="shared" si="29"/>
        <v>2947</v>
      </c>
      <c r="E252" s="814">
        <f t="shared" si="30"/>
        <v>2923.77</v>
      </c>
      <c r="F252" s="811">
        <f t="shared" ref="F252:F260" si="33">+F251</f>
        <v>2946879</v>
      </c>
      <c r="G252" s="814">
        <f t="shared" si="32"/>
        <v>2923737.53</v>
      </c>
    </row>
    <row r="253" spans="1:7" ht="15">
      <c r="A253" s="818">
        <v>44530</v>
      </c>
      <c r="B253" s="813">
        <v>2947</v>
      </c>
      <c r="C253" s="814">
        <f t="shared" si="31"/>
        <v>2947</v>
      </c>
      <c r="D253" s="813">
        <f t="shared" si="29"/>
        <v>2947</v>
      </c>
      <c r="E253" s="814">
        <f t="shared" si="30"/>
        <v>2928.38</v>
      </c>
      <c r="F253" s="811">
        <f t="shared" si="33"/>
        <v>2946879</v>
      </c>
      <c r="G253" s="814">
        <f t="shared" si="32"/>
        <v>2928333.13</v>
      </c>
    </row>
    <row r="254" spans="1:7" ht="15">
      <c r="A254" s="818">
        <v>44561</v>
      </c>
      <c r="B254" s="813">
        <v>2947</v>
      </c>
      <c r="C254" s="814">
        <f t="shared" si="31"/>
        <v>2947</v>
      </c>
      <c r="D254" s="813">
        <f t="shared" si="29"/>
        <v>2947</v>
      </c>
      <c r="E254" s="814">
        <f t="shared" si="30"/>
        <v>2932.46</v>
      </c>
      <c r="F254" s="811">
        <f t="shared" si="33"/>
        <v>2946879</v>
      </c>
      <c r="G254" s="814">
        <f t="shared" si="32"/>
        <v>2932418.18</v>
      </c>
    </row>
    <row r="255" spans="1:7" ht="15">
      <c r="A255" s="818">
        <v>44592</v>
      </c>
      <c r="B255" s="813">
        <v>2947</v>
      </c>
      <c r="C255" s="814">
        <f t="shared" si="31"/>
        <v>2947</v>
      </c>
      <c r="D255" s="813">
        <f t="shared" si="29"/>
        <v>2947</v>
      </c>
      <c r="E255" s="814">
        <f t="shared" si="30"/>
        <v>2935.92</v>
      </c>
      <c r="F255" s="811">
        <f t="shared" si="33"/>
        <v>2946879</v>
      </c>
      <c r="G255" s="814">
        <f t="shared" si="32"/>
        <v>2935857.03</v>
      </c>
    </row>
    <row r="256" spans="1:7" ht="15">
      <c r="A256" s="818">
        <v>44620</v>
      </c>
      <c r="B256" s="813">
        <v>2947</v>
      </c>
      <c r="C256" s="814">
        <f t="shared" si="31"/>
        <v>2947</v>
      </c>
      <c r="D256" s="813">
        <f t="shared" si="29"/>
        <v>2947</v>
      </c>
      <c r="E256" s="814">
        <f t="shared" si="30"/>
        <v>2938.92</v>
      </c>
      <c r="F256" s="811">
        <f t="shared" si="33"/>
        <v>2946879</v>
      </c>
      <c r="G256" s="814">
        <f t="shared" si="32"/>
        <v>2938838.2</v>
      </c>
    </row>
    <row r="257" spans="1:20" ht="15">
      <c r="A257" s="818">
        <v>44651</v>
      </c>
      <c r="B257" s="813">
        <v>2947</v>
      </c>
      <c r="C257" s="814">
        <f t="shared" si="31"/>
        <v>2947</v>
      </c>
      <c r="D257" s="813">
        <f t="shared" si="29"/>
        <v>2947</v>
      </c>
      <c r="E257" s="814">
        <f t="shared" si="30"/>
        <v>2941.46</v>
      </c>
      <c r="F257" s="811">
        <f t="shared" si="33"/>
        <v>2946879</v>
      </c>
      <c r="G257" s="814">
        <f t="shared" si="32"/>
        <v>2941361.7</v>
      </c>
    </row>
    <row r="258" spans="1:20" ht="15">
      <c r="A258" s="818">
        <v>44681</v>
      </c>
      <c r="B258" s="813">
        <v>2947</v>
      </c>
      <c r="C258" s="814">
        <f t="shared" si="31"/>
        <v>2947</v>
      </c>
      <c r="D258" s="813">
        <f t="shared" si="29"/>
        <v>2947</v>
      </c>
      <c r="E258" s="814">
        <f t="shared" si="30"/>
        <v>2943.54</v>
      </c>
      <c r="F258" s="811">
        <f t="shared" si="33"/>
        <v>2946879</v>
      </c>
      <c r="G258" s="814">
        <f t="shared" si="32"/>
        <v>2943427.53</v>
      </c>
      <c r="S258" s="823" t="s">
        <v>399</v>
      </c>
    </row>
    <row r="259" spans="1:20" ht="15">
      <c r="A259" s="818">
        <v>44712</v>
      </c>
      <c r="B259" s="813">
        <v>2947</v>
      </c>
      <c r="C259" s="814">
        <f t="shared" si="31"/>
        <v>2947</v>
      </c>
      <c r="D259" s="813">
        <f t="shared" si="29"/>
        <v>2947</v>
      </c>
      <c r="E259" s="814">
        <f t="shared" si="30"/>
        <v>2945.15</v>
      </c>
      <c r="F259" s="811">
        <f t="shared" si="33"/>
        <v>2946879</v>
      </c>
      <c r="G259" s="814">
        <f t="shared" si="32"/>
        <v>2945035.69</v>
      </c>
      <c r="S259" s="818">
        <v>44286</v>
      </c>
      <c r="T259" s="819">
        <f>+F245-F233</f>
        <v>79346.689999979455</v>
      </c>
    </row>
    <row r="260" spans="1:20" ht="15">
      <c r="A260" s="818">
        <v>44742</v>
      </c>
      <c r="B260" s="813">
        <v>2947</v>
      </c>
      <c r="C260" s="814">
        <f t="shared" si="31"/>
        <v>2947</v>
      </c>
      <c r="D260" s="813">
        <f t="shared" si="29"/>
        <v>2947</v>
      </c>
      <c r="E260" s="814">
        <f t="shared" si="30"/>
        <v>2946.31</v>
      </c>
      <c r="F260" s="811">
        <f t="shared" si="33"/>
        <v>2946879</v>
      </c>
      <c r="G260" s="814">
        <f t="shared" si="32"/>
        <v>2946186.18</v>
      </c>
      <c r="S260" s="818">
        <v>44316</v>
      </c>
      <c r="T260" s="819">
        <f t="shared" ref="T260:T268" si="34">+F246-F234</f>
        <v>78659.319999979343</v>
      </c>
    </row>
    <row r="261" spans="1:20" ht="15">
      <c r="A261" s="818">
        <v>44773</v>
      </c>
      <c r="B261" s="813">
        <v>2947</v>
      </c>
      <c r="C261" s="814">
        <f>ROUND((SUM(B249:B261)/13),0)</f>
        <v>2947</v>
      </c>
      <c r="D261" s="813">
        <f t="shared" si="29"/>
        <v>2947</v>
      </c>
      <c r="E261" s="814">
        <f>ROUND((SUM(D249:D261)/13),2)</f>
        <v>2947</v>
      </c>
      <c r="F261" s="811">
        <f>+F260</f>
        <v>2946879</v>
      </c>
      <c r="G261" s="814">
        <f>ROUND((SUM(F249:F261)/13),2)</f>
        <v>2946879</v>
      </c>
      <c r="S261" s="818">
        <v>44347</v>
      </c>
      <c r="T261" s="819">
        <f t="shared" si="34"/>
        <v>77971.949999979232</v>
      </c>
    </row>
    <row r="262" spans="1:20" ht="15">
      <c r="A262" s="818">
        <v>44804</v>
      </c>
      <c r="B262" s="813">
        <v>2947</v>
      </c>
      <c r="C262" s="814">
        <f t="shared" ref="C262:C266" si="35">ROUND((SUM(B250:B262)/13),0)</f>
        <v>2947</v>
      </c>
      <c r="D262" s="813">
        <f t="shared" ref="D262:D266" si="36">ROUND(F262/1000,0)</f>
        <v>2947</v>
      </c>
      <c r="E262" s="814">
        <f t="shared" ref="E262:E266" si="37">ROUND((SUM(D250:D262)/13),2)</f>
        <v>2947</v>
      </c>
      <c r="F262" s="811">
        <f t="shared" ref="F262:F290" si="38">+F261</f>
        <v>2946879</v>
      </c>
      <c r="G262" s="814">
        <f t="shared" ref="G262:G266" si="39">ROUND((SUM(F250:F262)/13),2)</f>
        <v>2946879</v>
      </c>
      <c r="S262" s="818">
        <v>44377</v>
      </c>
      <c r="T262" s="819">
        <f t="shared" si="34"/>
        <v>77284.57999997912</v>
      </c>
    </row>
    <row r="263" spans="1:20" ht="15">
      <c r="A263" s="818">
        <v>44834</v>
      </c>
      <c r="B263" s="813">
        <v>2947</v>
      </c>
      <c r="C263" s="814">
        <f t="shared" si="35"/>
        <v>2947</v>
      </c>
      <c r="D263" s="813">
        <f t="shared" si="36"/>
        <v>2947</v>
      </c>
      <c r="E263" s="814">
        <f t="shared" si="37"/>
        <v>2947</v>
      </c>
      <c r="F263" s="811">
        <f t="shared" si="38"/>
        <v>2946879</v>
      </c>
      <c r="G263" s="814">
        <f t="shared" si="39"/>
        <v>2946879</v>
      </c>
      <c r="S263" s="818">
        <v>44408</v>
      </c>
      <c r="T263" s="819">
        <f t="shared" si="34"/>
        <v>79654.099999979138</v>
      </c>
    </row>
    <row r="264" spans="1:20" ht="15">
      <c r="A264" s="818">
        <v>44865</v>
      </c>
      <c r="B264" s="813">
        <v>2947</v>
      </c>
      <c r="C264" s="814">
        <f t="shared" si="35"/>
        <v>2947</v>
      </c>
      <c r="D264" s="813">
        <f t="shared" si="36"/>
        <v>2947</v>
      </c>
      <c r="E264" s="814">
        <f t="shared" si="37"/>
        <v>2947</v>
      </c>
      <c r="F264" s="811">
        <f t="shared" si="38"/>
        <v>2946879</v>
      </c>
      <c r="G264" s="814">
        <f t="shared" si="39"/>
        <v>2946879</v>
      </c>
      <c r="S264" s="818">
        <v>44439</v>
      </c>
      <c r="T264" s="819">
        <f t="shared" si="34"/>
        <v>73016.999999979045</v>
      </c>
    </row>
    <row r="265" spans="1:20" ht="15">
      <c r="A265" s="818">
        <v>44895</v>
      </c>
      <c r="B265" s="813">
        <v>2947</v>
      </c>
      <c r="C265" s="814">
        <f t="shared" si="35"/>
        <v>2947</v>
      </c>
      <c r="D265" s="813">
        <f t="shared" si="36"/>
        <v>2947</v>
      </c>
      <c r="E265" s="814">
        <f t="shared" si="37"/>
        <v>2947</v>
      </c>
      <c r="F265" s="811">
        <f t="shared" si="38"/>
        <v>2946879</v>
      </c>
      <c r="G265" s="814">
        <f t="shared" si="39"/>
        <v>2946879</v>
      </c>
      <c r="S265" s="818">
        <v>44469</v>
      </c>
      <c r="T265" s="819">
        <f t="shared" si="34"/>
        <v>66379.899999978952</v>
      </c>
    </row>
    <row r="266" spans="1:20" ht="15">
      <c r="A266" s="818">
        <v>44926</v>
      </c>
      <c r="B266" s="813">
        <v>2947</v>
      </c>
      <c r="C266" s="814">
        <f t="shared" si="35"/>
        <v>2947</v>
      </c>
      <c r="D266" s="813">
        <f t="shared" si="36"/>
        <v>2947</v>
      </c>
      <c r="E266" s="814">
        <f t="shared" si="37"/>
        <v>2947</v>
      </c>
      <c r="F266" s="811">
        <f t="shared" si="38"/>
        <v>2946879</v>
      </c>
      <c r="G266" s="814">
        <f t="shared" si="39"/>
        <v>2946879</v>
      </c>
      <c r="S266" s="818">
        <v>44500</v>
      </c>
      <c r="T266" s="819">
        <f t="shared" si="34"/>
        <v>59742.799999978859</v>
      </c>
    </row>
    <row r="267" spans="1:20" ht="15">
      <c r="A267" s="1056">
        <v>44957</v>
      </c>
      <c r="B267" s="813">
        <v>2947</v>
      </c>
      <c r="C267" s="814">
        <f t="shared" ref="C267:C278" si="40">ROUND((SUM(B255:B267)/13),0)</f>
        <v>2947</v>
      </c>
      <c r="D267" s="813">
        <f t="shared" ref="D267:D278" si="41">ROUND(F267/1000,0)</f>
        <v>2947</v>
      </c>
      <c r="E267" s="814">
        <f t="shared" ref="E267:E278" si="42">ROUND((SUM(D255:D267)/13),2)</f>
        <v>2947</v>
      </c>
      <c r="F267" s="811">
        <f t="shared" si="38"/>
        <v>2946879</v>
      </c>
      <c r="G267" s="814">
        <f t="shared" ref="G267:G278" si="43">ROUND((SUM(F255:F267)/13),2)</f>
        <v>2946879</v>
      </c>
      <c r="S267" s="818">
        <v>44530</v>
      </c>
      <c r="T267" s="819">
        <f t="shared" si="34"/>
        <v>53105.699999978766</v>
      </c>
    </row>
    <row r="268" spans="1:20" ht="15">
      <c r="A268" s="1056">
        <v>44985</v>
      </c>
      <c r="B268" s="813">
        <v>2947</v>
      </c>
      <c r="C268" s="814">
        <f t="shared" si="40"/>
        <v>2947</v>
      </c>
      <c r="D268" s="813">
        <f t="shared" si="41"/>
        <v>2947</v>
      </c>
      <c r="E268" s="814">
        <f t="shared" si="42"/>
        <v>2947</v>
      </c>
      <c r="F268" s="811">
        <f t="shared" si="38"/>
        <v>2946879</v>
      </c>
      <c r="G268" s="814">
        <f t="shared" si="43"/>
        <v>2946879</v>
      </c>
      <c r="S268" s="818">
        <v>44561</v>
      </c>
      <c r="T268" s="819">
        <f t="shared" si="34"/>
        <v>44705</v>
      </c>
    </row>
    <row r="269" spans="1:20" ht="15">
      <c r="A269" s="1056">
        <v>45016</v>
      </c>
      <c r="B269" s="813">
        <v>2947</v>
      </c>
      <c r="C269" s="814">
        <f t="shared" si="40"/>
        <v>2947</v>
      </c>
      <c r="D269" s="813">
        <f t="shared" si="41"/>
        <v>2947</v>
      </c>
      <c r="E269" s="814">
        <f t="shared" si="42"/>
        <v>2947</v>
      </c>
      <c r="F269" s="811">
        <f t="shared" si="38"/>
        <v>2946879</v>
      </c>
      <c r="G269" s="814">
        <f t="shared" si="43"/>
        <v>2946879</v>
      </c>
      <c r="S269" s="818">
        <v>44592</v>
      </c>
      <c r="T269" s="819">
        <f t="shared" ref="T269:T275" si="44">+F255-F243</f>
        <v>38755.270000000019</v>
      </c>
    </row>
    <row r="270" spans="1:20" ht="15">
      <c r="A270" s="1056">
        <v>45046</v>
      </c>
      <c r="B270" s="813">
        <v>2947</v>
      </c>
      <c r="C270" s="814">
        <f t="shared" si="40"/>
        <v>2947</v>
      </c>
      <c r="D270" s="813">
        <f t="shared" si="41"/>
        <v>2947</v>
      </c>
      <c r="E270" s="814">
        <f t="shared" si="42"/>
        <v>2947</v>
      </c>
      <c r="F270" s="811">
        <f t="shared" si="38"/>
        <v>2946879</v>
      </c>
      <c r="G270" s="814">
        <f t="shared" si="43"/>
        <v>2946879</v>
      </c>
      <c r="S270" s="818">
        <v>44620</v>
      </c>
      <c r="T270" s="819">
        <f t="shared" si="44"/>
        <v>32805.540000000037</v>
      </c>
    </row>
    <row r="271" spans="1:20" ht="15">
      <c r="A271" s="1056">
        <v>45077</v>
      </c>
      <c r="B271" s="813">
        <v>2947</v>
      </c>
      <c r="C271" s="814">
        <f t="shared" si="40"/>
        <v>2947</v>
      </c>
      <c r="D271" s="813">
        <f t="shared" si="41"/>
        <v>2947</v>
      </c>
      <c r="E271" s="814">
        <f t="shared" si="42"/>
        <v>2947</v>
      </c>
      <c r="F271" s="811">
        <f t="shared" si="38"/>
        <v>2946879</v>
      </c>
      <c r="G271" s="814">
        <f t="shared" si="43"/>
        <v>2946879</v>
      </c>
      <c r="S271" s="818">
        <v>44651</v>
      </c>
      <c r="T271" s="819">
        <f t="shared" si="44"/>
        <v>26855.810000000056</v>
      </c>
    </row>
    <row r="272" spans="1:20" ht="15">
      <c r="A272" s="1056">
        <v>45107</v>
      </c>
      <c r="B272" s="813">
        <v>2947</v>
      </c>
      <c r="C272" s="814">
        <f t="shared" si="40"/>
        <v>2947</v>
      </c>
      <c r="D272" s="813">
        <f t="shared" si="41"/>
        <v>2947</v>
      </c>
      <c r="E272" s="814">
        <f t="shared" si="42"/>
        <v>2947</v>
      </c>
      <c r="F272" s="811">
        <f t="shared" si="38"/>
        <v>2946879</v>
      </c>
      <c r="G272" s="814">
        <f t="shared" si="43"/>
        <v>2946879</v>
      </c>
      <c r="S272" s="818">
        <v>44681</v>
      </c>
      <c r="T272" s="819">
        <f t="shared" si="44"/>
        <v>20906.080000000075</v>
      </c>
    </row>
    <row r="273" spans="1:20" ht="15">
      <c r="A273" s="1056">
        <v>45138</v>
      </c>
      <c r="B273" s="813">
        <v>2947</v>
      </c>
      <c r="C273" s="814">
        <f t="shared" si="40"/>
        <v>2947</v>
      </c>
      <c r="D273" s="813">
        <f t="shared" si="41"/>
        <v>2947</v>
      </c>
      <c r="E273" s="814">
        <f t="shared" si="42"/>
        <v>2947</v>
      </c>
      <c r="F273" s="811">
        <f t="shared" si="38"/>
        <v>2946879</v>
      </c>
      <c r="G273" s="814">
        <f t="shared" si="43"/>
        <v>2946879</v>
      </c>
      <c r="S273" s="818">
        <v>44712</v>
      </c>
      <c r="T273" s="819">
        <f t="shared" si="44"/>
        <v>14956.350000000093</v>
      </c>
    </row>
    <row r="274" spans="1:20" ht="15">
      <c r="A274" s="1056">
        <v>45169</v>
      </c>
      <c r="B274" s="813">
        <v>2947</v>
      </c>
      <c r="C274" s="814">
        <f t="shared" si="40"/>
        <v>2947</v>
      </c>
      <c r="D274" s="813">
        <f t="shared" si="41"/>
        <v>2947</v>
      </c>
      <c r="E274" s="814">
        <f t="shared" si="42"/>
        <v>2947</v>
      </c>
      <c r="F274" s="811">
        <f t="shared" si="38"/>
        <v>2946879</v>
      </c>
      <c r="G274" s="814">
        <f t="shared" si="43"/>
        <v>2946879</v>
      </c>
      <c r="S274" s="818">
        <v>44742</v>
      </c>
      <c r="T274" s="819">
        <f t="shared" si="44"/>
        <v>9006.6200000001118</v>
      </c>
    </row>
    <row r="275" spans="1:20" ht="15">
      <c r="A275" s="1056">
        <v>45199</v>
      </c>
      <c r="B275" s="813">
        <v>2947</v>
      </c>
      <c r="C275" s="814">
        <f t="shared" si="40"/>
        <v>2947</v>
      </c>
      <c r="D275" s="813">
        <f t="shared" si="41"/>
        <v>2947</v>
      </c>
      <c r="E275" s="814">
        <f t="shared" si="42"/>
        <v>2947</v>
      </c>
      <c r="F275" s="811">
        <f t="shared" si="38"/>
        <v>2946879</v>
      </c>
      <c r="G275" s="814">
        <f t="shared" si="43"/>
        <v>2946879</v>
      </c>
      <c r="S275" s="818">
        <v>44773</v>
      </c>
      <c r="T275" s="819">
        <f t="shared" si="44"/>
        <v>0</v>
      </c>
    </row>
    <row r="276" spans="1:20" ht="15">
      <c r="A276" s="1056">
        <v>45230</v>
      </c>
      <c r="B276" s="813">
        <v>2947</v>
      </c>
      <c r="C276" s="814">
        <f t="shared" si="40"/>
        <v>2947</v>
      </c>
      <c r="D276" s="813">
        <f t="shared" si="41"/>
        <v>2947</v>
      </c>
      <c r="E276" s="814">
        <f t="shared" si="42"/>
        <v>2947</v>
      </c>
      <c r="F276" s="811">
        <f t="shared" si="38"/>
        <v>2946879</v>
      </c>
      <c r="G276" s="814">
        <f t="shared" si="43"/>
        <v>2946879</v>
      </c>
      <c r="S276" s="818">
        <v>44804</v>
      </c>
      <c r="T276" s="819">
        <f>+T275</f>
        <v>0</v>
      </c>
    </row>
    <row r="277" spans="1:20" ht="15">
      <c r="A277" s="1056">
        <v>45260</v>
      </c>
      <c r="B277" s="813">
        <v>2947</v>
      </c>
      <c r="C277" s="814">
        <f t="shared" si="40"/>
        <v>2947</v>
      </c>
      <c r="D277" s="813">
        <f t="shared" si="41"/>
        <v>2947</v>
      </c>
      <c r="E277" s="814">
        <f t="shared" si="42"/>
        <v>2947</v>
      </c>
      <c r="F277" s="811">
        <f t="shared" si="38"/>
        <v>2946879</v>
      </c>
      <c r="G277" s="814">
        <f t="shared" si="43"/>
        <v>2946879</v>
      </c>
      <c r="S277" s="818">
        <v>44834</v>
      </c>
      <c r="T277" s="819">
        <f t="shared" ref="T277:T280" si="45">+T276</f>
        <v>0</v>
      </c>
    </row>
    <row r="278" spans="1:20" ht="15">
      <c r="A278" s="1056">
        <v>45291</v>
      </c>
      <c r="B278" s="813">
        <v>2947</v>
      </c>
      <c r="C278" s="814">
        <f t="shared" si="40"/>
        <v>2947</v>
      </c>
      <c r="D278" s="813">
        <f t="shared" si="41"/>
        <v>2947</v>
      </c>
      <c r="E278" s="814">
        <f t="shared" si="42"/>
        <v>2947</v>
      </c>
      <c r="F278" s="811">
        <f t="shared" si="38"/>
        <v>2946879</v>
      </c>
      <c r="G278" s="814">
        <f t="shared" si="43"/>
        <v>2946879</v>
      </c>
      <c r="S278" s="818">
        <v>44865</v>
      </c>
      <c r="T278" s="819">
        <f t="shared" si="45"/>
        <v>0</v>
      </c>
    </row>
    <row r="279" spans="1:20" ht="15">
      <c r="A279" s="1089">
        <v>45322</v>
      </c>
      <c r="B279" s="813">
        <v>2947</v>
      </c>
      <c r="C279" s="814">
        <f t="shared" ref="C279:C290" si="46">ROUND((SUM(B267:B279)/13),0)</f>
        <v>2947</v>
      </c>
      <c r="D279" s="813">
        <f t="shared" ref="D279:D290" si="47">ROUND(F279/1000,0)</f>
        <v>2947</v>
      </c>
      <c r="E279" s="814">
        <f t="shared" ref="E279:E290" si="48">ROUND((SUM(D267:D279)/13),2)</f>
        <v>2947</v>
      </c>
      <c r="F279" s="811">
        <f t="shared" si="38"/>
        <v>2946879</v>
      </c>
      <c r="G279" s="814">
        <f t="shared" ref="G279:G290" si="49">ROUND((SUM(F267:F279)/13),2)</f>
        <v>2946879</v>
      </c>
      <c r="S279" s="818">
        <v>44895</v>
      </c>
      <c r="T279" s="819">
        <f t="shared" si="45"/>
        <v>0</v>
      </c>
    </row>
    <row r="280" spans="1:20" ht="15">
      <c r="A280" s="1089">
        <v>45350</v>
      </c>
      <c r="B280" s="813">
        <v>2947</v>
      </c>
      <c r="C280" s="814">
        <f t="shared" si="46"/>
        <v>2947</v>
      </c>
      <c r="D280" s="813">
        <f t="shared" si="47"/>
        <v>2947</v>
      </c>
      <c r="E280" s="814">
        <f t="shared" si="48"/>
        <v>2947</v>
      </c>
      <c r="F280" s="811">
        <f t="shared" si="38"/>
        <v>2946879</v>
      </c>
      <c r="G280" s="814">
        <f t="shared" si="49"/>
        <v>2946879</v>
      </c>
      <c r="S280" s="818">
        <v>44926</v>
      </c>
      <c r="T280" s="819">
        <f t="shared" si="45"/>
        <v>0</v>
      </c>
    </row>
    <row r="281" spans="1:20" ht="15">
      <c r="A281" s="1089">
        <v>45382</v>
      </c>
      <c r="B281" s="813">
        <v>2947</v>
      </c>
      <c r="C281" s="814">
        <f t="shared" si="46"/>
        <v>2947</v>
      </c>
      <c r="D281" s="813">
        <f t="shared" si="47"/>
        <v>2947</v>
      </c>
      <c r="E281" s="814">
        <f t="shared" si="48"/>
        <v>2947</v>
      </c>
      <c r="F281" s="811">
        <f t="shared" si="38"/>
        <v>2946879</v>
      </c>
      <c r="G281" s="814">
        <f t="shared" si="49"/>
        <v>2946879</v>
      </c>
    </row>
    <row r="282" spans="1:20" ht="15">
      <c r="A282" s="1089">
        <v>45412</v>
      </c>
      <c r="B282" s="813">
        <v>2947</v>
      </c>
      <c r="C282" s="814">
        <f t="shared" si="46"/>
        <v>2947</v>
      </c>
      <c r="D282" s="813">
        <f t="shared" si="47"/>
        <v>2947</v>
      </c>
      <c r="E282" s="814">
        <f t="shared" si="48"/>
        <v>2947</v>
      </c>
      <c r="F282" s="811">
        <f t="shared" si="38"/>
        <v>2946879</v>
      </c>
      <c r="G282" s="814">
        <f t="shared" si="49"/>
        <v>2946879</v>
      </c>
    </row>
    <row r="283" spans="1:20" ht="15">
      <c r="A283" s="1089">
        <v>45443</v>
      </c>
      <c r="B283" s="813">
        <v>2947</v>
      </c>
      <c r="C283" s="814">
        <f t="shared" si="46"/>
        <v>2947</v>
      </c>
      <c r="D283" s="813">
        <f t="shared" si="47"/>
        <v>2947</v>
      </c>
      <c r="E283" s="814">
        <f t="shared" si="48"/>
        <v>2947</v>
      </c>
      <c r="F283" s="811">
        <f t="shared" si="38"/>
        <v>2946879</v>
      </c>
      <c r="G283" s="814">
        <f t="shared" si="49"/>
        <v>2946879</v>
      </c>
    </row>
    <row r="284" spans="1:20" ht="15">
      <c r="A284" s="1089">
        <v>45473</v>
      </c>
      <c r="B284" s="813">
        <v>2947</v>
      </c>
      <c r="C284" s="814">
        <f t="shared" si="46"/>
        <v>2947</v>
      </c>
      <c r="D284" s="813">
        <f t="shared" si="47"/>
        <v>2947</v>
      </c>
      <c r="E284" s="814">
        <f t="shared" si="48"/>
        <v>2947</v>
      </c>
      <c r="F284" s="811">
        <f t="shared" si="38"/>
        <v>2946879</v>
      </c>
      <c r="G284" s="814">
        <f t="shared" si="49"/>
        <v>2946879</v>
      </c>
    </row>
    <row r="285" spans="1:20" ht="15">
      <c r="A285" s="1089">
        <v>45504</v>
      </c>
      <c r="B285" s="813">
        <v>2947</v>
      </c>
      <c r="C285" s="814">
        <f t="shared" si="46"/>
        <v>2947</v>
      </c>
      <c r="D285" s="813">
        <f t="shared" si="47"/>
        <v>2947</v>
      </c>
      <c r="E285" s="814">
        <f t="shared" si="48"/>
        <v>2947</v>
      </c>
      <c r="F285" s="811">
        <f t="shared" si="38"/>
        <v>2946879</v>
      </c>
      <c r="G285" s="814">
        <f t="shared" si="49"/>
        <v>2946879</v>
      </c>
    </row>
    <row r="286" spans="1:20" ht="15">
      <c r="A286" s="1089">
        <v>45535</v>
      </c>
      <c r="B286" s="813">
        <v>2947</v>
      </c>
      <c r="C286" s="814">
        <f t="shared" si="46"/>
        <v>2947</v>
      </c>
      <c r="D286" s="813">
        <f t="shared" si="47"/>
        <v>2947</v>
      </c>
      <c r="E286" s="814">
        <f t="shared" si="48"/>
        <v>2947</v>
      </c>
      <c r="F286" s="811">
        <f t="shared" si="38"/>
        <v>2946879</v>
      </c>
      <c r="G286" s="814">
        <f t="shared" si="49"/>
        <v>2946879</v>
      </c>
    </row>
    <row r="287" spans="1:20" ht="15">
      <c r="A287" s="1089">
        <v>45565</v>
      </c>
      <c r="B287" s="813">
        <v>2947</v>
      </c>
      <c r="C287" s="814">
        <f t="shared" si="46"/>
        <v>2947</v>
      </c>
      <c r="D287" s="813">
        <f t="shared" si="47"/>
        <v>2947</v>
      </c>
      <c r="E287" s="814">
        <f t="shared" si="48"/>
        <v>2947</v>
      </c>
      <c r="F287" s="811">
        <f t="shared" si="38"/>
        <v>2946879</v>
      </c>
      <c r="G287" s="814">
        <f t="shared" si="49"/>
        <v>2946879</v>
      </c>
    </row>
    <row r="288" spans="1:20" ht="15">
      <c r="A288" s="1089">
        <v>45596</v>
      </c>
      <c r="B288" s="813">
        <v>2947</v>
      </c>
      <c r="C288" s="814">
        <f t="shared" si="46"/>
        <v>2947</v>
      </c>
      <c r="D288" s="813">
        <f t="shared" si="47"/>
        <v>2947</v>
      </c>
      <c r="E288" s="814">
        <f t="shared" si="48"/>
        <v>2947</v>
      </c>
      <c r="F288" s="811">
        <f t="shared" si="38"/>
        <v>2946879</v>
      </c>
      <c r="G288" s="814">
        <f t="shared" si="49"/>
        <v>2946879</v>
      </c>
    </row>
    <row r="289" spans="1:7" ht="15">
      <c r="A289" s="1089">
        <v>45626</v>
      </c>
      <c r="B289" s="813">
        <v>2947</v>
      </c>
      <c r="C289" s="814">
        <f t="shared" si="46"/>
        <v>2947</v>
      </c>
      <c r="D289" s="813">
        <f t="shared" si="47"/>
        <v>2947</v>
      </c>
      <c r="E289" s="814">
        <f t="shared" si="48"/>
        <v>2947</v>
      </c>
      <c r="F289" s="811">
        <f t="shared" si="38"/>
        <v>2946879</v>
      </c>
      <c r="G289" s="814">
        <f t="shared" si="49"/>
        <v>2946879</v>
      </c>
    </row>
    <row r="290" spans="1:7" ht="15">
      <c r="A290" s="1089">
        <v>45657</v>
      </c>
      <c r="B290" s="813">
        <v>2947</v>
      </c>
      <c r="C290" s="814">
        <f t="shared" si="46"/>
        <v>2947</v>
      </c>
      <c r="D290" s="813">
        <f t="shared" si="47"/>
        <v>2947</v>
      </c>
      <c r="E290" s="814">
        <f t="shared" si="48"/>
        <v>2947</v>
      </c>
      <c r="F290" s="811">
        <f t="shared" si="38"/>
        <v>2946879</v>
      </c>
      <c r="G290" s="814">
        <f t="shared" si="49"/>
        <v>2946879</v>
      </c>
    </row>
  </sheetData>
  <printOptions horizontalCentered="1"/>
  <pageMargins left="0.25" right="0.25" top="0.25" bottom="0.5" header="0.3" footer="0.25"/>
  <pageSetup scale="61" orientation="landscape" r:id="rId1"/>
  <headerFooter alignWithMargins="0">
    <oddFooter>&amp;L&amp;D&amp;R&amp;Z&amp;F&amp;A</oddFooter>
  </headerFooter>
  <rowBreaks count="1" manualBreakCount="1">
    <brk id="130" max="6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0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A342F5-910C-484C-81A7-6814C203BEBD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9bbac886-2f20-4c15-ac8f-bd6773befed2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930E2E2-6219-435E-8A33-8AFD386B2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FBAD84-8C79-4DD2-941A-05562BC3D8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bac886-2f20-4c15-ac8f-bd6773bef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73</vt:i4>
      </vt:variant>
    </vt:vector>
  </HeadingPairs>
  <TitlesOfParts>
    <vt:vector size="117" baseType="lpstr">
      <vt:lpstr>i.SR</vt:lpstr>
      <vt:lpstr>Cover</vt:lpstr>
      <vt:lpstr>Drivers Tabs-&gt;</vt:lpstr>
      <vt:lpstr>Input</vt:lpstr>
      <vt:lpstr>Input Plant</vt:lpstr>
      <vt:lpstr>Input Seg of CWIP</vt:lpstr>
      <vt:lpstr>Input Tax Rate</vt:lpstr>
      <vt:lpstr>Input WFNG</vt:lpstr>
      <vt:lpstr>Model Tabs-&gt;</vt:lpstr>
      <vt:lpstr>IncomeStmt</vt:lpstr>
      <vt:lpstr>Bal Sheet</vt:lpstr>
      <vt:lpstr>Debt &amp; Cust Dep</vt:lpstr>
      <vt:lpstr>Cap Str 54.7%</vt:lpstr>
      <vt:lpstr>Int Synch</vt:lpstr>
      <vt:lpstr>Output Tabs-&gt;</vt:lpstr>
      <vt:lpstr>Report</vt:lpstr>
      <vt:lpstr>Reconcil</vt:lpstr>
      <vt:lpstr>Report YE</vt:lpstr>
      <vt:lpstr>Reconcil YE</vt:lpstr>
      <vt:lpstr>MSEA</vt:lpstr>
      <vt:lpstr>AFUDC Sch A </vt:lpstr>
      <vt:lpstr>AFUDC Sch B</vt:lpstr>
      <vt:lpstr>AFUDC Sch C</vt:lpstr>
      <vt:lpstr>Comparison Report Tabs-&gt;</vt:lpstr>
      <vt:lpstr>COMP Act to Prior</vt:lpstr>
      <vt:lpstr>COMP to Budget Q2</vt:lpstr>
      <vt:lpstr>COMP to 23 SR Bud</vt:lpstr>
      <vt:lpstr>Market ROE Working Tab</vt:lpstr>
      <vt:lpstr>NOT UPDATED -------&gt;</vt:lpstr>
      <vt:lpstr>Quarterly</vt:lpstr>
      <vt:lpstr>COMP to Final Bud</vt:lpstr>
      <vt:lpstr>COMP to 2+10F</vt:lpstr>
      <vt:lpstr>COMP to 5+7F</vt:lpstr>
      <vt:lpstr>COMP to 6+6F</vt:lpstr>
      <vt:lpstr>COMP to 7+5F</vt:lpstr>
      <vt:lpstr>COMP to Prior 8+4F</vt:lpstr>
      <vt:lpstr>COMP to Orig Bud</vt:lpstr>
      <vt:lpstr>COMP to LTF</vt:lpstr>
      <vt:lpstr>COMP to 2020 Strat</vt:lpstr>
      <vt:lpstr>COMP to Q3F</vt:lpstr>
      <vt:lpstr>Quarterly vs 0+12 vs Q1F</vt:lpstr>
      <vt:lpstr>Monthly</vt:lpstr>
      <vt:lpstr>Market ROE Recon - Bud</vt:lpstr>
      <vt:lpstr>Summary of Mark to Reg</vt:lpstr>
      <vt:lpstr>Bal_Sheet</vt:lpstr>
      <vt:lpstr>Interest_synch</vt:lpstr>
      <vt:lpstr>'AFUDC Sch A '!Print_Area</vt:lpstr>
      <vt:lpstr>'AFUDC Sch B'!Print_Area</vt:lpstr>
      <vt:lpstr>'Bal Sheet'!Print_Area</vt:lpstr>
      <vt:lpstr>'COMP Act to Prior'!Print_Area</vt:lpstr>
      <vt:lpstr>'COMP to 2+10F'!Print_Area</vt:lpstr>
      <vt:lpstr>'COMP to 2020 Strat'!Print_Area</vt:lpstr>
      <vt:lpstr>'COMP to 23 SR Bud'!Print_Area</vt:lpstr>
      <vt:lpstr>'COMP to 5+7F'!Print_Area</vt:lpstr>
      <vt:lpstr>'COMP to 6+6F'!Print_Area</vt:lpstr>
      <vt:lpstr>'COMP to 7+5F'!Print_Area</vt:lpstr>
      <vt:lpstr>'COMP to Budget Q2'!Print_Area</vt:lpstr>
      <vt:lpstr>'COMP to Final Bud'!Print_Area</vt:lpstr>
      <vt:lpstr>'COMP to LTF'!Print_Area</vt:lpstr>
      <vt:lpstr>'COMP to Orig Bud'!Print_Area</vt:lpstr>
      <vt:lpstr>'COMP to Prior 8+4F'!Print_Area</vt:lpstr>
      <vt:lpstr>'COMP to Q3F'!Print_Area</vt:lpstr>
      <vt:lpstr>IncomeStmt!Print_Area</vt:lpstr>
      <vt:lpstr>Input!Print_Area</vt:lpstr>
      <vt:lpstr>'Input Plant'!Print_Area</vt:lpstr>
      <vt:lpstr>'Input WFNG'!Print_Area</vt:lpstr>
      <vt:lpstr>'Int Synch'!Print_Area</vt:lpstr>
      <vt:lpstr>'Market ROE Recon - Bud'!Print_Area</vt:lpstr>
      <vt:lpstr>'Market ROE Working Tab'!Print_Area</vt:lpstr>
      <vt:lpstr>Monthly!Print_Area</vt:lpstr>
      <vt:lpstr>Quarterly!Print_Area</vt:lpstr>
      <vt:lpstr>'Quarterly vs 0+12 vs Q1F'!Print_Area</vt:lpstr>
      <vt:lpstr>Reconcil!Print_Area</vt:lpstr>
      <vt:lpstr>'Reconcil YE'!Print_Area</vt:lpstr>
      <vt:lpstr>Report!Print_Area</vt:lpstr>
      <vt:lpstr>'Report YE'!Print_Area</vt:lpstr>
      <vt:lpstr>'Bal Sheet'!Print_Titles</vt:lpstr>
      <vt:lpstr>'Input WFNG'!Print_Titles</vt:lpstr>
      <vt:lpstr>'Reconcil YE'!Reconcil_Average</vt:lpstr>
      <vt:lpstr>Reconcil_Average</vt:lpstr>
      <vt:lpstr>'Reconcil YE'!Reconcil_year_end</vt:lpstr>
      <vt:lpstr>Reconcil_year_end</vt:lpstr>
      <vt:lpstr>rngCopyMacro</vt:lpstr>
      <vt:lpstr>'COMP Act to Prior'!ROE_COMPARISON</vt:lpstr>
      <vt:lpstr>'COMP to 2+10F'!ROE_COMPARISON</vt:lpstr>
      <vt:lpstr>'COMP to 2020 Strat'!ROE_COMPARISON</vt:lpstr>
      <vt:lpstr>'COMP to 23 SR Bud'!ROE_COMPARISON</vt:lpstr>
      <vt:lpstr>'COMP to 5+7F'!ROE_COMPARISON</vt:lpstr>
      <vt:lpstr>'COMP to 6+6F'!ROE_COMPARISON</vt:lpstr>
      <vt:lpstr>'COMP to 7+5F'!ROE_COMPARISON</vt:lpstr>
      <vt:lpstr>'COMP to Budget Q2'!ROE_COMPARISON</vt:lpstr>
      <vt:lpstr>'COMP to Final Bud'!ROE_COMPARISON</vt:lpstr>
      <vt:lpstr>'COMP to LTF'!ROE_COMPARISON</vt:lpstr>
      <vt:lpstr>'COMP to Orig Bud'!ROE_COMPARISON</vt:lpstr>
      <vt:lpstr>'COMP to Prior 8+4F'!ROE_COMPARISON</vt:lpstr>
      <vt:lpstr>'COMP to Q3F'!ROE_COMPARISON</vt:lpstr>
      <vt:lpstr>Monthly!ROE_COMPARISON</vt:lpstr>
      <vt:lpstr>Quarterly!ROE_COMPARISON</vt:lpstr>
      <vt:lpstr>'Quarterly vs 0+12 vs Q1F'!ROE_COMPARISON</vt:lpstr>
      <vt:lpstr>'Report YE'!Sched_1</vt:lpstr>
      <vt:lpstr>Sched_1</vt:lpstr>
      <vt:lpstr>'Report YE'!Sched_2</vt:lpstr>
      <vt:lpstr>Sched_2</vt:lpstr>
      <vt:lpstr>'Report YE'!Sched_3</vt:lpstr>
      <vt:lpstr>Sched_3</vt:lpstr>
      <vt:lpstr>'Report YE'!Sched_4</vt:lpstr>
      <vt:lpstr>Sched_4</vt:lpstr>
      <vt:lpstr>'Report YE'!Sched_5</vt:lpstr>
      <vt:lpstr>Sched_5</vt:lpstr>
      <vt:lpstr>'Report YE'!Sched_5_2</vt:lpstr>
      <vt:lpstr>Sched_5_2</vt:lpstr>
      <vt:lpstr>Input!Summary_MSEA_Return</vt:lpstr>
      <vt:lpstr>sysLastSave</vt:lpstr>
      <vt:lpstr>sysUserName</vt:lpstr>
      <vt:lpstr>Tolerance</vt:lpstr>
      <vt:lpstr>'Reconcil YE'!Working_capital</vt:lpstr>
      <vt:lpstr>Working_capital</vt:lpstr>
    </vt:vector>
  </TitlesOfParts>
  <Manager/>
  <Company>Tampa Electric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Higgins</dc:creator>
  <cp:keywords/>
  <dc:description/>
  <cp:lastModifiedBy>Chasity Vaughan</cp:lastModifiedBy>
  <cp:revision/>
  <cp:lastPrinted>2023-02-08T19:02:13Z</cp:lastPrinted>
  <dcterms:created xsi:type="dcterms:W3CDTF">2002-02-15T14:21:04Z</dcterms:created>
  <dcterms:modified xsi:type="dcterms:W3CDTF">2023-08-25T13:33:37Z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a83f872e-d8d7-43ac-9961-0f2ad31e50e5_Enabled">
    <vt:lpwstr>true</vt:lpwstr>
  </property>
  <property fmtid="{D5CDD505-2E9C-101B-9397-08002B2CF9AE}" pid="5" name="MSIP_Label_a83f872e-d8d7-43ac-9961-0f2ad31e50e5_SetDate">
    <vt:lpwstr>2021-08-19T23:07:17Z</vt:lpwstr>
  </property>
  <property fmtid="{D5CDD505-2E9C-101B-9397-08002B2CF9AE}" pid="6" name="MSIP_Label_a83f872e-d8d7-43ac-9961-0f2ad31e50e5_Method">
    <vt:lpwstr>Standard</vt:lpwstr>
  </property>
  <property fmtid="{D5CDD505-2E9C-101B-9397-08002B2CF9AE}" pid="7" name="MSIP_Label_a83f872e-d8d7-43ac-9961-0f2ad31e50e5_Name">
    <vt:lpwstr>a83f872e-d8d7-43ac-9961-0f2ad31e50e5</vt:lpwstr>
  </property>
  <property fmtid="{D5CDD505-2E9C-101B-9397-08002B2CF9AE}" pid="8" name="MSIP_Label_a83f872e-d8d7-43ac-9961-0f2ad31e50e5_SiteId">
    <vt:lpwstr>fa8c194a-f8e2-43c5-bc39-b637579e39e0</vt:lpwstr>
  </property>
  <property fmtid="{D5CDD505-2E9C-101B-9397-08002B2CF9AE}" pid="9" name="MSIP_Label_a83f872e-d8d7-43ac-9961-0f2ad31e50e5_ActionId">
    <vt:lpwstr>b80be71a-c640-46ce-a8ab-2cb75c07a220</vt:lpwstr>
  </property>
  <property fmtid="{D5CDD505-2E9C-101B-9397-08002B2CF9AE}" pid="10" name="MSIP_Label_a83f872e-d8d7-43ac-9961-0f2ad31e50e5_ContentBits">
    <vt:lpwstr>0</vt:lpwstr>
  </property>
  <property fmtid="{D5CDD505-2E9C-101B-9397-08002B2CF9AE}" pid="11" name="ContentTypeId">
    <vt:lpwstr>0x0101001B9469E761E20748A773F85B33816D32</vt:lpwstr>
  </property>
  <property fmtid="{D5CDD505-2E9C-101B-9397-08002B2CF9AE}" pid="12" name="MSIP_Label_589256c7-9946-44df-b379-51beb93fd2d9_Enabled">
    <vt:lpwstr>true</vt:lpwstr>
  </property>
  <property fmtid="{D5CDD505-2E9C-101B-9397-08002B2CF9AE}" pid="13" name="MSIP_Label_589256c7-9946-44df-b379-51beb93fd2d9_SetDate">
    <vt:lpwstr>2022-03-01T17:13:53Z</vt:lpwstr>
  </property>
  <property fmtid="{D5CDD505-2E9C-101B-9397-08002B2CF9AE}" pid="14" name="MSIP_Label_589256c7-9946-44df-b379-51beb93fd2d9_Method">
    <vt:lpwstr>Privileged</vt:lpwstr>
  </property>
  <property fmtid="{D5CDD505-2E9C-101B-9397-08002B2CF9AE}" pid="15" name="MSIP_Label_589256c7-9946-44df-b379-51beb93fd2d9_Name">
    <vt:lpwstr>589256c7-9946-44df-b379-51beb93fd2d9</vt:lpwstr>
  </property>
  <property fmtid="{D5CDD505-2E9C-101B-9397-08002B2CF9AE}" pid="16" name="MSIP_Label_589256c7-9946-44df-b379-51beb93fd2d9_SiteId">
    <vt:lpwstr>36da45f1-dd2c-4d1f-af13-5abe46b99921</vt:lpwstr>
  </property>
  <property fmtid="{D5CDD505-2E9C-101B-9397-08002B2CF9AE}" pid="17" name="MSIP_Label_589256c7-9946-44df-b379-51beb93fd2d9_ActionId">
    <vt:lpwstr>d178c707-54a6-4c50-b846-f1b9c741c2b9</vt:lpwstr>
  </property>
  <property fmtid="{D5CDD505-2E9C-101B-9397-08002B2CF9AE}" pid="18" name="MSIP_Label_589256c7-9946-44df-b379-51beb93fd2d9_ContentBits">
    <vt:lpwstr>0</vt:lpwstr>
  </property>
</Properties>
</file>