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4th IRRs (Nos. 180-210)/Drafter Workspace/Attachments/IRR_202-in response/"/>
    </mc:Choice>
  </mc:AlternateContent>
  <xr:revisionPtr revIDLastSave="0" documentId="13_ncr:1_{39F787E2-55EA-409E-9100-A7CC04B13AB9}" xr6:coauthVersionLast="47" xr6:coauthVersionMax="47" xr10:uidLastSave="{00000000-0000-0000-0000-000000000000}"/>
  <bookViews>
    <workbookView xWindow="-120" yWindow="-120" windowWidth="29040" windowHeight="15840" xr2:uid="{71302063-E6E3-47AE-9889-D30FD63F97B5}"/>
  </bookViews>
  <sheets>
    <sheet name="IRR 202 Summary" sheetId="6" r:id="rId1"/>
    <sheet name="IRR 202 Detail " sheetId="5" r:id="rId2"/>
    <sheet name="SCHG2-19" sheetId="1" r:id="rId3"/>
    <sheet name="SCHG2-19b" sheetId="3" r:id="rId4"/>
    <sheet name="SCHG2-19c to 19e" sheetId="4" r:id="rId5"/>
  </sheets>
  <definedNames>
    <definedName name="\C">#REF!</definedName>
    <definedName name="\P">#REF!</definedName>
    <definedName name="\Z">#REF!</definedName>
    <definedName name="_070">#REF!</definedName>
    <definedName name="_070new">#REF!</definedName>
    <definedName name="_097_ALLOC">#REF!</definedName>
    <definedName name="_12MEACT">#REF!</definedName>
    <definedName name="_12MEBUD">#REF!</definedName>
    <definedName name="_1999GOAL7">#REF!</definedName>
    <definedName name="_2015_Salary">#REF!</definedName>
    <definedName name="_4TH_QUARTER">"$AC$4:$AN$45"</definedName>
    <definedName name="_99_03GOAL">#REF!</definedName>
    <definedName name="_APR40">#REF!</definedName>
    <definedName name="_AUG40">#REF!</definedName>
    <definedName name="_CAP2">#REF!</definedName>
    <definedName name="_DEC40">#REF!</definedName>
    <definedName name="_xlnm._FilterDatabase" localSheetId="1" hidden="1">'IRR 202 Detail '!#REF!</definedName>
    <definedName name="_xlnm._FilterDatabase" localSheetId="0" hidden="1">'IRR 202 Summary'!#REF!</definedName>
    <definedName name="_xlnm._FilterDatabase" localSheetId="3" hidden="1">'SCHG2-19b'!$A$13:$K$13</definedName>
    <definedName name="_JAN40">#REF!</definedName>
    <definedName name="_JUL40">#REF!</definedName>
    <definedName name="_JUN40">#REF!</definedName>
    <definedName name="_Key1" localSheetId="1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hidden="1">#REF!</definedName>
    <definedName name="_MAR40">"MARWHLFPC"</definedName>
    <definedName name="_MAY40">#REF!</definedName>
    <definedName name="_NOV40">#REF!</definedName>
    <definedName name="_OCT40">#REF!</definedName>
    <definedName name="_Order1" hidden="1">255</definedName>
    <definedName name="_Regression_Int" localSheetId="2" hidden="1">1</definedName>
    <definedName name="_Regression_Int">1</definedName>
    <definedName name="_SEP40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hidden="1">#REF!</definedName>
    <definedName name="ACCOUNT">#REF!</definedName>
    <definedName name="ACCOUNT_18">#REF!</definedName>
    <definedName name="ACCOUNT_19" localSheetId="1">#REF!</definedName>
    <definedName name="ACCOUNT_19" localSheetId="0">#REF!</definedName>
    <definedName name="ACCOUNT_19" localSheetId="3">#REF!</definedName>
    <definedName name="ACCOUNT_19" localSheetId="4">#REF!</definedName>
    <definedName name="ACCOUNT_19">#REF!</definedName>
    <definedName name="ACCOUNT_20">#REF!</definedName>
    <definedName name="ACCOUNT_21">#REF!</definedName>
    <definedName name="ACCOUNT_OVER_3">#REF!</definedName>
    <definedName name="ACT_AMOUNT">#REF!</definedName>
    <definedName name="ACT_FP_GROUP" localSheetId="1">#REF!</definedName>
    <definedName name="ACT_FP_GROUP" localSheetId="0">#REF!</definedName>
    <definedName name="ACT_FP_GROUP" localSheetId="4">#REF!</definedName>
    <definedName name="ACT_FP_GROUP">#REF!</definedName>
    <definedName name="ACT_MAJOR_LOCATION" localSheetId="1">#REF!</definedName>
    <definedName name="ACT_MAJOR_LOCATION" localSheetId="0">#REF!</definedName>
    <definedName name="ACT_MAJOR_LOCATION" localSheetId="4">#REF!</definedName>
    <definedName name="ACT_MAJOR_LOCATION">#REF!</definedName>
    <definedName name="ACT_MONTH_NUMBER">#REF!</definedName>
    <definedName name="ACT_PROJECT_DESCRIPTION">#REF!</definedName>
    <definedName name="ACT_SUMMARY_PROJECT_DESCRIPTION">#REF!</definedName>
    <definedName name="ACT_YEAR" localSheetId="1">#REF!</definedName>
    <definedName name="ACT_YEAR" localSheetId="0">#REF!</definedName>
    <definedName name="ACT_YEAR" localSheetId="4">#REF!</definedName>
    <definedName name="ACT_YEAR">#REF!</definedName>
    <definedName name="ACT2017_YEAR">#REF!</definedName>
    <definedName name="ActiveScenario">#REF!</definedName>
    <definedName name="ALLOWALOC">#REF!</definedName>
    <definedName name="ALLOWBB4HPP">#REF!</definedName>
    <definedName name="AMOUNT">#REF!</definedName>
    <definedName name="Analysis_of_921_Account">#REF!</definedName>
    <definedName name="anscount">6</definedName>
    <definedName name="AP_OTHER">#REF!</definedName>
    <definedName name="Apr">#REF!</definedName>
    <definedName name="APRJE">#REF!</definedName>
    <definedName name="APRJE2">#REF!</definedName>
    <definedName name="APRJE3">#REF!</definedName>
    <definedName name="APRRET">#REF!</definedName>
    <definedName name="APRWHLFPC">#REF!</definedName>
    <definedName name="APRWHLFTM">#REF!</definedName>
    <definedName name="APRWHLSTC">#REF!</definedName>
    <definedName name="APRWHLWAU">#REF!</definedName>
    <definedName name="ary_Case_DrpDn">#REF!</definedName>
    <definedName name="ary_Qaunt">#REF!</definedName>
    <definedName name="ASSUMPTIONS">#REF!</definedName>
    <definedName name="Aug">#REF!</definedName>
    <definedName name="AUGFPC">#REF!</definedName>
    <definedName name="AUGJE">#REF!</definedName>
    <definedName name="AUGJE2">#REF!</definedName>
    <definedName name="AUGJE3">#REF!</definedName>
    <definedName name="AUGRET">#REF!</definedName>
    <definedName name="AUGWHLFPC">#REF!</definedName>
    <definedName name="AUGWHLFTM">#REF!</definedName>
    <definedName name="AUGWHLSTC">#REF!</definedName>
    <definedName name="AUGWHLWAU">#REF!</definedName>
    <definedName name="_xlnm.Auto_Close" localSheetId="0">#REF!</definedName>
    <definedName name="_xlnm.Auto_Close" localSheetId="2">#REF!</definedName>
    <definedName name="_xlnm.Auto_Close">#REF!</definedName>
    <definedName name="BALANCE_FGIO" localSheetId="1">#REF!</definedName>
    <definedName name="BALANCE_FGIO" localSheetId="0">#REF!</definedName>
    <definedName name="BALANCE_FGIO" localSheetId="3">#REF!</definedName>
    <definedName name="BALANCE_FGIO" localSheetId="4">#REF!</definedName>
    <definedName name="BALANCE_FGIO">#REF!</definedName>
    <definedName name="Base_Year">#REF!</definedName>
    <definedName name="base02">#REF!</definedName>
    <definedName name="base04">#REF!</definedName>
    <definedName name="BENEFITS_EXP">#REF!</definedName>
    <definedName name="BG_Del">15</definedName>
    <definedName name="BG_Ins">4</definedName>
    <definedName name="BG_Mod">6</definedName>
    <definedName name="BMGHIndex">"O"</definedName>
    <definedName name="BS_Forecast">#REF!</definedName>
    <definedName name="BS_Plan">#REF!</definedName>
    <definedName name="BS_Plan2">#REF!</definedName>
    <definedName name="BSMap">#REF!</definedName>
    <definedName name="BTLTAX">#REF!</definedName>
    <definedName name="BTLTAXES">#REF!</definedName>
    <definedName name="BTLTXBUD">#REF!</definedName>
    <definedName name="BUD_APR">#REF!</definedName>
    <definedName name="BUD_AUG">#REF!</definedName>
    <definedName name="BUD_DEC">#REF!</definedName>
    <definedName name="BUD_FEB">#REF!</definedName>
    <definedName name="BUD_FP_GROUP">#REF!</definedName>
    <definedName name="BUD_JAN">#REF!</definedName>
    <definedName name="BUD_JUL">#REF!</definedName>
    <definedName name="BUD_JUN">#REF!</definedName>
    <definedName name="BUD_MAR">#REF!</definedName>
    <definedName name="BUD_MAY">#REF!</definedName>
    <definedName name="BUD_MTD">#REF!</definedName>
    <definedName name="BUD_NOV">#REF!</definedName>
    <definedName name="BUD_OCT">#REF!</definedName>
    <definedName name="BUD_PROJECT_DESCRIPTION">#REF!</definedName>
    <definedName name="BUD_QTD">#REF!</definedName>
    <definedName name="BUD_SEP">#REF!</definedName>
    <definedName name="BUD_SUMMARY_PROJECT_DESCRIPTION">#REF!</definedName>
    <definedName name="BUD_TOTAL">#REF!</definedName>
    <definedName name="BUD_YEAR">#REF!</definedName>
    <definedName name="BUD_YTD" localSheetId="1">#REF!</definedName>
    <definedName name="BUD_YTD" localSheetId="0">#REF!</definedName>
    <definedName name="BUD_YTD" localSheetId="4">#REF!</definedName>
    <definedName name="BUD_YTD">#REF!</definedName>
    <definedName name="BUD2018_CM">#REF!</definedName>
    <definedName name="BUD2018_CM_YTD">#REF!</definedName>
    <definedName name="BUD2018_MTD">#REF!</definedName>
    <definedName name="BUD2018_QTD">#REF!</definedName>
    <definedName name="BUD2018_SEP">#REF!</definedName>
    <definedName name="BUD2018_SUMMARY_PROJECT_DESCRIPTION">#REF!</definedName>
    <definedName name="BUD2018_WO_GROUP">#REF!</definedName>
    <definedName name="BUD2018_YTD">#REF!</definedName>
    <definedName name="BUD2019_APR">#REF!</definedName>
    <definedName name="BUD2019_AUG">#REF!</definedName>
    <definedName name="BUD2019_CM_YTD">#REF!</definedName>
    <definedName name="BUD2019_DEC">#REF!</definedName>
    <definedName name="BUD2019_FEB">#REF!</definedName>
    <definedName name="BUD2019_FP_GROUP">#REF!</definedName>
    <definedName name="BUD2019_JAN">#REF!</definedName>
    <definedName name="BUD2019_JUL">#REF!</definedName>
    <definedName name="BUD2019_JUN">#REF!</definedName>
    <definedName name="BUD2019_MAR">#REF!</definedName>
    <definedName name="BUD2019_MAY">#REF!</definedName>
    <definedName name="BUD2019_MTD">#REF!</definedName>
    <definedName name="BUD2019_NOV">#REF!</definedName>
    <definedName name="BUD2019_OCT">#REF!</definedName>
    <definedName name="BUD2019_PROJECT_DESCRIPTION">#REF!</definedName>
    <definedName name="BUD2019_QTD">#REF!</definedName>
    <definedName name="BUD2019_SEP">#REF!</definedName>
    <definedName name="BUD2019_SUMMARY_PROJECT_DESCRIPTION">#REF!</definedName>
    <definedName name="BUD2019_TOTAL">#REF!</definedName>
    <definedName name="BUD2019_YEAR">#REF!</definedName>
    <definedName name="BUD2019_YTD">#REF!</definedName>
    <definedName name="BUDGET">#REF!</definedName>
    <definedName name="BUDGET_YEAR" localSheetId="1">#REF!</definedName>
    <definedName name="BUDGET_YEAR" localSheetId="0">#REF!</definedName>
    <definedName name="BUDGET_YEAR" localSheetId="3">#REF!</definedName>
    <definedName name="BUDGET_YEAR" localSheetId="4">#REF!</definedName>
    <definedName name="BUDGET_YEAR">#REF!</definedName>
    <definedName name="BUDGET2000">#REF!</definedName>
    <definedName name="BUDGETYEAR">#REF!</definedName>
    <definedName name="capital">#REF!</definedName>
    <definedName name="capital_479">#REF!</definedName>
    <definedName name="CAPSTRUC">#REF!</definedName>
    <definedName name="CAPTRUEUP">#REF!</definedName>
    <definedName name="CASHFLS">#REF!</definedName>
    <definedName name="CBWorkbookPriority">-1818492550</definedName>
    <definedName name="CF_Forecast">#REF!</definedName>
    <definedName name="CF_Plan2">#REF!</definedName>
    <definedName name="CIQWBGuid" hidden="1">"4603d683-3e68-4932-85ab-1f598e093cb1"</definedName>
    <definedName name="CM_FOR">#REF!</definedName>
    <definedName name="CM_FOR_SHORT" localSheetId="1">#REF!</definedName>
    <definedName name="CM_FOR_SHORT" localSheetId="0">#REF!</definedName>
    <definedName name="CM_FOR_SHORT" localSheetId="3">#REF!</definedName>
    <definedName name="CM_FOR_SHORT" localSheetId="4">#REF!</definedName>
    <definedName name="CM_FOR_SHORT">#REF!</definedName>
    <definedName name="CM_FORECAST" localSheetId="1">#REF!</definedName>
    <definedName name="CM_FORECAST" localSheetId="0">#REF!</definedName>
    <definedName name="CM_FORECAST" localSheetId="3">#REF!</definedName>
    <definedName name="CM_FORECAST" localSheetId="4">#REF!</definedName>
    <definedName name="CM_FORECAST">#REF!</definedName>
    <definedName name="CM_NAME" localSheetId="1">#REF!</definedName>
    <definedName name="CM_NAME" localSheetId="0">#REF!</definedName>
    <definedName name="CM_NAME" localSheetId="3">#REF!</definedName>
    <definedName name="CM_NAME" localSheetId="4">#REF!</definedName>
    <definedName name="CM_NAME">#REF!</definedName>
    <definedName name="CMACT">#REF!</definedName>
    <definedName name="CMBUD">#REF!</definedName>
    <definedName name="Company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NTENTS">#REF!</definedName>
    <definedName name="cost_breakdown_per_space">#REF!</definedName>
    <definedName name="Cost_Center" localSheetId="1">#REF!</definedName>
    <definedName name="Cost_Center" localSheetId="0">#REF!</definedName>
    <definedName name="COST_CENTER">#REF!</definedName>
    <definedName name="COST_CENTER_20">#REF!</definedName>
    <definedName name="COST_CENTER_21">#REF!</definedName>
    <definedName name="COST_CENTER_OVER_3">#REF!</definedName>
    <definedName name="Cost_Summary">#REF!</definedName>
    <definedName name="CT_4_2">#REF!</definedName>
    <definedName name="CURRENT_DATE">#REF!</definedName>
    <definedName name="CURRENT_FOR">#REF!</definedName>
    <definedName name="CURRENT_FORECAST">#REF!</definedName>
    <definedName name="CURRENT_QUARTER">#REF!</definedName>
    <definedName name="CURRENT_YEAR" localSheetId="1">#REF!</definedName>
    <definedName name="CURRENT_YEAR" localSheetId="0">#REF!</definedName>
    <definedName name="CURRENT_YEAR" localSheetId="3">#REF!</definedName>
    <definedName name="CURRENT_YEAR" localSheetId="4">#REF!</definedName>
    <definedName name="CURRENT_YEAR">#REF!</definedName>
    <definedName name="CYFGSGF">#REF!</definedName>
    <definedName name="DAT">#REF!</definedName>
    <definedName name="dcMonthsinYear">12</definedName>
    <definedName name="Dec" localSheetId="1">#REF!</definedName>
    <definedName name="Dec" localSheetId="0">#REF!</definedName>
    <definedName name="Dec" localSheetId="4">#REF!</definedName>
    <definedName name="DEC">#REF!</definedName>
    <definedName name="DEC_18">#REF!</definedName>
    <definedName name="DEC_Proj">#REF!</definedName>
    <definedName name="DECJE">#REF!</definedName>
    <definedName name="DECJE2">#REF!</definedName>
    <definedName name="DECJE3">#REF!</definedName>
    <definedName name="DECRET">#REF!</definedName>
    <definedName name="DECWHLFPC">#REF!</definedName>
    <definedName name="DECWHLFTM">#REF!</definedName>
    <definedName name="DECWHLSTC">#REF!</definedName>
    <definedName name="DECWHLWAU">#REF!</definedName>
    <definedName name="DIT_PERM_Differences">#REF!</definedName>
    <definedName name="DocketNum">#REF!</definedName>
    <definedName name="Download">#REF!</definedName>
    <definedName name="DOWNLOAD_1099">#REF!</definedName>
    <definedName name="Effective_Income_Tax_Rate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MERA">#REF!</definedName>
    <definedName name="EMERA__BUD_FP_GROUP">#REF!</definedName>
    <definedName name="EMERA__BUD_PROJECT_DESCRIPTION">#REF!</definedName>
    <definedName name="EMERA__BUD_SUMMARY_PROJECT_DESCRIPTION">#REF!</definedName>
    <definedName name="EMERA__BUD_YEAR">#REF!</definedName>
    <definedName name="EMERA__BUD_YTD">#REF!</definedName>
    <definedName name="EMERA_ACT_MONTH" localSheetId="1">#REF!</definedName>
    <definedName name="EMERA_ACT_MONTH" localSheetId="0">#REF!</definedName>
    <definedName name="EMERA_ACT_MONTH" localSheetId="4">#REF!</definedName>
    <definedName name="EMERA_ACT_MONTH">#REF!</definedName>
    <definedName name="EMERA_BUD_MTD">#REF!</definedName>
    <definedName name="EMERA_BUD_TOTAL">#REF!</definedName>
    <definedName name="EMERA_FORECAST" localSheetId="1">#REF!</definedName>
    <definedName name="EMERA_FORECAST" localSheetId="0">#REF!</definedName>
    <definedName name="EMERA_FORECAST" localSheetId="4">#REF!</definedName>
    <definedName name="EMERA_FORECAST">#REF!</definedName>
    <definedName name="EMERAFOR_ACCOUNT">#REF!</definedName>
    <definedName name="EMERAFOR_COST_CENTER">#REF!</definedName>
    <definedName name="EMERAFOR_MTD">#REF!</definedName>
    <definedName name="EMERAFOR_TOTAL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OP_GOAL">#REF!</definedName>
    <definedName name="ESOPWP">#REF!</definedName>
    <definedName name="ev.Calculation">-4105</definedName>
    <definedName name="EV__EVCOM_OPTIONS__" hidden="1">10</definedName>
    <definedName name="EV__EXPOPTIONS__" hidden="1">1</definedName>
    <definedName name="EV__LASTREFTIME__" hidden="1">"(GMT-05:00)09/04/2012 01:57:09 PM"</definedName>
    <definedName name="EV__MAXEXPCOLS__" hidden="1">100</definedName>
    <definedName name="EV__MAXEXPROWS__" hidden="1">1000</definedName>
    <definedName name="EV__MEMORYCVW__" hidden="1">0</definedName>
    <definedName name="EV__MEMORYCVW__11_OM_SEND_REC_REPORT1" hidden="1">"[TECOLABOR"</definedName>
    <definedName name="EV__MEMORYCVW__11_OM_SEND_REC_REPORT1_CATEGORY" hidden="1">"[WKG_BUDGET"</definedName>
    <definedName name="EV__MEMORYCVW__11_OM_SEND_REC_REPORT1_COST_CENTER" hidden="1">"[ALL_COST_CENTERS"</definedName>
    <definedName name="EV__MEMORYCVW__11_OM_SEND_REC_REPORT1_ENTITY" hidden="1">"[E_2002"</definedName>
    <definedName name="EV__MEMORYCVW__11_OM_SEND_REC_REPORT1_I_ENTITY" hidden="1">"[IE_NA"</definedName>
    <definedName name="EV__MEMORYCVW__11_OM_SEND_REC_REPORT1_IC_COST_CENTER" hidden="1">"[ICC_NA"</definedName>
    <definedName name="EV__MEMORYCVW__11_OM_SEND_REC_REPORT1_L_ACCOUNT" hidden="1">"[A_ALL_COST_TYPES"</definedName>
    <definedName name="EV__MEMORYCVW__11_OM_SEND_REC_REPORT1_L_DATASRC" hidden="1">"[INPUT"</definedName>
    <definedName name="EV__MEMORYCVW__11_OM_SEND_REC_REPORT1_MEASURES" hidden="1">"[PERIODIC"</definedName>
    <definedName name="EV__MEMORYCVW__11_OM_SEND_REC_REPORT1_PAYSCALE_GROUP" hidden="1">"[PG_NA"</definedName>
    <definedName name="EV__MEMORYCVW__11_OM_SEND_REC_REPORT1_RPTCURRENCY" hidden="1">"[LC"</definedName>
    <definedName name="EV__MEMORYCVW__11_OM_SEND_REC_REPORT1_TIME" hidden="1">"[2017.TOTAL"</definedName>
    <definedName name="EV__MEMORYCVW__2015_ASSESSMENTS_VS_2014_BUDGETS_FROM_TEC_SUPPORT_SERVICES.XLSX" hidden="1">"[PLANNING"</definedName>
    <definedName name="EV__MEMORYCVW__2015_ASSESSMENTS_VS_2014_BUDGETS_FROM_TEC_SUPPORT_SERVICES.XLSX_ACCOUNT" hidden="1">"[A_STAT"</definedName>
    <definedName name="EV__MEMORYCVW__2015_ASSESSMENTS_VS_2014_BUDGETS_FROM_TEC_SUPPORT_SERVICES.XLSX_CATEGORY" hidden="1">"[ACTUAL"</definedName>
    <definedName name="EV__MEMORYCVW__2015_ASSESSMENTS_VS_2014_BUDGETS_FROM_TEC_SUPPORT_SERVICES.XLSX_COST_CENTER" hidden="1">"[Corp_Communications"</definedName>
    <definedName name="EV__MEMORYCVW__2015_ASSESSMENTS_VS_2014_BUDGETS_FROM_TEC_SUPPORT_SERVICES.XLSX_ENTITY" hidden="1">"[E_2201"</definedName>
    <definedName name="EV__MEMORYCVW__2015_ASSESSMENTS_VS_2014_BUDGETS_FROM_TEC_SUPPORT_SERVICES.XLSX_MEASURES" hidden="1">"[YTD"</definedName>
    <definedName name="EV__MEMORYCVW__2015_ASSESSMENTS_VS_2014_BUDGETS_FROM_TEC_SUPPORT_SERVICES.XLSX_P_DATASOURCE" hidden="1">"[INPUT"</definedName>
    <definedName name="EV__MEMORYCVW__2015_ASSESSMENTS_VS_2014_BUDGETS_FROM_TEC_SUPPORT_SERVICES.XLSX_RPTCURRENCY" hidden="1">"[LC"</definedName>
    <definedName name="EV__MEMORYCVW__2015_ASSESSMENTS_VS_2014_BUDGETS_FROM_TEC_SUPPORT_SERVICES.XLSX_TIME" hidden="1">"[2014.TOTAL"</definedName>
    <definedName name="EV__MEMORYCVW__2015_ASSESSMENTS_VS_2014_BUDGETS_FROM_TEC_SUPPORT_SERVICES_3M_REDUCTIONS.XLSX" hidden="1">"[TECOLABOR"</definedName>
    <definedName name="EV__MEMORYCVW__2015_ASSESSMENTS_VS_2014_BUDGETS_FROM_TEC_SUPPORT_SERVICES_3M_REDUCTIONS.XLSX_ACCOUNT" hidden="1">"[A_STAT"</definedName>
    <definedName name="EV__MEMORYCVW__2015_ASSESSMENTS_VS_2014_BUDGETS_FROM_TEC_SUPPORT_SERVICES_3M_REDUCTIONS.XLSX_CATEGORY" hidden="1">"[WKG_BUDGET"</definedName>
    <definedName name="EV__MEMORYCVW__2015_ASSESSMENTS_VS_2014_BUDGETS_FROM_TEC_SUPPORT_SERVICES_3M_REDUCTIONS.XLSX_COST_CENTER" hidden="1">"[CC_130044"</definedName>
    <definedName name="EV__MEMORYCVW__2015_ASSESSMENTS_VS_2014_BUDGETS_FROM_TEC_SUPPORT_SERVICES_3M_REDUCTIONS.XLSX_ENTITY" hidden="1">"[E_2002"</definedName>
    <definedName name="EV__MEMORYCVW__2015_ASSESSMENTS_VS_2014_BUDGETS_FROM_TEC_SUPPORT_SERVICES_3M_REDUCTIONS.XLSX_I_ENTITY" hidden="1">"[IE_NA"</definedName>
    <definedName name="EV__MEMORYCVW__2015_ASSESSMENTS_VS_2014_BUDGETS_FROM_TEC_SUPPORT_SERVICES_3M_REDUCTIONS.XLSX_IC_COST_CENTER" hidden="1">"[ICC_NA"</definedName>
    <definedName name="EV__MEMORYCVW__2015_ASSESSMENTS_VS_2014_BUDGETS_FROM_TEC_SUPPORT_SERVICES_3M_REDUCTIONS.XLSX_L_ACCOUNT" hidden="1">"[A_ALL_STAT_ACCOUNTS"</definedName>
    <definedName name="EV__MEMORYCVW__2015_ASSESSMENTS_VS_2014_BUDGETS_FROM_TEC_SUPPORT_SERVICES_3M_REDUCTIONS.XLSX_L_DATASRC" hidden="1">"[INPUT"</definedName>
    <definedName name="EV__MEMORYCVW__2015_ASSESSMENTS_VS_2014_BUDGETS_FROM_TEC_SUPPORT_SERVICES_3M_REDUCTIONS.XLSX_MEASURES" hidden="1">"[PERIODIC"</definedName>
    <definedName name="EV__MEMORYCVW__2015_ASSESSMENTS_VS_2014_BUDGETS_FROM_TEC_SUPPORT_SERVICES_3M_REDUCTIONS.XLSX_P_DATASOURCE" hidden="1">"[INPUT"</definedName>
    <definedName name="EV__MEMORYCVW__2015_ASSESSMENTS_VS_2014_BUDGETS_FROM_TEC_SUPPORT_SERVICES_3M_REDUCTIONS.XLSX_PAYSCALE_GROUP" hidden="1">"[TOTAL_PAYSCALEGROUPS"</definedName>
    <definedName name="EV__MEMORYCVW__2015_ASSESSMENTS_VS_2014_BUDGETS_FROM_TEC_SUPPORT_SERVICES_3M_REDUCTIONS.XLSX_RPTCURRENCY" hidden="1">"[LC"</definedName>
    <definedName name="EV__MEMORYCVW__2015_ASSESSMENTS_VS_2014_BUDGETS_FROM_TEC_SUPPORT_SERVICES_3M_REDUCTIONS.XLSX_TIME" hidden="1">"[2015.TOTAL"</definedName>
    <definedName name="EV__MEMORYCVW__2015_ASSESSMENTS_VS_2014_BUDGETS_FROM_TSI_SERVICES_AND_TSI_CORP..XLSX" hidden="1">"[TECOLABOR"</definedName>
    <definedName name="EV__MEMORYCVW__2015_ASSESSMENTS_VS_2014_BUDGETS_FROM_TSI_SERVICES_AND_TSI_CORP..XLSX_ACCOUNT" hidden="1">"[A_STAT"</definedName>
    <definedName name="EV__MEMORYCVW__2015_ASSESSMENTS_VS_2014_BUDGETS_FROM_TSI_SERVICES_AND_TSI_CORP..XLSX_CATEGORY" hidden="1">"[ACTUAL"</definedName>
    <definedName name="EV__MEMORYCVW__2015_ASSESSMENTS_VS_2014_BUDGETS_FROM_TSI_SERVICES_AND_TSI_CORP..XLSX_COST_CENTER" hidden="1">"[CC_130047"</definedName>
    <definedName name="EV__MEMORYCVW__2015_ASSESSMENTS_VS_2014_BUDGETS_FROM_TSI_SERVICES_AND_TSI_CORP..XLSX_ENTITY" hidden="1">"[E_2002"</definedName>
    <definedName name="EV__MEMORYCVW__2015_ASSESSMENTS_VS_2014_BUDGETS_FROM_TSI_SERVICES_AND_TSI_CORP..XLSX_MEASURES" hidden="1">"[YTD"</definedName>
    <definedName name="EV__MEMORYCVW__2015_ASSESSMENTS_VS_2014_BUDGETS_FROM_TSI_SERVICES_AND_TSI_CORP..XLSX_P_DATASOURCE" hidden="1">"[INPUT"</definedName>
    <definedName name="EV__MEMORYCVW__2015_ASSESSMENTS_VS_2014_BUDGETS_FROM_TSI_SERVICES_AND_TSI_CORP..XLSX_RPTCURRENCY" hidden="1">"[LC"</definedName>
    <definedName name="EV__MEMORYCVW__2015_ASSESSMENTS_VS_2014_BUDGETS_FROM_TSI_SERVICES_AND_TSI_CORP..XLSX_TIME" hidden="1">"[2014.TOTAL"</definedName>
    <definedName name="EV__MEMORYCVW__2015_ASSESSMENTS_VS_2014_BUDGETS_FROM_TSI_SERVICES_AND_TSI_CORP.XLSX" hidden="1">"[TECOLABOR"</definedName>
    <definedName name="EV__MEMORYCVW__2015_ASSESSMENTS_VS_2014_BUDGETS_FROM_TSI_SERVICES_AND_TSI_CORP.XLSX_ACCOUNT" hidden="1">"[LIAB_AND_CAP"</definedName>
    <definedName name="EV__MEMORYCVW__2015_ASSESSMENTS_VS_2014_BUDGETS_FROM_TSI_SERVICES_AND_TSI_CORP.XLSX_P_DATASOURCE" hidden="1">"[INPUT"</definedName>
    <definedName name="EV__MEMORYCVW__2015_ASSESSMENTS_VS_2014_BUDGETS_FROM_TSI_SERVICES_AND_TSI_CORP_3M_REDUCTIONS.XLSX" hidden="1">"[PLANNING"</definedName>
    <definedName name="EV__MEMORYCVW__2015_ASSESSMENTS_VS_2014_BUDGETS_FROM_TSI_SERVICES_AND_TSI_CORP_3M_REDUCTIONS.XLSX_I_ENTITY" hidden="1">"[IE_NA"</definedName>
    <definedName name="EV__MEMORYCVW__2015_ASSESSMENTS_VS_2014_BUDGETS_FROM_TSI_SERVICES_AND_TSI_CORP_3M_REDUCTIONS.XLSX_IC_COST_CENTER" hidden="1">"[ICC_NA"</definedName>
    <definedName name="EV__MEMORYCVW__2015_ASSESSMENTS_VS_2014_BUDGETS_FROM_TSI_SERVICES_AND_TSI_CORP_3M_REDUCTIONS.XLSX_L_ACCOUNT" hidden="1">"[A_ALL_STAT_ACCOUNTS"</definedName>
    <definedName name="EV__MEMORYCVW__2015_ASSESSMENTS_VS_2014_BUDGETS_FROM_TSI_SERVICES_AND_TSI_CORP_3M_REDUCTIONS.XLSX_L_DATASRC" hidden="1">"[INPUT"</definedName>
    <definedName name="EV__MEMORYCVW__2015_ASSESSMENTS_VS_2014_BUDGETS_FROM_TSI_SERVICES_AND_TSI_CORP_3M_REDUCTIONS.XLSX_PAYSCALE_GROUP" hidden="1">"[TOTAL_PAYSCALEGROUPS"</definedName>
    <definedName name="EV__MEMORYCVW__2015_BUDGET_DIRECT_AND_ALLOCABLE_COSTS_TO_NMGC_OPERATIONS_OCT_3_2014.XLSX" hidden="1">"[PLANNING"</definedName>
    <definedName name="EV__MEMORYCVW__2015_BUDGET_DIRECT_AND_ALLOCABLE_COSTS_TO_NMGC_OPERATIONS_SEPT_30_2014.XLSX" hidden="1">"[PLANNING"</definedName>
    <definedName name="EV__MEMORYCVW__2015_BUDGET_DIRECT_COSTS_TO_NMGC_OPERATIONS.XLSX" hidden="1">"[PLANNING"</definedName>
    <definedName name="EV__MEMORYCVW__2015_BUDGET_DIRECT_COSTS_TO_NMGC_OPERATIONS.XLSX_ACCOUNT" hidden="1">"[Std_Reporting_TE01"</definedName>
    <definedName name="EV__MEMORYCVW__2015_BUDGET_DIRECT_COSTS_TO_NMGC_OPERATIONS.XLSX_CATEGORY" hidden="1">"[ACTUAL"</definedName>
    <definedName name="EV__MEMORYCVW__2015_BUDGET_DIRECT_COSTS_TO_NMGC_OPERATIONS.XLSX_COST_CENTER" hidden="1">"[CC_108100"</definedName>
    <definedName name="EV__MEMORYCVW__2015_BUDGET_DIRECT_COSTS_TO_NMGC_OPERATIONS.XLSX_ENTITY" hidden="1">"[E_2001"</definedName>
    <definedName name="EV__MEMORYCVW__2015_BUDGET_DIRECT_COSTS_TO_NMGC_OPERATIONS.XLSX_MEASURES" hidden="1">"[YTD"</definedName>
    <definedName name="EV__MEMORYCVW__2015_BUDGET_DIRECT_COSTS_TO_NMGC_OPERATIONS.XLSX_P_DATASOURCE" hidden="1">"[TOTAL"</definedName>
    <definedName name="EV__MEMORYCVW__2015_BUDGET_DIRECT_COSTS_TO_NMGC_OPERATIONS.XLSX_RPTCURRENCY" hidden="1">"[LC"</definedName>
    <definedName name="EV__MEMORYCVW__2015_BUDGET_DIRECT_COSTS_TO_NMGC_OPERATIONS.XLSX_TIME" hidden="1">"[2015.TOTAL"</definedName>
    <definedName name="EV__MEMORYCVW__2015_IT_COST_ALLOCATION_VS_2014_01122015.XLSX" hidden="1">"[PLANNING"</definedName>
    <definedName name="EV__MEMORYCVW__2015_IT_COST_ALLOCATION_VS_2014_01122015.XLSX_ACCOUNT" hidden="1">"[LIAB_AND_CAP"</definedName>
    <definedName name="EV__MEMORYCVW__2015_IT_COST_ALLOCATION_VS_2014_01122015.XLSX_CATEGORY" hidden="1">"[ACTUAL"</definedName>
    <definedName name="EV__MEMORYCVW__2015_IT_COST_ALLOCATION_VS_2014_01122015.XLSX_COST_CENTER" hidden="1">"[CC_130055"</definedName>
    <definedName name="EV__MEMORYCVW__2015_IT_COST_ALLOCATION_VS_2014_01122015.XLSX_ENTITY" hidden="1">"[E_2002"</definedName>
    <definedName name="EV__MEMORYCVW__2015_IT_COST_ALLOCATION_VS_2014_01122015.XLSX_MEASURES" hidden="1">"[YTD"</definedName>
    <definedName name="EV__MEMORYCVW__2015_IT_COST_ALLOCATION_VS_2014_01122015.XLSX_P_DATASOURCE" hidden="1">"[INPUT"</definedName>
    <definedName name="EV__MEMORYCVW__2015_IT_COST_ALLOCATION_VS_2014_01122015.XLSX_RPTCURRENCY" hidden="1">"[LC"</definedName>
    <definedName name="EV__MEMORYCVW__2015_IT_COST_ALLOCATION_VS_2014_01122015.XLSX_TIME" hidden="1">"[2015.TOTAL"</definedName>
    <definedName name="EV__MEMORYCVW__2015_PLAN_STATUS_BY_CC.XLSX" hidden="1">"[PLANNING"</definedName>
    <definedName name="EV__MEMORYCVW__2015_PLAN_STATUS_BY_CC.XLSX_I_ENTITY" hidden="1">"[IE_NA"</definedName>
    <definedName name="EV__MEMORYCVW__2015_PLAN_STATUS_BY_CC.XLSX_IC_COST_CENTER" hidden="1">"[ICC_NA"</definedName>
    <definedName name="EV__MEMORYCVW__2015_PLAN_STATUS_BY_CC.XLSX_L_ACCOUNT" hidden="1">"[A_ALL_COST_TYPES"</definedName>
    <definedName name="EV__MEMORYCVW__2015_PLAN_STATUS_BY_CC.XLSX_L_DATASRC" hidden="1">"[INPUT"</definedName>
    <definedName name="EV__MEMORYCVW__2015_PLAN_STATUS_BY_CC.XLSX_PAYSCALE_GROUP" hidden="1">"[UP_101_UNION_0010"</definedName>
    <definedName name="EV__MEMORYCVW__2015_REV_ASSESSMENTS_VS_2015_ORIG_BUDGETS_FROM_TSI_SERVICES_AND_TSI_CORP_3M_REDUCTIONS.XLSX" hidden="1">"[PLANNING"</definedName>
    <definedName name="EV__MEMORYCVW__2015_REVISED_ASSESSMENTS_VS_2015_ORIG_BUDGETS_FROM_TSI_SERVICES_AND_TSI_CORP_AFTER_3M_REDUCTIONS.XLSX" hidden="1">"[PLANNING"</definedName>
    <definedName name="EV__MEMORYCVW__2015_REVISED_ASSESSMENTS_VS_2015_ORIG_BUDGETS_FROM_TSI_SERVICES_AND_TSI_CORP_AFTER_3M_REDUCTIONS.XLSX_ACCOUNT" hidden="1">"[A_STAT"</definedName>
    <definedName name="EV__MEMORYCVW__2015_REVISED_ASSESSMENTS_VS_2015_ORIG_BUDGETS_FROM_TSI_SERVICES_AND_TSI_CORP_AFTER_3M_REDUCTIONS.XLSX_CATEGORY" hidden="1">"[ACTUAL"</definedName>
    <definedName name="EV__MEMORYCVW__2015_REVISED_ASSESSMENTS_VS_2015_ORIG_BUDGETS_FROM_TSI_SERVICES_AND_TSI_CORP_AFTER_3M_REDUCTIONS.XLSX_COST_CENTER" hidden="1">"[CC_130045"</definedName>
    <definedName name="EV__MEMORYCVW__2015_REVISED_ASSESSMENTS_VS_2015_ORIG_BUDGETS_FROM_TSI_SERVICES_AND_TSI_CORP_AFTER_3M_REDUCTIONS.XLSX_ENTITY" hidden="1">"[E_2002"</definedName>
    <definedName name="EV__MEMORYCVW__2015_REVISED_ASSESSMENTS_VS_2015_ORIG_BUDGETS_FROM_TSI_SERVICES_AND_TSI_CORP_AFTER_3M_REDUCTIONS.XLSX_MEASURES" hidden="1">"[PERIODIC"</definedName>
    <definedName name="EV__MEMORYCVW__2015_REVISED_ASSESSMENTS_VS_2015_ORIG_BUDGETS_FROM_TSI_SERVICES_AND_TSI_CORP_AFTER_3M_REDUCTIONS.XLSX_P_DATASOURCE" hidden="1">"[Allocable"</definedName>
    <definedName name="EV__MEMORYCVW__2015_REVISED_ASSESSMENTS_VS_2015_ORIG_BUDGETS_FROM_TSI_SERVICES_AND_TSI_CORP_AFTER_3M_REDUCTIONS.XLSX_RPTCURRENCY" hidden="1">"[LC"</definedName>
    <definedName name="EV__MEMORYCVW__2015_REVISED_ASSESSMENTS_VS_2015_ORIG_BUDGETS_FROM_TSI_SERVICES_AND_TSI_CORP_AFTER_3M_REDUCTIONS.XLSX_TIME" hidden="1">"[2015.TOTAL"</definedName>
    <definedName name="EV__MEMORYCVW__2015_REVISED_NMG_OM_BUDGET_FROM_TSI_ALLOCABLE_AND_TSI__TEC_DIRECT_JAN_13.XLSX" hidden="1">"[PLANNING"</definedName>
    <definedName name="EV__MEMORYCVW__2015_REVISED_NMG_OM_BUDGET_FROM_TSI_ALLOCABLE_AND_TSI__TEC_DIRECT_JAN_13.XLSX_ACCOUNT" hidden="1">"[A_STAT"</definedName>
    <definedName name="EV__MEMORYCVW__2015_REVISED_NMG_OM_BUDGET_FROM_TSI_ALLOCABLE_AND_TSI__TEC_DIRECT_JAN_13.XLSX_CATEGORY" hidden="1">"[FORECAST"</definedName>
    <definedName name="EV__MEMORYCVW__2015_REVISED_NMG_OM_BUDGET_FROM_TSI_ALLOCABLE_AND_TSI__TEC_DIRECT_JAN_13.XLSX_COST_CENTER" hidden="1">"[CC_130048"</definedName>
    <definedName name="EV__MEMORYCVW__2015_REVISED_NMG_OM_BUDGET_FROM_TSI_ALLOCABLE_AND_TSI__TEC_DIRECT_JAN_13.XLSX_ENTITY" hidden="1">"[E_2002"</definedName>
    <definedName name="EV__MEMORYCVW__2015_REVISED_NMG_OM_BUDGET_FROM_TSI_ALLOCABLE_AND_TSI__TEC_DIRECT_JAN_13.XLSX_MEASURES" hidden="1">"[PERIODIC"</definedName>
    <definedName name="EV__MEMORYCVW__2015_REVISED_NMG_OM_BUDGET_FROM_TSI_ALLOCABLE_AND_TSI__TEC_DIRECT_JAN_13.XLSX_P_DATASOURCE" hidden="1">"[Allocable"</definedName>
    <definedName name="EV__MEMORYCVW__2015_REVISED_NMG_OM_BUDGET_FROM_TSI_ALLOCABLE_AND_TSI__TEC_DIRECT_JAN_13.XLSX_RPTCURRENCY" hidden="1">"[LC"</definedName>
    <definedName name="EV__MEMORYCVW__2015_REVISED_NMG_OM_BUDGET_FROM_TSI_ALLOCABLE_AND_TSI__TEC_DIRECT_JAN_13.XLSX_TIME" hidden="1">"[2015.TOTAL"</definedName>
    <definedName name="EV__MEMORYCVW__2015_RVS_ASSESSMENTS_VS_2015_ORG_BUDGETS_FROM_TSI_SERVICES_AND_TSI_CORP_3M_REDUCTIONS.XLSX" hidden="1">"[PLANNING"</definedName>
    <definedName name="EV__MEMORYCVW__2015_RVS_ASSESSMENTS_VS_2015_ORG_BUDGETS_FROM_TSI_SERVICES_AND_TSI_CORP_3M_REDUCTIONS.XLSX_ACCOUNT" hidden="1">"[OM_OTH_EX"</definedName>
    <definedName name="EV__MEMORYCVW__2015_RVS_ASSESSMENTS_VS_2015_ORG_BUDGETS_FROM_TSI_SERVICES_AND_TSI_CORP_3M_REDUCTIONS.XLSX_CATEGORY" hidden="1">"[FORECAST"</definedName>
    <definedName name="EV__MEMORYCVW__2015_RVS_ASSESSMENTS_VS_2015_ORG_BUDGETS_FROM_TSI_SERVICES_AND_TSI_CORP_3M_REDUCTIONS.XLSX_COST_CENTER" hidden="1">"[CC_130098"</definedName>
    <definedName name="EV__MEMORYCVW__2015_RVS_ASSESSMENTS_VS_2015_ORG_BUDGETS_FROM_TSI_SERVICES_AND_TSI_CORP_3M_REDUCTIONS.XLSX_ENTITY" hidden="1">"[E_2002"</definedName>
    <definedName name="EV__MEMORYCVW__2015_RVS_ASSESSMENTS_VS_2015_ORG_BUDGETS_FROM_TSI_SERVICES_AND_TSI_CORP_3M_REDUCTIONS.XLSX_I_ENTITY" hidden="1">"[IE_NA"</definedName>
    <definedName name="EV__MEMORYCVW__2015_RVS_ASSESSMENTS_VS_2015_ORG_BUDGETS_FROM_TSI_SERVICES_AND_TSI_CORP_3M_REDUCTIONS.XLSX_IC_COST_CENTER" hidden="1">"[ICC_NA"</definedName>
    <definedName name="EV__MEMORYCVW__2015_RVS_ASSESSMENTS_VS_2015_ORG_BUDGETS_FROM_TSI_SERVICES_AND_TSI_CORP_3M_REDUCTIONS.XLSX_L_ACCOUNT" hidden="1">"[A_ALL_STAT_ACCOUNTS"</definedName>
    <definedName name="EV__MEMORYCVW__2015_RVS_ASSESSMENTS_VS_2015_ORG_BUDGETS_FROM_TSI_SERVICES_AND_TSI_CORP_3M_REDUCTIONS.XLSX_L_DATASRC" hidden="1">"[INPUT"</definedName>
    <definedName name="EV__MEMORYCVW__2015_RVS_ASSESSMENTS_VS_2015_ORG_BUDGETS_FROM_TSI_SERVICES_AND_TSI_CORP_3M_REDUCTIONS.XLSX_MEASURES" hidden="1">"[PERIODIC"</definedName>
    <definedName name="EV__MEMORYCVW__2015_RVS_ASSESSMENTS_VS_2015_ORG_BUDGETS_FROM_TSI_SERVICES_AND_TSI_CORP_3M_REDUCTIONS.XLSX_P_DATASOURCE" hidden="1">"[Allocable"</definedName>
    <definedName name="EV__MEMORYCVW__2015_RVS_ASSESSMENTS_VS_2015_ORG_BUDGETS_FROM_TSI_SERVICES_AND_TSI_CORP_3M_REDUCTIONS.XLSX_PAYSCALE_GROUP" hidden="1">"[TOTAL_PAYSCALEGROUPS"</definedName>
    <definedName name="EV__MEMORYCVW__2015_RVS_ASSESSMENTS_VS_2015_ORG_BUDGETS_FROM_TSI_SERVICES_AND_TSI_CORP_3M_REDUCTIONS.XLSX_RPTCURRENCY" hidden="1">"[LC"</definedName>
    <definedName name="EV__MEMORYCVW__2015_RVS_ASSESSMENTS_VS_2015_ORG_BUDGETS_FROM_TSI_SERVICES_AND_TSI_CORP_3M_REDUCTIONS.XLSX_TIME" hidden="1">"[2015.TOTAL"</definedName>
    <definedName name="EV__MEMORYCVW__2015_TSI_ALLOCABLE_BUDGET_TO_FORECAST.XLSX" hidden="1">"[PLANNING"</definedName>
    <definedName name="EV__MEMORYCVW__2015_TSI_ALLOCABLE_BUDGET_TO_FORECAST.XLSX_ACCOUNT" hidden="1">"[A_STAT"</definedName>
    <definedName name="EV__MEMORYCVW__2015_TSI_ALLOCABLE_BUDGET_TO_FORECAST.XLSX_CATEGORY" hidden="1">"[WKG_BUDGET"</definedName>
    <definedName name="EV__MEMORYCVW__2015_TSI_ALLOCABLE_BUDGET_TO_FORECAST.XLSX_COST_CENTER" hidden="1">"[CC_130058"</definedName>
    <definedName name="EV__MEMORYCVW__2015_TSI_ALLOCABLE_BUDGET_TO_FORECAST.XLSX_ENTITY" hidden="1">"[E_2002"</definedName>
    <definedName name="EV__MEMORYCVW__2015_TSI_ALLOCABLE_BUDGET_TO_FORECAST.XLSX_MEASURES" hidden="1">"[PERIODIC"</definedName>
    <definedName name="EV__MEMORYCVW__2015_TSI_ALLOCABLE_BUDGET_TO_FORECAST.XLSX_P_DATASOURCE" hidden="1">"[INPUT"</definedName>
    <definedName name="EV__MEMORYCVW__2015_TSI_ALLOCABLE_BUDGET_TO_FORECAST.XLSX_RPTCURRENCY" hidden="1">"[LC"</definedName>
    <definedName name="EV__MEMORYCVW__2015_TSI_ALLOCABLE_BUDGET_TO_FORECAST.XLSX_TIME" hidden="1">"[2015.TOTAL"</definedName>
    <definedName name="EV__MEMORYCVW__2015_TSI_PARENT_ALLOCATIONS.XLSM" hidden="1">"[PLANNING"</definedName>
    <definedName name="EV__MEMORYCVW__2015_TSI_PARENT_ALLOCATIONS.XLSM_ACCOUNT" hidden="1">"[A_STAT"</definedName>
    <definedName name="EV__MEMORYCVW__2015_TSI_PARENT_ALLOCATIONS.XLSM_CATEGORY" hidden="1">"[ACTUAL"</definedName>
    <definedName name="EV__MEMORYCVW__2015_TSI_PARENT_ALLOCATIONS.XLSM_COST_CENTER" hidden="1">"[CC_130045"</definedName>
    <definedName name="EV__MEMORYCVW__2015_TSI_PARENT_ALLOCATIONS.XLSM_ENTITY" hidden="1">"[E_2002"</definedName>
    <definedName name="EV__MEMORYCVW__2015_TSI_PARENT_ALLOCATIONS.XLSM_MEASURES" hidden="1">"[PERIODIC"</definedName>
    <definedName name="EV__MEMORYCVW__2015_TSI_PARENT_ALLOCATIONS.XLSM_P_DATASOURCE" hidden="1">"[Allocable"</definedName>
    <definedName name="EV__MEMORYCVW__2015_TSI_PARENT_ALLOCATIONS.XLSM_RPTCURRENCY" hidden="1">"[LC"</definedName>
    <definedName name="EV__MEMORYCVW__2015_TSI_PARENT_ALLOCATIONS.XLSM_TIME" hidden="1">"[2015.TOTAL"</definedName>
    <definedName name="EV__MEMORYCVW__2016_NMGC_DIRECT_NONLABOR_BUDGET.XLSX" hidden="1">"[PLANNING"</definedName>
    <definedName name="EV__MEMORYCVW__2016_NMGC_DIRECT_NONLABOR_BUDGET.XLSX_ACCOUNT" hidden="1">"[OM_OTH_EX"</definedName>
    <definedName name="EV__MEMORYCVW__2016_NMGC_DIRECT_NONLABOR_BUDGET.XLSX_CATEGORY" hidden="1">"[FORECAST"</definedName>
    <definedName name="EV__MEMORYCVW__2016_NMGC_DIRECT_NONLABOR_BUDGET.XLSX_COST_CENTER" hidden="1">"[CC_130080"</definedName>
    <definedName name="EV__MEMORYCVW__2016_NMGC_DIRECT_NONLABOR_BUDGET.XLSX_ENTITY" hidden="1">"[E_2002"</definedName>
    <definedName name="EV__MEMORYCVW__2016_NMGC_DIRECT_NONLABOR_BUDGET.XLSX_MEASURES" hidden="1">"[PERIODIC"</definedName>
    <definedName name="EV__MEMORYCVW__2016_NMGC_DIRECT_NONLABOR_BUDGET.XLSX_P_DATASOURCE" hidden="1">"[Allocable"</definedName>
    <definedName name="EV__MEMORYCVW__2016_NMGC_DIRECT_NONLABOR_BUDGET.XLSX_RPTCURRENCY" hidden="1">"[LC"</definedName>
    <definedName name="EV__MEMORYCVW__2016_NMGC_DIRECT_NONLABOR_BUDGET.XLSX_TIME" hidden="1">"[2015.TOTAL"</definedName>
    <definedName name="EV__MEMORYCVW__2016_STOCK_COMP_AND_BOD_FEES_ANALYSIS.XLSX" hidden="1">"[PLANNING"</definedName>
    <definedName name="EV__MEMORYCVW__2016_STOCK_COMP_AND_BOD_FEES_ANALYSIS.XLSX_ACCOUNT" hidden="1">"[OM_OTH_EX"</definedName>
    <definedName name="EV__MEMORYCVW__2016_STOCK_COMP_AND_BOD_FEES_ANALYSIS.XLSX_CATEGORY" hidden="1">"[ACTUAL"</definedName>
    <definedName name="EV__MEMORYCVW__2016_STOCK_COMP_AND_BOD_FEES_ANALYSIS.XLSX_COST_CENTER" hidden="1">"[CC_130062"</definedName>
    <definedName name="EV__MEMORYCVW__2016_STOCK_COMP_AND_BOD_FEES_ANALYSIS.XLSX_ENTITY" hidden="1">"[E_2002"</definedName>
    <definedName name="EV__MEMORYCVW__2016_STOCK_COMP_AND_BOD_FEES_ANALYSIS.XLSX_MEASURES" hidden="1">"[PERIODIC"</definedName>
    <definedName name="EV__MEMORYCVW__2016_STOCK_COMP_AND_BOD_FEES_ANALYSIS.XLSX_P_DATASOURCE" hidden="1">"[Allocable"</definedName>
    <definedName name="EV__MEMORYCVW__2016_STOCK_COMP_AND_BOD_FEES_ANALYSIS.XLSX_RPTCURRENCY" hidden="1">"[LC"</definedName>
    <definedName name="EV__MEMORYCVW__2016_STOCK_COMP_AND_BOD_FEES_ANALYSIS.XLSX_TIME" hidden="1">"[2016.TOTAL"</definedName>
    <definedName name="EV__MEMORYCVW__2016_TEC_CORP_SERVICES_PLAN_VS_2016_TARGET_OCT_9.XLSX" hidden="1">"[PLANNING"</definedName>
    <definedName name="EV__MEMORYCVW__2016_TEC_CORP_SERVICES_PLAN_VS_2016_TARGET_OCT_9.XLSX_ACCOUNT" hidden="1">"[CNT_OPS"</definedName>
    <definedName name="EV__MEMORYCVW__2016_TEC_CORP_SERVICES_PLAN_VS_2016_TARGET_OCT_9.XLSX_CATEGORY" hidden="1">"[ACTUAL"</definedName>
    <definedName name="EV__MEMORYCVW__2016_TEC_CORP_SERVICES_PLAN_VS_2016_TARGET_OCT_9.XLSX_COST_CENTER" hidden="1">"[ALL_COST_CENTERS"</definedName>
    <definedName name="EV__MEMORYCVW__2016_TEC_CORP_SERVICES_PLAN_VS_2016_TARGET_OCT_9.XLSX_ENTITY" hidden="1">"[E_2002"</definedName>
    <definedName name="EV__MEMORYCVW__2016_TEC_CORP_SERVICES_PLAN_VS_2016_TARGET_OCT_9.XLSX_I_ENTITY" hidden="1">"[IE_NA"</definedName>
    <definedName name="EV__MEMORYCVW__2016_TEC_CORP_SERVICES_PLAN_VS_2016_TARGET_OCT_9.XLSX_IC_COST_CENTER" hidden="1">"[ICC_NA"</definedName>
    <definedName name="EV__MEMORYCVW__2016_TEC_CORP_SERVICES_PLAN_VS_2016_TARGET_OCT_9.XLSX_L_ACCOUNT" hidden="1">"[A_ALL_COST_TYPES"</definedName>
    <definedName name="EV__MEMORYCVW__2016_TEC_CORP_SERVICES_PLAN_VS_2016_TARGET_OCT_9.XLSX_L_DATASRC" hidden="1">"[INPUT"</definedName>
    <definedName name="EV__MEMORYCVW__2016_TEC_CORP_SERVICES_PLAN_VS_2016_TARGET_OCT_9.XLSX_MEASURES" hidden="1">"[PERIODIC"</definedName>
    <definedName name="EV__MEMORYCVW__2016_TEC_CORP_SERVICES_PLAN_VS_2016_TARGET_OCT_9.XLSX_P_DATASOURCE" hidden="1">"[Allocable"</definedName>
    <definedName name="EV__MEMORYCVW__2016_TEC_CORP_SERVICES_PLAN_VS_2016_TARGET_OCT_9.XLSX_PAYSCALE_GROUP" hidden="1">"[PG_NA"</definedName>
    <definedName name="EV__MEMORYCVW__2016_TEC_CORP_SERVICES_PLAN_VS_2016_TARGET_OCT_9.XLSX_RPTCURRENCY" hidden="1">"[LC"</definedName>
    <definedName name="EV__MEMORYCVW__2016_TEC_CORP_SERVICES_PLAN_VS_2016_TARGET_OCT_9.XLSX_TIME" hidden="1">"[2016.TOTAL"</definedName>
    <definedName name="EV__MEMORYCVW__2016_THOMPSON_REUTERS_SOFTWARE_MAINTENANCE.XLSX" hidden="1">"[PLANNING"</definedName>
    <definedName name="EV__MEMORYCVW__2016_THOMPSON_REUTERS_SOFTWARE_MAINTENANCE.XLSX_ACCOUNT" hidden="1">"[OM_OTH_EX"</definedName>
    <definedName name="EV__MEMORYCVW__2016_THOMPSON_REUTERS_SOFTWARE_MAINTENANCE.XLSX_CATEGORY" hidden="1">"[FORECAST"</definedName>
    <definedName name="EV__MEMORYCVW__2016_THOMPSON_REUTERS_SOFTWARE_MAINTENANCE.XLSX_COST_CENTER" hidden="1">"[CC_130098"</definedName>
    <definedName name="EV__MEMORYCVW__2016_THOMPSON_REUTERS_SOFTWARE_MAINTENANCE.XLSX_ENTITY" hidden="1">"[E_2002"</definedName>
    <definedName name="EV__MEMORYCVW__2016_THOMPSON_REUTERS_SOFTWARE_MAINTENANCE.XLSX_MEASURES" hidden="1">"[PERIODIC"</definedName>
    <definedName name="EV__MEMORYCVW__2016_THOMPSON_REUTERS_SOFTWARE_MAINTENANCE.XLSX_P_DATASOURCE" hidden="1">"[Allocable"</definedName>
    <definedName name="EV__MEMORYCVW__2016_THOMPSON_REUTERS_SOFTWARE_MAINTENANCE.XLSX_RPTCURRENCY" hidden="1">"[LC"</definedName>
    <definedName name="EV__MEMORYCVW__2016_THOMPSON_REUTERS_SOFTWARE_MAINTENANCE.XLSX_TIME" hidden="1">"[2016.TOTAL"</definedName>
    <definedName name="EV__MEMORYCVW__2016_VS_2015_TSI_HEADCOUNT.XLSX" hidden="1">"[TECOLABOR"</definedName>
    <definedName name="EV__MEMORYCVW__2016_VS_2015_TSI_HEADCOUNT.XLSX_ACCOUNT" hidden="1">"[OM_OTH_EX"</definedName>
    <definedName name="EV__MEMORYCVW__2016_VS_2015_TSI_HEADCOUNT.XLSX_CATEGORY" hidden="1">"[WKG_BUDGET"</definedName>
    <definedName name="EV__MEMORYCVW__2016_VS_2015_TSI_HEADCOUNT.XLSX_COST_CENTER" hidden="1">"[Corporate_TSI"</definedName>
    <definedName name="EV__MEMORYCVW__2016_VS_2015_TSI_HEADCOUNT.XLSX_ENTITY" hidden="1">"[E_2002"</definedName>
    <definedName name="EV__MEMORYCVW__2016_VS_2015_TSI_HEADCOUNT.XLSX_I_ENTITY" hidden="1">"[IE_NA"</definedName>
    <definedName name="EV__MEMORYCVW__2016_VS_2015_TSI_HEADCOUNT.XLSX_IC_COST_CENTER" hidden="1">"[ICC_NA"</definedName>
    <definedName name="EV__MEMORYCVW__2016_VS_2015_TSI_HEADCOUNT.XLSX_L_ACCOUNT" hidden="1">"[A_ALL_STAT_ACCOUNTS"</definedName>
    <definedName name="EV__MEMORYCVW__2016_VS_2015_TSI_HEADCOUNT.XLSX_L_DATASRC" hidden="1">"[INPUT"</definedName>
    <definedName name="EV__MEMORYCVW__2016_VS_2015_TSI_HEADCOUNT.XLSX_MEASURES" hidden="1">"[PERIODIC"</definedName>
    <definedName name="EV__MEMORYCVW__2016_VS_2015_TSI_HEADCOUNT.XLSX_P_DATASOURCE" hidden="1">"[Allocable"</definedName>
    <definedName name="EV__MEMORYCVW__2016_VS_2015_TSI_HEADCOUNT.XLSX_PAYSCALE_GROUP" hidden="1">"[TOTAL_PAYSCALEGROUPS"</definedName>
    <definedName name="EV__MEMORYCVW__2016_VS_2015_TSI_HEADCOUNT.XLSX_RPTCURRENCY" hidden="1">"[LC"</definedName>
    <definedName name="EV__MEMORYCVW__2016_VS_2015_TSI_HEADCOUNT.XLSX_TIME" hidden="1">"[2014.TOTAL"</definedName>
    <definedName name="EV__MEMORYCVW__2017_ADMINISTRATIVE_SERVICES_HEADCOUNT.XLSX" hidden="1">"[PLANNING"</definedName>
    <definedName name="EV__MEMORYCVW__2017_ADMINISTRATIVE_SERVICES_HEADCOUNT.XLSX_ACCOUNT" hidden="1">"[Std_Reporting_TE01"</definedName>
    <definedName name="EV__MEMORYCVW__2017_ADMINISTRATIVE_SERVICES_HEADCOUNT.XLSX_CATEGORY" hidden="1">"[ACTUAL"</definedName>
    <definedName name="EV__MEMORYCVW__2017_ADMINISTRATIVE_SERVICES_HEADCOUNT.XLSX_COST_CENTER" hidden="1">"[CC_130048"</definedName>
    <definedName name="EV__MEMORYCVW__2017_ADMINISTRATIVE_SERVICES_HEADCOUNT.XLSX_ENTITY" hidden="1">"[E_2002"</definedName>
    <definedName name="EV__MEMORYCVW__2017_ADMINISTRATIVE_SERVICES_HEADCOUNT.XLSX_MEASURES" hidden="1">"[PERIODIC"</definedName>
    <definedName name="EV__MEMORYCVW__2017_ADMINISTRATIVE_SERVICES_HEADCOUNT.XLSX_P_DATASOURCE" hidden="1">"[FINAL_CC"</definedName>
    <definedName name="EV__MEMORYCVW__2017_ADMINISTRATIVE_SERVICES_HEADCOUNT.XLSX_RPTCURRENCY" hidden="1">"[LC"</definedName>
    <definedName name="EV__MEMORYCVW__2017_ADMINISTRATIVE_SERVICES_HEADCOUNT.XLSX_TIME" hidden="1">"[2017.TOTAL"</definedName>
    <definedName name="EV__MEMORYCVW__2017_DRAFT_TSI_CORP_SERVICES_PLAN_VS_2016_BUDGET.XLSX" hidden="1">"[TECOLABOR"</definedName>
    <definedName name="EV__MEMORYCVW__2017_DRAFT_TSI_CORP_SERVICES_PLAN_VS_2016_BUDGET.XLSX_CATEGORY" hidden="1">"[WKG_BUDGET"</definedName>
    <definedName name="EV__MEMORYCVW__2017_DRAFT_TSI_CORP_SERVICES_PLAN_VS_2016_BUDGET.XLSX_COST_CENTER" hidden="1">"[CC_233046"</definedName>
    <definedName name="EV__MEMORYCVW__2017_DRAFT_TSI_CORP_SERVICES_PLAN_VS_2016_BUDGET.XLSX_ENTITY" hidden="1">"[E_2201"</definedName>
    <definedName name="EV__MEMORYCVW__2017_DRAFT_TSI_CORP_SERVICES_PLAN_VS_2016_BUDGET.XLSX_I_ENTITY" hidden="1">"[IE_NA"</definedName>
    <definedName name="EV__MEMORYCVW__2017_DRAFT_TSI_CORP_SERVICES_PLAN_VS_2016_BUDGET.XLSX_IC_COST_CENTER" hidden="1">"[ICC_NA"</definedName>
    <definedName name="EV__MEMORYCVW__2017_DRAFT_TSI_CORP_SERVICES_PLAN_VS_2016_BUDGET.XLSX_L_ACCOUNT" hidden="1">"[A_ALL_STAT_ACCOUNTS"</definedName>
    <definedName name="EV__MEMORYCVW__2017_DRAFT_TSI_CORP_SERVICES_PLAN_VS_2016_BUDGET.XLSX_L_DATASRC" hidden="1">"[INPUT"</definedName>
    <definedName name="EV__MEMORYCVW__2017_DRAFT_TSI_CORP_SERVICES_PLAN_VS_2016_BUDGET.XLSX_MEASURES" hidden="1">"[PERIODIC"</definedName>
    <definedName name="EV__MEMORYCVW__2017_DRAFT_TSI_CORP_SERVICES_PLAN_VS_2016_BUDGET.XLSX_PAYSCALE_GROUP" hidden="1">"[UP_110_UNION_0010"</definedName>
    <definedName name="EV__MEMORYCVW__2017_DRAFT_TSI_CORP_SERVICES_PLAN_VS_2016_BUDGET.XLSX_RPTCURRENCY" hidden="1">"[LC"</definedName>
    <definedName name="EV__MEMORYCVW__2017_DRAFT_TSI_CORP_SERVICES_PLAN_VS_2016_BUDGET.XLSX_TIME" hidden="1">"[2017.TOTAL"</definedName>
    <definedName name="EV__MEMORYCVW__2017_OM_CONTINGENCY_PLANNING_SUMMARY.XLSX" hidden="1">"[PLANNING"</definedName>
    <definedName name="EV__MEMORYCVW__2017_OM_CONTINGENCY_PLANNING_SUMMARY.XLSX_ACCOUNT" hidden="1">"[AmmortCF"</definedName>
    <definedName name="EV__MEMORYCVW__2017_OM_CONTINGENCY_PLANNING_SUMMARY.XLSX_CATEGORY" hidden="1">"[ACTUAL"</definedName>
    <definedName name="EV__MEMORYCVW__2017_OM_CONTINGENCY_PLANNING_SUMMARY.XLSX_COST_CENTER" hidden="1">"[CC_390445"</definedName>
    <definedName name="EV__MEMORYCVW__2017_OM_CONTINGENCY_PLANNING_SUMMARY.XLSX_ENTITY" hidden="1">"[E_2301"</definedName>
    <definedName name="EV__MEMORYCVW__2017_OM_CONTINGENCY_PLANNING_SUMMARY.XLSX_MEASURES" hidden="1">"[YTD"</definedName>
    <definedName name="EV__MEMORYCVW__2017_OM_CONTINGENCY_PLANNING_SUMMARY.XLSX_P_DATASOURCE" hidden="1">"[INPUT"</definedName>
    <definedName name="EV__MEMORYCVW__2017_OM_CONTINGENCY_PLANNING_SUMMARY.XLSX_RPTCURRENCY" hidden="1">"[LC"</definedName>
    <definedName name="EV__MEMORYCVW__2017_OM_CONTINGENCY_PLANNING_SUMMARY.XLSX_TIME" hidden="1">"[2017.TOTAL"</definedName>
    <definedName name="EV__MEMORYCVW__2017_PSP_SCORECARD_TSI_COST_GOAL.XLSX" hidden="1">"[PLANNING"</definedName>
    <definedName name="EV__MEMORYCVW__2017_PSP_SCORECARD_TSI_COST_GOAL.XLSX_ACCOUNT" hidden="1">"[Std_Reporting_TE01"</definedName>
    <definedName name="EV__MEMORYCVW__2017_PSP_SCORECARD_TSI_COST_GOAL.XLSX_CATEGORY" hidden="1">"[FORECAST"</definedName>
    <definedName name="EV__MEMORYCVW__2017_PSP_SCORECARD_TSI_COST_GOAL.XLSX_COST_CENTER" hidden="1">"[Corporate_TSI"</definedName>
    <definedName name="EV__MEMORYCVW__2017_PSP_SCORECARD_TSI_COST_GOAL.XLSX_ENTITY" hidden="1">"[E_2002"</definedName>
    <definedName name="EV__MEMORYCVW__2017_PSP_SCORECARD_TSI_COST_GOAL.XLSX_MEASURES" hidden="1">"[PERIODIC"</definedName>
    <definedName name="EV__MEMORYCVW__2017_PSP_SCORECARD_TSI_COST_GOAL.XLSX_P_DATASOURCE" hidden="1">"[Allocable"</definedName>
    <definedName name="EV__MEMORYCVW__2017_PSP_SCORECARD_TSI_COST_GOAL.XLSX_RPTCURRENCY" hidden="1">"[LC"</definedName>
    <definedName name="EV__MEMORYCVW__2017_PSP_SCORECARD_TSI_COST_GOAL.XLSX_TIME" hidden="1">"[2018.TOTAL"</definedName>
    <definedName name="EV__MEMORYCVW__2018_2026_V_3_15_17.XLSX" hidden="1">"[PLANNING"</definedName>
    <definedName name="EV__MEMORYCVW__2018_2026_V_3_17_17.XLSX" hidden="1">"[PLANNING"</definedName>
    <definedName name="EV__MEMORYCVW__2018_2026_V_3_21_17.XLSX" hidden="1">"[PLANNING"</definedName>
    <definedName name="EV__MEMORYCVW__2018_2026_V_4_17_17.XLSX" hidden="1">"[PLANNING"</definedName>
    <definedName name="EV__MEMORYCVW__2018_BUDGET_EMERA_COMPANIES_SUMMARY_NOT_IN_BPC.XLSX" hidden="1">"[PLANNING"</definedName>
    <definedName name="EV__MEMORYCVW__2018_BUDGET_EMERA_COMPANIES_SUMMARY_NOT_IN_BPC.XLSX_ACCOUNT" hidden="1">"[Std_Reporting_TE01"</definedName>
    <definedName name="EV__MEMORYCVW__2018_BUDGET_EMERA_COMPANIES_SUMMARY_NOT_IN_BPC.XLSX_CATEGORY" hidden="1">"[ACTUAL"</definedName>
    <definedName name="EV__MEMORYCVW__2018_BUDGET_EMERA_COMPANIES_SUMMARY_NOT_IN_BPC.XLSX_COST_CENTER" hidden="1">"[CC_100098"</definedName>
    <definedName name="EV__MEMORYCVW__2018_BUDGET_EMERA_COMPANIES_SUMMARY_NOT_IN_BPC.XLSX_ENTITY" hidden="1">"[E_2001"</definedName>
    <definedName name="EV__MEMORYCVW__2018_BUDGET_EMERA_COMPANIES_SUMMARY_NOT_IN_BPC.XLSX_MEASURES" hidden="1">"[PERIODIC"</definedName>
    <definedName name="EV__MEMORYCVW__2018_BUDGET_EMERA_COMPANIES_SUMMARY_NOT_IN_BPC.XLSX_P_DATASOURCE" hidden="1">"[Allocable"</definedName>
    <definedName name="EV__MEMORYCVW__2018_BUDGET_EMERA_COMPANIES_SUMMARY_NOT_IN_BPC.XLSX_RPTCURRENCY" hidden="1">"[LC"</definedName>
    <definedName name="EV__MEMORYCVW__2018_BUDGET_EMERA_COMPANIES_SUMMARY_NOT_IN_BPC.XLSX_TIME" hidden="1">"[2017.TOTAL"</definedName>
    <definedName name="EV__MEMORYCVW__2018_BUDGET_TSI_ALLOCATION_EXPLANATION.XLSX" hidden="1">"[TECOLABOR"</definedName>
    <definedName name="EV__MEMORYCVW__2018_BUDGET_TSI_ALLOCATION_EXPLANATION.XLSX_CATEGORY" hidden="1">"[WKG_BUDGET"</definedName>
    <definedName name="EV__MEMORYCVW__2018_BUDGET_TSI_ALLOCATION_EXPLANATION.XLSX_COST_CENTER" hidden="1">"[CC_139012"</definedName>
    <definedName name="EV__MEMORYCVW__2018_BUDGET_TSI_ALLOCATION_EXPLANATION.XLSX_ENTITY" hidden="1">"[E_2002"</definedName>
    <definedName name="EV__MEMORYCVW__2018_BUDGET_TSI_ALLOCATION_EXPLANATION.XLSX_I_ENTITY" hidden="1">"[IE_NA"</definedName>
    <definedName name="EV__MEMORYCVW__2018_BUDGET_TSI_ALLOCATION_EXPLANATION.XLSX_IC_COST_CENTER" hidden="1">"[ICC_NA"</definedName>
    <definedName name="EV__MEMORYCVW__2018_BUDGET_TSI_ALLOCATION_EXPLANATION.XLSX_L_ACCOUNT" hidden="1">"[A_ALL_STAT_ACCOUNTS"</definedName>
    <definedName name="EV__MEMORYCVW__2018_BUDGET_TSI_ALLOCATION_EXPLANATION.XLSX_L_DATASRC" hidden="1">"[INPUT"</definedName>
    <definedName name="EV__MEMORYCVW__2018_BUDGET_TSI_ALLOCATION_EXPLANATION.XLSX_MEASURES" hidden="1">"[PERIODIC"</definedName>
    <definedName name="EV__MEMORYCVW__2018_BUDGET_TSI_ALLOCATION_EXPLANATION.XLSX_PAYSCALE_GROUP" hidden="1">"[TOTAL_PAYSCALEGROUPS"</definedName>
    <definedName name="EV__MEMORYCVW__2018_BUDGET_TSI_ALLOCATION_EXPLANATION.XLSX_RPTCURRENCY" hidden="1">"[LC"</definedName>
    <definedName name="EV__MEMORYCVW__2018_BUDGET_TSI_ALLOCATION_EXPLANATION.XLSX_TIME" hidden="1">"[2018.TOTAL"</definedName>
    <definedName name="EV__MEMORYCVW__2018_TSI_BUDGET_EMERA_NSP_ALLOCATIONS.XLSX" hidden="1">"[PLANNING"</definedName>
    <definedName name="EV__MEMORYCVW__2018_TSI_BUDGET_EMERA_NSP_ALLOCATIONS.XLSX_ACCOUNT" hidden="1">"[Std_Reporting_TE01"</definedName>
    <definedName name="EV__MEMORYCVW__2018_TSI_BUDGET_EMERA_NSP_ALLOCATIONS.XLSX_CATEGORY" hidden="1">"[FORECAST"</definedName>
    <definedName name="EV__MEMORYCVW__2018_TSI_BUDGET_EMERA_NSP_ALLOCATIONS.XLSX_COST_CENTER" hidden="1">"[CC_230001"</definedName>
    <definedName name="EV__MEMORYCVW__2018_TSI_BUDGET_EMERA_NSP_ALLOCATIONS.XLSX_ENTITY" hidden="1">"[E_2201"</definedName>
    <definedName name="EV__MEMORYCVW__2018_TSI_BUDGET_EMERA_NSP_ALLOCATIONS.XLSX_MEASURES" hidden="1">"[PERIODIC"</definedName>
    <definedName name="EV__MEMORYCVW__2018_TSI_BUDGET_EMERA_NSP_ALLOCATIONS.XLSX_P_DATASOURCE" hidden="1">"[Allocable"</definedName>
    <definedName name="EV__MEMORYCVW__2018_TSI_BUDGET_EMERA_NSP_ALLOCATIONS.XLSX_RPTCURRENCY" hidden="1">"[LC"</definedName>
    <definedName name="EV__MEMORYCVW__2018_TSI_BUDGET_EMERA_NSP_ALLOCATIONS.XLSX_TIME" hidden="1">"[2018.TOTAL"</definedName>
    <definedName name="EV__MEMORYCVW__5_YEAR__ASSESSMENTS_FROM_TEC_SUPPORT_SERVICES_JACKIE.XLSX" hidden="1">"[TECOLABOR"</definedName>
    <definedName name="EV__MEMORYCVW__5_YEAR__ASSESSMENTS_FROM_TEC_SUPPORT_SERVICES_JACKIE.XLSX_CATEGORY" hidden="1">"[WKG_BUDGET"</definedName>
    <definedName name="EV__MEMORYCVW__5_YEAR__ASSESSMENTS_FROM_TEC_SUPPORT_SERVICES_JACKIE.XLSX_COST_CENTER" hidden="1">"[CC_131004"</definedName>
    <definedName name="EV__MEMORYCVW__5_YEAR__ASSESSMENTS_FROM_TEC_SUPPORT_SERVICES_JACKIE.XLSX_ENTITY" hidden="1">"[E_2002"</definedName>
    <definedName name="EV__MEMORYCVW__5_YEAR__ASSESSMENTS_FROM_TEC_SUPPORT_SERVICES_JACKIE.XLSX_I_ENTITY" hidden="1">"[IE_NA"</definedName>
    <definedName name="EV__MEMORYCVW__5_YEAR__ASSESSMENTS_FROM_TEC_SUPPORT_SERVICES_JACKIE.XLSX_IC_COST_CENTER" hidden="1">"[ICC_NA"</definedName>
    <definedName name="EV__MEMORYCVW__5_YEAR__ASSESSMENTS_FROM_TEC_SUPPORT_SERVICES_JACKIE.XLSX_L_ACCOUNT" hidden="1">"[A_ALL_STAT_ACCOUNTS"</definedName>
    <definedName name="EV__MEMORYCVW__5_YEAR__ASSESSMENTS_FROM_TEC_SUPPORT_SERVICES_JACKIE.XLSX_L_DATASRC" hidden="1">"[INPUT"</definedName>
    <definedName name="EV__MEMORYCVW__5_YEAR__ASSESSMENTS_FROM_TEC_SUPPORT_SERVICES_JACKIE.XLSX_MEASURES" hidden="1">"[PERIODIC"</definedName>
    <definedName name="EV__MEMORYCVW__5_YEAR__ASSESSMENTS_FROM_TEC_SUPPORT_SERVICES_JACKIE.XLSX_PAYSCALE_GROUP" hidden="1">"[TOTAL_PAYSCALEGROUPS"</definedName>
    <definedName name="EV__MEMORYCVW__5_YEAR__ASSESSMENTS_FROM_TEC_SUPPORT_SERVICES_JACKIE.XLSX_RPTCURRENCY" hidden="1">"[LC"</definedName>
    <definedName name="EV__MEMORYCVW__5_YEAR__ASSESSMENTS_FROM_TEC_SUPPORT_SERVICES_JACKIE.XLSX_TIME" hidden="1">"[2015.TOTAL"</definedName>
    <definedName name="EV__MEMORYCVW__5_YEAR_ASSESSMENTS_TSI_SERVICES_AND_TSI_CORP.XLSX" hidden="1">"[PLANNING"</definedName>
    <definedName name="EV__MEMORYCVW__ALL_EXPENSE_ACCOUNTS_TSI_ALLOCABLE1" hidden="1">"[PLANNING"</definedName>
    <definedName name="EV__MEMORYCVW__ALL_EXPENSE_ACCOUNTS_TSI_ALLOCABLE1_ACCOUNT" hidden="1">"[A_STAT"</definedName>
    <definedName name="EV__MEMORYCVW__ALL_EXPENSE_ACCOUNTS_TSI_ALLOCABLE1_CATEGORY" hidden="1">"[ACTUAL"</definedName>
    <definedName name="EV__MEMORYCVW__ALL_EXPENSE_ACCOUNTS_TSI_ALLOCABLE1_COST_CENTER" hidden="1">"[CC_234061"</definedName>
    <definedName name="EV__MEMORYCVW__ALL_EXPENSE_ACCOUNTS_TSI_ALLOCABLE1_ENTITY" hidden="1">"[E_2201"</definedName>
    <definedName name="EV__MEMORYCVW__ALL_EXPENSE_ACCOUNTS_TSI_ALLOCABLE1_MEASURES" hidden="1">"[YTD"</definedName>
    <definedName name="EV__MEMORYCVW__ALL_EXPENSE_ACCOUNTS_TSI_ALLOCABLE1_P_DATASOURCE" hidden="1">"[INPUT"</definedName>
    <definedName name="EV__MEMORYCVW__ALL_EXPENSE_ACCOUNTS_TSI_ALLOCABLE1_RPTCURRENCY" hidden="1">"[LC"</definedName>
    <definedName name="EV__MEMORYCVW__ALL_EXPENSE_ACCOUNTS_TSI_ALLOCABLE1_TIME" hidden="1">"[2015.TOTAL"</definedName>
    <definedName name="EV__MEMORYCVW__ALLOCATION_SHARED_SERV1" hidden="1">"[PLANNING"</definedName>
    <definedName name="EV__MEMORYCVW__ALLOCATION_SHARED_SERV1_ACCOUNT" hidden="1">"[NET_INCOME"</definedName>
    <definedName name="EV__MEMORYCVW__ALLOCATION_SHARED_SERV1_CATEGORY" hidden="1">"[ACTUAL"</definedName>
    <definedName name="EV__MEMORYCVW__ALLOCATION_SHARED_SERV1_COST_CENTER" hidden="1">"[CC_130050"</definedName>
    <definedName name="EV__MEMORYCVW__ALLOCATION_SHARED_SERV1_ENTITY" hidden="1">"[E_2002"</definedName>
    <definedName name="EV__MEMORYCVW__ALLOCATION_SHARED_SERV1_MEASURES" hidden="1">"[PERIODIC"</definedName>
    <definedName name="EV__MEMORYCVW__ALLOCATION_SHARED_SERV1_P_DATASOURCE" hidden="1">"[TOTAL_REST"</definedName>
    <definedName name="EV__MEMORYCVW__ALLOCATION_SHARED_SERV1_RPTCURRENCY" hidden="1">"[LC"</definedName>
    <definedName name="EV__MEMORYCVW__ALLOCATION_SHARED_SERV1_TIME" hidden="1">"[2016.TOTAL"</definedName>
    <definedName name="EV__MEMORYCVW__APPROVAL_STATUS_REVIEW1" hidden="1">"[TECOLABOR"</definedName>
    <definedName name="EV__MEMORYCVW__APPROVAL_STATUS_REVIEW1_CATEGORY" hidden="1">"[WKG_BUDGET"</definedName>
    <definedName name="EV__MEMORYCVW__APPROVAL_STATUS_REVIEW1_COST_CENTER" hidden="1">"[CC_131528"</definedName>
    <definedName name="EV__MEMORYCVW__APPROVAL_STATUS_REVIEW1_ENTITY" hidden="1">"[E_2002"</definedName>
    <definedName name="EV__MEMORYCVW__APPROVAL_STATUS_REVIEW1_I_ENTITY" hidden="1">"[IE_NA"</definedName>
    <definedName name="EV__MEMORYCVW__APPROVAL_STATUS_REVIEW1_IC_COST_CENTER" hidden="1">"[ICC_NA"</definedName>
    <definedName name="EV__MEMORYCVW__APPROVAL_STATUS_REVIEW1_L_ACCOUNT" hidden="1">"[A_ALL_COST_TYPES"</definedName>
    <definedName name="EV__MEMORYCVW__APPROVAL_STATUS_REVIEW1_L_DATASRC" hidden="1">"[INPUT"</definedName>
    <definedName name="EV__MEMORYCVW__APPROVAL_STATUS_REVIEW1_MEASURES" hidden="1">"[PERIODIC"</definedName>
    <definedName name="EV__MEMORYCVW__APPROVAL_STATUS_REVIEW1_PAYSCALE_GROUP" hidden="1">"[UP_101_UNION_0010"</definedName>
    <definedName name="EV__MEMORYCVW__APPROVAL_STATUS_REVIEW1_RPTCURRENCY" hidden="1">"[LC"</definedName>
    <definedName name="EV__MEMORYCVW__APPROVAL_STATUS_REVIEW1_TIME" hidden="1">"[2015.TOTAL"</definedName>
    <definedName name="EV__MEMORYCVW__BOOK1" hidden="1">"[PLANNING"</definedName>
    <definedName name="EV__MEMORYCVW__BOOK1_ACCOUNT" hidden="1">"[AmmortCF"</definedName>
    <definedName name="EV__MEMORYCVW__BOOK1_CATEGORY" hidden="1">"[ACTUAL"</definedName>
    <definedName name="EV__MEMORYCVW__BOOK1_COST_CENTER" hidden="1">"[CC_390445"</definedName>
    <definedName name="EV__MEMORYCVW__BOOK1_ENTITY" hidden="1">"[E_2301"</definedName>
    <definedName name="EV__MEMORYCVW__BOOK1_I_ENTITY" hidden="1">"[IE_NA"</definedName>
    <definedName name="EV__MEMORYCVW__BOOK1_IC_COST_CENTER" hidden="1">"[ICC_NA"</definedName>
    <definedName name="EV__MEMORYCVW__BOOK1_L_ACCOUNT" hidden="1">"[A_ALL_STAT_ACCOUNTS"</definedName>
    <definedName name="EV__MEMORYCVW__BOOK1_L_DATASRC" hidden="1">"[INPUT"</definedName>
    <definedName name="EV__MEMORYCVW__BOOK1_MEASURES" hidden="1">"[YTD"</definedName>
    <definedName name="EV__MEMORYCVW__BOOK1_P_DATASOURCE" hidden="1">"[INPUT"</definedName>
    <definedName name="EV__MEMORYCVW__BOOK1_PAYSCALE_GROUP" hidden="1">"[TOTAL_PAYSCALEGROUPS"</definedName>
    <definedName name="EV__MEMORYCVW__BOOK1_RPTCURRENCY" hidden="1">"[LC"</definedName>
    <definedName name="EV__MEMORYCVW__BOOK1_TIME" hidden="1">"[2017.TOTAL"</definedName>
    <definedName name="EV__MEMORYCVW__BOOK2" hidden="1">"[PLANNING"</definedName>
    <definedName name="EV__MEMORYCVW__BOOK2.XLSX" hidden="1">"[PLANNING"</definedName>
    <definedName name="EV__MEMORYCVW__BOOK2.XLSX_ACCOUNT" hidden="1">"[OM_OTH_EX"</definedName>
    <definedName name="EV__MEMORYCVW__BOOK2.XLSX_CATEGORY" hidden="1">"[FORECAST"</definedName>
    <definedName name="EV__MEMORYCVW__BOOK2.XLSX_COST_CENTER" hidden="1">"[CC_100062"</definedName>
    <definedName name="EV__MEMORYCVW__BOOK2.XLSX_ENTITY" hidden="1">"[E_2001"</definedName>
    <definedName name="EV__MEMORYCVW__BOOK2.XLSX_MEASURES" hidden="1">"[PERIODIC"</definedName>
    <definedName name="EV__MEMORYCVW__BOOK2.XLSX_P_DATASOURCE" hidden="1">"[Allocable"</definedName>
    <definedName name="EV__MEMORYCVW__BOOK2.XLSX_RPTCURRENCY" hidden="1">"[LC"</definedName>
    <definedName name="EV__MEMORYCVW__BOOK2.XLSX_TIME" hidden="1">"[2016.TOTAL"</definedName>
    <definedName name="EV__MEMORYCVW__BOOK2_ACCOUNT" hidden="1">"[A_STAT"</definedName>
    <definedName name="EV__MEMORYCVW__BOOK2_CATEGORY" hidden="1">"[FORECAST"</definedName>
    <definedName name="EV__MEMORYCVW__BOOK2_COST_CENTER" hidden="1">"[CorpSvc_Ops"</definedName>
    <definedName name="EV__MEMORYCVW__BOOK2_ENTITY" hidden="1">"[E_2201"</definedName>
    <definedName name="EV__MEMORYCVW__BOOK2_I_ENTITY" hidden="1">"[IE_NA"</definedName>
    <definedName name="EV__MEMORYCVW__BOOK2_IC_COST_CENTER" hidden="1">"[ICC_NA"</definedName>
    <definedName name="EV__MEMORYCVW__BOOK2_L_ACCOUNT" hidden="1">"[A_ALL_STAT_ACCOUNTS"</definedName>
    <definedName name="EV__MEMORYCVW__BOOK2_L_DATASRC" hidden="1">"[INPUT"</definedName>
    <definedName name="EV__MEMORYCVW__BOOK2_MEASURES" hidden="1">"[YTD"</definedName>
    <definedName name="EV__MEMORYCVW__BOOK2_P_DATASOURCE" hidden="1">"[INPUT"</definedName>
    <definedName name="EV__MEMORYCVW__BOOK2_PAYSCALE_GROUP" hidden="1">"[TOTAL_PAYSCALEGROUPS"</definedName>
    <definedName name="EV__MEMORYCVW__BOOK2_RPTCURRENCY" hidden="1">"[LC"</definedName>
    <definedName name="EV__MEMORYCVW__BOOK2_TIME" hidden="1">"[2014.TOTAL"</definedName>
    <definedName name="EV__MEMORYCVW__BOOK3" hidden="1">"[PLANNING"</definedName>
    <definedName name="EV__MEMORYCVW__BOOK3_ACCOUNT" hidden="1">"[AmmortCF"</definedName>
    <definedName name="EV__MEMORYCVW__BOOK3_CATEGORY" hidden="1">"[ACTUAL"</definedName>
    <definedName name="EV__MEMORYCVW__BOOK3_COST_CENTER" hidden="1">"[CC_390445"</definedName>
    <definedName name="EV__MEMORYCVW__BOOK3_ENTITY" hidden="1">"[E_2301"</definedName>
    <definedName name="EV__MEMORYCVW__BOOK3_I_ENTITY" hidden="1">"[IE_NA"</definedName>
    <definedName name="EV__MEMORYCVW__BOOK3_IC_COST_CENTER" hidden="1">"[ICC_NA"</definedName>
    <definedName name="EV__MEMORYCVW__BOOK3_L_ACCOUNT" hidden="1">"[A_ALL_STAT_ACCOUNTS"</definedName>
    <definedName name="EV__MEMORYCVW__BOOK3_L_DATASRC" hidden="1">"[INPUT"</definedName>
    <definedName name="EV__MEMORYCVW__BOOK3_MEASURES" hidden="1">"[YTD"</definedName>
    <definedName name="EV__MEMORYCVW__BOOK3_P_DATASOURCE" hidden="1">"[INPUT"</definedName>
    <definedName name="EV__MEMORYCVW__BOOK3_PAYSCALE_GROUP" hidden="1">"[TOTAL_PAYSCALEGROUPS"</definedName>
    <definedName name="EV__MEMORYCVW__BOOK3_RPTCURRENCY" hidden="1">"[LC"</definedName>
    <definedName name="EV__MEMORYCVW__BOOK3_TIME" hidden="1">"[2017.TOTAL"</definedName>
    <definedName name="EV__MEMORYCVW__BOOK4" hidden="1">"[PLANNING"</definedName>
    <definedName name="EV__MEMORYCVW__BOOK4_ACCOUNT" hidden="1">"[Std_Reporting_TE01"</definedName>
    <definedName name="EV__MEMORYCVW__BOOK4_CATEGORY" hidden="1">"[ACTUAL"</definedName>
    <definedName name="EV__MEMORYCVW__BOOK4_COST_CENTER" hidden="1">"[Corporate_TSI"</definedName>
    <definedName name="EV__MEMORYCVW__BOOK4_ENTITY" hidden="1">"[E_2002"</definedName>
    <definedName name="EV__MEMORYCVW__BOOK4_I_ENTITY" hidden="1">"[IE_NA"</definedName>
    <definedName name="EV__MEMORYCVW__BOOK4_IC_COST_CENTER" hidden="1">"[ICC_NA"</definedName>
    <definedName name="EV__MEMORYCVW__BOOK4_L_ACCOUNT" hidden="1">"[A_ALL_STAT_ACCOUNTS"</definedName>
    <definedName name="EV__MEMORYCVW__BOOK4_L_DATASRC" hidden="1">"[INPUT"</definedName>
    <definedName name="EV__MEMORYCVW__BOOK4_MEASURES" hidden="1">"[PERIODIC"</definedName>
    <definedName name="EV__MEMORYCVW__BOOK4_P_DATASOURCE" hidden="1">"[FINAL_CC"</definedName>
    <definedName name="EV__MEMORYCVW__BOOK4_PAYSCALE_GROUP" hidden="1">"[TOTAL_PAYSCALEGROUPS"</definedName>
    <definedName name="EV__MEMORYCVW__BOOK4_RPTCURRENCY" hidden="1">"[LC"</definedName>
    <definedName name="EV__MEMORYCVW__BOOK4_TIME" hidden="1">"[2017.TOTAL"</definedName>
    <definedName name="EV__MEMORYCVW__BOOK5" hidden="1">"[PLANNING"</definedName>
    <definedName name="EV__MEMORYCVW__BOOK5.XLSX" hidden="1">"[PLANNING"</definedName>
    <definedName name="EV__MEMORYCVW__BOOK5_ACCOUNT" hidden="1">"[OM_OTH_EX"</definedName>
    <definedName name="EV__MEMORYCVW__BOOK5_CATEGORY" hidden="1">"[FORECAST"</definedName>
    <definedName name="EV__MEMORYCVW__BOOK5_COST_CENTER" hidden="1">"[CC_262004"</definedName>
    <definedName name="EV__MEMORYCVW__BOOK5_ENTITY" hidden="1">"[E_2201"</definedName>
    <definedName name="EV__MEMORYCVW__BOOK5_MEASURES" hidden="1">"[PERIODIC"</definedName>
    <definedName name="EV__MEMORYCVW__BOOK5_P_DATASOURCE" hidden="1">"[Allocable"</definedName>
    <definedName name="EV__MEMORYCVW__BOOK5_RPTCURRENCY" hidden="1">"[LC"</definedName>
    <definedName name="EV__MEMORYCVW__BOOK5_TIME" hidden="1">"[2016.TOTAL"</definedName>
    <definedName name="EV__MEMORYCVW__BOOK6" hidden="1">"[TECOLABOR"</definedName>
    <definedName name="EV__MEMORYCVW__BOOK6_CATEGORY" hidden="1">"[ACTUAL"</definedName>
    <definedName name="EV__MEMORYCVW__BOOK6_COST_CENTER" hidden="1">"[Corporate_TSI"</definedName>
    <definedName name="EV__MEMORYCVW__BOOK6_ENTITY" hidden="1">"[E_2002"</definedName>
    <definedName name="EV__MEMORYCVW__BOOK6_I_ENTITY" hidden="1">"[IE_NA"</definedName>
    <definedName name="EV__MEMORYCVW__BOOK6_IC_COST_CENTER" hidden="1">"[ICC_NA"</definedName>
    <definedName name="EV__MEMORYCVW__BOOK6_L_ACCOUNT" hidden="1">"[A_ALL_STAT_ACCOUNTS"</definedName>
    <definedName name="EV__MEMORYCVW__BOOK6_L_DATASRC" hidden="1">"[INPUT"</definedName>
    <definedName name="EV__MEMORYCVW__BOOK6_MEASURES" hidden="1">"[PERIODIC"</definedName>
    <definedName name="EV__MEMORYCVW__BOOK6_PAYSCALE_GROUP" hidden="1">"[TOTAL_PAYSCALEGROUPS"</definedName>
    <definedName name="EV__MEMORYCVW__BOOK6_RPTCURRENCY" hidden="1">"[LC"</definedName>
    <definedName name="EV__MEMORYCVW__BOOK6_TIME" hidden="1">"[2017.TOTAL"</definedName>
    <definedName name="EV__MEMORYCVW__COMPLIANCE_CODE_OF_CONDUCT_COST_DISTRIBUTION_JULY_2016.XLSX" hidden="1">"[TECOLABOR"</definedName>
    <definedName name="EV__MEMORYCVW__COMPLIANCE_CODE_OF_CONDUCT_COST_DISTRIBUTION_JULY_2016.XLSX_CATEGORY" hidden="1">"[WKG_BUDGET"</definedName>
    <definedName name="EV__MEMORYCVW__COMPLIANCE_CODE_OF_CONDUCT_COST_DISTRIBUTION_JULY_2016.XLSX_COST_CENTER" hidden="1">"[CC_130086"</definedName>
    <definedName name="EV__MEMORYCVW__COMPLIANCE_CODE_OF_CONDUCT_COST_DISTRIBUTION_JULY_2016.XLSX_ENTITY" hidden="1">"[E_2002"</definedName>
    <definedName name="EV__MEMORYCVW__COMPLIANCE_CODE_OF_CONDUCT_COST_DISTRIBUTION_JULY_2016.XLSX_I_ENTITY" hidden="1">"[IE_NA"</definedName>
    <definedName name="EV__MEMORYCVW__COMPLIANCE_CODE_OF_CONDUCT_COST_DISTRIBUTION_JULY_2016.XLSX_IC_COST_CENTER" hidden="1">"[ICC_NA"</definedName>
    <definedName name="EV__MEMORYCVW__COMPLIANCE_CODE_OF_CONDUCT_COST_DISTRIBUTION_JULY_2016.XLSX_L_ACCOUNT" hidden="1">"[A_ALL_COST_TYPES"</definedName>
    <definedName name="EV__MEMORYCVW__COMPLIANCE_CODE_OF_CONDUCT_COST_DISTRIBUTION_JULY_2016.XLSX_L_DATASRC" hidden="1">"[INPUT"</definedName>
    <definedName name="EV__MEMORYCVW__COMPLIANCE_CODE_OF_CONDUCT_COST_DISTRIBUTION_JULY_2016.XLSX_MEASURES" hidden="1">"[PERIODIC"</definedName>
    <definedName name="EV__MEMORYCVW__COMPLIANCE_CODE_OF_CONDUCT_COST_DISTRIBUTION_JULY_2016.XLSX_PAYSCALE_GROUP" hidden="1">"[PG_NA"</definedName>
    <definedName name="EV__MEMORYCVW__COMPLIANCE_CODE_OF_CONDUCT_COST_DISTRIBUTION_JULY_2016.XLSX_RPTCURRENCY" hidden="1">"[LC"</definedName>
    <definedName name="EV__MEMORYCVW__COMPLIANCE_CODE_OF_CONDUCT_COST_DISTRIBUTION_JULY_2016.XLSX_TIME" hidden="1">"[2015.TOTAL"</definedName>
    <definedName name="EV__MEMORYCVW__COST_CENTER_ENTITY_LEVEL_EXPENSE_REPORT_ALLOCNONALLOC1" hidden="1">"[PLANNING"</definedName>
    <definedName name="EV__MEMORYCVW__COST_CENTER_ENTITY_LEVEL_EXPENSE_REPORT_ALLOCNONALLOC1_ACCOUNT" hidden="1">"[LIAB_AND_CAP"</definedName>
    <definedName name="EV__MEMORYCVW__COST_CENTER_ENTITY_LEVEL_EXPENSE_REPORT_ALLOCNONALLOC1_CATEGORY" hidden="1">"[ACTUAL"</definedName>
    <definedName name="EV__MEMORYCVW__COST_CENTER_ENTITY_LEVEL_EXPENSE_REPORT_ALLOCNONALLOC1_COST_CENTER" hidden="1">"[Info_Technology"</definedName>
    <definedName name="EV__MEMORYCVW__COST_CENTER_ENTITY_LEVEL_EXPENSE_REPORT_ALLOCNONALLOC1_ENTITY" hidden="1">"[E_2201"</definedName>
    <definedName name="EV__MEMORYCVW__COST_CENTER_ENTITY_LEVEL_EXPENSE_REPORT_ALLOCNONALLOC1_MEASURES" hidden="1">"[YTD"</definedName>
    <definedName name="EV__MEMORYCVW__COST_CENTER_ENTITY_LEVEL_EXPENSE_REPORT_ALLOCNONALLOC1_P_DATASOURCE" hidden="1">"[INPUT"</definedName>
    <definedName name="EV__MEMORYCVW__COST_CENTER_ENTITY_LEVEL_EXPENSE_REPORT_ALLOCNONALLOC1_RPTCURRENCY" hidden="1">"[LC"</definedName>
    <definedName name="EV__MEMORYCVW__COST_CENTER_ENTITY_LEVEL_EXPENSE_REPORT_ALLOCNONALLOC1_TIME" hidden="1">"[2015.TOTAL"</definedName>
    <definedName name="EV__MEMORYCVW__EXPENSE_REPORT_BYCC1" hidden="1">"[PLANNING"</definedName>
    <definedName name="EV__MEMORYCVW__EXPENSE_REPORT_BYCC1_ACCOUNT" hidden="1">"[AmmortCF"</definedName>
    <definedName name="EV__MEMORYCVW__EXPENSE_REPORT_BYCC1_CATEGORY" hidden="1">"[ACTUAL"</definedName>
    <definedName name="EV__MEMORYCVW__EXPENSE_REPORT_BYCC1_COST_CENTER" hidden="1">"[Corporate_PGS_NC"</definedName>
    <definedName name="EV__MEMORYCVW__EXPENSE_REPORT_BYCC1_ENTITY" hidden="1">"[E_2301"</definedName>
    <definedName name="EV__MEMORYCVW__EXPENSE_REPORT_BYCC1_MEASURES" hidden="1">"[YTD"</definedName>
    <definedName name="EV__MEMORYCVW__EXPENSE_REPORT_BYCC1_P_DATASOURCE" hidden="1">"[INPUT"</definedName>
    <definedName name="EV__MEMORYCVW__EXPENSE_REPORT_BYCC1_RPTCURRENCY" hidden="1">"[LC"</definedName>
    <definedName name="EV__MEMORYCVW__EXPENSE_REPORT_BYCC1_TIME" hidden="1">"[2016.TOTAL"</definedName>
    <definedName name="EV__MEMORYCVW__EXPENSE_REPORT_VARIANCE1" hidden="1">"[PLANNING"</definedName>
    <definedName name="EV__MEMORYCVW__EXPENSE_REPORT_VARIANCE1_ACCOUNT" hidden="1">"[AmmortCF"</definedName>
    <definedName name="EV__MEMORYCVW__EXPENSE_REPORT_VARIANCE1_CATEGORY" hidden="1">"[ACTUAL"</definedName>
    <definedName name="EV__MEMORYCVW__EXPENSE_REPORT_VARIANCE1_COST_CENTER" hidden="1">"[Corporate_PGS_NC"</definedName>
    <definedName name="EV__MEMORYCVW__EXPENSE_REPORT_VARIANCE1_ENTITY" hidden="1">"[E_2301"</definedName>
    <definedName name="EV__MEMORYCVW__EXPENSE_REPORT_VARIANCE1_MEASURES" hidden="1">"[YTD"</definedName>
    <definedName name="EV__MEMORYCVW__EXPENSE_REPORT_VARIANCE1_P_DATASOURCE" hidden="1">"[INPUT"</definedName>
    <definedName name="EV__MEMORYCVW__EXPENSE_REPORT_VARIANCE1_RPTCURRENCY" hidden="1">"[LC"</definedName>
    <definedName name="EV__MEMORYCVW__EXPENSE_REPORT_VARIANCE1_TIME" hidden="1">"[2017.TOTAL"</definedName>
    <definedName name="EV__MEMORYCVW__EXPENSE_REPORT_VARIANCE2" hidden="1">"[PLANNING"</definedName>
    <definedName name="EV__MEMORYCVW__EXPENSE_REPORT_VARIANCE2_ACCOUNT" hidden="1">"[Std_Reporting_TE01"</definedName>
    <definedName name="EV__MEMORYCVW__EXPENSE_REPORT_VARIANCE2_CATEGORY" hidden="1">"[ACTUAL"</definedName>
    <definedName name="EV__MEMORYCVW__EXPENSE_REPORT_VARIANCE2_COST_CENTER" hidden="1">"[Corp_Svcs_CHRO"</definedName>
    <definedName name="EV__MEMORYCVW__EXPENSE_REPORT_VARIANCE2_ENTITY" hidden="1">"[E_2002"</definedName>
    <definedName name="EV__MEMORYCVW__EXPENSE_REPORT_VARIANCE2_MEASURES" hidden="1">"[PERIODIC"</definedName>
    <definedName name="EV__MEMORYCVW__EXPENSE_REPORT_VARIANCE2_P_DATASOURCE" hidden="1">"[FINAL_CC"</definedName>
    <definedName name="EV__MEMORYCVW__EXPENSE_REPORT_VARIANCE2_RPTCURRENCY" hidden="1">"[LC"</definedName>
    <definedName name="EV__MEMORYCVW__EXPENSE_REPORT_VARIANCE2_TIME" hidden="1">"[2017.TOTAL"</definedName>
    <definedName name="EV__MEMORYCVW__EXPENSE_REPORT1" hidden="1">"[PLANNING"</definedName>
    <definedName name="EV__MEMORYCVW__EXPENSE_REPORT1_ACCOUNT" hidden="1">"[NET_INCOME"</definedName>
    <definedName name="EV__MEMORYCVW__EXPENSE_REPORT1_CATEGORY" hidden="1">"[ACTUAL"</definedName>
    <definedName name="EV__MEMORYCVW__EXPENSE_REPORT1_COST_CENTER" hidden="1">"[CC_131528"</definedName>
    <definedName name="EV__MEMORYCVW__EXPENSE_REPORT1_ENTITY" hidden="1">"[E_2002"</definedName>
    <definedName name="EV__MEMORYCVW__EXPENSE_REPORT1_MEASURES" hidden="1">"[PERIODIC"</definedName>
    <definedName name="EV__MEMORYCVW__EXPENSE_REPORT1_P_DATASOURCE" hidden="1">"[TOTAL_REST"</definedName>
    <definedName name="EV__MEMORYCVW__EXPENSE_REPORT1_RPTCURRENCY" hidden="1">"[LC"</definedName>
    <definedName name="EV__MEMORYCVW__EXPENSE_REPORT1_TIME" hidden="1">"[2017.TOTAL"</definedName>
    <definedName name="EV__MEMORYCVW__EXPENSE_VARIANCE_REPORT1" hidden="1">"[PLANNING"</definedName>
    <definedName name="EV__MEMORYCVW__EXPENSE_VARIANCE_REPORT1_ACCOUNT" hidden="1">"[A_STAT"</definedName>
    <definedName name="EV__MEMORYCVW__EXPENSE_VARIANCE_REPORT1_CATEGORY" hidden="1">"[ACTUAL"</definedName>
    <definedName name="EV__MEMORYCVW__EXPENSE_VARIANCE_REPORT1_COST_CENTER" hidden="1">"[CorpSvc_Ops"</definedName>
    <definedName name="EV__MEMORYCVW__EXPENSE_VARIANCE_REPORT1_ENTITY" hidden="1">"[E_2201"</definedName>
    <definedName name="EV__MEMORYCVW__EXPENSE_VARIANCE_REPORT1_MEASURES" hidden="1">"[YTD"</definedName>
    <definedName name="EV__MEMORYCVW__EXPENSE_VARIANCE_REPORT1_P_DATASOURCE" hidden="1">"[INPUT"</definedName>
    <definedName name="EV__MEMORYCVW__EXPENSE_VARIANCE_REPORT1_RPTCURRENCY" hidden="1">"[LC"</definedName>
    <definedName name="EV__MEMORYCVW__EXPENSE_VARIANCE_REPORT1_TIME" hidden="1">"[2014.TOTAL"</definedName>
    <definedName name="EV__MEMORYCVW__EXPENSES_TE_NONALLOCABLE1" hidden="1">"[PLANNING"</definedName>
    <definedName name="EV__MEMORYCVW__EXPENSES_TE_NONALLOCABLE1_ACCOUNT" hidden="1">"[NET_INCOME"</definedName>
    <definedName name="EV__MEMORYCVW__EXPENSES_TE_NONALLOCABLE1_CATEGORY" hidden="1">"[WKG_BUDGET"</definedName>
    <definedName name="EV__MEMORYCVW__EXPENSES_TE_NONALLOCABLE1_COST_CENTER" hidden="1">"[CC_100080"</definedName>
    <definedName name="EV__MEMORYCVW__EXPENSES_TE_NONALLOCABLE1_ENTITY" hidden="1">"[E_2001"</definedName>
    <definedName name="EV__MEMORYCVW__EXPENSES_TE_NONALLOCABLE1_MEASURES" hidden="1">"[PERIODIC"</definedName>
    <definedName name="EV__MEMORYCVW__EXPENSES_TE_NONALLOCABLE1_P_DATASOURCE" hidden="1">"[TOTAL_REST"</definedName>
    <definedName name="EV__MEMORYCVW__EXPENSES_TE_NONALLOCABLE1_RPTCURRENCY" hidden="1">"[LC"</definedName>
    <definedName name="EV__MEMORYCVW__EXPENSES_TE_NONALLOCABLE1_TIME" hidden="1">"[2017.TOTAL"</definedName>
    <definedName name="EV__MEMORYCVW__EXPENSES_TSI_ALLOCABLE1" hidden="1">"[PLANNING"</definedName>
    <definedName name="EV__MEMORYCVW__EXPENSES_TSI_ALLOCABLE1_ACCOUNT" hidden="1">"[NET_INCOME"</definedName>
    <definedName name="EV__MEMORYCVW__EXPENSES_TSI_ALLOCABLE1_CATEGORY" hidden="1">"[ACTUAL"</definedName>
    <definedName name="EV__MEMORYCVW__EXPENSES_TSI_ALLOCABLE1_COST_CENTER" hidden="1">"[CC_130051"</definedName>
    <definedName name="EV__MEMORYCVW__EXPENSES_TSI_ALLOCABLE1_ENTITY" hidden="1">"[E_2002"</definedName>
    <definedName name="EV__MEMORYCVW__EXPENSES_TSI_ALLOCABLE1_MEASURES" hidden="1">"[PERIODIC"</definedName>
    <definedName name="EV__MEMORYCVW__EXPENSES_TSI_ALLOCABLE1_P_DATASOURCE" hidden="1">"[TOTAL_REST"</definedName>
    <definedName name="EV__MEMORYCVW__EXPENSES_TSI_ALLOCABLE1_RPTCURRENCY" hidden="1">"[LC"</definedName>
    <definedName name="EV__MEMORYCVW__EXPENSES_TSI_ALLOCABLE1_TIME" hidden="1">"[2017.TOTAL"</definedName>
    <definedName name="EV__MEMORYCVW__FINAL_2016_TSI_EFFIC__PROCS_IMPRV_OM_5_YR_FORECAST.XLSX" hidden="1">"[PLANNING"</definedName>
    <definedName name="EV__MEMORYCVW__FINAL_2016_TSI_EFFIC__PROCS_IMPRV_OM_5_YR_FORECAST.XLSX_ACCOUNT" hidden="1">"[Std_Reporting_TE01"</definedName>
    <definedName name="EV__MEMORYCVW__FINAL_2016_TSI_EFFIC__PROCS_IMPRV_OM_5_YR_FORECAST.XLSX_CATEGORY" hidden="1">"[ACTUAL"</definedName>
    <definedName name="EV__MEMORYCVW__FINAL_2016_TSI_EFFIC__PROCS_IMPRV_OM_5_YR_FORECAST.XLSX_COST_CENTER" hidden="1">"[CC_130073"</definedName>
    <definedName name="EV__MEMORYCVW__FINAL_2016_TSI_EFFIC__PROCS_IMPRV_OM_5_YR_FORECAST.XLSX_ENTITY" hidden="1">"[E_2002"</definedName>
    <definedName name="EV__MEMORYCVW__FINAL_2016_TSI_EFFIC__PROCS_IMPRV_OM_5_YR_FORECAST.XLSX_MEASURES" hidden="1">"[PERIODIC"</definedName>
    <definedName name="EV__MEMORYCVW__FINAL_2016_TSI_EFFIC__PROCS_IMPRV_OM_5_YR_FORECAST.XLSX_P_DATASOURCE" hidden="1">"[FINAL_CC"</definedName>
    <definedName name="EV__MEMORYCVW__FINAL_2016_TSI_EFFIC__PROCS_IMPRV_OM_5_YR_FORECAST.XLSX_RPTCURRENCY" hidden="1">"[LC"</definedName>
    <definedName name="EV__MEMORYCVW__FINAL_2016_TSI_EFFIC__PROCS_IMPRV_OM_5_YR_FORECAST.XLSX_TIME" hidden="1">"[2016.TOTAL"</definedName>
    <definedName name="EV__MEMORYCVW__FUNCRES.XLAM" hidden="1">"[TECOLABOR"</definedName>
    <definedName name="EV__MEMORYCVW__FUNCRES.XLAM_ACCOUNT" hidden="1">"[Std_Reporting_TE01"</definedName>
    <definedName name="EV__MEMORYCVW__FUNCRES.XLAM_CATEGORY" hidden="1">"[WKG_BUDGET"</definedName>
    <definedName name="EV__MEMORYCVW__FUNCRES.XLAM_COST_CENTER" hidden="1">"[CC_137000"</definedName>
    <definedName name="EV__MEMORYCVW__FUNCRES.XLAM_ENTITY" hidden="1">"[E_2002"</definedName>
    <definedName name="EV__MEMORYCVW__FUNCRES.XLAM_I_ENTITY" hidden="1">"[IE_NA"</definedName>
    <definedName name="EV__MEMORYCVW__FUNCRES.XLAM_IC_COST_CENTER" hidden="1">"[ICC_NA"</definedName>
    <definedName name="EV__MEMORYCVW__FUNCRES.XLAM_L_ACCOUNT" hidden="1">"[A_ALL_STAT_ACCOUNTS"</definedName>
    <definedName name="EV__MEMORYCVW__FUNCRES.XLAM_L_DATASRC" hidden="1">"[RECEIVE"</definedName>
    <definedName name="EV__MEMORYCVW__FUNCRES.XLAM_MEASURES" hidden="1">"[PERIODIC"</definedName>
    <definedName name="EV__MEMORYCVW__FUNCRES.XLAM_P_DATASOURCE" hidden="1">"[FINAL_CC"</definedName>
    <definedName name="EV__MEMORYCVW__FUNCRES.XLAM_PAYSCALE_GROUP" hidden="1">"[PG_NA"</definedName>
    <definedName name="EV__MEMORYCVW__FUNCRES.XLAM_RPTCURRENCY" hidden="1">"[LC"</definedName>
    <definedName name="EV__MEMORYCVW__FUNCRES.XLAM_TIME" hidden="1">"[2016.TOTAL"</definedName>
    <definedName name="EV__MEMORYCVW__HEADCOUNT_DETAIL_REPORT1" hidden="1">"[TECOLABOR"</definedName>
    <definedName name="EV__MEMORYCVW__HEADCOUNT_DETAIL_REPORT1_CATEGORY" hidden="1">"[FNL_BUDGET"</definedName>
    <definedName name="EV__MEMORYCVW__HEADCOUNT_DETAIL_REPORT1_COST_CENTER" hidden="1">"[Corporate_Services"</definedName>
    <definedName name="EV__MEMORYCVW__HEADCOUNT_DETAIL_REPORT1_ENTITY" hidden="1">"[E_2201"</definedName>
    <definedName name="EV__MEMORYCVW__HEADCOUNT_DETAIL_REPORT1_I_ENTITY" hidden="1">"[IE_NA"</definedName>
    <definedName name="EV__MEMORYCVW__HEADCOUNT_DETAIL_REPORT1_IC_COST_CENTER" hidden="1">"[ICC_NA"</definedName>
    <definedName name="EV__MEMORYCVW__HEADCOUNT_DETAIL_REPORT1_L_ACCOUNT" hidden="1">"[A_ALL_STAT_ACCOUNTS"</definedName>
    <definedName name="EV__MEMORYCVW__HEADCOUNT_DETAIL_REPORT1_L_DATASRC" hidden="1">"[INPUT"</definedName>
    <definedName name="EV__MEMORYCVW__HEADCOUNT_DETAIL_REPORT1_MEASURES" hidden="1">"[PERIODIC"</definedName>
    <definedName name="EV__MEMORYCVW__HEADCOUNT_DETAIL_REPORT1_PAYSCALE_GROUP" hidden="1">"[TOTAL_PAYSCALEGROUPS"</definedName>
    <definedName name="EV__MEMORYCVW__HEADCOUNT_DETAIL_REPORT1_RPTCURRENCY" hidden="1">"[LC"</definedName>
    <definedName name="EV__MEMORYCVW__HEADCOUNT_DETAIL_REPORT1_TIME" hidden="1">"[2014.TOTAL"</definedName>
    <definedName name="EV__MEMORYCVW__HEADCOUNT_REVIEW_INPUT_SCHEDULE.XLTX" hidden="1">"[LABOR"</definedName>
    <definedName name="EV__MEMORYCVW__HEADCOUNT_REVIEW_INPUT_SCHEDULE.XLTX_CATEGORY" hidden="1">"[ACTUAL"</definedName>
    <definedName name="EV__MEMORYCVW__HEADCOUNT_REVIEW_INPUT_SCHEDULE.XLTX_COST_CENTER" hidden="1">"[CC_NA"</definedName>
    <definedName name="EV__MEMORYCVW__HEADCOUNT_REVIEW_INPUT_SCHEDULE.XLTX_ENTITY" hidden="1">"[TECO_LEGAL"</definedName>
    <definedName name="EV__MEMORYCVW__HEADCOUNT_REVIEW_INPUT_SCHEDULE.XLTX_IC_COST_CENTER" hidden="1">"[ALL_ICC_COST_CENTER"</definedName>
    <definedName name="EV__MEMORYCVW__HEADCOUNT_REVIEW_INPUT_SCHEDULE.XLTX_L_ACCOUNT" hidden="1">"[A_ALL_STAT_ACCOUNTS"</definedName>
    <definedName name="EV__MEMORYCVW__HEADCOUNT_REVIEW_INPUT_SCHEDULE.XLTX_L_DATASRC" hidden="1">"[FINAL"</definedName>
    <definedName name="EV__MEMORYCVW__HEADCOUNT_REVIEW_INPUT_SCHEDULE.XLTX_MEASURES" hidden="1">"[PERIODIC"</definedName>
    <definedName name="EV__MEMORYCVW__HEADCOUNT_REVIEW_INPUT_SCHEDULE.XLTX_PAYSCALE_GROUP" hidden="1">"[TOTAL_PAYSCALEGROUPS"</definedName>
    <definedName name="EV__MEMORYCVW__HEADCOUNT_REVIEW_INPUT_SCHEDULE.XLTX_RPTCURRENCY" hidden="1">"[LC"</definedName>
    <definedName name="EV__MEMORYCVW__HEADCOUNT_REVIEW_INPUT_SCHEDULE.XLTX_TIME" hidden="1">"[2005.TOTAL"</definedName>
    <definedName name="EV__MEMORYCVW__HEADCOUNT_REVIEW_INPUT_SCHEDULE1" hidden="1">"[TECOLABOR"</definedName>
    <definedName name="EV__MEMORYCVW__HEADCOUNT_REVIEW_INPUT_SCHEDULE1_CATEGORY" hidden="1">"[WKG_BUDGET"</definedName>
    <definedName name="EV__MEMORYCVW__HEADCOUNT_REVIEW_INPUT_SCHEDULE1_COST_CENTER" hidden="1">"[CC_254003"</definedName>
    <definedName name="EV__MEMORYCVW__HEADCOUNT_REVIEW_INPUT_SCHEDULE1_ENTITY" hidden="1">"[E_2201"</definedName>
    <definedName name="EV__MEMORYCVW__HEADCOUNT_REVIEW_INPUT_SCHEDULE1_I_ENTITY" hidden="1">"[IE_NA"</definedName>
    <definedName name="EV__MEMORYCVW__HEADCOUNT_REVIEW_INPUT_SCHEDULE1_IC_COST_CENTER" hidden="1">"[ICC_NA"</definedName>
    <definedName name="EV__MEMORYCVW__HEADCOUNT_REVIEW_INPUT_SCHEDULE1_L_ACCOUNT" hidden="1">"[A_ALL_STAT_ACCOUNTS"</definedName>
    <definedName name="EV__MEMORYCVW__HEADCOUNT_REVIEW_INPUT_SCHEDULE1_L_DATASRC" hidden="1">"[INPUT"</definedName>
    <definedName name="EV__MEMORYCVW__HEADCOUNT_REVIEW_INPUT_SCHEDULE1_MEASURES" hidden="1">"[PERIODIC"</definedName>
    <definedName name="EV__MEMORYCVW__HEADCOUNT_REVIEW_INPUT_SCHEDULE1_PAYSCALE_GROUP" hidden="1">"[TOTAL_PAYSCALEGROUPS"</definedName>
    <definedName name="EV__MEMORYCVW__HEADCOUNT_REVIEW_INPUT_SCHEDULE1_RPTCURRENCY" hidden="1">"[LC"</definedName>
    <definedName name="EV__MEMORYCVW__HEADCOUNT_REVIEW_INPUT_SCHEDULE1_TIME" hidden="1">"[2017.TOTAL"</definedName>
    <definedName name="EV__MEMORYCVW__INCOME_STATEMENT_REPORT1" hidden="1">"[PLANNING"</definedName>
    <definedName name="EV__MEMORYCVW__INCOME_STATEMENT_REPORT1_ACCOUNT" hidden="1">"[Std_Reporting_TE01"</definedName>
    <definedName name="EV__MEMORYCVW__INCOME_STATEMENT_REPORT1_CATEGORY" hidden="1">"[ACTUAL"</definedName>
    <definedName name="EV__MEMORYCVW__INCOME_STATEMENT_REPORT1_COST_CENTER" hidden="1">"[CC_130058"</definedName>
    <definedName name="EV__MEMORYCVW__INCOME_STATEMENT_REPORT1_ENTITY" hidden="1">"[E_2002"</definedName>
    <definedName name="EV__MEMORYCVW__INCOME_STATEMENT_REPORT1_MEASURES" hidden="1">"[YTD"</definedName>
    <definedName name="EV__MEMORYCVW__INCOME_STATEMENT_REPORT1_P_DATASOURCE" hidden="1">"[TOTAL"</definedName>
    <definedName name="EV__MEMORYCVW__INCOME_STATEMENT_REPORT1_RPTCURRENCY" hidden="1">"[LC"</definedName>
    <definedName name="EV__MEMORYCVW__INCOME_STATEMENT_REPORT1_TIME" hidden="1">"[2014.TOTAL"</definedName>
    <definedName name="EV__MEMORYCVW__LABOR_BUDGET_REVIEW_SIGN_OFF.XLTX" hidden="1">"[TECOLABOR"</definedName>
    <definedName name="EV__MEMORYCVW__LABOR_BUDGET_REVIEW_SIGN_OFF1" hidden="1">"[TECOLABOR"</definedName>
    <definedName name="EV__MEMORYCVW__LABOR_BUDGET_REVIEW_SIGN_OFF1.XLSX" hidden="1">"[TECOLABOR"</definedName>
    <definedName name="EV__MEMORYCVW__LABOR_BUDGET_REVIEW_SIGN_OFF1_CATEGORY" hidden="1">"[WKG_BUDGET"</definedName>
    <definedName name="EV__MEMORYCVW__LABOR_BUDGET_REVIEW_SIGN_OFF1_COST_CENTER" hidden="1">"[Corp_Svcs_CHRO"</definedName>
    <definedName name="EV__MEMORYCVW__LABOR_BUDGET_REVIEW_SIGN_OFF1_ENTITY" hidden="1">"[E_2002"</definedName>
    <definedName name="EV__MEMORYCVW__LABOR_BUDGET_REVIEW_SIGN_OFF1_I_ENTITY" hidden="1">"[IE_NA"</definedName>
    <definedName name="EV__MEMORYCVW__LABOR_BUDGET_REVIEW_SIGN_OFF1_IC_COST_CENTER" hidden="1">"[ICC_NA"</definedName>
    <definedName name="EV__MEMORYCVW__LABOR_BUDGET_REVIEW_SIGN_OFF1_L_ACCOUNT" hidden="1">"[A_ALL_STAT_ACCOUNTS"</definedName>
    <definedName name="EV__MEMORYCVW__LABOR_BUDGET_REVIEW_SIGN_OFF1_L_DATASRC" hidden="1">"[INPUT"</definedName>
    <definedName name="EV__MEMORYCVW__LABOR_BUDGET_REVIEW_SIGN_OFF1_MEASURES" hidden="1">"[PERIODIC"</definedName>
    <definedName name="EV__MEMORYCVW__LABOR_BUDGET_REVIEW_SIGN_OFF1_PAYSCALE_GROUP" hidden="1">"[TOTAL_PAYSCALEGROUPS"</definedName>
    <definedName name="EV__MEMORYCVW__LABOR_BUDGET_REVIEW_SIGN_OFF1_RPTCURRENCY" hidden="1">"[LC"</definedName>
    <definedName name="EV__MEMORYCVW__LABOR_BUDGET_REVIEW_SIGN_OFF1_TIME" hidden="1">"[2016.TOTAL"</definedName>
    <definedName name="EV__MEMORYCVW__LABOR_BUDGET_REVIEW_SIGN_OFF2" hidden="1">"[TECOLABOR"</definedName>
    <definedName name="EV__MEMORYCVW__LABOR_DISTRIBUTION_BY_COST_CENTER1" hidden="1">"[TECOLABOR"</definedName>
    <definedName name="EV__MEMORYCVW__LABOR_DISTRIBUTION_BY_COST_CENTER1_CATEGORY" hidden="1">"[WKG_BUDGET"</definedName>
    <definedName name="EV__MEMORYCVW__LABOR_DISTRIBUTION_BY_COST_CENTER1_COST_CENTER" hidden="1">"[Corporate_TSI"</definedName>
    <definedName name="EV__MEMORYCVW__LABOR_DISTRIBUTION_BY_COST_CENTER1_ENTITY" hidden="1">"[E_2002"</definedName>
    <definedName name="EV__MEMORYCVW__LABOR_DISTRIBUTION_BY_COST_CENTER1_I_ENTITY" hidden="1">"[IE_NA"</definedName>
    <definedName name="EV__MEMORYCVW__LABOR_DISTRIBUTION_BY_COST_CENTER1_IC_COST_CENTER" hidden="1">"[ICC_NA"</definedName>
    <definedName name="EV__MEMORYCVW__LABOR_DISTRIBUTION_BY_COST_CENTER1_L_ACCOUNT" hidden="1">"[A_ALL_COST_TYPES"</definedName>
    <definedName name="EV__MEMORYCVW__LABOR_DISTRIBUTION_BY_COST_CENTER1_L_DATASRC" hidden="1">"[INPUT"</definedName>
    <definedName name="EV__MEMORYCVW__LABOR_DISTRIBUTION_BY_COST_CENTER1_MEASURES" hidden="1">"[PERIODIC"</definedName>
    <definedName name="EV__MEMORYCVW__LABOR_DISTRIBUTION_BY_COST_CENTER1_PAYSCALE_GROUP" hidden="1">"[PG_NA"</definedName>
    <definedName name="EV__MEMORYCVW__LABOR_DISTRIBUTION_BY_COST_CENTER1_RPTCURRENCY" hidden="1">"[LC"</definedName>
    <definedName name="EV__MEMORYCVW__LABOR_DISTRIBUTION_BY_COST_CENTER1_TIME" hidden="1">"[2014.TOTAL"</definedName>
    <definedName name="EV__MEMORYCVW__LABOR_DISTRIBUTION_BY_COST_TYPE1" hidden="1">"[TECOLABOR"</definedName>
    <definedName name="EV__MEMORYCVW__LABOR_DISTRIBUTION_BY_COST_TYPE1_CATEGORY" hidden="1">"[WKG_BUDGET"</definedName>
    <definedName name="EV__MEMORYCVW__LABOR_DISTRIBUTION_BY_COST_TYPE1_COST_CENTER" hidden="1">"[CC_130079"</definedName>
    <definedName name="EV__MEMORYCVW__LABOR_DISTRIBUTION_BY_COST_TYPE1_ENTITY" hidden="1">"[E_2002"</definedName>
    <definedName name="EV__MEMORYCVW__LABOR_DISTRIBUTION_BY_COST_TYPE1_I_ENTITY" hidden="1">"[IE_NA"</definedName>
    <definedName name="EV__MEMORYCVW__LABOR_DISTRIBUTION_BY_COST_TYPE1_IC_COST_CENTER" hidden="1">"[ICC_NA"</definedName>
    <definedName name="EV__MEMORYCVW__LABOR_DISTRIBUTION_BY_COST_TYPE1_L_ACCOUNT" hidden="1">"[A_ALL_COST_TYPES"</definedName>
    <definedName name="EV__MEMORYCVW__LABOR_DISTRIBUTION_BY_COST_TYPE1_L_DATASRC" hidden="1">"[INPUT"</definedName>
    <definedName name="EV__MEMORYCVW__LABOR_DISTRIBUTION_BY_COST_TYPE1_MEASURES" hidden="1">"[PERIODIC"</definedName>
    <definedName name="EV__MEMORYCVW__LABOR_DISTRIBUTION_BY_COST_TYPE1_PAYSCALE_GROUP" hidden="1">"[PG_NA"</definedName>
    <definedName name="EV__MEMORYCVW__LABOR_DISTRIBUTION_BY_COST_TYPE1_RPTCURRENCY" hidden="1">"[LC"</definedName>
    <definedName name="EV__MEMORYCVW__LABOR_DISTRIBUTION_BY_COST_TYPE1_TIME" hidden="1">"[2016.TOTAL"</definedName>
    <definedName name="EV__MEMORYCVW__LABOR_PLANNING_MENU.XLSM" hidden="1">"[TECOLABOR"</definedName>
    <definedName name="EV__MEMORYCVW__LABOR_PLANNING_MENU.XLSM_CATEGORY" hidden="1">"[WKG_BUDGET"</definedName>
    <definedName name="EV__MEMORYCVW__LABOR_PLANNING_MENU.XLSM_COST_CENTER" hidden="1">"[CC_240299"</definedName>
    <definedName name="EV__MEMORYCVW__LABOR_PLANNING_MENU.XLSM_ENTITY" hidden="1">"[E_2201"</definedName>
    <definedName name="EV__MEMORYCVW__LABOR_PLANNING_MENU.XLSM_I_ENTITY" hidden="1">"[IE_NA"</definedName>
    <definedName name="EV__MEMORYCVW__LABOR_PLANNING_MENU.XLSM_IC_COST_CENTER" hidden="1">"[ICC_NA"</definedName>
    <definedName name="EV__MEMORYCVW__LABOR_PLANNING_MENU.XLSM_L_ACCOUNT" hidden="1">"[A_ALL_STAT_ACCOUNTS"</definedName>
    <definedName name="EV__MEMORYCVW__LABOR_PLANNING_MENU.XLSM_L_DATASRC" hidden="1">"[INPUT"</definedName>
    <definedName name="EV__MEMORYCVW__LABOR_PLANNING_MENU.XLSM_MEASURES" hidden="1">"[PERIODIC"</definedName>
    <definedName name="EV__MEMORYCVW__LABOR_PLANNING_MENU.XLSM_PAYSCALE_GROUP" hidden="1">"[TOTAL_PAYSCALEGROUPS"</definedName>
    <definedName name="EV__MEMORYCVW__LABOR_PLANNING_MENU.XLSM_RPTCURRENCY" hidden="1">"[LC"</definedName>
    <definedName name="EV__MEMORYCVW__LABOR_PLANNING_MENU.XLSM_TIME" hidden="1">"[2012.TOTAL"</definedName>
    <definedName name="EV__MEMORYCVW__LABOR_PLANNING_MENU1" hidden="1">"[TECOLABOR"</definedName>
    <definedName name="EV__MEMORYCVW__LABOR_PLANNING_MENU1_CATEGORY" hidden="1">"[WKG_BUDGET"</definedName>
    <definedName name="EV__MEMORYCVW__LABOR_PLANNING_MENU1_COST_CENTER" hidden="1">"[CC_130094"</definedName>
    <definedName name="EV__MEMORYCVW__LABOR_PLANNING_MENU1_ENTITY" hidden="1">"[E_2002"</definedName>
    <definedName name="EV__MEMORYCVW__LABOR_PLANNING_MENU1_I_ENTITY" hidden="1">"[IE_NA"</definedName>
    <definedName name="EV__MEMORYCVW__LABOR_PLANNING_MENU1_IC_COST_CENTER" hidden="1">"[ICC_NA"</definedName>
    <definedName name="EV__MEMORYCVW__LABOR_PLANNING_MENU1_L_ACCOUNT" hidden="1">"[A_ALL_STAT_ACCOUNTS"</definedName>
    <definedName name="EV__MEMORYCVW__LABOR_PLANNING_MENU1_L_DATASRC" hidden="1">"[INPUT"</definedName>
    <definedName name="EV__MEMORYCVW__LABOR_PLANNING_MENU1_MEASURES" hidden="1">"[PERIODIC"</definedName>
    <definedName name="EV__MEMORYCVW__LABOR_PLANNING_MENU1_PAYSCALE_GROUP" hidden="1">"[TOTAL_PAYSCALEGROUPS"</definedName>
    <definedName name="EV__MEMORYCVW__LABOR_PLANNING_MENU1_RPTCURRENCY" hidden="1">"[LC"</definedName>
    <definedName name="EV__MEMORYCVW__LABOR_PLANNING_MENU1_TIME" hidden="1">"[2017.TOTAL"</definedName>
    <definedName name="EV__MEMORYCVW__LABOR_PLANNING_MENU2" hidden="1">"[TECOLABOR"</definedName>
    <definedName name="EV__MEMORYCVW__LABOR_PLANNING_MENU2_CATEGORY" hidden="1">"[WKG_BUDGET"</definedName>
    <definedName name="EV__MEMORYCVW__LABOR_PLANNING_MENU2_COST_CENTER" hidden="1">"[CC_304400"</definedName>
    <definedName name="EV__MEMORYCVW__LABOR_PLANNING_MENU2_ENTITY" hidden="1">"[E_2301"</definedName>
    <definedName name="EV__MEMORYCVW__LABOR_PLANNING_MENU2_I_ENTITY" hidden="1">"[IE_NA"</definedName>
    <definedName name="EV__MEMORYCVW__LABOR_PLANNING_MENU2_IC_COST_CENTER" hidden="1">"[ICC_NA"</definedName>
    <definedName name="EV__MEMORYCVW__LABOR_PLANNING_MENU2_L_ACCOUNT" hidden="1">"[A_ALL_STAT_ACCOUNTS"</definedName>
    <definedName name="EV__MEMORYCVW__LABOR_PLANNING_MENU2_L_DATASRC" hidden="1">"[INPUT"</definedName>
    <definedName name="EV__MEMORYCVW__LABOR_PLANNING_MENU2_MEASURES" hidden="1">"[PERIODIC"</definedName>
    <definedName name="EV__MEMORYCVW__LABOR_PLANNING_MENU2_PAYSCALE_GROUP" hidden="1">"[UP_101_UNION_0010"</definedName>
    <definedName name="EV__MEMORYCVW__LABOR_PLANNING_MENU2_RPTCURRENCY" hidden="1">"[LC"</definedName>
    <definedName name="EV__MEMORYCVW__LABOR_PLANNING_MENU2_TIME" hidden="1">"[2012.TOTAL"</definedName>
    <definedName name="EV__MEMORYCVW__OM_SEND_REC_REPORT1" hidden="1">"[TECOLABOR"</definedName>
    <definedName name="EV__MEMORYCVW__OM_SEND_REC_REPORT1_CATEGORY" hidden="1">"[FCST_7_5"</definedName>
    <definedName name="EV__MEMORYCVW__OM_SEND_REC_REPORT1_COST_CENTER" hidden="1">"[Corporate_TSI"</definedName>
    <definedName name="EV__MEMORYCVW__OM_SEND_REC_REPORT1_ENTITY" hidden="1">"[E_2002"</definedName>
    <definedName name="EV__MEMORYCVW__OM_SEND_REC_REPORT1_I_ENTITY" hidden="1">"[IE_NA"</definedName>
    <definedName name="EV__MEMORYCVW__OM_SEND_REC_REPORT1_IC_COST_CENTER" hidden="1">"[ICC_NA"</definedName>
    <definedName name="EV__MEMORYCVW__OM_SEND_REC_REPORT1_L_ACCOUNT" hidden="1">"[A_ALL_STAT_ACCOUNTS"</definedName>
    <definedName name="EV__MEMORYCVW__OM_SEND_REC_REPORT1_L_DATASRC" hidden="1">"[INPUT"</definedName>
    <definedName name="EV__MEMORYCVW__OM_SEND_REC_REPORT1_MEASURES" hidden="1">"[PERIODIC"</definedName>
    <definedName name="EV__MEMORYCVW__OM_SEND_REC_REPORT1_PAYSCALE_GROUP" hidden="1">"[TOTAL_PAYSCALEGROUPS"</definedName>
    <definedName name="EV__MEMORYCVW__OM_SEND_REC_REPORT1_RPTCURRENCY" hidden="1">"[LC"</definedName>
    <definedName name="EV__MEMORYCVW__OM_SEND_REC_REPORT1_TIME" hidden="1">"[2015.TOTAL"</definedName>
    <definedName name="EV__MEMORYCVW__OM_SEND_REC_REPORT2" hidden="1">"[TECOLABOR"</definedName>
    <definedName name="EV__MEMORYCVW__OM_SEND_REC_REPORT2_CATEGORY" hidden="1">"[WKG_BUDGET"</definedName>
    <definedName name="EV__MEMORYCVW__OM_SEND_REC_REPORT2_COST_CENTER" hidden="1">"[Corporate_TSI"</definedName>
    <definedName name="EV__MEMORYCVW__OM_SEND_REC_REPORT2_ENTITY" hidden="1">"[E_2002"</definedName>
    <definedName name="EV__MEMORYCVW__OM_SEND_REC_REPORT2_I_ENTITY" hidden="1">"[IE_NA"</definedName>
    <definedName name="EV__MEMORYCVW__OM_SEND_REC_REPORT2_IC_COST_CENTER" hidden="1">"[ICC_NA"</definedName>
    <definedName name="EV__MEMORYCVW__OM_SEND_REC_REPORT2_L_ACCOUNT" hidden="1">"[A_ALL_COST_TYPES"</definedName>
    <definedName name="EV__MEMORYCVW__OM_SEND_REC_REPORT2_L_DATASRC" hidden="1">"[INPUT"</definedName>
    <definedName name="EV__MEMORYCVW__OM_SEND_REC_REPORT2_MEASURES" hidden="1">"[PERIODIC"</definedName>
    <definedName name="EV__MEMORYCVW__OM_SEND_REC_REPORT2_PAYSCALE_GROUP" hidden="1">"[PG_NA"</definedName>
    <definedName name="EV__MEMORYCVW__OM_SEND_REC_REPORT2_RPTCURRENCY" hidden="1">"[LC"</definedName>
    <definedName name="EV__MEMORYCVW__OM_SEND_REC_REPORT2_TIME" hidden="1">"[2014.TOTAL"</definedName>
    <definedName name="EV__MEMORYCVW__OM_SEND_REC_VARIANCE1" hidden="1">"[TECOLABOR"</definedName>
    <definedName name="EV__MEMORYCVW__OM_SEND_REC_VARIANCE1_CATEGORY" hidden="1">"[WKG_BUDGET"</definedName>
    <definedName name="EV__MEMORYCVW__OM_SEND_REC_VARIANCE1_COST_CENTER" hidden="1">"[CC_108100"</definedName>
    <definedName name="EV__MEMORYCVW__OM_SEND_REC_VARIANCE1_ENTITY" hidden="1">"[E_2001"</definedName>
    <definedName name="EV__MEMORYCVW__OM_SEND_REC_VARIANCE1_I_ENTITY" hidden="1">"[IE_NA"</definedName>
    <definedName name="EV__MEMORYCVW__OM_SEND_REC_VARIANCE1_IC_COST_CENTER" hidden="1">"[ICC_NA"</definedName>
    <definedName name="EV__MEMORYCVW__OM_SEND_REC_VARIANCE1_L_ACCOUNT" hidden="1">"[A_ALL_STAT_ACCOUNTS"</definedName>
    <definedName name="EV__MEMORYCVW__OM_SEND_REC_VARIANCE1_L_DATASRC" hidden="1">"[INPUT"</definedName>
    <definedName name="EV__MEMORYCVW__OM_SEND_REC_VARIANCE1_MEASURES" hidden="1">"[PERIODIC"</definedName>
    <definedName name="EV__MEMORYCVW__OM_SEND_REC_VARIANCE1_PAYSCALE_GROUP" hidden="1">"[TOTAL_PAYSCALEGROUPS"</definedName>
    <definedName name="EV__MEMORYCVW__OM_SEND_REC_VARIANCE1_RPTCURRENCY" hidden="1">"[LC"</definedName>
    <definedName name="EV__MEMORYCVW__OM_SEND_REC_VARIANCE1_TIME" hidden="1">"[2016.TOTAL"</definedName>
    <definedName name="EV__MEMORYCVW__PAYROLL_ASSUMPTIONS_AT_CORPORATE_LEVEL1" hidden="1">"[TECOLABOR"</definedName>
    <definedName name="EV__MEMORYCVW__PAYROLL_ASSUMPTIONS_AT_CORPORATE_LEVEL1_CATEGORY" hidden="1">"[ACTUAL"</definedName>
    <definedName name="EV__MEMORYCVW__PAYROLL_ASSUMPTIONS_AT_CORPORATE_LEVEL1_COST_CENTER" hidden="1">"[CC_410321"</definedName>
    <definedName name="EV__MEMORYCVW__PAYROLL_ASSUMPTIONS_AT_CORPORATE_LEVEL1_ENTITY" hidden="1">"[E_9000"</definedName>
    <definedName name="EV__MEMORYCVW__PAYROLL_ASSUMPTIONS_AT_CORPORATE_LEVEL1_I_ENTITY" hidden="1">"[ALL_IE_ENTITIES"</definedName>
    <definedName name="EV__MEMORYCVW__PAYROLL_ASSUMPTIONS_AT_CORPORATE_LEVEL1_IC_COST_CENTER" hidden="1">"[ALL_ICC_COST_CENTER"</definedName>
    <definedName name="EV__MEMORYCVW__PAYROLL_ASSUMPTIONS_AT_CORPORATE_LEVEL1_L_ACCOUNT" hidden="1">"[A_ALL_STAT_ACCOUNTS"</definedName>
    <definedName name="EV__MEMORYCVW__PAYROLL_ASSUMPTIONS_AT_CORPORATE_LEVEL1_L_DATASRC" hidden="1">"[FINAL"</definedName>
    <definedName name="EV__MEMORYCVW__PAYROLL_ASSUMPTIONS_AT_CORPORATE_LEVEL1_MEASURES" hidden="1">"[PERIODIC"</definedName>
    <definedName name="EV__MEMORYCVW__PAYROLL_ASSUMPTIONS_AT_CORPORATE_LEVEL1_PAYSCALE_GROUP" hidden="1">"[UP_101_EXEMPT"</definedName>
    <definedName name="EV__MEMORYCVW__PAYROLL_ASSUMPTIONS_AT_CORPORATE_LEVEL1_RPTCURRENCY" hidden="1">"[LC"</definedName>
    <definedName name="EV__MEMORYCVW__PAYROLL_ASSUMPTIONS_AT_CORPORATE_LEVEL1_TIME" hidden="1">"[2012.TOTAL"</definedName>
    <definedName name="EV__MEMORYCVW__PGS_STANDARD_BUDGET_TEMPLATE_2_2_15_V1.XLSM" hidden="1">"[PLANNING"</definedName>
    <definedName name="EV__MEMORYCVW__PGS_STANDARD_BUDGET_TEMPLATE_2_2_15_V1.XLSM_ACCOUNT" hidden="1">"[AmmortCF"</definedName>
    <definedName name="EV__MEMORYCVW__PGS_STANDARD_BUDGET_TEMPLATE_2_2_15_V1.XLSM_CATEGORY" hidden="1">"[ACTUAL"</definedName>
    <definedName name="EV__MEMORYCVW__PGS_STANDARD_BUDGET_TEMPLATE_2_2_15_V1.XLSM_COST_CENTER" hidden="1">"[CC_390445"</definedName>
    <definedName name="EV__MEMORYCVW__PGS_STANDARD_BUDGET_TEMPLATE_2_2_15_V1.XLSM_ENTITY" hidden="1">"[E_2301"</definedName>
    <definedName name="EV__MEMORYCVW__PGS_STANDARD_BUDGET_TEMPLATE_2_2_15_V1.XLSM_MEASURES" hidden="1">"[YTD"</definedName>
    <definedName name="EV__MEMORYCVW__PGS_STANDARD_BUDGET_TEMPLATE_2_2_15_V1.XLSM_P_DATASOURCE" hidden="1">"[INPUT"</definedName>
    <definedName name="EV__MEMORYCVW__PGS_STANDARD_BUDGET_TEMPLATE_2_2_15_V1.XLSM_RPTCURRENCY" hidden="1">"[LC"</definedName>
    <definedName name="EV__MEMORYCVW__PGS_STANDARD_BUDGET_TEMPLATE_2_2_15_V1.XLSM_TIME" hidden="1">"[2017.TOTAL"</definedName>
    <definedName name="EV__MEMORYCVW__PGS_TO_NMGC.XLSX" hidden="1">"[PLANNING"</definedName>
    <definedName name="EV__MEMORYCVW__PGS_TO_NMGC.XLSX_ACCOUNT" hidden="1">"[NET_INCOME"</definedName>
    <definedName name="EV__MEMORYCVW__PGS_TO_NMGC.XLSX_CATEGORY" hidden="1">"[WKG_BUDGET"</definedName>
    <definedName name="EV__MEMORYCVW__PGS_TO_NMGC.XLSX_COST_CENTER" hidden="1">"[CC_233045"</definedName>
    <definedName name="EV__MEMORYCVW__PGS_TO_NMGC.XLSX_ENTITY" hidden="1">"[E_2201"</definedName>
    <definedName name="EV__MEMORYCVW__PGS_TO_NMGC.XLSX_MEASURES" hidden="1">"[PERIODIC"</definedName>
    <definedName name="EV__MEMORYCVW__PGS_TO_NMGC.XLSX_P_DATASOURCE" hidden="1">"[TOTAL_REST"</definedName>
    <definedName name="EV__MEMORYCVW__PGS_TO_NMGC.XLSX_RPTCURRENCY" hidden="1">"[LC"</definedName>
    <definedName name="EV__MEMORYCVW__PGS_TO_NMGC.XLSX_TIME" hidden="1">"[2017.TOTAL"</definedName>
    <definedName name="EV__MEMORYCVW__PLANNING_PROCESS_MENU1" hidden="1">"[PLANNING"</definedName>
    <definedName name="EV__MEMORYCVW__PLANNING_PROCESS_MENU1_ACCOUNT" hidden="1">"[AmmortCF"</definedName>
    <definedName name="EV__MEMORYCVW__PLANNING_PROCESS_MENU1_CATEGORY" hidden="1">"[ACTUAL"</definedName>
    <definedName name="EV__MEMORYCVW__PLANNING_PROCESS_MENU1_COST_CENTER" hidden="1">"[Corporate_PGS_NC"</definedName>
    <definedName name="EV__MEMORYCVW__PLANNING_PROCESS_MENU1_ENTITY" hidden="1">"[E_2301"</definedName>
    <definedName name="EV__MEMORYCVW__PLANNING_PROCESS_MENU1_MEASURES" hidden="1">"[YTD"</definedName>
    <definedName name="EV__MEMORYCVW__PLANNING_PROCESS_MENU1_P_DATASOURCE" hidden="1">"[INPUT"</definedName>
    <definedName name="EV__MEMORYCVW__PLANNING_PROCESS_MENU1_RPTCURRENCY" hidden="1">"[LC"</definedName>
    <definedName name="EV__MEMORYCVW__PLANNING_PROCESS_MENU1_TIME" hidden="1">"[2017.TOTAL"</definedName>
    <definedName name="EV__MEMORYCVW__PLANNING_PROCESS_MENU2" hidden="1">"[PLANNING"</definedName>
    <definedName name="EV__MEMORYCVW__PLANNING_PROCESS_MENU2_ACCOUNT" hidden="1">"[Std_Reporting_TE01"</definedName>
    <definedName name="EV__MEMORYCVW__PLANNING_PROCESS_MENU2_CATEGORY" hidden="1">"[ACTUAL"</definedName>
    <definedName name="EV__MEMORYCVW__PLANNING_PROCESS_MENU2_COST_CENTER" hidden="1">"[CC_130062"</definedName>
    <definedName name="EV__MEMORYCVW__PLANNING_PROCESS_MENU2_ENTITY" hidden="1">"[E_2002"</definedName>
    <definedName name="EV__MEMORYCVW__PLANNING_PROCESS_MENU2_MEASURES" hidden="1">"[PERIODIC"</definedName>
    <definedName name="EV__MEMORYCVW__PLANNING_PROCESS_MENU2_P_DATASOURCE" hidden="1">"[FINAL_CC"</definedName>
    <definedName name="EV__MEMORYCVW__PLANNING_PROCESS_MENU2_RPTCURRENCY" hidden="1">"[LC"</definedName>
    <definedName name="EV__MEMORYCVW__PLANNING_PROCESS_MENU2_TIME" hidden="1">"[2016.TOTAL"</definedName>
    <definedName name="EV__MEMORYCVW__PRINT_SHOP_CHARGES_2015_AUGUST.XLSX" hidden="1">"[PLANNING"</definedName>
    <definedName name="EV__MEMORYCVW__PRINT_SHOP_CHARGES_2015_AUGUST.XLSX_ACCOUNT" hidden="1">"[Std_Reporting_TE01"</definedName>
    <definedName name="EV__MEMORYCVW__PRINT_SHOP_CHARGES_2015_AUGUST.XLSX_CATEGORY" hidden="1">"[ACTUAL"</definedName>
    <definedName name="EV__MEMORYCVW__PRINT_SHOP_CHARGES_2015_AUGUST.XLSX_COST_CENTER" hidden="1">"[CC_100071"</definedName>
    <definedName name="EV__MEMORYCVW__PRINT_SHOP_CHARGES_2015_AUGUST.XLSX_ENTITY" hidden="1">"[E_2001"</definedName>
    <definedName name="EV__MEMORYCVW__PRINT_SHOP_CHARGES_2015_AUGUST.XLSX_MEASURES" hidden="1">"[PERIODIC"</definedName>
    <definedName name="EV__MEMORYCVW__PRINT_SHOP_CHARGES_2015_AUGUST.XLSX_P_DATASOURCE" hidden="1">"[Allocable"</definedName>
    <definedName name="EV__MEMORYCVW__PRINT_SHOP_CHARGES_2015_AUGUST.XLSX_RPTCURRENCY" hidden="1">"[LC"</definedName>
    <definedName name="EV__MEMORYCVW__PRINT_SHOP_CHARGES_2015_AUGUST.XLSX_TIME" hidden="1">"[2016.TOTAL"</definedName>
    <definedName name="EV__MEMORYCVW__REVIEW_AND_APPROVAL1" hidden="1">"[TECOLABOR"</definedName>
    <definedName name="EV__MEMORYCVW__REVIEW_AND_APPROVAL1_CATEGORY" hidden="1">"[WKG_BUDGET"</definedName>
    <definedName name="EV__MEMORYCVW__REVIEW_AND_APPROVAL1_COST_CENTER" hidden="1">"[CC_505994"</definedName>
    <definedName name="EV__MEMORYCVW__REVIEW_AND_APPROVAL1_ENTITY" hidden="1">"[E_2502"</definedName>
    <definedName name="EV__MEMORYCVW__REVIEW_AND_APPROVAL1_I_ENTITY" hidden="1">"[IE_NA"</definedName>
    <definedName name="EV__MEMORYCVW__REVIEW_AND_APPROVAL1_IC_COST_CENTER" hidden="1">"[ICC_NA"</definedName>
    <definedName name="EV__MEMORYCVW__REVIEW_AND_APPROVAL1_L_ACCOUNT" hidden="1">"[A_ALL_STAT_ACCOUNTS"</definedName>
    <definedName name="EV__MEMORYCVW__REVIEW_AND_APPROVAL1_L_DATASRC" hidden="1">"[RECEIVE"</definedName>
    <definedName name="EV__MEMORYCVW__REVIEW_AND_APPROVAL1_MEASURES" hidden="1">"[PERIODIC"</definedName>
    <definedName name="EV__MEMORYCVW__REVIEW_AND_APPROVAL1_PAYSCALE_GROUP" hidden="1">"[PG_NA"</definedName>
    <definedName name="EV__MEMORYCVW__REVIEW_AND_APPROVAL1_RPTCURRENCY" hidden="1">"[LC"</definedName>
    <definedName name="EV__MEMORYCVW__REVIEW_AND_APPROVAL1_TIME" hidden="1">"[2016.TOTAL"</definedName>
    <definedName name="EV__MEMORYCVW__SHARED_SERVICES_TSI_ALLOCATION1" hidden="1">"[PLANNING"</definedName>
    <definedName name="EV__MEMORYCVW__SHARED_SERVICES_TSI_ALLOCATION1_ACCOUNT" hidden="1">"[LIAB_AND_CAP"</definedName>
    <definedName name="EV__MEMORYCVW__SHARED_SERVICES_TSI_ALLOCATION1_CATEGORY" hidden="1">"[ACTUAL"</definedName>
    <definedName name="EV__MEMORYCVW__SHARED_SERVICES_TSI_ALLOCATION1_COST_CENTER" hidden="1">"[CC_230001"</definedName>
    <definedName name="EV__MEMORYCVW__SHARED_SERVICES_TSI_ALLOCATION1_ENTITY" hidden="1">"[E_2201"</definedName>
    <definedName name="EV__MEMORYCVW__SHARED_SERVICES_TSI_ALLOCATION1_MEASURES" hidden="1">"[YTD"</definedName>
    <definedName name="EV__MEMORYCVW__SHARED_SERVICES_TSI_ALLOCATION1_P_DATASOURCE" hidden="1">"[INPUT"</definedName>
    <definedName name="EV__MEMORYCVW__SHARED_SERVICES_TSI_ALLOCATION1_RPTCURRENCY" hidden="1">"[LC"</definedName>
    <definedName name="EV__MEMORYCVW__SHARED_SERVICES_TSI_ALLOCATION1_TIME" hidden="1">"[2015.TOTAL"</definedName>
    <definedName name="EV__MEMORYCVW__TSI_2016_BUDGET_BY_COST_CENTER.XLSX" hidden="1">"[PLANNING"</definedName>
    <definedName name="EV__MEMORYCVW__TSI_2016_BUDGET_BY_COST_CENTER.XLSX_ACCOUNT" hidden="1">"[OM_OTH_EX"</definedName>
    <definedName name="EV__MEMORYCVW__TSI_2016_BUDGET_BY_COST_CENTER.XLSX_CATEGORY" hidden="1">"[FORECAST"</definedName>
    <definedName name="EV__MEMORYCVW__TSI_2016_BUDGET_BY_COST_CENTER.XLSX_COST_CENTER" hidden="1">"[Finance_TSI"</definedName>
    <definedName name="EV__MEMORYCVW__TSI_2016_BUDGET_BY_COST_CENTER.XLSX_ENTITY" hidden="1">"[E_2002"</definedName>
    <definedName name="EV__MEMORYCVW__TSI_2016_BUDGET_BY_COST_CENTER.XLSX_MEASURES" hidden="1">"[PERIODIC"</definedName>
    <definedName name="EV__MEMORYCVW__TSI_2016_BUDGET_BY_COST_CENTER.XLSX_P_DATASOURCE" hidden="1">"[Allocable"</definedName>
    <definedName name="EV__MEMORYCVW__TSI_2016_BUDGET_BY_COST_CENTER.XLSX_RPTCURRENCY" hidden="1">"[LC"</definedName>
    <definedName name="EV__MEMORYCVW__TSI_2016_BUDGET_BY_COST_CENTER.XLSX_TIME" hidden="1">"[2015.TOTAL"</definedName>
    <definedName name="EV__MEMORYCVW__TSI_EXPENSE_REPORT1" hidden="1">"[PLANNING"</definedName>
    <definedName name="EV__MEMORYCVW__TSI_EXPENSE_REPORT1_ACCOUNT" hidden="1">"[A_STAT"</definedName>
    <definedName name="EV__MEMORYCVW__TSI_EXPENSE_REPORT1_CATEGORY" hidden="1">"[ACTUAL"</definedName>
    <definedName name="EV__MEMORYCVW__TSI_EXPENSE_REPORT1_COST_CENTER" hidden="1">"[CC_232030"</definedName>
    <definedName name="EV__MEMORYCVW__TSI_EXPENSE_REPORT1_ENTITY" hidden="1">"[E_2201"</definedName>
    <definedName name="EV__MEMORYCVW__TSI_EXPENSE_REPORT1_MEASURES" hidden="1">"[YTD"</definedName>
    <definedName name="EV__MEMORYCVW__TSI_EXPENSE_REPORT1_P_DATASOURCE" hidden="1">"[INPUT"</definedName>
    <definedName name="EV__MEMORYCVW__TSI_EXPENSE_REPORT1_RPTCURRENCY" hidden="1">"[LC"</definedName>
    <definedName name="EV__MEMORYCVW__TSI_EXPENSE_REPORT1_TIME" hidden="1">"[2015.TOTAL"</definedName>
    <definedName name="EV__MEMORYCVW__TSI_EXPENSE_VARIANCE_REPORT1" hidden="1">"[PLANNING"</definedName>
    <definedName name="EV__MEMORYCVW__TSI_EXPENSE_VARIANCE_REPORT1_ACCOUNT" hidden="1">"[A_STAT"</definedName>
    <definedName name="EV__MEMORYCVW__TSI_EXPENSE_VARIANCE_REPORT1_CATEGORY" hidden="1">"[ACTUAL"</definedName>
    <definedName name="EV__MEMORYCVW__TSI_EXPENSE_VARIANCE_REPORT1_COST_CENTER" hidden="1">"[CC_234519"</definedName>
    <definedName name="EV__MEMORYCVW__TSI_EXPENSE_VARIANCE_REPORT1_ENTITY" hidden="1">"[E_2201"</definedName>
    <definedName name="EV__MEMORYCVW__TSI_EXPENSE_VARIANCE_REPORT1_I_ENTITY" hidden="1">"[IE_NA"</definedName>
    <definedName name="EV__MEMORYCVW__TSI_EXPENSE_VARIANCE_REPORT1_IC_COST_CENTER" hidden="1">"[ICC_NA"</definedName>
    <definedName name="EV__MEMORYCVW__TSI_EXPENSE_VARIANCE_REPORT1_L_ACCOUNT" hidden="1">"[A_ALL_STAT_ACCOUNTS"</definedName>
    <definedName name="EV__MEMORYCVW__TSI_EXPENSE_VARIANCE_REPORT1_L_DATASRC" hidden="1">"[RECEIVE"</definedName>
    <definedName name="EV__MEMORYCVW__TSI_EXPENSE_VARIANCE_REPORT1_MEASURES" hidden="1">"[YTD"</definedName>
    <definedName name="EV__MEMORYCVW__TSI_EXPENSE_VARIANCE_REPORT1_P_DATASOURCE" hidden="1">"[INPUT"</definedName>
    <definedName name="EV__MEMORYCVW__TSI_EXPENSE_VARIANCE_REPORT1_PAYSCALE_GROUP" hidden="1">"[PG_NA"</definedName>
    <definedName name="EV__MEMORYCVW__TSI_EXPENSE_VARIANCE_REPORT1_RPTCURRENCY" hidden="1">"[LC"</definedName>
    <definedName name="EV__MEMORYCVW__TSI_EXPENSE_VARIANCE_REPORT1_TIME" hidden="1">"[2015.TOTAL"</definedName>
    <definedName name="EV__MEMORYCVW__TSI_LABOR_SENT_2015_BUDGET.XLSX" hidden="1">"[CONSOLIDATION"</definedName>
    <definedName name="EV__MEMORYCVW__TSI_LABOR_SENT_2015_BUDGET.XLSX_ACCOUNT" hidden="1">"[TRIAL_BALANCE"</definedName>
    <definedName name="EV__MEMORYCVW__TSI_LABOR_SENT_2015_BUDGET.XLSX_CATEGORY" hidden="1">"[ACTUAL"</definedName>
    <definedName name="EV__MEMORYCVW__TSI_LABOR_SENT_2015_BUDGET.XLSX_COST_CENTER" hidden="1">"[ALL_COST_CENTERS"</definedName>
    <definedName name="EV__MEMORYCVW__TSI_LABOR_SENT_2015_BUDGET.XLSX_ENTITY" hidden="1">"[E_9000"</definedName>
    <definedName name="EV__MEMORYCVW__TSI_LABOR_SENT_2015_BUDGET.XLSX_I_ENTITY" hidden="1">"[ALL_IE_ENTITIES"</definedName>
    <definedName name="EV__MEMORYCVW__TSI_LABOR_SENT_2015_BUDGET.XLSX_MEASURES" hidden="1">"[YTD"</definedName>
    <definedName name="EV__MEMORYCVW__TSI_LABOR_SENT_2015_BUDGET.XLSX_P_DATASOURCE" hidden="1">"[TOTAL_REST"</definedName>
    <definedName name="EV__MEMORYCVW__TSI_LABOR_SENT_2015_BUDGET.XLSX_RPTCURRENCY" hidden="1">"[USD"</definedName>
    <definedName name="EV__MEMORYCVW__TSI_LABOR_SENT_2015_BUDGET.XLSX_TIME" hidden="1">"[2011.DEC"</definedName>
    <definedName name="EV__MEMORYCVW__TSI_TE_TEC_2018_BUDGET_RECON_TOTAL_SPEND.XLSX" hidden="1">"[PLANNING"</definedName>
    <definedName name="EV__MEMORYCVW__TSI_TE_TEC_2018_BUDGET_RECON_TOTAL_SPEND.XLSX_ACCOUNT" hidden="1">"[Std_Reporting_TE01"</definedName>
    <definedName name="EV__MEMORYCVW__TSI_TE_TEC_2018_BUDGET_RECON_TOTAL_SPEND.XLSX_CATEGORY" hidden="1">"[FORECAST"</definedName>
    <definedName name="EV__MEMORYCVW__TSI_TE_TEC_2018_BUDGET_RECON_TOTAL_SPEND.XLSX_COST_CENTER" hidden="1">"[CC_130050"</definedName>
    <definedName name="EV__MEMORYCVW__TSI_TE_TEC_2018_BUDGET_RECON_TOTAL_SPEND.XLSX_ENTITY" hidden="1">"[E_2002"</definedName>
    <definedName name="EV__MEMORYCVW__TSI_TE_TEC_2018_BUDGET_RECON_TOTAL_SPEND.XLSX_MEASURES" hidden="1">"[PERIODIC"</definedName>
    <definedName name="EV__MEMORYCVW__TSI_TE_TEC_2018_BUDGET_RECON_TOTAL_SPEND.XLSX_P_DATASOURCE" hidden="1">"[Allocable"</definedName>
    <definedName name="EV__MEMORYCVW__TSI_TE_TEC_2018_BUDGET_RECON_TOTAL_SPEND.XLSX_RPTCURRENCY" hidden="1">"[LC"</definedName>
    <definedName name="EV__MEMORYCVW__TSI_TE_TEC_2018_BUDGET_RECON_TOTAL_SPEND.XLSX_TIME" hidden="1">"[2017.TOTAL"</definedName>
    <definedName name="EV__MEMORYCVW__WORKSHEET_IN_BPCFRAMERCONTROL" hidden="1">"[LABOR"</definedName>
    <definedName name="EV__MEMORYCVW__WORKSHEET_IN_BPCFRAMERCONTROL_CATEGORY" hidden="1">"[WKG_BUDGET"</definedName>
    <definedName name="EV__MEMORYCVW__WORKSHEET_IN_BPCFRAMERCONTROL_COST_CENTER" hidden="1">"[CC_221200"</definedName>
    <definedName name="EV__MEMORYCVW__WORKSHEET_IN_BPCFRAMERCONTROL_ENTITY" hidden="1">"[E_2008"</definedName>
    <definedName name="EV__MEMORYCVW__WORKSHEET_IN_BPCFRAMERCONTROL_IC_COST_CENTER" hidden="1">"[ICC_NA"</definedName>
    <definedName name="EV__MEMORYCVW__WORKSHEET_IN_BPCFRAMERCONTROL_L_ACCOUNT" hidden="1">"[A_ALL_STAT_ACCOUNTS"</definedName>
    <definedName name="EV__MEMORYCVW__WORKSHEET_IN_BPCFRAMERCONTROL_L_DATASRC" hidden="1">"[INPUT"</definedName>
    <definedName name="EV__MEMORYCVW__WORKSHEET_IN_BPCFRAMERCONTROL_MEASURES" hidden="1">"[PERIODIC"</definedName>
    <definedName name="EV__MEMORYCVW__WORKSHEET_IN_BPCFRAMERCONTROL_PAYSCALE_GROUP" hidden="1">"[UP1_NCNE"</definedName>
    <definedName name="EV__MEMORYCVW__WORKSHEET_IN_BPCFRAMERCONTROL_RPTCURRENCY" hidden="1">"[LC"</definedName>
    <definedName name="EV__MEMORYCVW__WORKSHEET_IN_BPCFRAMERCONTROL_TIME" hidden="1">"[2012.TOTAL"</definedName>
    <definedName name="EV__WBEVMODE__" hidden="1">0</definedName>
    <definedName name="EV__WBREFOPTIONS__" hidden="1">7</definedName>
    <definedName name="EV__WBVERSION__" hidden="1">0</definedName>
    <definedName name="EV_LASTREFTIME_Jul" hidden="1">"(GMT-05:00)7/18/2017 2:28:35 PM"</definedName>
    <definedName name="EXP_2018A_AMOUNT" localSheetId="1">#REF!</definedName>
    <definedName name="EXP_2018A_AMOUNT" localSheetId="0">#REF!</definedName>
    <definedName name="EXP_2018A_AMOUNT" localSheetId="3">#REF!</definedName>
    <definedName name="EXP_2018A_AMOUNT" localSheetId="4">#REF!</definedName>
    <definedName name="EXP_2018A_AMOUNT">#REF!</definedName>
    <definedName name="EXP_2019B_AMOUNT" localSheetId="1">#REF!</definedName>
    <definedName name="EXP_2019B_AMOUNT" localSheetId="0">#REF!</definedName>
    <definedName name="EXP_2019B_AMOUNT" localSheetId="3">#REF!</definedName>
    <definedName name="EXP_2019B_AMOUNT" localSheetId="4">#REF!</definedName>
    <definedName name="EXP_2019B_AMOUNT">#REF!</definedName>
    <definedName name="EXP_2019F_AMOUNT" localSheetId="1">#REF!</definedName>
    <definedName name="EXP_2019F_AMOUNT" localSheetId="0">#REF!</definedName>
    <definedName name="EXP_2019F_AMOUNT" localSheetId="3">#REF!</definedName>
    <definedName name="EXP_2019F_AMOUNT" localSheetId="4">#REF!</definedName>
    <definedName name="EXP_2019F_AMOUNT">#REF!</definedName>
    <definedName name="EXP_ACCOUNT_ID" localSheetId="1">#REF!</definedName>
    <definedName name="EXP_ACCOUNT_ID" localSheetId="0">#REF!</definedName>
    <definedName name="EXP_ACCOUNT_ID" localSheetId="3">#REF!</definedName>
    <definedName name="EXP_ACCOUNT_ID" localSheetId="4">#REF!</definedName>
    <definedName name="EXP_ACCOUNT_ID">#REF!</definedName>
    <definedName name="EXP_COST_CENTER" localSheetId="1">#REF!</definedName>
    <definedName name="EXP_COST_CENTER" localSheetId="0">#REF!</definedName>
    <definedName name="EXP_COST_CENTER" localSheetId="3">#REF!</definedName>
    <definedName name="EXP_COST_CENTER" localSheetId="4">#REF!</definedName>
    <definedName name="EXP_COST_CENTER">#REF!</definedName>
    <definedName name="EXPACT_ACCOUNT" localSheetId="1">#REF!</definedName>
    <definedName name="EXPACT_ACCOUNT" localSheetId="0">#REF!</definedName>
    <definedName name="EXPACT_ACCOUNT" localSheetId="4">#REF!</definedName>
    <definedName name="EXPACT_ACCOUNT">#REF!</definedName>
    <definedName name="EXPACT_COST_CENTER" localSheetId="1">#REF!</definedName>
    <definedName name="EXPACT_COST_CENTER" localSheetId="0">#REF!</definedName>
    <definedName name="EXPACT_COST_CENTER" localSheetId="4">#REF!</definedName>
    <definedName name="EXPACT_COST_CENTER">#REF!</definedName>
    <definedName name="EXPACT_MTD" localSheetId="1">#REF!</definedName>
    <definedName name="EXPACT_MTD" localSheetId="0">#REF!</definedName>
    <definedName name="EXPACT_MTD" localSheetId="4">#REF!</definedName>
    <definedName name="EXPACT_MTD">#REF!</definedName>
    <definedName name="EXPACT_QTD" localSheetId="1">#REF!</definedName>
    <definedName name="EXPACT_QTD" localSheetId="0">#REF!</definedName>
    <definedName name="EXPACT_QTD" localSheetId="4">#REF!</definedName>
    <definedName name="EXPACT_QTD">#REF!</definedName>
    <definedName name="EXPACT_YTD" localSheetId="1">#REF!</definedName>
    <definedName name="EXPACT_YTD" localSheetId="0">#REF!</definedName>
    <definedName name="EXPACT_YTD" localSheetId="4">#REF!</definedName>
    <definedName name="EXPACT_YTD">#REF!</definedName>
    <definedName name="EXPBUD_ACCOUNT" localSheetId="1">#REF!</definedName>
    <definedName name="EXPBUD_ACCOUNT" localSheetId="0">#REF!</definedName>
    <definedName name="EXPBUD_ACCOUNT" localSheetId="3">#REF!</definedName>
    <definedName name="EXPBUD_ACCOUNT" localSheetId="4">#REF!</definedName>
    <definedName name="EXPBUD_ACCOUNT">#REF!</definedName>
    <definedName name="EXPBUD_COST_CENTER" localSheetId="1">#REF!</definedName>
    <definedName name="EXPBUD_COST_CENTER" localSheetId="0">#REF!</definedName>
    <definedName name="EXPBUD_COST_CENTER" localSheetId="3">#REF!</definedName>
    <definedName name="EXPBUD_COST_CENTER" localSheetId="4">#REF!</definedName>
    <definedName name="EXPBUD_COST_CENTER">#REF!</definedName>
    <definedName name="EXPBUD_MTD">#REF!</definedName>
    <definedName name="EXPBUD_PM_YTD">#REF!</definedName>
    <definedName name="EXPBUD_TOTAL" localSheetId="1">#REF!</definedName>
    <definedName name="EXPBUD_TOTAL" localSheetId="0">#REF!</definedName>
    <definedName name="EXPBUD_TOTAL" localSheetId="3">#REF!</definedName>
    <definedName name="EXPBUD_TOTAL" localSheetId="4">#REF!</definedName>
    <definedName name="EXPBUD_TOTAL">#REF!</definedName>
    <definedName name="EXPBUD_YTD" localSheetId="1">#REF!</definedName>
    <definedName name="EXPBUD_YTD" localSheetId="0">#REF!</definedName>
    <definedName name="EXPBUD_YTD" localSheetId="3">#REF!</definedName>
    <definedName name="EXPBUD_YTD" localSheetId="4">#REF!</definedName>
    <definedName name="EXPBUD_YTD">#REF!</definedName>
    <definedName name="EXPBUD20_ACCOUNT" localSheetId="1">#REF!</definedName>
    <definedName name="EXPBUD20_ACCOUNT" localSheetId="0">#REF!</definedName>
    <definedName name="EXPBUD20_ACCOUNT" localSheetId="3">#REF!</definedName>
    <definedName name="EXPBUD20_ACCOUNT" localSheetId="4">#REF!</definedName>
    <definedName name="EXPBUD20_ACCOUNT">#REF!</definedName>
    <definedName name="EXPBUD20_COST_CENTER" localSheetId="1">#REF!</definedName>
    <definedName name="EXPBUD20_COST_CENTER" localSheetId="0">#REF!</definedName>
    <definedName name="EXPBUD20_COST_CENTER" localSheetId="3">#REF!</definedName>
    <definedName name="EXPBUD20_COST_CENTER" localSheetId="4">#REF!</definedName>
    <definedName name="EXPBUD20_COST_CENTER">#REF!</definedName>
    <definedName name="EXPBUD20_MTD">#REF!</definedName>
    <definedName name="EXPBUD20_QTD">#REF!</definedName>
    <definedName name="EXPBUD20_TOTAL" localSheetId="1">#REF!</definedName>
    <definedName name="EXPBUD20_TOTAL" localSheetId="0">#REF!</definedName>
    <definedName name="EXPBUD20_TOTAL" localSheetId="3">#REF!</definedName>
    <definedName name="EXPBUD20_TOTAL" localSheetId="4">#REF!</definedName>
    <definedName name="EXPBUD20_TOTAL">#REF!</definedName>
    <definedName name="EXPBUD20_YTD" localSheetId="1">#REF!</definedName>
    <definedName name="EXPBUD20_YTD" localSheetId="0">#REF!</definedName>
    <definedName name="EXPBUD20_YTD" localSheetId="3">#REF!</definedName>
    <definedName name="EXPBUD20_YTD" localSheetId="4">#REF!</definedName>
    <definedName name="EXPBUD20_YTD">#REF!</definedName>
    <definedName name="EXPBUDRC_ACCOUNT">#REF!</definedName>
    <definedName name="EXPBUDRC_COST_CENTER">#REF!</definedName>
    <definedName name="EXPBUDRC_TOTAL">#REF!</definedName>
    <definedName name="EXPBUDRC_YTD">#REF!</definedName>
    <definedName name="EXPEMERA_ACCOUNT" localSheetId="1">#REF!</definedName>
    <definedName name="EXPEMERA_ACCOUNT" localSheetId="0">#REF!</definedName>
    <definedName name="EXPEMERA_ACCOUNT" localSheetId="4">#REF!</definedName>
    <definedName name="EXPEMERA_ACCOUNT">#REF!</definedName>
    <definedName name="EXPEMERA_COST_CENTER" localSheetId="1">#REF!</definedName>
    <definedName name="EXPEMERA_COST_CENTER" localSheetId="0">#REF!</definedName>
    <definedName name="EXPEMERA_COST_CENTER" localSheetId="4">#REF!</definedName>
    <definedName name="EXPEMERA_COST_CENTER">#REF!</definedName>
    <definedName name="EXPEMERA_MTD" localSheetId="1">#REF!</definedName>
    <definedName name="EXPEMERA_MTD" localSheetId="0">#REF!</definedName>
    <definedName name="EXPEMERA_MTD" localSheetId="4">#REF!</definedName>
    <definedName name="EXPEMERA_MTD">#REF!</definedName>
    <definedName name="EXPEMERA_Q3f">#REF!</definedName>
    <definedName name="EXPEMERA_QTD">#REF!</definedName>
    <definedName name="EXPEMERA_TOTAL" localSheetId="1">#REF!</definedName>
    <definedName name="EXPEMERA_TOTAL" localSheetId="0">#REF!</definedName>
    <definedName name="EXPEMERA_TOTAL" localSheetId="4">#REF!</definedName>
    <definedName name="EXPEMERA_TOTAL">#REF!</definedName>
    <definedName name="EXPEMERA_YTD" localSheetId="1">#REF!</definedName>
    <definedName name="EXPEMERA_YTD" localSheetId="0">#REF!</definedName>
    <definedName name="EXPEMERA_YTD" localSheetId="4">#REF!</definedName>
    <definedName name="EXPEMERA_YTD">#REF!</definedName>
    <definedName name="EXPFOR_ACCOUNT" localSheetId="1">#REF!</definedName>
    <definedName name="EXPFOR_ACCOUNT" localSheetId="0">#REF!</definedName>
    <definedName name="EXPFOR_ACCOUNT" localSheetId="3">#REF!</definedName>
    <definedName name="EXPFOR_ACCOUNT" localSheetId="4">#REF!</definedName>
    <definedName name="EXPFOR_ACCOUNT">#REF!</definedName>
    <definedName name="EXPFOR_COST_CENTER" localSheetId="1">#REF!</definedName>
    <definedName name="EXPFOR_COST_CENTER" localSheetId="0">#REF!</definedName>
    <definedName name="EXPFOR_COST_CENTER" localSheetId="3">#REF!</definedName>
    <definedName name="EXPFOR_COST_CENTER" localSheetId="4">#REF!</definedName>
    <definedName name="EXPFOR_COST_CENTER">#REF!</definedName>
    <definedName name="EXPFOR_TOTAL">#REF!</definedName>
    <definedName name="EXPFOR_YTD" localSheetId="1">#REF!</definedName>
    <definedName name="EXPFOR_YTD" localSheetId="0">#REF!</definedName>
    <definedName name="EXPFOR_YTD" localSheetId="3">#REF!</definedName>
    <definedName name="EXPFOR_YTD" localSheetId="4">#REF!</definedName>
    <definedName name="EXPFOR_YTD">#REF!</definedName>
    <definedName name="EXPHLFOR_ACCOUNT">#REF!</definedName>
    <definedName name="EXPHLFOR_COST_CENTER">#REF!</definedName>
    <definedName name="EXPHLFOR_MTD">#REF!</definedName>
    <definedName name="EXPHLFOR_PF">#REF!</definedName>
    <definedName name="EXPHLFOR_PM_YTD">#REF!</definedName>
    <definedName name="EXPHLFOR_TOTAL">#REF!</definedName>
    <definedName name="EXPORIGBUD_ACCOUNT">#REF!</definedName>
    <definedName name="EXPORIGBUD_COST_CENTER">#REF!</definedName>
    <definedName name="EXPORIGBUD_TOTAL">#REF!</definedName>
    <definedName name="EXPPY_ACCOUNT" localSheetId="1">#REF!</definedName>
    <definedName name="EXPPY_ACCOUNT" localSheetId="0">#REF!</definedName>
    <definedName name="EXPPY_ACCOUNT" localSheetId="3">#REF!</definedName>
    <definedName name="EXPPY_ACCOUNT" localSheetId="4">#REF!</definedName>
    <definedName name="EXPPY_ACCOUNT">#REF!</definedName>
    <definedName name="EXPPY_COST_CENTER" localSheetId="1">#REF!</definedName>
    <definedName name="EXPPY_COST_CENTER" localSheetId="0">#REF!</definedName>
    <definedName name="EXPPY_COST_CENTER" localSheetId="3">#REF!</definedName>
    <definedName name="EXPPY_COST_CENTER" localSheetId="4">#REF!</definedName>
    <definedName name="EXPPY_COST_CENTER">#REF!</definedName>
    <definedName name="EXPPY_MTD">#REF!</definedName>
    <definedName name="EXPPY_TOTAL" localSheetId="1">#REF!</definedName>
    <definedName name="EXPPY_TOTAL" localSheetId="0">#REF!</definedName>
    <definedName name="EXPPY_TOTAL">#REF!</definedName>
    <definedName name="EXPPY_YTD" localSheetId="1">#REF!</definedName>
    <definedName name="EXPPY_YTD" localSheetId="0">#REF!</definedName>
    <definedName name="EXPPY_YTD" localSheetId="3">#REF!</definedName>
    <definedName name="EXPPY_YTD" localSheetId="4">#REF!</definedName>
    <definedName name="EXPPY_YTD">#REF!</definedName>
    <definedName name="EXPQ1_ACCOUNT">#REF!</definedName>
    <definedName name="EXPQ1_COST_CENTER">#REF!</definedName>
    <definedName name="EXPQ1_MTD">#REF!</definedName>
    <definedName name="EXPQ1_QTD">#REF!</definedName>
    <definedName name="EXPQ1_YTD">#REF!</definedName>
    <definedName name="EXPQ3_ACCOUNT" localSheetId="1">#REF!</definedName>
    <definedName name="EXPQ3_ACCOUNT" localSheetId="0">#REF!</definedName>
    <definedName name="EXPQ3_ACCOUNT" localSheetId="3">#REF!</definedName>
    <definedName name="EXPQ3_ACCOUNT" localSheetId="4">#REF!</definedName>
    <definedName name="EXPQ3_ACCOUNT">#REF!</definedName>
    <definedName name="EXPQ3_COST_CENTER" localSheetId="1">#REF!</definedName>
    <definedName name="EXPQ3_COST_CENTER" localSheetId="0">#REF!</definedName>
    <definedName name="EXPQ3_COST_CENTER" localSheetId="3">#REF!</definedName>
    <definedName name="EXPQ3_COST_CENTER" localSheetId="4">#REF!</definedName>
    <definedName name="EXPQ3_COST_CENTER">#REF!</definedName>
    <definedName name="EXPQ3_TOTAL" localSheetId="1">#REF!</definedName>
    <definedName name="EXPQ3_TOTAL" localSheetId="0">#REF!</definedName>
    <definedName name="EXPQ3_TOTAL" localSheetId="3">#REF!</definedName>
    <definedName name="EXPQ3_TOTAL" localSheetId="4">#REF!</definedName>
    <definedName name="EXPQ3_TOTAL">#REF!</definedName>
    <definedName name="f" localSheetId="0">#REF!</definedName>
    <definedName name="f" localSheetId="2">#REF!</definedName>
    <definedName name="f">#REF!</definedName>
    <definedName name="Feb" localSheetId="1">#REF!</definedName>
    <definedName name="Feb" localSheetId="0">#REF!</definedName>
    <definedName name="Feb" localSheetId="3">#REF!</definedName>
    <definedName name="Feb" localSheetId="4">#REF!</definedName>
    <definedName name="Feb">#REF!</definedName>
    <definedName name="FEBJE">#REF!</definedName>
    <definedName name="FEBJE2">#REF!</definedName>
    <definedName name="FEBJE3">#REF!</definedName>
    <definedName name="FEBRET">#REF!</definedName>
    <definedName name="FEBWHLFPC">#REF!</definedName>
    <definedName name="FEBWHLFTM">#REF!</definedName>
    <definedName name="FEBWHLSTC">#REF!</definedName>
    <definedName name="FEBWHLWAU">#REF!</definedName>
    <definedName name="FERC">#REF!</definedName>
    <definedName name="FERC_18">#REF!</definedName>
    <definedName name="FERC_18_True">#REF!</definedName>
    <definedName name="FERC_19" localSheetId="1">#REF!</definedName>
    <definedName name="FERC_19" localSheetId="0">#REF!</definedName>
    <definedName name="FERC_19" localSheetId="3">#REF!</definedName>
    <definedName name="FERC_19" localSheetId="4">#REF!</definedName>
    <definedName name="FERC_19">#REF!</definedName>
    <definedName name="FERC_19_True" localSheetId="1">#REF!</definedName>
    <definedName name="FERC_19_True" localSheetId="0">#REF!</definedName>
    <definedName name="FERC_19_True" localSheetId="3">#REF!</definedName>
    <definedName name="FERC_19_True" localSheetId="4">#REF!</definedName>
    <definedName name="FERC_19_True">#REF!</definedName>
    <definedName name="FERC_FGIO" localSheetId="1">#REF!</definedName>
    <definedName name="FERC_FGIO" localSheetId="0">#REF!</definedName>
    <definedName name="FERC_FGIO" localSheetId="3">#REF!</definedName>
    <definedName name="FERC_FGIO" localSheetId="4">#REF!</definedName>
    <definedName name="FERC_FGIO">#REF!</definedName>
    <definedName name="FM_FOR">#REF!</definedName>
    <definedName name="FM_FORECAST">#REF!</definedName>
    <definedName name="FM_NAME" localSheetId="1">#REF!</definedName>
    <definedName name="FM_NAME" localSheetId="0">#REF!</definedName>
    <definedName name="FM_NAME" localSheetId="4">#REF!</definedName>
    <definedName name="FM_NAME">#REF!</definedName>
    <definedName name="FOR_APR">#REF!</definedName>
    <definedName name="FOR_AUG">#REF!</definedName>
    <definedName name="FOR_DEC">#REF!</definedName>
    <definedName name="FOR_FEB">#REF!</definedName>
    <definedName name="FOR_FP_GROUP">#REF!</definedName>
    <definedName name="FOR_JUL">#REF!</definedName>
    <definedName name="FOR_JUN">#REF!</definedName>
    <definedName name="FOR_MAR">#REF!</definedName>
    <definedName name="FOR_MAY">#REF!</definedName>
    <definedName name="FOR_MTD">#REF!</definedName>
    <definedName name="FOR_NOV">#REF!</definedName>
    <definedName name="FOR_OCT">#REF!</definedName>
    <definedName name="FOR_PROJECT_DESCRIPTION">#REF!</definedName>
    <definedName name="FOR_SEP">#REF!</definedName>
    <definedName name="FOR_STRAT_PLAN_PRESENTATION_SUMMARY">#REF!</definedName>
    <definedName name="FOR_SUMMARY_PROJECT_DESCRIPTION">#REF!</definedName>
    <definedName name="FOR_TOTAL">#REF!</definedName>
    <definedName name="FOR_YEAR">#REF!</definedName>
    <definedName name="FOR_YTD">#REF!</definedName>
    <definedName name="FOR0210_FP_GROUP">#REF!</definedName>
    <definedName name="FOR0210_PROJECT_DESCRIPTION">#REF!</definedName>
    <definedName name="FOR0210_TOTAL">#REF!</definedName>
    <definedName name="FOR0210_YEAR">#REF!</definedName>
    <definedName name="FORCM_MAJOR_LOCATION" localSheetId="1">#REF!</definedName>
    <definedName name="FORCM_MAJOR_LOCATION" localSheetId="0">#REF!</definedName>
    <definedName name="FORCM_MAJOR_LOCATION" localSheetId="4">#REF!</definedName>
    <definedName name="FORCM_MAJOR_LOCATION">#REF!</definedName>
    <definedName name="FORCM_PM_YTD" localSheetId="1">#REF!</definedName>
    <definedName name="FORCM_PM_YTD" localSheetId="0">#REF!</definedName>
    <definedName name="FORCM_PM_YTD" localSheetId="4">#REF!</definedName>
    <definedName name="FORCM_PM_YTD">#REF!</definedName>
    <definedName name="FORCM_PROJECT_DESCRIPTION" localSheetId="1">#REF!</definedName>
    <definedName name="FORCM_PROJECT_DESCRIPTION" localSheetId="0">#REF!</definedName>
    <definedName name="FORCM_PROJECT_DESCRIPTION" localSheetId="4">#REF!</definedName>
    <definedName name="FORCM_PROJECT_DESCRIPTION">#REF!</definedName>
    <definedName name="FORCM_SUMMARY_PROJECT_DESCRIPTION" localSheetId="1">#REF!</definedName>
    <definedName name="FORCM_SUMMARY_PROJECT_DESCRIPTION" localSheetId="0">#REF!</definedName>
    <definedName name="FORCM_SUMMARY_PROJECT_DESCRIPTION" localSheetId="4">#REF!</definedName>
    <definedName name="FORCM_SUMMARY_PROJECT_DESCRIPTION">#REF!</definedName>
    <definedName name="FORCM_TOTAL" localSheetId="1">#REF!</definedName>
    <definedName name="FORCM_TOTAL" localSheetId="0">#REF!</definedName>
    <definedName name="FORCM_TOTAL" localSheetId="4">#REF!</definedName>
    <definedName name="FORCM_TOTAL">#REF!</definedName>
    <definedName name="FORCM_WO_GROUP" localSheetId="1">#REF!</definedName>
    <definedName name="FORCM_WO_GROUP" localSheetId="0">#REF!</definedName>
    <definedName name="FORCM_WO_GROUP" localSheetId="4">#REF!</definedName>
    <definedName name="FORCM_WO_GROUP">#REF!</definedName>
    <definedName name="FORCM_YEAR" localSheetId="1">#REF!</definedName>
    <definedName name="FORCM_YEAR" localSheetId="0">#REF!</definedName>
    <definedName name="FORCM_YEAR" localSheetId="4">#REF!</definedName>
    <definedName name="FORCM_YEAR">#REF!</definedName>
    <definedName name="FORQ3_PROJECT_DESCRIPTION">#REF!</definedName>
    <definedName name="FORQ3_TOTAL">#REF!</definedName>
    <definedName name="FORQ3_YEAR">#REF!</definedName>
    <definedName name="FRINGE18_ACCOUNT">#REF!</definedName>
    <definedName name="FRINGE18_COST_CENTER">#REF!</definedName>
    <definedName name="FRINGE18_MTD">#REF!</definedName>
    <definedName name="FRINGE18_TOTAL">#REF!</definedName>
    <definedName name="FRINGE19_ACCOUNT">#REF!</definedName>
    <definedName name="FRINGE19_COST_CENTER">#REF!</definedName>
    <definedName name="FRINGE19_MTD">#REF!</definedName>
    <definedName name="FRINGE19_YTD">#REF!</definedName>
    <definedName name="FRINGE20_ACCOUNT">#REF!</definedName>
    <definedName name="FRINGE20_COST_CENTER">#REF!</definedName>
    <definedName name="FRINGE20_YTD">#REF!</definedName>
    <definedName name="FRINGEACT_ACCOUNT" localSheetId="1">#REF!</definedName>
    <definedName name="FRINGEACT_ACCOUNT" localSheetId="0">#REF!</definedName>
    <definedName name="FRINGEACT_ACCOUNT" localSheetId="3">#REF!</definedName>
    <definedName name="FRINGEACT_ACCOUNT" localSheetId="4">#REF!</definedName>
    <definedName name="FRINGEACT_ACCOUNT">#REF!</definedName>
    <definedName name="FRINGEACT_COST_CENTER" localSheetId="1">#REF!</definedName>
    <definedName name="FRINGEACT_COST_CENTER" localSheetId="0">#REF!</definedName>
    <definedName name="FRINGEACT_COST_CENTER" localSheetId="3">#REF!</definedName>
    <definedName name="FRINGEACT_COST_CENTER" localSheetId="4">#REF!</definedName>
    <definedName name="FRINGEACT_COST_CENTER">#REF!</definedName>
    <definedName name="FRINGEACT_EMERA" localSheetId="1">#REF!</definedName>
    <definedName name="FRINGEACT_EMERA" localSheetId="0">#REF!</definedName>
    <definedName name="FRINGEACT_EMERA" localSheetId="4">#REF!</definedName>
    <definedName name="FRINGEACT_EMERA">#REF!</definedName>
    <definedName name="FRINGEACT_MTD" localSheetId="1">#REF!</definedName>
    <definedName name="FRINGEACT_MTD" localSheetId="0">#REF!</definedName>
    <definedName name="FRINGEACT_MTD" localSheetId="4">#REF!</definedName>
    <definedName name="FRINGEACT_MTD">#REF!</definedName>
    <definedName name="FRINGEACT_Q3" localSheetId="1">#REF!</definedName>
    <definedName name="FRINGEACT_Q3" localSheetId="0">#REF!</definedName>
    <definedName name="FRINGEACT_Q3" localSheetId="3">#REF!</definedName>
    <definedName name="FRINGEACT_Q3" localSheetId="4">#REF!</definedName>
    <definedName name="FRINGEACT_Q3">#REF!</definedName>
    <definedName name="FRINGEACT_QTD" localSheetId="1">#REF!</definedName>
    <definedName name="FRINGEACT_QTD" localSheetId="0">#REF!</definedName>
    <definedName name="FRINGEACT_QTD" localSheetId="4">#REF!</definedName>
    <definedName name="FRINGEACT_QTD">#REF!</definedName>
    <definedName name="FRINGEACT_YTD" localSheetId="1">#REF!</definedName>
    <definedName name="FRINGEACT_YTD" localSheetId="0">#REF!</definedName>
    <definedName name="FRINGEACT_YTD" localSheetId="3">#REF!</definedName>
    <definedName name="FRINGEACT_YTD" localSheetId="4">#REF!</definedName>
    <definedName name="FRINGEACT_YTD">#REF!</definedName>
    <definedName name="FRINGEACT_YTD_PRIOR_MONTH" localSheetId="1">#REF!</definedName>
    <definedName name="FRINGEACT_YTD_PRIOR_MONTH" localSheetId="0">#REF!</definedName>
    <definedName name="FRINGEACT_YTD_PRIOR_MONTH" localSheetId="4">#REF!</definedName>
    <definedName name="FRINGEACT_YTD_PRIOR_MONTH">#REF!</definedName>
    <definedName name="FRINGEEMERA_ACCOUNT">#REF!</definedName>
    <definedName name="FRINGEEMERA_COST_CENTER">#REF!</definedName>
    <definedName name="FRINGEEMERA_YTD">#REF!</definedName>
    <definedName name="FRINGEPY_ACCOUNT" localSheetId="1">#REF!</definedName>
    <definedName name="FRINGEPY_ACCOUNT" localSheetId="0">#REF!</definedName>
    <definedName name="FRINGEPY_ACCOUNT" localSheetId="4">#REF!</definedName>
    <definedName name="FRINGEPY_ACCOUNT">#REF!</definedName>
    <definedName name="FRINGEPY_COST_CENTER" localSheetId="1">#REF!</definedName>
    <definedName name="FRINGEPY_COST_CENTER" localSheetId="0">#REF!</definedName>
    <definedName name="FRINGEPY_COST_CENTER" localSheetId="4">#REF!</definedName>
    <definedName name="FRINGEPY_COST_CENTER">#REF!</definedName>
    <definedName name="FRINGEPY_MTD" localSheetId="1">#REF!</definedName>
    <definedName name="FRINGEPY_MTD" localSheetId="0">#REF!</definedName>
    <definedName name="FRINGEPY_MTD" localSheetId="4">#REF!</definedName>
    <definedName name="FRINGEPY_MTD">#REF!</definedName>
    <definedName name="FRINGEPY_QTD" localSheetId="1">#REF!</definedName>
    <definedName name="FRINGEPY_QTD" localSheetId="0">#REF!</definedName>
    <definedName name="FRINGEPY_QTD" localSheetId="4">#REF!</definedName>
    <definedName name="FRINGEPY_QTD">#REF!</definedName>
    <definedName name="FRINGEPY_YTD" localSheetId="1">#REF!</definedName>
    <definedName name="FRINGEPY_YTD" localSheetId="0">#REF!</definedName>
    <definedName name="FRINGEPY_YTD" localSheetId="4">#REF!</definedName>
    <definedName name="FRINGEPY_YTD">#REF!</definedName>
    <definedName name="Gem">#REF!</definedName>
    <definedName name="Gem_Simp">#REF!</definedName>
    <definedName name="Gem1_">#REF!</definedName>
    <definedName name="GL">#REF!</definedName>
    <definedName name="GOAL7">#REF!</definedName>
    <definedName name="GOAL7ACT">#REF!</definedName>
    <definedName name="GOAL7BUD">#REF!</definedName>
    <definedName name="h">#REF!,#REF!</definedName>
    <definedName name="Header_Row" localSheetId="1" hidden="1">ROW(#REF!)</definedName>
    <definedName name="Header_Row" localSheetId="0" hidden="1">ROW(#REF!)</definedName>
    <definedName name="Header_Row" localSheetId="4" hidden="1">ROW(#REF!)</definedName>
    <definedName name="Header_Row">ROW(#REF!)</definedName>
    <definedName name="HLFRINGE20_ACCOUNT">#REF!</definedName>
    <definedName name="HLFRINGE20_COST_CENTER">#REF!</definedName>
    <definedName name="HLFRINGE20_YTD">#REF!</definedName>
    <definedName name="hn.ModelVersion">1</definedName>
    <definedName name="hn.NoUpload">0</definedName>
    <definedName name="inputs" localSheetId="1">{"Inputs 1","Base",FALSE,"INPUTS";"Inputs 2","Base",FALSE,"INPUTS";"Inputs 3","Base",FALSE,"INPUTS";"Inputs 4","Base",FALSE,"INPUTS";"Inputs 5","Base",FALSE,"INPUTS"}</definedName>
    <definedName name="inputs" localSheetId="0">{"Inputs 1","Base",FALSE,"INPUTS";"Inputs 2","Base",FALSE,"INPUTS";"Inputs 3","Base",FALSE,"INPUTS";"Inputs 4","Base",FALSE,"INPUTS";"Inputs 5","Base",FALSE,"INPUTS"}</definedName>
    <definedName name="inputs" localSheetId="3">{"Inputs 1","Base",FALSE,"INPUTS";"Inputs 2","Base",FALSE,"INPUTS";"Inputs 3","Base",FALSE,"INPUTS";"Inputs 4","Base",FALSE,"INPUTS";"Inputs 5","Base",FALSE,"INPUTS"}</definedName>
    <definedName name="inputs" localSheetId="4">{"Inputs 1","Base",FALSE,"INPUTS";"Inputs 2","Base",FALSE,"INPUTS";"Inputs 3","Base",FALSE,"INPUTS";"Inputs 4","Base",FALSE,"INPUTS";"Inputs 5","Base",FALSE,"INPUTS"}</definedName>
    <definedName name="inputs">{"Inputs 1","Base",FALSE,"INPUTS";"Inputs 2","Base",FALSE,"INPUTS";"Inputs 3","Base",FALSE,"INPUTS";"Inputs 4","Base",FALSE,"INPUTS";"Inputs 5","Base",FALSE,"INPUTS"}</definedName>
    <definedName name="INTERESTRECLASS">#REF!</definedName>
    <definedName name="INTEX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EX_PROVIDED_DIVIDEND" hidden="1">"c19252"</definedName>
    <definedName name="IQ_INDEXCONSTITUENT_CLOSEPRICE" hidden="1">"c19241"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L_EPS_EST" hidden="1">"c24729"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ISTING_CURRENCY" hidden="1">"c2127"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42784.6894444444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39314.6042013889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orecast">#REF!</definedName>
    <definedName name="IS_Monthly">#REF!</definedName>
    <definedName name="IS_Plan">#REF!</definedName>
    <definedName name="IS_Plan2">#REF!</definedName>
    <definedName name="Jan">#REF!</definedName>
    <definedName name="JANJE2">#REF!</definedName>
    <definedName name="JANJE3">#REF!</definedName>
    <definedName name="JANRET">#REF!</definedName>
    <definedName name="JANWHLFPC">#REF!</definedName>
    <definedName name="JANWHLFTM">#REF!</definedName>
    <definedName name="JANWHLSTC">#REF!</definedName>
    <definedName name="JANWHLWAU">#REF!</definedName>
    <definedName name="Jul">#REF!</definedName>
    <definedName name="JULJE">#REF!</definedName>
    <definedName name="JULJE2">#REF!</definedName>
    <definedName name="JULJE3">#REF!</definedName>
    <definedName name="JULRET">#REF!</definedName>
    <definedName name="JULWHLFPC">#REF!</definedName>
    <definedName name="JULWHLFTM">#REF!</definedName>
    <definedName name="JULWHLSTC">#REF!</definedName>
    <definedName name="JULWHLWAU">#REF!</definedName>
    <definedName name="Jun">#REF!</definedName>
    <definedName name="JUNJE">#REF!</definedName>
    <definedName name="JUNJE2">#REF!</definedName>
    <definedName name="JUNJE3">#REF!</definedName>
    <definedName name="JUNPG2">#REF!</definedName>
    <definedName name="JUNREDO1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K2_WBEVMODE">0</definedName>
    <definedName name="Last_Row" localSheetId="1">IF('IRR 202 Detail '!Values_Entered,'IRR 202 Detail '!Header_Row+'IRR 202 Detail '!Number_of_Payments,'IRR 202 Detail '!Header_Row)</definedName>
    <definedName name="Last_Row" localSheetId="0">IF('IRR 202 Summary'!Values_Entered,'IRR 202 Summary'!Header_Row+'IRR 202 Summary'!Number_of_Payments,'IRR 202 Summary'!Header_Row)</definedName>
    <definedName name="Last_Row" localSheetId="2">IF(Values_Entered,Header_Row+Number_of_Payments,Header_Row)</definedName>
    <definedName name="Last_Row" localSheetId="3">IF('SCHG2-19b'!Values_Entered,[0]!Header_Row+'SCHG2-19b'!Number_of_Payments,[0]!Header_Row)</definedName>
    <definedName name="Last_Row" localSheetId="4">IF('SCHG2-19c to 19e'!Values_Entered,'SCHG2-19c to 19e'!Header_Row+'SCHG2-19c to 19e'!Number_of_Payments,'SCHG2-19c to 19e'!Header_Row)</definedName>
    <definedName name="Last_Row">IF(Values_Entered,Header_Row+Number_of_Payments,Header_Row)</definedName>
    <definedName name="Last_Row1" localSheetId="1">IF(Values_Entered,'IRR 202 Detail '!Header_Row+'IRR 202 Detail '!Num_of_payments1,'IRR 202 Detail '!Header_Row)</definedName>
    <definedName name="Last_Row1" localSheetId="0">IF(Values_Entered,'IRR 202 Summary'!Header_Row+'IRR 202 Summary'!Num_of_payments1,'IRR 202 Summary'!Header_Row)</definedName>
    <definedName name="Last_Row1" localSheetId="4">IF(Values_Entered,'SCHG2-19c to 19e'!Header_Row+'SCHG2-19c to 19e'!Num_of_payments1,'SCHG2-19c to 19e'!Header_Row)</definedName>
    <definedName name="Last_Row1">IF(Values_Entered,Header_Row+Num_of_payments1,Header_Row)</definedName>
    <definedName name="Last_Tow2" localSheetId="1">IF('IRR 202 Detail '!Values_Entered,'IRR 202 Detail '!Header_Row+'IRR 202 Detail '!Number_of_Payments,'IRR 202 Detail '!Header_Row)</definedName>
    <definedName name="Last_Tow2" localSheetId="0">IF('IRR 202 Summary'!Values_Entered,'IRR 202 Summary'!Header_Row+'IRR 202 Summary'!Number_of_Payments,'IRR 202 Summary'!Header_Row)</definedName>
    <definedName name="Last_Tow2" localSheetId="3">IF('SCHG2-19b'!Values_Entered,[0]!Header_Row+'SCHG2-19b'!Number_of_Payments,[0]!Header_Row)</definedName>
    <definedName name="Last_Tow2" localSheetId="4">IF('SCHG2-19c to 19e'!Values_Entered,'SCHG2-19c to 19e'!Header_Row+'SCHG2-19c to 19e'!Number_of_Payments,'SCHG2-19c to 19e'!Header_Row)</definedName>
    <definedName name="Last_Tow2">IF(Values_Entered,Header_Row+Number_of_Payments,Header_Row)</definedName>
    <definedName name="Last_Tow3" localSheetId="1">IF(Values_Entered,'IRR 202 Detail '!Header_Row+'IRR 202 Detail '!Num_of_payments1,'IRR 202 Detail '!Header_Row)</definedName>
    <definedName name="Last_Tow3" localSheetId="0">IF(Values_Entered,'IRR 202 Summary'!Header_Row+'IRR 202 Summary'!Num_of_payments1,'IRR 202 Summary'!Header_Row)</definedName>
    <definedName name="Last_Tow3" localSheetId="4">IF(Values_Entered,'SCHG2-19c to 19e'!Header_Row+'SCHG2-19c to 19e'!Num_of_payments1,'SCHG2-19c to 19e'!Header_Row)</definedName>
    <definedName name="Last_Tow3">IF(Values_Entered,Header_Row+Num_of_payments1,Header_Row)</definedName>
    <definedName name="limcount">1</definedName>
    <definedName name="ListOffset">1</definedName>
    <definedName name="lstAnnualRetirementDates">#REF!</definedName>
    <definedName name="lstCaseInputSelection">#REF!</definedName>
    <definedName name="lstDiscreteCapitalProjects">#REF!</definedName>
    <definedName name="lstInServiceDates">#REF!</definedName>
    <definedName name="lstScenarios">#REF!</definedName>
    <definedName name="lstTimeline">#REF!</definedName>
    <definedName name="MACROS">#REF!</definedName>
    <definedName name="Mar">#REF!</definedName>
    <definedName name="MARJE">#REF!</definedName>
    <definedName name="MARJE2">#REF!</definedName>
    <definedName name="MARJE3">#REF!</definedName>
    <definedName name="MARJE4">#REF!</definedName>
    <definedName name="MARJEADJ">#REF!</definedName>
    <definedName name="MARRET">#REF!</definedName>
    <definedName name="MARWHLFPC">#REF!</definedName>
    <definedName name="MARWHLFTM">#REF!</definedName>
    <definedName name="MARWHLSTC">#REF!</definedName>
    <definedName name="MARWHLWAU">#REF!</definedName>
    <definedName name="May">#REF!</definedName>
    <definedName name="MAYJE">#REF!</definedName>
    <definedName name="MAYJE2">#REF!</definedName>
    <definedName name="MAYJE3">#REF!</definedName>
    <definedName name="MAYJE4">#REF!</definedName>
    <definedName name="MAYREDO1">#REF!</definedName>
    <definedName name="MAYRET">#REF!</definedName>
    <definedName name="MAYWHLFPC">#REF!</definedName>
    <definedName name="MAYWHLFTM">#REF!</definedName>
    <definedName name="MAYWHLSTC">#REF!</definedName>
    <definedName name="MAYWHLWAU">#REF!</definedName>
    <definedName name="MEMO">#REF!</definedName>
    <definedName name="MEWarning">0</definedName>
    <definedName name="Month_Summary">#REF!</definedName>
    <definedName name="new">#REF!</definedName>
    <definedName name="NM">#REF!</definedName>
    <definedName name="NM_Simp">#REF!</definedName>
    <definedName name="NM1_">#REF!</definedName>
    <definedName name="NOL_Limit">#REF!</definedName>
    <definedName name="NOL_Limitation">#REF!</definedName>
    <definedName name="NONREC">#REF!</definedName>
    <definedName name="Nov">#REF!</definedName>
    <definedName name="NOVJE">#REF!</definedName>
    <definedName name="NOVJE2">#REF!</definedName>
    <definedName name="NOVJE3">#REF!</definedName>
    <definedName name="NOVRET">#REF!</definedName>
    <definedName name="NOVWHLFPC">#REF!</definedName>
    <definedName name="NOVWHLFTM">#REF!</definedName>
    <definedName name="NOVWHLSTC">#REF!</definedName>
    <definedName name="NOVWHLWAU">#REF!</definedName>
    <definedName name="Num_of_payments1" localSheetId="1" hidden="1">MATCH(0.01,End_Bal,-1)+1</definedName>
    <definedName name="Num_of_payments1" localSheetId="0" hidden="1">MATCH(0.01,End_Bal,-1)+1</definedName>
    <definedName name="Num_of_payments1" localSheetId="4" hidden="1">MATCH(0.01,End_Bal,-1)+1</definedName>
    <definedName name="Num_of_payments1" hidden="1">MATCH(0.01,End_Bal,-1)+1</definedName>
    <definedName name="Number_of_Payments" localSheetId="1">MATCH(0.01,End_Bal,-1)+1</definedName>
    <definedName name="Number_of_Payments" localSheetId="0">MATCH(0.01,End_Bal,-1)+1</definedName>
    <definedName name="Number_of_Payments" localSheetId="3" hidden="1">MATCH(0.01,End_Bal,-1)+1</definedName>
    <definedName name="Number_of_Payments" localSheetId="4" hidden="1">MATCH(0.01,End_Bal,-1)+1</definedName>
    <definedName name="Number_of_Payments">MATCH(0.01,End_Bal,-1)+1</definedName>
    <definedName name="Oct">#REF!</definedName>
    <definedName name="OCTJE">#REF!</definedName>
    <definedName name="OCTJE2">#REF!</definedName>
    <definedName name="OCTJE3">#REF!</definedName>
    <definedName name="OCTRET">#REF!</definedName>
    <definedName name="octwhlfpc">#REF!</definedName>
    <definedName name="octwhlftm">#REF!</definedName>
    <definedName name="octwhlstc">#REF!</definedName>
    <definedName name="octwhlwau">#REF!</definedName>
    <definedName name="Office_Equipment">#REF!</definedName>
    <definedName name="OORACT">#REF!</definedName>
    <definedName name="OORBUD">#REF!</definedName>
    <definedName name="OORSSGOAL">#REF!</definedName>
    <definedName name="OTHER_CF">#REF!</definedName>
    <definedName name="OTHER_CR">#REF!</definedName>
    <definedName name="PagePrint">#REF!</definedName>
    <definedName name="Part">#REF!</definedName>
    <definedName name="Part_Simp">#REF!</definedName>
    <definedName name="Part1">#REF!</definedName>
    <definedName name="Payment_Date" localSheetId="1">DATE(YEAR(Loan_Start),MONTH(Loan_Start)+Payment_Number,DAY(Loan_Start))</definedName>
    <definedName name="Payment_Date" localSheetId="0">DATE(YEAR(Loan_Start),MONTH(Loan_Start)+Payment_Number,DAY(Loan_Start))</definedName>
    <definedName name="Payment_Date" localSheetId="3">DATE(YEAR(Loan_Start),MONTH(Loan_Start)+Payment_Number,DAY(Loan_Start))</definedName>
    <definedName name="Payment_Date" localSheetId="4">DATE(YEAR(Loan_Start),MONTH(Loan_Start)+Payment_Number,DAY(Loan_Start))</definedName>
    <definedName name="Payment_Date">DATE(YEAR(Loan_Start),MONTH(Loan_Start)+Payment_Number,DAY(Loan_Start))</definedName>
    <definedName name="PAYROLL_INPUTS">#REF!</definedName>
    <definedName name="PAYROLL_INPUTS1">#REF!</definedName>
    <definedName name="PAYROLL_INPUTS2">#REF!</definedName>
    <definedName name="PAYROLL_INPUTS3">#REF!</definedName>
    <definedName name="PE_C_MO">#REF!</definedName>
    <definedName name="PE_C_QTR">#REF!</definedName>
    <definedName name="PE_C_YTD">#REF!</definedName>
    <definedName name="PE_CPYIS">#REF!</definedName>
    <definedName name="PF_PROJECT_DESCRIPTION">#REF!</definedName>
    <definedName name="PF_TOTAL">#REF!</definedName>
    <definedName name="PF_WO_GROUP">#REF!</definedName>
    <definedName name="PF_YEAR">#REF!</definedName>
    <definedName name="PF_YTD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GS">#REF!</definedName>
    <definedName name="PGS_BS_ASSET">#REF!</definedName>
    <definedName name="PGS_BS_LIABILITY">#REF!</definedName>
    <definedName name="PGS_CASH">#REF!</definedName>
    <definedName name="PGS_IS">#REF!</definedName>
    <definedName name="PGS_Simp">#REF!</definedName>
    <definedName name="PGS1_">#REF!</definedName>
    <definedName name="PKDH">#REF!</definedName>
    <definedName name="PLANBOOK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ine1">#REF!</definedName>
    <definedName name="PLine2">#REF!</definedName>
    <definedName name="PLine3">#REF!</definedName>
    <definedName name="PLine4">#REF!</definedName>
    <definedName name="PLNQTBS1">#REF!</definedName>
    <definedName name="PLNQTBS2">#REF!</definedName>
    <definedName name="PM_FORECAST_AMOUNT">#REF!</definedName>
    <definedName name="PM_MINUS_1_NAME">#REF!</definedName>
    <definedName name="PM_NAME" localSheetId="1">#REF!</definedName>
    <definedName name="PM_NAME" localSheetId="0">#REF!</definedName>
    <definedName name="PM_NAME" localSheetId="3">#REF!</definedName>
    <definedName name="PM_NAME" localSheetId="4">#REF!</definedName>
    <definedName name="PM_NAME">#REF!</definedName>
    <definedName name="PM_NAME_MINUS_1">#REF!</definedName>
    <definedName name="PM1_NAME">#REF!</definedName>
    <definedName name="PMF_FP_GROUP">#REF!</definedName>
    <definedName name="PMF_MAJOR_LOCATION">#REF!</definedName>
    <definedName name="PMF_MTD">#REF!</definedName>
    <definedName name="PMF_PROJECT_DESCRIPTION">#REF!</definedName>
    <definedName name="PMF_SUMMARY_PROJECT_DESCRIPTION">#REF!</definedName>
    <definedName name="PMF_TOTAL">#REF!</definedName>
    <definedName name="PMF_YEAR">#REF!</definedName>
    <definedName name="PMF_YTD">#REF!</definedName>
    <definedName name="PRESBSA1">#REF!</definedName>
    <definedName name="PRESBSA2">#REF!</definedName>
    <definedName name="PRESCAP">#REF!</definedName>
    <definedName name="PRESCFLW">#REF!</definedName>
    <definedName name="_xlnm.Print_Area" localSheetId="1">'IRR 202 Detail '!$A$1:$AD$182</definedName>
    <definedName name="_xlnm.Print_Area" localSheetId="0">'IRR 202 Summary'!$A$1:$F$11</definedName>
    <definedName name="_xlnm.Print_Area" localSheetId="2">'SCHG2-19'!$A$1:$U$586</definedName>
    <definedName name="_xlnm.Print_Area" localSheetId="3">'SCHG2-19b'!$A$1:$P$65</definedName>
    <definedName name="_xlnm.Print_Area" localSheetId="4">'SCHG2-19c to 19e'!$A$1:$O$174</definedName>
    <definedName name="Print_Area_MI" localSheetId="2">'SCHG2-19'!$A$1:$U$565</definedName>
    <definedName name="Print_Area_Reset">#N/A</definedName>
    <definedName name="_xlnm.Print_Titles" localSheetId="1">'IRR 202 Detail '!$1:$6</definedName>
    <definedName name="_xlnm.Print_Titles" localSheetId="0">'IRR 202 Summary'!$1:$6</definedName>
    <definedName name="_xlnm.Print_Titles" localSheetId="3">'SCHG2-19b'!$12:$13</definedName>
    <definedName name="print046S">#REF!</definedName>
    <definedName name="print070">#REF!</definedName>
    <definedName name="PrintRange">#REF!,#REF!</definedName>
    <definedName name="PrintRangeC1">#REF!</definedName>
    <definedName name="PRIOR_MONTH_MINUS_ONE">#REF!</definedName>
    <definedName name="PRIOR_YEAR" localSheetId="1">#REF!</definedName>
    <definedName name="PRIOR_YEAR" localSheetId="0">#REF!</definedName>
    <definedName name="PRIOR_YEAR" localSheetId="4">#REF!</definedName>
    <definedName name="PRIOR_YEAR">#REF!</definedName>
    <definedName name="PRIORFOR">#REF!</definedName>
    <definedName name="PRIORFOR_ACCOUNT">#REF!</definedName>
    <definedName name="PRIORFOR_COST_CENTER">#REF!</definedName>
    <definedName name="PRIORFOR_MTD">#REF!</definedName>
    <definedName name="PRIORFOR_TOTAL">#REF!</definedName>
    <definedName name="proposed_definitions">#REF!</definedName>
    <definedName name="proposed_presentation">#REF!</definedName>
    <definedName name="proposed_recovery">#REF!</definedName>
    <definedName name="PY_AMOUNT" localSheetId="1">#REF!</definedName>
    <definedName name="PY_AMOUNT" localSheetId="0">#REF!</definedName>
    <definedName name="PY_AMOUNT" localSheetId="4">#REF!</definedName>
    <definedName name="PY_AMOUNT">#REF!</definedName>
    <definedName name="PY_FP_GROUP" localSheetId="1">#REF!</definedName>
    <definedName name="PY_FP_GROUP" localSheetId="0">#REF!</definedName>
    <definedName name="PY_FP_GROUP" localSheetId="4">#REF!</definedName>
    <definedName name="PY_FP_GROUP">#REF!</definedName>
    <definedName name="PY_MTD">#REF!</definedName>
    <definedName name="PY_PROJECT_DESCRIPTION" localSheetId="1">#REF!</definedName>
    <definedName name="PY_PROJECT_DESCRIPTION" localSheetId="0">#REF!</definedName>
    <definedName name="PY_PROJECT_DESCRIPTION" localSheetId="4">#REF!</definedName>
    <definedName name="PY_PROJECT_DESCRIPTION">#REF!</definedName>
    <definedName name="PY_SUMMARY_PROJECT_DESCRIPTION" localSheetId="1">#REF!</definedName>
    <definedName name="PY_SUMMARY_PROJECT_DESCRIPTION" localSheetId="0">#REF!</definedName>
    <definedName name="PY_SUMMARY_PROJECT_DESCRIPTION" localSheetId="4">#REF!</definedName>
    <definedName name="PY_SUMMARY_PROJECT_DESCRIPTION">#REF!</definedName>
    <definedName name="PY_YEAR" localSheetId="1">#REF!</definedName>
    <definedName name="PY_YEAR" localSheetId="0">#REF!</definedName>
    <definedName name="PY_YEAR" localSheetId="4">#REF!</definedName>
    <definedName name="PY_YEAR">#REF!</definedName>
    <definedName name="PY_YTD">#REF!</definedName>
    <definedName name="PYBS">#REF!</definedName>
    <definedName name="PYEGYASSTS">#REF!</definedName>
    <definedName name="PYEGYLIABS">#REF!</definedName>
    <definedName name="PYISWP">#REF!</definedName>
    <definedName name="Q1_FOR">#REF!</definedName>
    <definedName name="Q1_FP_Group">#REF!</definedName>
    <definedName name="Q1_MTD">#REF!</definedName>
    <definedName name="Q1_PROJECT_DESCRIPTION">#REF!</definedName>
    <definedName name="Q1_SUMMARY_PROJECT_DESCRIPTION">#REF!</definedName>
    <definedName name="Q1_TOTAL">#REF!</definedName>
    <definedName name="Q1_YEAR">#REF!</definedName>
    <definedName name="Q1_YTD">#REF!</definedName>
    <definedName name="Q1F" localSheetId="1">#REF!</definedName>
    <definedName name="Q1F" localSheetId="0">#REF!</definedName>
    <definedName name="Q1F" localSheetId="4">#REF!</definedName>
    <definedName name="Q1F">#REF!</definedName>
    <definedName name="QTD_NAME" localSheetId="1">#REF!</definedName>
    <definedName name="QTD_NAME" localSheetId="0">#REF!</definedName>
    <definedName name="QTD_NAME" localSheetId="4">#REF!</definedName>
    <definedName name="QTD_NAME">#REF!</definedName>
    <definedName name="random">#REF!</definedName>
    <definedName name="RECON_ASSETS">#REF!</definedName>
    <definedName name="RECON_LIABILITIES">#REF!</definedName>
    <definedName name="RECON_OF_BOOKS" localSheetId="1">#REF!</definedName>
    <definedName name="RECON_OF_BOOKS" localSheetId="0">#REF!</definedName>
    <definedName name="RECON_OF_BOOKS" localSheetId="3">#REF!</definedName>
    <definedName name="RECON_OF_BOOKS" localSheetId="4">#REF!</definedName>
    <definedName name="RECON_OF_BOOKS">#REF!</definedName>
    <definedName name="RECON_SUMMARY">#REF!</definedName>
    <definedName name="RECONACT_ACCOUNT" localSheetId="1">#REF!</definedName>
    <definedName name="RECONACT_ACCOUNT" localSheetId="0">#REF!</definedName>
    <definedName name="RECONACT_ACCOUNT" localSheetId="4">#REF!</definedName>
    <definedName name="RECONACT_ACCOUNT">#REF!</definedName>
    <definedName name="RECONACT_MTD" localSheetId="1">#REF!</definedName>
    <definedName name="RECONACT_MTD" localSheetId="0">#REF!</definedName>
    <definedName name="RECONACT_MTD" localSheetId="4">#REF!</definedName>
    <definedName name="RECONACT_MTD">#REF!</definedName>
    <definedName name="RECONACT_QTD" localSheetId="1">#REF!</definedName>
    <definedName name="RECONACT_QTD" localSheetId="0">#REF!</definedName>
    <definedName name="RECONACT_QTD" localSheetId="4">#REF!</definedName>
    <definedName name="RECONACT_QTD">#REF!</definedName>
    <definedName name="RECONACT_YTD">#REF!</definedName>
    <definedName name="RECONBUD_ACCOUNT" localSheetId="1">#REF!</definedName>
    <definedName name="RECONBUD_ACCOUNT" localSheetId="0">#REF!</definedName>
    <definedName name="RECONBUD_ACCOUNT" localSheetId="3">#REF!</definedName>
    <definedName name="RECONBUD_ACCOUNT" localSheetId="4">#REF!</definedName>
    <definedName name="RECONBUD_ACCOUNT">#REF!</definedName>
    <definedName name="RECONBUD_MTD" localSheetId="1">#REF!</definedName>
    <definedName name="RECONBUD_MTD" localSheetId="0">#REF!</definedName>
    <definedName name="RECONBUD_MTD" localSheetId="3">#REF!</definedName>
    <definedName name="RECONBUD_MTD" localSheetId="4">#REF!</definedName>
    <definedName name="RECONBUD_MTD">#REF!</definedName>
    <definedName name="RECONBUD_PM_YTD">#REF!</definedName>
    <definedName name="RECONBUD_QTD">#REF!</definedName>
    <definedName name="RECONBUD_TOTAL" localSheetId="1">#REF!</definedName>
    <definedName name="RECONBUD_TOTAL" localSheetId="0">#REF!</definedName>
    <definedName name="RECONBUD_TOTAL" localSheetId="3">#REF!</definedName>
    <definedName name="RECONBUD_TOTAL" localSheetId="4">#REF!</definedName>
    <definedName name="RECONBUD_TOTAL">#REF!</definedName>
    <definedName name="RECONBUD_YTD" localSheetId="1">#REF!</definedName>
    <definedName name="RECONBUD_YTD" localSheetId="0">#REF!</definedName>
    <definedName name="RECONBUD_YTD" localSheetId="3">#REF!</definedName>
    <definedName name="RECONBUD_YTD" localSheetId="4">#REF!</definedName>
    <definedName name="RECONBUD_YTD">#REF!</definedName>
    <definedName name="RECONBUD20_ACCOUNT" localSheetId="1">#REF!</definedName>
    <definedName name="RECONBUD20_ACCOUNT" localSheetId="0">#REF!</definedName>
    <definedName name="RECONBUD20_ACCOUNT" localSheetId="3">#REF!</definedName>
    <definedName name="RECONBUD20_ACCOUNT" localSheetId="4">#REF!</definedName>
    <definedName name="RECONBUD20_ACCOUNT">#REF!</definedName>
    <definedName name="RECONBUD20_MTD">#REF!</definedName>
    <definedName name="RECONBUD20_QTD">#REF!</definedName>
    <definedName name="RECONBUD20_TOTAL" localSheetId="1">#REF!</definedName>
    <definedName name="RECONBUD20_TOTAL" localSheetId="0">#REF!</definedName>
    <definedName name="RECONBUD20_TOTAL" localSheetId="3">#REF!</definedName>
    <definedName name="RECONBUD20_TOTAL" localSheetId="4">#REF!</definedName>
    <definedName name="RECONBUD20_TOTAL">#REF!</definedName>
    <definedName name="RECONBUD20_YTD" localSheetId="1">#REF!</definedName>
    <definedName name="RECONBUD20_YTD" localSheetId="0">#REF!</definedName>
    <definedName name="RECONBUD20_YTD" localSheetId="3">#REF!</definedName>
    <definedName name="RECONBUD20_YTD" localSheetId="4">#REF!</definedName>
    <definedName name="RECONBUD20_YTD">#REF!</definedName>
    <definedName name="RECONBUDRC_ACCOUNT">#REF!</definedName>
    <definedName name="RECONBUDRC_YTD">#REF!</definedName>
    <definedName name="RECONEMERA_ACCOUNT" localSheetId="1">#REF!</definedName>
    <definedName name="RECONEMERA_ACCOUNT" localSheetId="0">#REF!</definedName>
    <definedName name="RECONEMERA_ACCOUNT" localSheetId="4">#REF!</definedName>
    <definedName name="RECONEMERA_ACCOUNT">#REF!</definedName>
    <definedName name="RECONEMERA_MTD" localSheetId="1">#REF!</definedName>
    <definedName name="RECONEMERA_MTD" localSheetId="0">#REF!</definedName>
    <definedName name="RECONEMERA_MTD" localSheetId="4">#REF!</definedName>
    <definedName name="RECONEMERA_MTD">#REF!</definedName>
    <definedName name="RECONEMERA_QTD">#REF!</definedName>
    <definedName name="RECONEMERA_TOTAL" localSheetId="1">#REF!</definedName>
    <definedName name="RECONEMERA_TOTAL" localSheetId="0">#REF!</definedName>
    <definedName name="RECONEMERA_TOTAL" localSheetId="4">#REF!</definedName>
    <definedName name="RECONEMERA_TOTAL">#REF!</definedName>
    <definedName name="RECONEMERA_YTD" localSheetId="1">#REF!</definedName>
    <definedName name="RECONEMERA_YTD" localSheetId="0">#REF!</definedName>
    <definedName name="RECONEMERA_YTD" localSheetId="4">#REF!</definedName>
    <definedName name="RECONEMERA_YTD">#REF!</definedName>
    <definedName name="RECONEMERAFOR_ACCOUNT">#REF!</definedName>
    <definedName name="RECONEMERAFOR_MTD">#REF!</definedName>
    <definedName name="RECONEMERAFOR_TOTAL">#REF!</definedName>
    <definedName name="RECONEMERAFOR_YTD">#REF!</definedName>
    <definedName name="RECONFOR_ACCOUNT" localSheetId="1">#REF!</definedName>
    <definedName name="RECONFOR_ACCOUNT" localSheetId="0">#REF!</definedName>
    <definedName name="RECONFOR_ACCOUNT" localSheetId="3">#REF!</definedName>
    <definedName name="RECONFOR_ACCOUNT" localSheetId="4">#REF!</definedName>
    <definedName name="RECONFOR_ACCOUNT">#REF!</definedName>
    <definedName name="RECONFOR_TOTAL" localSheetId="1">#REF!</definedName>
    <definedName name="RECONFOR_TOTAL" localSheetId="0">#REF!</definedName>
    <definedName name="RECONFOR_TOTAL">#REF!</definedName>
    <definedName name="RECONFOR_YTD" localSheetId="1">#REF!</definedName>
    <definedName name="RECONFOR_YTD" localSheetId="0">#REF!</definedName>
    <definedName name="RECONFOR_YTD" localSheetId="3">#REF!</definedName>
    <definedName name="RECONFOR_YTD" localSheetId="4">#REF!</definedName>
    <definedName name="RECONFOR_YTD">#REF!</definedName>
    <definedName name="RECONHLFOR_ACCOUNT">#REF!</definedName>
    <definedName name="RECONHLFOR_MTD">#REF!</definedName>
    <definedName name="RECONHLFOR_PM_YTD">#REF!</definedName>
    <definedName name="RECONHLFOR_TOTAL">#REF!</definedName>
    <definedName name="RECONORIGBUD_ACCOUNT">#REF!</definedName>
    <definedName name="RECONORIGBUD_TOTAL">#REF!</definedName>
    <definedName name="RECONPRIORFOR_ACCOUNT">#REF!</definedName>
    <definedName name="RECONPRIORFOR_MTD">#REF!</definedName>
    <definedName name="RECONPRIORFOR_TOTAL">#REF!</definedName>
    <definedName name="RECONPY_ACCOUNT" localSheetId="1">#REF!</definedName>
    <definedName name="RECONPY_ACCOUNT" localSheetId="0">#REF!</definedName>
    <definedName name="RECONPY_ACCOUNT" localSheetId="3">#REF!</definedName>
    <definedName name="RECONPY_ACCOUNT" localSheetId="4">#REF!</definedName>
    <definedName name="RECONPY_ACCOUNT">#REF!</definedName>
    <definedName name="RECONPY_MTD">#REF!</definedName>
    <definedName name="RECONPY_TOTAL">#REF!</definedName>
    <definedName name="RECONPY_YTD" localSheetId="1">#REF!</definedName>
    <definedName name="RECONPY_YTD" localSheetId="0">#REF!</definedName>
    <definedName name="RECONPY_YTD" localSheetId="3">#REF!</definedName>
    <definedName name="RECONPY_YTD" localSheetId="4">#REF!</definedName>
    <definedName name="RECONPY_YTD">#REF!</definedName>
    <definedName name="RECONQ1_ACCOUNT">#REF!</definedName>
    <definedName name="RECONQ1_MTD">#REF!</definedName>
    <definedName name="RECONQ1_QTD">#REF!</definedName>
    <definedName name="RECONQ1_YTD">#REF!</definedName>
    <definedName name="RECONQ3_ACCOUNT" localSheetId="1">#REF!</definedName>
    <definedName name="RECONQ3_ACCOUNT" localSheetId="0">#REF!</definedName>
    <definedName name="RECONQ3_ACCOUNT" localSheetId="3">#REF!</definedName>
    <definedName name="RECONQ3_ACCOUNT" localSheetId="4">#REF!</definedName>
    <definedName name="RECONQ3_ACCOUNT">#REF!</definedName>
    <definedName name="RECONQ3_TOTAL" localSheetId="1">#REF!</definedName>
    <definedName name="RECONQ3_TOTAL" localSheetId="0">#REF!</definedName>
    <definedName name="RECONQ3_TOTAL" localSheetId="3">#REF!</definedName>
    <definedName name="RECONQ3_TOTAL" localSheetId="4">#REF!</definedName>
    <definedName name="RECONQ3_TOTAL">#REF!</definedName>
    <definedName name="REFORECASTYEAR">#REF!</definedName>
    <definedName name="REGTAX">#REF!</definedName>
    <definedName name="rev153data">#REF!</definedName>
    <definedName name="rev451data">#REF!</definedName>
    <definedName name="rngScenario">#REF!</definedName>
    <definedName name="Round_By" localSheetId="1">#REF!</definedName>
    <definedName name="Round_By" localSheetId="0">#REF!</definedName>
    <definedName name="Round_By" localSheetId="3">#REF!</definedName>
    <definedName name="Round_By" localSheetId="4">#REF!</definedName>
    <definedName name="Round_By">#REF!</definedName>
    <definedName name="sally">#REF!</definedName>
    <definedName name="SAPBEXhrIndnt">1</definedName>
    <definedName name="SAPBEXrevision">1</definedName>
    <definedName name="sencount">1</definedName>
    <definedName name="Sep" localSheetId="1">#REF!</definedName>
    <definedName name="Sep" localSheetId="0">#REF!</definedName>
    <definedName name="Sep" localSheetId="4">#REF!</definedName>
    <definedName name="Sep">#REF!</definedName>
    <definedName name="SEPJE">#REF!</definedName>
    <definedName name="SEPJE2">#REF!</definedName>
    <definedName name="SEPJE3">#REF!</definedName>
    <definedName name="sepret">#REF!</definedName>
    <definedName name="sepwhlfpc">#REF!</definedName>
    <definedName name="sepwhlftm">#REF!</definedName>
    <definedName name="sepwhlstc">#REF!</definedName>
    <definedName name="sepwhlwau">#REF!</definedName>
    <definedName name="shit" localSheetId="1">{"'O&amp;M 2000'!$A$1:$T$24"}</definedName>
    <definedName name="shit" localSheetId="0">{"'O&amp;M 2000'!$A$1:$T$24"}</definedName>
    <definedName name="shit" localSheetId="3">{"'O&amp;M 2000'!$A$1:$T$24"}</definedName>
    <definedName name="shit" localSheetId="4">{"'O&amp;M 2000'!$A$1:$T$24"}</definedName>
    <definedName name="shit">{"'O&amp;M 2000'!$A$1:$T$24"}</definedName>
    <definedName name="Start2">#REF!</definedName>
    <definedName name="Start64">#REF!</definedName>
    <definedName name="Start65">#REF!</definedName>
    <definedName name="STRAT17_AMOUNT">#REF!</definedName>
    <definedName name="STRAT17_STRAT_PLAN_CATEGORIES">#REF!</definedName>
    <definedName name="STRAT17_STRAT_PLAN_SUMMARY">#REF!</definedName>
    <definedName name="STRAT17_YEAR">#REF!</definedName>
    <definedName name="STRAT18_AMOUNT">#REF!</definedName>
    <definedName name="STRAT18_STRAT_PLAN_CATEGORIES">#REF!</definedName>
    <definedName name="STRAT18_STRAT_PLAN_SUMMARY">#REF!</definedName>
    <definedName name="STRAT18_YEAR">#REF!</definedName>
    <definedName name="summary">#REF!</definedName>
    <definedName name="SUPRESS">#REF!</definedName>
    <definedName name="SUPRESS2">#REF!</definedName>
    <definedName name="SURV">#REF!</definedName>
    <definedName name="sysCheck">#REF!</definedName>
    <definedName name="sysMakeWHoleButton">#REF!</definedName>
    <definedName name="sysmakewholerate">#REF!</definedName>
    <definedName name="sysNOLCheck">#REF!</definedName>
    <definedName name="TABLE">#REF!</definedName>
    <definedName name="TAMPA_ELECTRIC__COMPANY">"MARWHLFPC"</definedName>
    <definedName name="TAXRATE">#REF!</definedName>
    <definedName name="TAXUP">#REF!</definedName>
    <definedName name="TEC">#REF!</definedName>
    <definedName name="TEC_alloc_by_vp">#REF!</definedName>
    <definedName name="TEC_Simp">#REF!</definedName>
    <definedName name="TEC1_">#REF!</definedName>
    <definedName name="TextRefCopyRangeCount">10</definedName>
    <definedName name="TOLERANCE">#REF!</definedName>
    <definedName name="TOTAL_19" localSheetId="1">#REF!</definedName>
    <definedName name="TOTAL_19" localSheetId="0">#REF!</definedName>
    <definedName name="TOTAL_19" localSheetId="3">#REF!</definedName>
    <definedName name="TOTAL_19" localSheetId="4">#REF!</definedName>
    <definedName name="TOTAL_19">#REF!</definedName>
    <definedName name="TOTAL_20">#REF!</definedName>
    <definedName name="TOTAL_21">#REF!</definedName>
    <definedName name="TOTAL_OVER_3">#REF!</definedName>
    <definedName name="Total_Payment" localSheetId="1">Scheduled_Payment+Extra_Payment</definedName>
    <definedName name="Total_Payment" localSheetId="0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>Scheduled_Payment+Extra_Payment</definedName>
    <definedName name="TOTAVG">#REF!</definedName>
    <definedName name="TRANS_SEP_Cost_Study">#REF!</definedName>
    <definedName name="TRANS_SEP_Production">#REF!</definedName>
    <definedName name="TRANS_SEP_Transmission">#REF!</definedName>
    <definedName name="TRUEUP">#REF!</definedName>
    <definedName name="TSI">#REF!</definedName>
    <definedName name="TSI_Simp">#REF!</definedName>
    <definedName name="TSI1_">#REF!</definedName>
    <definedName name="Umpire">40237.7891203704</definedName>
    <definedName name="UPDATED">#REF!</definedName>
    <definedName name="UPDATED_DATE">#REF!</definedName>
    <definedName name="USGAAP">#REF!</definedName>
    <definedName name="USGAAP2">#REF!</definedName>
    <definedName name="USGAAPMapping">#REF!</definedName>
    <definedName name="Values_Entered" localSheetId="1">IF(Loan_Amount*Interest_Rate*Loan_Years*Loan_Start&gt;0,1,0)</definedName>
    <definedName name="Values_Entered" localSheetId="0">IF(Loan_Amount*Interest_Rate*Loan_Years*Loan_Start&gt;0,1,0)</definedName>
    <definedName name="Values_Entered" localSheetId="3" hidden="1">IF(Loan_Amount*Interest_Rate*Loan_Years*Loan_Start&gt;0,1,0)</definedName>
    <definedName name="Values_Entered" localSheetId="4" hidden="1">IF(Loan_Amount*Interest_Rate*Loan_Years*Loan_Start&gt;0,1,0)</definedName>
    <definedName name="Values_Entered">IF(Loan_Amount*Interest_Rate*Loan_Years*Loan_Start&gt;0,1,0)</definedName>
    <definedName name="VPOOR98F">#REF!</definedName>
    <definedName name="VPOOR99">#REF!</definedName>
    <definedName name="WC_AVG">#REF!</definedName>
    <definedName name="WOR_APR">#REF!</definedName>
    <definedName name="WOR_AUG">#REF!</definedName>
    <definedName name="WOR_DEC">#REF!</definedName>
    <definedName name="WOR_EST_CHARGE_TYPE">#REF!</definedName>
    <definedName name="WOR_FEB">#REF!</definedName>
    <definedName name="WOR_JAN">#REF!</definedName>
    <definedName name="WOR_JUL">#REF!</definedName>
    <definedName name="WOR_JUN">#REF!</definedName>
    <definedName name="WOR_MAR">#REF!</definedName>
    <definedName name="WOR_MAY">#REF!</definedName>
    <definedName name="WOR_NOV">#REF!</definedName>
    <definedName name="WOR_OCT">#REF!</definedName>
    <definedName name="WOR_PROJECT_DESCRIPTION">#REF!</definedName>
    <definedName name="WOR_PROJECT_SUMMARY">#REF!</definedName>
    <definedName name="WOR_SEP">#REF!</definedName>
    <definedName name="WOR_TOTAL">#REF!</definedName>
    <definedName name="WOR_YEAR">#REF!</definedName>
    <definedName name="WORK_CM">#REF!</definedName>
    <definedName name="WORK_CM_YTD">#REF!</definedName>
    <definedName name="WORK_FP_GROUP">#REF!</definedName>
    <definedName name="WORK_MTD">#REF!</definedName>
    <definedName name="WORK_PROJECT_DESCRIPTION">#REF!</definedName>
    <definedName name="WORK_QTD">#REF!</definedName>
    <definedName name="WORK_SUMMARY_PROJECT_DESCRIPTION">#REF!</definedName>
    <definedName name="WORK_YEAR">#REF!</definedName>
    <definedName name="WORK_YTD">#REF!</definedName>
    <definedName name="XRefColumnsCount">1</definedName>
    <definedName name="XRefCopyRangeCount">4</definedName>
    <definedName name="XRefPasteRangeCount">1</definedName>
    <definedName name="Yes_No">#REF!</definedName>
    <definedName name="YTD_BASE_REV">#REF!</definedName>
    <definedName name="YTD_NCE">#REF!</definedName>
    <definedName name="YTD_Summary">#REF!</definedName>
    <definedName name="YTDACT">#REF!</definedName>
    <definedName name="YTDBUD">#REF!</definedName>
    <definedName name="YTD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6" l="1"/>
  <c r="D9" i="6"/>
  <c r="P31" i="3"/>
  <c r="O31" i="3"/>
  <c r="O30" i="3"/>
  <c r="P30" i="3" s="1"/>
  <c r="C13" i="6" l="1"/>
  <c r="B13" i="6"/>
  <c r="BJ95" i="5"/>
  <c r="BI95" i="5"/>
  <c r="BH95" i="5"/>
  <c r="BJ94" i="5"/>
  <c r="BI94" i="5"/>
  <c r="BH94" i="5"/>
  <c r="BJ93" i="5"/>
  <c r="BI93" i="5"/>
  <c r="BH93" i="5"/>
  <c r="BJ90" i="5"/>
  <c r="BI90" i="5"/>
  <c r="BH90" i="5"/>
  <c r="BJ89" i="5"/>
  <c r="BI89" i="5"/>
  <c r="BH89" i="5"/>
  <c r="BJ88" i="5"/>
  <c r="BI88" i="5"/>
  <c r="BH88" i="5"/>
  <c r="BJ87" i="5"/>
  <c r="BI87" i="5"/>
  <c r="BH87" i="5"/>
  <c r="BJ86" i="5"/>
  <c r="BI86" i="5"/>
  <c r="BH86" i="5"/>
  <c r="BJ85" i="5"/>
  <c r="BI85" i="5"/>
  <c r="BH85" i="5"/>
  <c r="BJ82" i="5"/>
  <c r="BI82" i="5"/>
  <c r="BH82" i="5"/>
  <c r="BJ81" i="5"/>
  <c r="BI81" i="5"/>
  <c r="BH81" i="5"/>
  <c r="BJ78" i="5"/>
  <c r="BI78" i="5"/>
  <c r="BH78" i="5"/>
  <c r="BJ75" i="5"/>
  <c r="BI75" i="5"/>
  <c r="BH75" i="5"/>
  <c r="BJ74" i="5"/>
  <c r="BI74" i="5"/>
  <c r="BH74" i="5"/>
  <c r="BJ71" i="5"/>
  <c r="BI71" i="5"/>
  <c r="BH71" i="5"/>
  <c r="BJ68" i="5"/>
  <c r="BI68" i="5"/>
  <c r="BH68" i="5"/>
  <c r="BJ67" i="5"/>
  <c r="BI67" i="5"/>
  <c r="BH67" i="5"/>
  <c r="BJ66" i="5"/>
  <c r="BI66" i="5"/>
  <c r="BH66" i="5"/>
  <c r="BJ65" i="5"/>
  <c r="BI65" i="5"/>
  <c r="BH65" i="5"/>
  <c r="BJ64" i="5"/>
  <c r="BI64" i="5"/>
  <c r="BH64" i="5"/>
  <c r="BJ63" i="5"/>
  <c r="BI63" i="5"/>
  <c r="BH63" i="5"/>
  <c r="BJ60" i="5"/>
  <c r="BI60" i="5"/>
  <c r="BH60" i="5"/>
  <c r="BJ59" i="5"/>
  <c r="BI59" i="5"/>
  <c r="BH59" i="5"/>
  <c r="BJ58" i="5"/>
  <c r="BI58" i="5"/>
  <c r="BH58" i="5"/>
  <c r="BJ57" i="5"/>
  <c r="BI57" i="5"/>
  <c r="BH57" i="5"/>
  <c r="BJ56" i="5"/>
  <c r="BI56" i="5"/>
  <c r="BH56" i="5"/>
  <c r="BJ55" i="5"/>
  <c r="BI55" i="5"/>
  <c r="BH55" i="5"/>
  <c r="BJ54" i="5"/>
  <c r="BI54" i="5"/>
  <c r="BH54" i="5"/>
  <c r="BJ53" i="5"/>
  <c r="BI53" i="5"/>
  <c r="BH53" i="5"/>
  <c r="BJ52" i="5"/>
  <c r="BI52" i="5"/>
  <c r="BH52" i="5"/>
  <c r="BJ51" i="5"/>
  <c r="BI51" i="5"/>
  <c r="BH51" i="5"/>
  <c r="BJ50" i="5"/>
  <c r="BI50" i="5"/>
  <c r="BH50" i="5"/>
  <c r="BJ49" i="5"/>
  <c r="BI49" i="5"/>
  <c r="BH49" i="5"/>
  <c r="BJ48" i="5"/>
  <c r="BI48" i="5"/>
  <c r="BH48" i="5"/>
  <c r="BJ47" i="5"/>
  <c r="BI47" i="5"/>
  <c r="BH47" i="5"/>
  <c r="BJ46" i="5"/>
  <c r="BI46" i="5"/>
  <c r="BH46" i="5"/>
  <c r="BJ45" i="5"/>
  <c r="BI45" i="5"/>
  <c r="BH45" i="5"/>
  <c r="BJ44" i="5"/>
  <c r="BI44" i="5"/>
  <c r="BH44" i="5"/>
  <c r="BJ43" i="5"/>
  <c r="BI43" i="5"/>
  <c r="BH43" i="5"/>
  <c r="BJ42" i="5"/>
  <c r="BI42" i="5"/>
  <c r="BH42" i="5"/>
  <c r="BJ41" i="5"/>
  <c r="BI41" i="5"/>
  <c r="BH41" i="5"/>
  <c r="BJ40" i="5"/>
  <c r="BI40" i="5"/>
  <c r="BH40" i="5"/>
  <c r="BJ39" i="5"/>
  <c r="BI39" i="5"/>
  <c r="BH39" i="5"/>
  <c r="BJ38" i="5"/>
  <c r="BI38" i="5"/>
  <c r="BH38" i="5"/>
  <c r="BJ37" i="5"/>
  <c r="BI37" i="5"/>
  <c r="BH37" i="5"/>
  <c r="BJ36" i="5"/>
  <c r="BI36" i="5"/>
  <c r="BH36" i="5"/>
  <c r="BJ35" i="5"/>
  <c r="BI35" i="5"/>
  <c r="BH35" i="5"/>
  <c r="BJ34" i="5"/>
  <c r="BI34" i="5"/>
  <c r="BH34" i="5"/>
  <c r="BJ31" i="5"/>
  <c r="BI31" i="5"/>
  <c r="BH31" i="5"/>
  <c r="BJ30" i="5"/>
  <c r="BI30" i="5"/>
  <c r="BH30" i="5"/>
  <c r="BJ29" i="5"/>
  <c r="BI29" i="5"/>
  <c r="BH29" i="5"/>
  <c r="BJ28" i="5"/>
  <c r="BI28" i="5"/>
  <c r="BH28" i="5"/>
  <c r="BJ27" i="5"/>
  <c r="BI27" i="5"/>
  <c r="BH27" i="5"/>
  <c r="BJ26" i="5"/>
  <c r="BI26" i="5"/>
  <c r="BH26" i="5"/>
  <c r="BJ25" i="5"/>
  <c r="BI25" i="5"/>
  <c r="BH25" i="5"/>
  <c r="BJ24" i="5"/>
  <c r="BI24" i="5"/>
  <c r="BH24" i="5"/>
  <c r="BJ23" i="5"/>
  <c r="BI23" i="5"/>
  <c r="BH23" i="5"/>
  <c r="BJ22" i="5"/>
  <c r="BI22" i="5"/>
  <c r="BH22" i="5"/>
  <c r="BJ21" i="5"/>
  <c r="BI21" i="5"/>
  <c r="BH21" i="5"/>
  <c r="BJ20" i="5"/>
  <c r="BI20" i="5"/>
  <c r="BH20" i="5"/>
  <c r="BJ19" i="5"/>
  <c r="BI19" i="5"/>
  <c r="BH19" i="5"/>
  <c r="BJ18" i="5"/>
  <c r="BI18" i="5"/>
  <c r="BH18" i="5"/>
  <c r="BJ17" i="5"/>
  <c r="BI17" i="5"/>
  <c r="BH17" i="5"/>
  <c r="BJ16" i="5"/>
  <c r="BI16" i="5"/>
  <c r="BH16" i="5"/>
  <c r="BJ15" i="5"/>
  <c r="BI15" i="5"/>
  <c r="BH15" i="5"/>
  <c r="BJ14" i="5"/>
  <c r="BI14" i="5"/>
  <c r="BH14" i="5"/>
  <c r="BJ13" i="5"/>
  <c r="BI13" i="5"/>
  <c r="BH13" i="5"/>
  <c r="BJ12" i="5"/>
  <c r="BI12" i="5"/>
  <c r="BH12" i="5"/>
  <c r="BJ11" i="5"/>
  <c r="BI11" i="5"/>
  <c r="BH11" i="5"/>
  <c r="BJ10" i="5"/>
  <c r="BI10" i="5"/>
  <c r="BH10" i="5"/>
  <c r="BJ9" i="5"/>
  <c r="BI9" i="5"/>
  <c r="BH9" i="5"/>
  <c r="BJ8" i="5"/>
  <c r="BI8" i="5"/>
  <c r="BH8" i="5"/>
  <c r="AT175" i="5"/>
  <c r="AS175" i="5"/>
  <c r="AR175" i="5"/>
  <c r="AT174" i="5"/>
  <c r="AS174" i="5"/>
  <c r="AR174" i="5"/>
  <c r="AT171" i="5"/>
  <c r="AS171" i="5"/>
  <c r="AR171" i="5"/>
  <c r="AT170" i="5"/>
  <c r="AS170" i="5"/>
  <c r="AR170" i="5"/>
  <c r="AT167" i="5"/>
  <c r="AS167" i="5"/>
  <c r="AR167" i="5"/>
  <c r="AT166" i="5"/>
  <c r="AS166" i="5"/>
  <c r="AR166" i="5"/>
  <c r="AT163" i="5"/>
  <c r="AS163" i="5"/>
  <c r="AR163" i="5"/>
  <c r="AT160" i="5"/>
  <c r="AS160" i="5"/>
  <c r="AR160" i="5"/>
  <c r="AT159" i="5"/>
  <c r="AS159" i="5"/>
  <c r="AR159" i="5"/>
  <c r="AT158" i="5"/>
  <c r="AS158" i="5"/>
  <c r="AR158" i="5"/>
  <c r="AT157" i="5"/>
  <c r="AS157" i="5"/>
  <c r="AR157" i="5"/>
  <c r="AT156" i="5"/>
  <c r="AS156" i="5"/>
  <c r="AR156" i="5"/>
  <c r="AT155" i="5"/>
  <c r="AS155" i="5"/>
  <c r="AR155" i="5"/>
  <c r="AT154" i="5"/>
  <c r="AS154" i="5"/>
  <c r="AR154" i="5"/>
  <c r="AT151" i="5"/>
  <c r="AS151" i="5"/>
  <c r="AR151" i="5"/>
  <c r="AT150" i="5"/>
  <c r="AS150" i="5"/>
  <c r="AR150" i="5"/>
  <c r="AT149" i="5"/>
  <c r="AS149" i="5"/>
  <c r="AR149" i="5"/>
  <c r="AT148" i="5"/>
  <c r="AS148" i="5"/>
  <c r="AR148" i="5"/>
  <c r="AT147" i="5"/>
  <c r="AS147" i="5"/>
  <c r="AR147" i="5"/>
  <c r="AT144" i="5"/>
  <c r="AS144" i="5"/>
  <c r="AR144" i="5"/>
  <c r="AT143" i="5"/>
  <c r="AS143" i="5"/>
  <c r="AR143" i="5"/>
  <c r="AT142" i="5"/>
  <c r="AS142" i="5"/>
  <c r="AR142" i="5"/>
  <c r="AT141" i="5"/>
  <c r="AS141" i="5"/>
  <c r="AR141" i="5"/>
  <c r="AT140" i="5"/>
  <c r="AS140" i="5"/>
  <c r="AR140" i="5"/>
  <c r="AT137" i="5"/>
  <c r="AS137" i="5"/>
  <c r="AR137" i="5"/>
  <c r="AT136" i="5"/>
  <c r="AS136" i="5"/>
  <c r="AR136" i="5"/>
  <c r="AT135" i="5"/>
  <c r="AS135" i="5"/>
  <c r="AR135" i="5"/>
  <c r="AT134" i="5"/>
  <c r="AS134" i="5"/>
  <c r="AR134" i="5"/>
  <c r="AT133" i="5"/>
  <c r="AS133" i="5"/>
  <c r="AR133" i="5"/>
  <c r="AT132" i="5"/>
  <c r="AS132" i="5"/>
  <c r="AR132" i="5"/>
  <c r="AT131" i="5"/>
  <c r="AS131" i="5"/>
  <c r="AR131" i="5"/>
  <c r="AT128" i="5"/>
  <c r="AS128" i="5"/>
  <c r="AR128" i="5"/>
  <c r="AT127" i="5"/>
  <c r="AS127" i="5"/>
  <c r="AR127" i="5"/>
  <c r="AT126" i="5"/>
  <c r="AS126" i="5"/>
  <c r="AR126" i="5"/>
  <c r="AT125" i="5"/>
  <c r="AS125" i="5"/>
  <c r="AR125" i="5"/>
  <c r="AT124" i="5"/>
  <c r="AS124" i="5"/>
  <c r="AR124" i="5"/>
  <c r="AT123" i="5"/>
  <c r="AS123" i="5"/>
  <c r="AR123" i="5"/>
  <c r="AT122" i="5"/>
  <c r="AS122" i="5"/>
  <c r="AR122" i="5"/>
  <c r="AT121" i="5"/>
  <c r="AS121" i="5"/>
  <c r="AR121" i="5"/>
  <c r="AT120" i="5"/>
  <c r="AS120" i="5"/>
  <c r="AR120" i="5"/>
  <c r="AT119" i="5"/>
  <c r="AS119" i="5"/>
  <c r="AR119" i="5"/>
  <c r="AT118" i="5"/>
  <c r="AS118" i="5"/>
  <c r="AR118" i="5"/>
  <c r="AT117" i="5"/>
  <c r="AS117" i="5"/>
  <c r="AR117" i="5"/>
  <c r="AT116" i="5"/>
  <c r="AS116" i="5"/>
  <c r="AR116" i="5"/>
  <c r="AT115" i="5"/>
  <c r="AS115" i="5"/>
  <c r="AR115" i="5"/>
  <c r="AT114" i="5"/>
  <c r="AS114" i="5"/>
  <c r="AR114" i="5"/>
  <c r="AT113" i="5"/>
  <c r="AS113" i="5"/>
  <c r="AR113" i="5"/>
  <c r="AT112" i="5"/>
  <c r="AS112" i="5"/>
  <c r="AR112" i="5"/>
  <c r="AT111" i="5"/>
  <c r="AS111" i="5"/>
  <c r="AR111" i="5"/>
  <c r="AT110" i="5"/>
  <c r="AS110" i="5"/>
  <c r="AR110" i="5"/>
  <c r="BF95" i="5"/>
  <c r="BE95" i="5"/>
  <c r="BD95" i="5"/>
  <c r="BF94" i="5"/>
  <c r="BE94" i="5"/>
  <c r="BD94" i="5"/>
  <c r="BF93" i="5"/>
  <c r="BE93" i="5"/>
  <c r="BD93" i="5"/>
  <c r="BF90" i="5"/>
  <c r="BE90" i="5"/>
  <c r="BD90" i="5"/>
  <c r="BF89" i="5"/>
  <c r="BE89" i="5"/>
  <c r="BD89" i="5"/>
  <c r="BF88" i="5"/>
  <c r="BE88" i="5"/>
  <c r="BD88" i="5"/>
  <c r="BF87" i="5"/>
  <c r="BE87" i="5"/>
  <c r="BD87" i="5"/>
  <c r="BF86" i="5"/>
  <c r="BE86" i="5"/>
  <c r="BD86" i="5"/>
  <c r="BF85" i="5"/>
  <c r="BE85" i="5"/>
  <c r="BD85" i="5"/>
  <c r="BF82" i="5"/>
  <c r="BE82" i="5"/>
  <c r="BD82" i="5"/>
  <c r="BF81" i="5"/>
  <c r="BE81" i="5"/>
  <c r="BD81" i="5"/>
  <c r="BF78" i="5"/>
  <c r="BE78" i="5"/>
  <c r="BD78" i="5"/>
  <c r="BF75" i="5"/>
  <c r="BE75" i="5"/>
  <c r="BD75" i="5"/>
  <c r="BF74" i="5"/>
  <c r="BE74" i="5"/>
  <c r="BD74" i="5"/>
  <c r="BF71" i="5"/>
  <c r="BE71" i="5"/>
  <c r="BD71" i="5"/>
  <c r="BF68" i="5"/>
  <c r="BE68" i="5"/>
  <c r="BD68" i="5"/>
  <c r="BF67" i="5"/>
  <c r="BE67" i="5"/>
  <c r="BD67" i="5"/>
  <c r="BF66" i="5"/>
  <c r="BE66" i="5"/>
  <c r="BD66" i="5"/>
  <c r="BF65" i="5"/>
  <c r="BE65" i="5"/>
  <c r="BD65" i="5"/>
  <c r="BF64" i="5"/>
  <c r="BE64" i="5"/>
  <c r="BD64" i="5"/>
  <c r="BF63" i="5"/>
  <c r="BE63" i="5"/>
  <c r="BD63" i="5"/>
  <c r="BF60" i="5"/>
  <c r="BE60" i="5"/>
  <c r="BD60" i="5"/>
  <c r="BF59" i="5"/>
  <c r="BE59" i="5"/>
  <c r="BD59" i="5"/>
  <c r="BF58" i="5"/>
  <c r="BE58" i="5"/>
  <c r="BD58" i="5"/>
  <c r="BF57" i="5"/>
  <c r="BE57" i="5"/>
  <c r="BD57" i="5"/>
  <c r="BF56" i="5"/>
  <c r="BE56" i="5"/>
  <c r="BD56" i="5"/>
  <c r="BF55" i="5"/>
  <c r="BE55" i="5"/>
  <c r="BD55" i="5"/>
  <c r="BF54" i="5"/>
  <c r="BE54" i="5"/>
  <c r="BD54" i="5"/>
  <c r="BF53" i="5"/>
  <c r="BE53" i="5"/>
  <c r="BD53" i="5"/>
  <c r="BF52" i="5"/>
  <c r="BE52" i="5"/>
  <c r="BD52" i="5"/>
  <c r="BF51" i="5"/>
  <c r="BE51" i="5"/>
  <c r="BD51" i="5"/>
  <c r="BF50" i="5"/>
  <c r="BE50" i="5"/>
  <c r="BD50" i="5"/>
  <c r="BF49" i="5"/>
  <c r="BE49" i="5"/>
  <c r="BD49" i="5"/>
  <c r="BF48" i="5"/>
  <c r="BE48" i="5"/>
  <c r="BD48" i="5"/>
  <c r="BF47" i="5"/>
  <c r="BE47" i="5"/>
  <c r="BD47" i="5"/>
  <c r="BF46" i="5"/>
  <c r="BE46" i="5"/>
  <c r="BD46" i="5"/>
  <c r="BF45" i="5"/>
  <c r="BE45" i="5"/>
  <c r="BD45" i="5"/>
  <c r="BF44" i="5"/>
  <c r="BE44" i="5"/>
  <c r="BD44" i="5"/>
  <c r="BF43" i="5"/>
  <c r="BE43" i="5"/>
  <c r="BD43" i="5"/>
  <c r="BF42" i="5"/>
  <c r="BE42" i="5"/>
  <c r="BD42" i="5"/>
  <c r="BF41" i="5"/>
  <c r="BE41" i="5"/>
  <c r="BD41" i="5"/>
  <c r="BF40" i="5"/>
  <c r="BE40" i="5"/>
  <c r="BD40" i="5"/>
  <c r="BF39" i="5"/>
  <c r="BE39" i="5"/>
  <c r="BD39" i="5"/>
  <c r="BF38" i="5"/>
  <c r="BE38" i="5"/>
  <c r="BD38" i="5"/>
  <c r="BF37" i="5"/>
  <c r="BE37" i="5"/>
  <c r="BD37" i="5"/>
  <c r="BF36" i="5"/>
  <c r="BE36" i="5"/>
  <c r="BD36" i="5"/>
  <c r="BF35" i="5"/>
  <c r="BE35" i="5"/>
  <c r="BD35" i="5"/>
  <c r="BF34" i="5"/>
  <c r="BE34" i="5"/>
  <c r="BD34" i="5"/>
  <c r="BF31" i="5"/>
  <c r="BE31" i="5"/>
  <c r="BD31" i="5"/>
  <c r="BF30" i="5"/>
  <c r="BE30" i="5"/>
  <c r="BD30" i="5"/>
  <c r="BF29" i="5"/>
  <c r="BE29" i="5"/>
  <c r="BD29" i="5"/>
  <c r="BF28" i="5"/>
  <c r="BE28" i="5"/>
  <c r="BD28" i="5"/>
  <c r="BF27" i="5"/>
  <c r="BE27" i="5"/>
  <c r="BD27" i="5"/>
  <c r="BF26" i="5"/>
  <c r="BE26" i="5"/>
  <c r="BD26" i="5"/>
  <c r="BF25" i="5"/>
  <c r="BE25" i="5"/>
  <c r="BD25" i="5"/>
  <c r="BF24" i="5"/>
  <c r="BE24" i="5"/>
  <c r="BD24" i="5"/>
  <c r="BF23" i="5"/>
  <c r="BE23" i="5"/>
  <c r="BD23" i="5"/>
  <c r="BF22" i="5"/>
  <c r="BE22" i="5"/>
  <c r="BD22" i="5"/>
  <c r="BF21" i="5"/>
  <c r="BE21" i="5"/>
  <c r="BD21" i="5"/>
  <c r="BF20" i="5"/>
  <c r="BE20" i="5"/>
  <c r="BD20" i="5"/>
  <c r="BF19" i="5"/>
  <c r="BE19" i="5"/>
  <c r="BD19" i="5"/>
  <c r="BF18" i="5"/>
  <c r="BE18" i="5"/>
  <c r="BD18" i="5"/>
  <c r="BF17" i="5"/>
  <c r="BE17" i="5"/>
  <c r="BD17" i="5"/>
  <c r="BF16" i="5"/>
  <c r="BE16" i="5"/>
  <c r="BD16" i="5"/>
  <c r="BF15" i="5"/>
  <c r="BE15" i="5"/>
  <c r="BD15" i="5"/>
  <c r="BF14" i="5"/>
  <c r="BE14" i="5"/>
  <c r="BD14" i="5"/>
  <c r="BF13" i="5"/>
  <c r="BE13" i="5"/>
  <c r="BD13" i="5"/>
  <c r="BF12" i="5"/>
  <c r="BE12" i="5"/>
  <c r="BD12" i="5"/>
  <c r="BF11" i="5"/>
  <c r="BE11" i="5"/>
  <c r="BD11" i="5"/>
  <c r="BF10" i="5"/>
  <c r="BE10" i="5"/>
  <c r="BD10" i="5"/>
  <c r="BF9" i="5"/>
  <c r="BE9" i="5"/>
  <c r="BD9" i="5"/>
  <c r="BF8" i="5"/>
  <c r="BE8" i="5"/>
  <c r="BD8" i="5"/>
  <c r="BE7" i="5"/>
  <c r="BF7" i="5"/>
  <c r="BD7" i="5"/>
  <c r="K449" i="1"/>
  <c r="M449" i="1"/>
  <c r="D12" i="6"/>
  <c r="D8" i="6"/>
  <c r="D11" i="6"/>
  <c r="H11" i="6" s="1"/>
  <c r="D7" i="6"/>
  <c r="H7" i="6" s="1"/>
  <c r="AL100" i="5"/>
  <c r="X100" i="5"/>
  <c r="AP100" i="5" l="1"/>
  <c r="AO100" i="5"/>
  <c r="AM100" i="5"/>
  <c r="AF100" i="5"/>
  <c r="AE100" i="5"/>
  <c r="AC100" i="5"/>
  <c r="AB100" i="5"/>
  <c r="AA100" i="5"/>
  <c r="AD100" i="5" s="1"/>
  <c r="Y100" i="5"/>
  <c r="AJ31" i="5"/>
  <c r="AK31" i="5"/>
  <c r="AL31" i="5"/>
  <c r="AN7" i="5"/>
  <c r="AJ7" i="5"/>
  <c r="AR7" i="5" s="1"/>
  <c r="AJ137" i="5"/>
  <c r="AJ136" i="5"/>
  <c r="AJ135" i="5"/>
  <c r="AJ134" i="5"/>
  <c r="AJ133" i="5"/>
  <c r="AJ132" i="5"/>
  <c r="AJ131" i="5"/>
  <c r="AJ128" i="5"/>
  <c r="AJ127" i="5"/>
  <c r="AJ126" i="5"/>
  <c r="AJ125" i="5"/>
  <c r="AJ124" i="5"/>
  <c r="AJ123" i="5"/>
  <c r="AJ122" i="5"/>
  <c r="AJ121" i="5"/>
  <c r="AJ120" i="5"/>
  <c r="AJ119" i="5"/>
  <c r="AJ118" i="5"/>
  <c r="AJ117" i="5"/>
  <c r="AJ116" i="5"/>
  <c r="AJ115" i="5"/>
  <c r="AJ114" i="5"/>
  <c r="AJ113" i="5"/>
  <c r="AJ112" i="5"/>
  <c r="AJ111" i="5"/>
  <c r="AJ110" i="5"/>
  <c r="AJ109" i="5"/>
  <c r="AN60" i="5"/>
  <c r="AN59" i="5"/>
  <c r="AN58" i="5"/>
  <c r="AN57" i="5"/>
  <c r="AN56" i="5"/>
  <c r="AN45" i="5"/>
  <c r="AN44" i="5"/>
  <c r="AN39" i="5"/>
  <c r="AN36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C95" i="5"/>
  <c r="AF95" i="5" s="1"/>
  <c r="AB95" i="5"/>
  <c r="AE95" i="5" s="1"/>
  <c r="AC94" i="5"/>
  <c r="AF94" i="5" s="1"/>
  <c r="AB94" i="5"/>
  <c r="AE94" i="5" s="1"/>
  <c r="AC93" i="5"/>
  <c r="AF93" i="5" s="1"/>
  <c r="AB93" i="5"/>
  <c r="AC90" i="5"/>
  <c r="AF90" i="5" s="1"/>
  <c r="AB90" i="5"/>
  <c r="AE90" i="5" s="1"/>
  <c r="AC89" i="5"/>
  <c r="AF89" i="5" s="1"/>
  <c r="AB89" i="5"/>
  <c r="AE89" i="5" s="1"/>
  <c r="AC88" i="5"/>
  <c r="AF88" i="5" s="1"/>
  <c r="AB88" i="5"/>
  <c r="AE88" i="5" s="1"/>
  <c r="AC87" i="5"/>
  <c r="AF87" i="5" s="1"/>
  <c r="AB87" i="5"/>
  <c r="AE87" i="5" s="1"/>
  <c r="AC86" i="5"/>
  <c r="AF86" i="5" s="1"/>
  <c r="AB86" i="5"/>
  <c r="AC85" i="5"/>
  <c r="AF85" i="5" s="1"/>
  <c r="AB85" i="5"/>
  <c r="AE85" i="5" s="1"/>
  <c r="AC82" i="5"/>
  <c r="AF82" i="5" s="1"/>
  <c r="AB82" i="5"/>
  <c r="AE82" i="5" s="1"/>
  <c r="AC81" i="5"/>
  <c r="AF81" i="5" s="1"/>
  <c r="AB81" i="5"/>
  <c r="AE81" i="5" s="1"/>
  <c r="AC78" i="5"/>
  <c r="AF78" i="5" s="1"/>
  <c r="AB78" i="5"/>
  <c r="AB79" i="5" s="1"/>
  <c r="AC75" i="5"/>
  <c r="AF75" i="5" s="1"/>
  <c r="AB75" i="5"/>
  <c r="AE75" i="5" s="1"/>
  <c r="AC74" i="5"/>
  <c r="AF74" i="5" s="1"/>
  <c r="AB74" i="5"/>
  <c r="AE74" i="5" s="1"/>
  <c r="AC71" i="5"/>
  <c r="AF71" i="5" s="1"/>
  <c r="AB71" i="5"/>
  <c r="AB72" i="5" s="1"/>
  <c r="AC68" i="5"/>
  <c r="AF68" i="5" s="1"/>
  <c r="AB68" i="5"/>
  <c r="AE68" i="5" s="1"/>
  <c r="AC67" i="5"/>
  <c r="AF67" i="5" s="1"/>
  <c r="AB67" i="5"/>
  <c r="AE67" i="5" s="1"/>
  <c r="AC66" i="5"/>
  <c r="AF66" i="5" s="1"/>
  <c r="AB66" i="5"/>
  <c r="AE66" i="5" s="1"/>
  <c r="AC65" i="5"/>
  <c r="AF65" i="5" s="1"/>
  <c r="AC64" i="5"/>
  <c r="AF64" i="5" s="1"/>
  <c r="AB64" i="5"/>
  <c r="AE64" i="5" s="1"/>
  <c r="AC63" i="5"/>
  <c r="AF63" i="5" s="1"/>
  <c r="AC60" i="5"/>
  <c r="AF60" i="5" s="1"/>
  <c r="AB60" i="5"/>
  <c r="AE60" i="5" s="1"/>
  <c r="AC59" i="5"/>
  <c r="AF59" i="5" s="1"/>
  <c r="AB59" i="5"/>
  <c r="AE59" i="5" s="1"/>
  <c r="AC58" i="5"/>
  <c r="AF58" i="5" s="1"/>
  <c r="AB58" i="5"/>
  <c r="AE58" i="5" s="1"/>
  <c r="AC57" i="5"/>
  <c r="AF57" i="5" s="1"/>
  <c r="AB57" i="5"/>
  <c r="AE57" i="5" s="1"/>
  <c r="AC56" i="5"/>
  <c r="AF56" i="5" s="1"/>
  <c r="AB56" i="5"/>
  <c r="AE56" i="5" s="1"/>
  <c r="AC55" i="5"/>
  <c r="AF55" i="5" s="1"/>
  <c r="AB55" i="5"/>
  <c r="AE55" i="5" s="1"/>
  <c r="AC54" i="5"/>
  <c r="AF54" i="5" s="1"/>
  <c r="AB54" i="5"/>
  <c r="AE54" i="5" s="1"/>
  <c r="AC53" i="5"/>
  <c r="AF53" i="5" s="1"/>
  <c r="AB53" i="5"/>
  <c r="AE53" i="5" s="1"/>
  <c r="AC52" i="5"/>
  <c r="AF52" i="5" s="1"/>
  <c r="AB52" i="5"/>
  <c r="AE52" i="5" s="1"/>
  <c r="AC51" i="5"/>
  <c r="AF51" i="5" s="1"/>
  <c r="AB51" i="5"/>
  <c r="AE51" i="5" s="1"/>
  <c r="AC50" i="5"/>
  <c r="AF50" i="5" s="1"/>
  <c r="AB50" i="5"/>
  <c r="AE50" i="5" s="1"/>
  <c r="AC49" i="5"/>
  <c r="AF49" i="5" s="1"/>
  <c r="AB49" i="5"/>
  <c r="AE49" i="5" s="1"/>
  <c r="AC48" i="5"/>
  <c r="AF48" i="5" s="1"/>
  <c r="AB48" i="5"/>
  <c r="AE48" i="5" s="1"/>
  <c r="AC47" i="5"/>
  <c r="AF47" i="5" s="1"/>
  <c r="AB47" i="5"/>
  <c r="AE47" i="5" s="1"/>
  <c r="AC46" i="5"/>
  <c r="AF46" i="5" s="1"/>
  <c r="AB46" i="5"/>
  <c r="AE46" i="5" s="1"/>
  <c r="AC45" i="5"/>
  <c r="AF45" i="5" s="1"/>
  <c r="AB45" i="5"/>
  <c r="AE45" i="5" s="1"/>
  <c r="AC44" i="5"/>
  <c r="AF44" i="5" s="1"/>
  <c r="AB44" i="5"/>
  <c r="AE44" i="5" s="1"/>
  <c r="AC43" i="5"/>
  <c r="AF43" i="5" s="1"/>
  <c r="AB43" i="5"/>
  <c r="AE43" i="5" s="1"/>
  <c r="AC42" i="5"/>
  <c r="AF42" i="5" s="1"/>
  <c r="AB42" i="5"/>
  <c r="AE42" i="5" s="1"/>
  <c r="AC41" i="5"/>
  <c r="AF41" i="5" s="1"/>
  <c r="AB41" i="5"/>
  <c r="AE41" i="5" s="1"/>
  <c r="AC40" i="5"/>
  <c r="AF40" i="5" s="1"/>
  <c r="AB40" i="5"/>
  <c r="AE40" i="5" s="1"/>
  <c r="AC39" i="5"/>
  <c r="AF39" i="5" s="1"/>
  <c r="AB39" i="5"/>
  <c r="AE39" i="5" s="1"/>
  <c r="AC38" i="5"/>
  <c r="AF38" i="5" s="1"/>
  <c r="AB38" i="5"/>
  <c r="AE38" i="5" s="1"/>
  <c r="AC37" i="5"/>
  <c r="AF37" i="5" s="1"/>
  <c r="AB37" i="5"/>
  <c r="AE37" i="5" s="1"/>
  <c r="AC36" i="5"/>
  <c r="AF36" i="5" s="1"/>
  <c r="AB36" i="5"/>
  <c r="AE36" i="5" s="1"/>
  <c r="AC35" i="5"/>
  <c r="AF35" i="5" s="1"/>
  <c r="AB35" i="5"/>
  <c r="AE35" i="5" s="1"/>
  <c r="AC34" i="5"/>
  <c r="AF34" i="5" s="1"/>
  <c r="AB34" i="5"/>
  <c r="AE34" i="5" s="1"/>
  <c r="AC31" i="5"/>
  <c r="AF31" i="5" s="1"/>
  <c r="AB31" i="5"/>
  <c r="AE31" i="5" s="1"/>
  <c r="AC30" i="5"/>
  <c r="AF30" i="5" s="1"/>
  <c r="AB30" i="5"/>
  <c r="AC29" i="5"/>
  <c r="AF29" i="5" s="1"/>
  <c r="AB29" i="5"/>
  <c r="AE29" i="5" s="1"/>
  <c r="AC28" i="5"/>
  <c r="AF28" i="5" s="1"/>
  <c r="AB28" i="5"/>
  <c r="AE28" i="5" s="1"/>
  <c r="AC27" i="5"/>
  <c r="AF27" i="5" s="1"/>
  <c r="AB27" i="5"/>
  <c r="AE27" i="5" s="1"/>
  <c r="AC26" i="5"/>
  <c r="AF26" i="5" s="1"/>
  <c r="AB26" i="5"/>
  <c r="AE26" i="5" s="1"/>
  <c r="AC25" i="5"/>
  <c r="AF25" i="5" s="1"/>
  <c r="AB25" i="5"/>
  <c r="AE25" i="5" s="1"/>
  <c r="AC24" i="5"/>
  <c r="AF24" i="5" s="1"/>
  <c r="AB24" i="5"/>
  <c r="AE24" i="5" s="1"/>
  <c r="AC23" i="5"/>
  <c r="AF23" i="5" s="1"/>
  <c r="AB23" i="5"/>
  <c r="AE23" i="5" s="1"/>
  <c r="AC22" i="5"/>
  <c r="AF22" i="5" s="1"/>
  <c r="AB22" i="5"/>
  <c r="AE22" i="5" s="1"/>
  <c r="AC21" i="5"/>
  <c r="AF21" i="5" s="1"/>
  <c r="AB21" i="5"/>
  <c r="AE21" i="5" s="1"/>
  <c r="AC20" i="5"/>
  <c r="AF20" i="5" s="1"/>
  <c r="AB20" i="5"/>
  <c r="AE20" i="5" s="1"/>
  <c r="AC19" i="5"/>
  <c r="AF19" i="5" s="1"/>
  <c r="AB19" i="5"/>
  <c r="AE19" i="5" s="1"/>
  <c r="AC18" i="5"/>
  <c r="AF18" i="5" s="1"/>
  <c r="AB18" i="5"/>
  <c r="AE18" i="5" s="1"/>
  <c r="AC17" i="5"/>
  <c r="AF17" i="5" s="1"/>
  <c r="AB17" i="5"/>
  <c r="AE17" i="5" s="1"/>
  <c r="AC16" i="5"/>
  <c r="AF16" i="5" s="1"/>
  <c r="AB16" i="5"/>
  <c r="AE16" i="5" s="1"/>
  <c r="AC15" i="5"/>
  <c r="AF15" i="5" s="1"/>
  <c r="AB15" i="5"/>
  <c r="AE15" i="5" s="1"/>
  <c r="AC14" i="5"/>
  <c r="AF14" i="5" s="1"/>
  <c r="AB14" i="5"/>
  <c r="AE14" i="5" s="1"/>
  <c r="AC13" i="5"/>
  <c r="AF13" i="5" s="1"/>
  <c r="AB13" i="5"/>
  <c r="AE13" i="5" s="1"/>
  <c r="AC12" i="5"/>
  <c r="AF12" i="5" s="1"/>
  <c r="AB12" i="5"/>
  <c r="AE12" i="5" s="1"/>
  <c r="AC11" i="5"/>
  <c r="AF11" i="5" s="1"/>
  <c r="AB11" i="5"/>
  <c r="AE11" i="5" s="1"/>
  <c r="AC10" i="5"/>
  <c r="AF10" i="5" s="1"/>
  <c r="AB10" i="5"/>
  <c r="AE10" i="5" s="1"/>
  <c r="AC9" i="5"/>
  <c r="AF9" i="5" s="1"/>
  <c r="AB9" i="5"/>
  <c r="AE9" i="5" s="1"/>
  <c r="AC8" i="5"/>
  <c r="AF8" i="5" s="1"/>
  <c r="AB8" i="5"/>
  <c r="AE8" i="5" s="1"/>
  <c r="AC7" i="5"/>
  <c r="AF7" i="5" s="1"/>
  <c r="AB7" i="5"/>
  <c r="AE7" i="5" s="1"/>
  <c r="AB175" i="5"/>
  <c r="AB174" i="5"/>
  <c r="AB171" i="5"/>
  <c r="AB170" i="5"/>
  <c r="AB167" i="5"/>
  <c r="AB166" i="5"/>
  <c r="AB163" i="5"/>
  <c r="AB164" i="5" s="1"/>
  <c r="AB160" i="5"/>
  <c r="AB159" i="5"/>
  <c r="AB158" i="5"/>
  <c r="AB157" i="5"/>
  <c r="AB156" i="5"/>
  <c r="AB155" i="5"/>
  <c r="AB154" i="5"/>
  <c r="AB151" i="5"/>
  <c r="AB150" i="5"/>
  <c r="AB149" i="5"/>
  <c r="AB148" i="5"/>
  <c r="AB147" i="5"/>
  <c r="AB144" i="5"/>
  <c r="AB143" i="5"/>
  <c r="AB142" i="5"/>
  <c r="AB141" i="5"/>
  <c r="AB140" i="5"/>
  <c r="AB137" i="5"/>
  <c r="AB136" i="5"/>
  <c r="AB135" i="5"/>
  <c r="AB134" i="5"/>
  <c r="AB133" i="5"/>
  <c r="AB132" i="5"/>
  <c r="AB131" i="5"/>
  <c r="AB128" i="5"/>
  <c r="AB127" i="5"/>
  <c r="AB126" i="5"/>
  <c r="AB125" i="5"/>
  <c r="AB124" i="5"/>
  <c r="AB123" i="5"/>
  <c r="AB122" i="5"/>
  <c r="AB121" i="5"/>
  <c r="AB120" i="5"/>
  <c r="AB119" i="5"/>
  <c r="AB118" i="5"/>
  <c r="AB117" i="5"/>
  <c r="AB116" i="5"/>
  <c r="AB115" i="5"/>
  <c r="AB114" i="5"/>
  <c r="AB113" i="5"/>
  <c r="AB112" i="5"/>
  <c r="AB111" i="5"/>
  <c r="AB110" i="5"/>
  <c r="AB109" i="5"/>
  <c r="AL95" i="5"/>
  <c r="AK95" i="5"/>
  <c r="AJ95" i="5"/>
  <c r="AL94" i="5"/>
  <c r="AK94" i="5"/>
  <c r="AJ94" i="5"/>
  <c r="AL93" i="5"/>
  <c r="AK93" i="5"/>
  <c r="AJ93" i="5"/>
  <c r="AL90" i="5"/>
  <c r="AK90" i="5"/>
  <c r="AJ90" i="5"/>
  <c r="AL89" i="5"/>
  <c r="AK89" i="5"/>
  <c r="AJ89" i="5"/>
  <c r="AL88" i="5"/>
  <c r="AK88" i="5"/>
  <c r="AJ88" i="5"/>
  <c r="AL87" i="5"/>
  <c r="AK87" i="5"/>
  <c r="AS87" i="5" s="1"/>
  <c r="AJ87" i="5"/>
  <c r="AL86" i="5"/>
  <c r="AK86" i="5"/>
  <c r="AJ86" i="5"/>
  <c r="AL85" i="5"/>
  <c r="AK85" i="5"/>
  <c r="AJ85" i="5"/>
  <c r="AL82" i="5"/>
  <c r="AK82" i="5"/>
  <c r="AJ82" i="5"/>
  <c r="AL81" i="5"/>
  <c r="AK81" i="5"/>
  <c r="AJ81" i="5"/>
  <c r="AL78" i="5"/>
  <c r="AK78" i="5"/>
  <c r="AJ78" i="5"/>
  <c r="AL75" i="5"/>
  <c r="AK75" i="5"/>
  <c r="AJ75" i="5"/>
  <c r="AL74" i="5"/>
  <c r="AK74" i="5"/>
  <c r="AJ74" i="5"/>
  <c r="AL71" i="5"/>
  <c r="AK71" i="5"/>
  <c r="AJ71" i="5"/>
  <c r="AL68" i="5"/>
  <c r="AK68" i="5"/>
  <c r="AJ68" i="5"/>
  <c r="AL67" i="5"/>
  <c r="AK67" i="5"/>
  <c r="AJ67" i="5"/>
  <c r="AR67" i="5" s="1"/>
  <c r="AL66" i="5"/>
  <c r="AK66" i="5"/>
  <c r="AJ66" i="5"/>
  <c r="AJ65" i="5"/>
  <c r="AL64" i="5"/>
  <c r="AK64" i="5"/>
  <c r="AS64" i="5" s="1"/>
  <c r="AJ64" i="5"/>
  <c r="AJ63" i="5"/>
  <c r="AL60" i="5"/>
  <c r="AK60" i="5"/>
  <c r="AJ60" i="5"/>
  <c r="AL59" i="5"/>
  <c r="AT59" i="5" s="1"/>
  <c r="AK59" i="5"/>
  <c r="AJ59" i="5"/>
  <c r="AL58" i="5"/>
  <c r="AK58" i="5"/>
  <c r="AJ58" i="5"/>
  <c r="AL57" i="5"/>
  <c r="AK57" i="5"/>
  <c r="AJ57" i="5"/>
  <c r="AR57" i="5" s="1"/>
  <c r="AL56" i="5"/>
  <c r="AK56" i="5"/>
  <c r="AJ56" i="5"/>
  <c r="AL55" i="5"/>
  <c r="AK55" i="5"/>
  <c r="AJ55" i="5"/>
  <c r="AL54" i="5"/>
  <c r="AK54" i="5"/>
  <c r="AS54" i="5" s="1"/>
  <c r="AJ54" i="5"/>
  <c r="AL53" i="5"/>
  <c r="AK53" i="5"/>
  <c r="AJ53" i="5"/>
  <c r="AL52" i="5"/>
  <c r="AK52" i="5"/>
  <c r="AJ52" i="5"/>
  <c r="AL51" i="5"/>
  <c r="AT51" i="5" s="1"/>
  <c r="AK51" i="5"/>
  <c r="AJ51" i="5"/>
  <c r="AL50" i="5"/>
  <c r="AK50" i="5"/>
  <c r="AJ50" i="5"/>
  <c r="AL49" i="5"/>
  <c r="AK49" i="5"/>
  <c r="AJ49" i="5"/>
  <c r="AR49" i="5" s="1"/>
  <c r="AL48" i="5"/>
  <c r="AK48" i="5"/>
  <c r="AJ48" i="5"/>
  <c r="AL47" i="5"/>
  <c r="AK47" i="5"/>
  <c r="AJ47" i="5"/>
  <c r="AL46" i="5"/>
  <c r="AK46" i="5"/>
  <c r="AS46" i="5" s="1"/>
  <c r="AJ46" i="5"/>
  <c r="AL45" i="5"/>
  <c r="AK45" i="5"/>
  <c r="AJ45" i="5"/>
  <c r="AL44" i="5"/>
  <c r="AK44" i="5"/>
  <c r="AJ44" i="5"/>
  <c r="AL43" i="5"/>
  <c r="AT43" i="5" s="1"/>
  <c r="AK43" i="5"/>
  <c r="AJ43" i="5"/>
  <c r="AL42" i="5"/>
  <c r="AK42" i="5"/>
  <c r="AJ42" i="5"/>
  <c r="AL41" i="5"/>
  <c r="AK41" i="5"/>
  <c r="AJ41" i="5"/>
  <c r="AR41" i="5" s="1"/>
  <c r="AL40" i="5"/>
  <c r="AK40" i="5"/>
  <c r="AJ40" i="5"/>
  <c r="AL39" i="5"/>
  <c r="AK39" i="5"/>
  <c r="AJ39" i="5"/>
  <c r="AL38" i="5"/>
  <c r="AK38" i="5"/>
  <c r="AS38" i="5" s="1"/>
  <c r="AJ38" i="5"/>
  <c r="AL37" i="5"/>
  <c r="AK37" i="5"/>
  <c r="AJ37" i="5"/>
  <c r="AL36" i="5"/>
  <c r="AK36" i="5"/>
  <c r="AJ36" i="5"/>
  <c r="AL35" i="5"/>
  <c r="AT35" i="5" s="1"/>
  <c r="AK35" i="5"/>
  <c r="AJ35" i="5"/>
  <c r="AL34" i="5"/>
  <c r="AK34" i="5"/>
  <c r="AJ34" i="5"/>
  <c r="AJ8" i="5"/>
  <c r="AK8" i="5"/>
  <c r="AL8" i="5"/>
  <c r="AJ9" i="5"/>
  <c r="AK9" i="5"/>
  <c r="AL9" i="5"/>
  <c r="AT9" i="5" s="1"/>
  <c r="AJ10" i="5"/>
  <c r="AK10" i="5"/>
  <c r="AL10" i="5"/>
  <c r="AJ11" i="5"/>
  <c r="AK11" i="5"/>
  <c r="AL11" i="5"/>
  <c r="AJ12" i="5"/>
  <c r="AK12" i="5"/>
  <c r="AS12" i="5" s="1"/>
  <c r="AL12" i="5"/>
  <c r="AJ13" i="5"/>
  <c r="AK13" i="5"/>
  <c r="AL13" i="5"/>
  <c r="AJ14" i="5"/>
  <c r="AK14" i="5"/>
  <c r="AL14" i="5"/>
  <c r="AJ15" i="5"/>
  <c r="AR15" i="5" s="1"/>
  <c r="AK15" i="5"/>
  <c r="AL15" i="5"/>
  <c r="AJ16" i="5"/>
  <c r="AK16" i="5"/>
  <c r="AL16" i="5"/>
  <c r="AJ17" i="5"/>
  <c r="AK17" i="5"/>
  <c r="AL17" i="5"/>
  <c r="AT17" i="5" s="1"/>
  <c r="AJ18" i="5"/>
  <c r="AK18" i="5"/>
  <c r="AL18" i="5"/>
  <c r="AJ19" i="5"/>
  <c r="AK19" i="5"/>
  <c r="AL19" i="5"/>
  <c r="AJ20" i="5"/>
  <c r="AK20" i="5"/>
  <c r="AS20" i="5" s="1"/>
  <c r="AL20" i="5"/>
  <c r="AJ21" i="5"/>
  <c r="AK21" i="5"/>
  <c r="AL21" i="5"/>
  <c r="AJ22" i="5"/>
  <c r="AK22" i="5"/>
  <c r="AL22" i="5"/>
  <c r="AJ23" i="5"/>
  <c r="AR23" i="5" s="1"/>
  <c r="AK23" i="5"/>
  <c r="AL23" i="5"/>
  <c r="AJ24" i="5"/>
  <c r="AK24" i="5"/>
  <c r="AL24" i="5"/>
  <c r="AJ25" i="5"/>
  <c r="AK25" i="5"/>
  <c r="AL25" i="5"/>
  <c r="AT25" i="5" s="1"/>
  <c r="AJ26" i="5"/>
  <c r="AK26" i="5"/>
  <c r="AL26" i="5"/>
  <c r="AJ27" i="5"/>
  <c r="AK27" i="5"/>
  <c r="AL27" i="5"/>
  <c r="AJ28" i="5"/>
  <c r="AK28" i="5"/>
  <c r="AS28" i="5" s="1"/>
  <c r="AL28" i="5"/>
  <c r="AJ29" i="5"/>
  <c r="AK29" i="5"/>
  <c r="AL29" i="5"/>
  <c r="AJ30" i="5"/>
  <c r="AK30" i="5"/>
  <c r="AL30" i="5"/>
  <c r="AR31" i="5"/>
  <c r="AL7" i="5"/>
  <c r="AK7" i="5"/>
  <c r="A33" i="3"/>
  <c r="A167" i="4"/>
  <c r="A168" i="4" s="1"/>
  <c r="A169" i="4" s="1"/>
  <c r="A170" i="4" s="1"/>
  <c r="A166" i="4"/>
  <c r="A123" i="4"/>
  <c r="A124" i="4"/>
  <c r="A125" i="4"/>
  <c r="A126" i="4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22" i="4"/>
  <c r="Q149" i="4"/>
  <c r="AN100" i="5" l="1"/>
  <c r="AQ100" i="5" s="1"/>
  <c r="AR100" i="5"/>
  <c r="AS100" i="5"/>
  <c r="AT100" i="5"/>
  <c r="AT74" i="5"/>
  <c r="AB96" i="5"/>
  <c r="AR21" i="5"/>
  <c r="AR34" i="5"/>
  <c r="AS47" i="5"/>
  <c r="AT60" i="5"/>
  <c r="AT94" i="5"/>
  <c r="AS31" i="5"/>
  <c r="AT28" i="5"/>
  <c r="AR26" i="5"/>
  <c r="AS23" i="5"/>
  <c r="AT20" i="5"/>
  <c r="AR18" i="5"/>
  <c r="AS15" i="5"/>
  <c r="AT12" i="5"/>
  <c r="AR10" i="5"/>
  <c r="AS34" i="5"/>
  <c r="AR37" i="5"/>
  <c r="AT39" i="5"/>
  <c r="AS42" i="5"/>
  <c r="AR45" i="5"/>
  <c r="AT47" i="5"/>
  <c r="AS50" i="5"/>
  <c r="AR53" i="5"/>
  <c r="AT55" i="5"/>
  <c r="AS58" i="5"/>
  <c r="AR63" i="5"/>
  <c r="AL72" i="5"/>
  <c r="AK79" i="5"/>
  <c r="AR85" i="5"/>
  <c r="AT87" i="5"/>
  <c r="AS90" i="5"/>
  <c r="AR95" i="5"/>
  <c r="AU95" i="5" s="1"/>
  <c r="AS18" i="5"/>
  <c r="AS39" i="5"/>
  <c r="AT52" i="5"/>
  <c r="AT66" i="5"/>
  <c r="AR90" i="5"/>
  <c r="AT34" i="5"/>
  <c r="AS37" i="5"/>
  <c r="AR40" i="5"/>
  <c r="AT42" i="5"/>
  <c r="AS45" i="5"/>
  <c r="AU45" i="5" s="1"/>
  <c r="AR48" i="5"/>
  <c r="AT50" i="5"/>
  <c r="AS53" i="5"/>
  <c r="AR56" i="5"/>
  <c r="AT58" i="5"/>
  <c r="AR64" i="5"/>
  <c r="AU64" i="5" s="1"/>
  <c r="AS67" i="5"/>
  <c r="AR74" i="5"/>
  <c r="AU74" i="5" s="1"/>
  <c r="AT78" i="5"/>
  <c r="AS85" i="5"/>
  <c r="AR88" i="5"/>
  <c r="AT90" i="5"/>
  <c r="AS95" i="5"/>
  <c r="AT23" i="5"/>
  <c r="AT36" i="5"/>
  <c r="AT30" i="5"/>
  <c r="AU30" i="5" s="1"/>
  <c r="AR28" i="5"/>
  <c r="AS25" i="5"/>
  <c r="AT22" i="5"/>
  <c r="AR20" i="5"/>
  <c r="AS17" i="5"/>
  <c r="AT14" i="5"/>
  <c r="AU14" i="5" s="1"/>
  <c r="AR12" i="5"/>
  <c r="AS9" i="5"/>
  <c r="AU9" i="5" s="1"/>
  <c r="AR35" i="5"/>
  <c r="AT37" i="5"/>
  <c r="AS40" i="5"/>
  <c r="AR43" i="5"/>
  <c r="AT45" i="5"/>
  <c r="AS48" i="5"/>
  <c r="AU48" i="5" s="1"/>
  <c r="AR51" i="5"/>
  <c r="AT53" i="5"/>
  <c r="AU53" i="5" s="1"/>
  <c r="AS56" i="5"/>
  <c r="AR59" i="5"/>
  <c r="AT67" i="5"/>
  <c r="AS74" i="5"/>
  <c r="AR81" i="5"/>
  <c r="AT85" i="5"/>
  <c r="AU85" i="5" s="1"/>
  <c r="AS88" i="5"/>
  <c r="AR93" i="5"/>
  <c r="AU93" i="5" s="1"/>
  <c r="AT95" i="5"/>
  <c r="AT31" i="5"/>
  <c r="AT15" i="5"/>
  <c r="AT44" i="5"/>
  <c r="AR58" i="5"/>
  <c r="AT82" i="5"/>
  <c r="AS30" i="5"/>
  <c r="AT27" i="5"/>
  <c r="AR25" i="5"/>
  <c r="AS22" i="5"/>
  <c r="AT19" i="5"/>
  <c r="AR17" i="5"/>
  <c r="AS14" i="5"/>
  <c r="AT11" i="5"/>
  <c r="AU11" i="5" s="1"/>
  <c r="AR9" i="5"/>
  <c r="AS35" i="5"/>
  <c r="AU35" i="5" s="1"/>
  <c r="AR38" i="5"/>
  <c r="AT40" i="5"/>
  <c r="AS43" i="5"/>
  <c r="AR46" i="5"/>
  <c r="AT48" i="5"/>
  <c r="AS51" i="5"/>
  <c r="AU51" i="5" s="1"/>
  <c r="AR54" i="5"/>
  <c r="AT56" i="5"/>
  <c r="AU56" i="5" s="1"/>
  <c r="AS59" i="5"/>
  <c r="AT64" i="5"/>
  <c r="AR68" i="5"/>
  <c r="AS81" i="5"/>
  <c r="AR86" i="5"/>
  <c r="AT88" i="5"/>
  <c r="AS93" i="5"/>
  <c r="AR29" i="5"/>
  <c r="AS10" i="5"/>
  <c r="AR50" i="5"/>
  <c r="AJ79" i="5"/>
  <c r="AR30" i="5"/>
  <c r="AT24" i="5"/>
  <c r="AR22" i="5"/>
  <c r="AS19" i="5"/>
  <c r="AT16" i="5"/>
  <c r="AR14" i="5"/>
  <c r="AS11" i="5"/>
  <c r="AT8" i="5"/>
  <c r="AR65" i="5"/>
  <c r="AS68" i="5"/>
  <c r="AT81" i="5"/>
  <c r="AU81" i="5" s="1"/>
  <c r="AS86" i="5"/>
  <c r="AR89" i="5"/>
  <c r="AR91" i="5" s="1"/>
  <c r="AT93" i="5"/>
  <c r="AT38" i="5"/>
  <c r="AS41" i="5"/>
  <c r="AR44" i="5"/>
  <c r="AT46" i="5"/>
  <c r="AS49" i="5"/>
  <c r="AR52" i="5"/>
  <c r="AT54" i="5"/>
  <c r="AU54" i="5" s="1"/>
  <c r="AS57" i="5"/>
  <c r="AR60" i="5"/>
  <c r="AR66" i="5"/>
  <c r="AT68" i="5"/>
  <c r="AS75" i="5"/>
  <c r="AR82" i="5"/>
  <c r="AR83" i="5" s="1"/>
  <c r="AT86" i="5"/>
  <c r="AS89" i="5"/>
  <c r="AS91" i="5" s="1"/>
  <c r="AR94" i="5"/>
  <c r="AS26" i="5"/>
  <c r="AR13" i="5"/>
  <c r="AR42" i="5"/>
  <c r="AS55" i="5"/>
  <c r="AS71" i="5"/>
  <c r="AS7" i="5"/>
  <c r="AT29" i="5"/>
  <c r="AR27" i="5"/>
  <c r="AS24" i="5"/>
  <c r="AT21" i="5"/>
  <c r="AR19" i="5"/>
  <c r="AS16" i="5"/>
  <c r="AT13" i="5"/>
  <c r="AU13" i="5" s="1"/>
  <c r="AR11" i="5"/>
  <c r="AS8" i="5"/>
  <c r="AS32" i="5" s="1"/>
  <c r="AR36" i="5"/>
  <c r="AT7" i="5"/>
  <c r="AS29" i="5"/>
  <c r="AT26" i="5"/>
  <c r="AR24" i="5"/>
  <c r="AS21" i="5"/>
  <c r="AT18" i="5"/>
  <c r="AR16" i="5"/>
  <c r="AU16" i="5" s="1"/>
  <c r="AS13" i="5"/>
  <c r="AT10" i="5"/>
  <c r="AR8" i="5"/>
  <c r="AS36" i="5"/>
  <c r="AR39" i="5"/>
  <c r="AT41" i="5"/>
  <c r="AS44" i="5"/>
  <c r="AR47" i="5"/>
  <c r="AU47" i="5" s="1"/>
  <c r="AT49" i="5"/>
  <c r="AS52" i="5"/>
  <c r="AR55" i="5"/>
  <c r="AT57" i="5"/>
  <c r="AS60" i="5"/>
  <c r="AS66" i="5"/>
  <c r="AJ72" i="5"/>
  <c r="AT75" i="5"/>
  <c r="AT76" i="5" s="1"/>
  <c r="AS82" i="5"/>
  <c r="AR87" i="5"/>
  <c r="AT89" i="5"/>
  <c r="AS94" i="5"/>
  <c r="AE83" i="5"/>
  <c r="AT79" i="5"/>
  <c r="AF72" i="5"/>
  <c r="AS72" i="5"/>
  <c r="AF79" i="5"/>
  <c r="AJ129" i="5"/>
  <c r="AJ138" i="5"/>
  <c r="AU18" i="5"/>
  <c r="AU88" i="5"/>
  <c r="AU20" i="5"/>
  <c r="AU12" i="5"/>
  <c r="AR71" i="5"/>
  <c r="AS83" i="5"/>
  <c r="AU22" i="5"/>
  <c r="AU49" i="5"/>
  <c r="AU57" i="5"/>
  <c r="AU26" i="5"/>
  <c r="AU10" i="5"/>
  <c r="AU36" i="5"/>
  <c r="AU44" i="5"/>
  <c r="AU52" i="5"/>
  <c r="AU94" i="5"/>
  <c r="AU38" i="5"/>
  <c r="AU46" i="5"/>
  <c r="AU68" i="5"/>
  <c r="AU86" i="5"/>
  <c r="AT96" i="5"/>
  <c r="AU7" i="5"/>
  <c r="AU19" i="5"/>
  <c r="AU24" i="5"/>
  <c r="AU42" i="5"/>
  <c r="AU50" i="5"/>
  <c r="AU58" i="5"/>
  <c r="AU90" i="5"/>
  <c r="AU37" i="5"/>
  <c r="AU67" i="5"/>
  <c r="AU15" i="5"/>
  <c r="AU40" i="5"/>
  <c r="AT71" i="5"/>
  <c r="AR78" i="5"/>
  <c r="AU55" i="5"/>
  <c r="AL79" i="5"/>
  <c r="AB83" i="5"/>
  <c r="AS78" i="5"/>
  <c r="AU25" i="5"/>
  <c r="AU82" i="5"/>
  <c r="AM27" i="5"/>
  <c r="AJ76" i="5"/>
  <c r="AR75" i="5"/>
  <c r="AU17" i="5"/>
  <c r="AU87" i="5"/>
  <c r="AS27" i="5"/>
  <c r="AU21" i="5"/>
  <c r="AU43" i="5"/>
  <c r="AU59" i="5"/>
  <c r="AN32" i="5"/>
  <c r="AR32" i="5"/>
  <c r="AS76" i="5"/>
  <c r="AS96" i="5"/>
  <c r="AM29" i="5"/>
  <c r="AE30" i="5"/>
  <c r="AF83" i="5"/>
  <c r="AB168" i="5"/>
  <c r="AM9" i="5"/>
  <c r="AB176" i="5"/>
  <c r="AF91" i="5"/>
  <c r="AF61" i="5"/>
  <c r="AF96" i="5"/>
  <c r="AF76" i="5"/>
  <c r="AF69" i="5"/>
  <c r="AF32" i="5"/>
  <c r="AB61" i="5"/>
  <c r="AM22" i="5"/>
  <c r="AK76" i="5"/>
  <c r="AE78" i="5"/>
  <c r="AE76" i="5"/>
  <c r="AE61" i="5"/>
  <c r="AM23" i="5"/>
  <c r="AM37" i="5"/>
  <c r="AM45" i="5"/>
  <c r="AM53" i="5"/>
  <c r="AM67" i="5"/>
  <c r="AM95" i="5"/>
  <c r="AM25" i="5"/>
  <c r="AM40" i="5"/>
  <c r="AB145" i="5"/>
  <c r="AE71" i="5"/>
  <c r="AB138" i="5"/>
  <c r="AE93" i="5"/>
  <c r="AB161" i="5"/>
  <c r="AL61" i="5"/>
  <c r="AM49" i="5"/>
  <c r="AM57" i="5"/>
  <c r="AL83" i="5"/>
  <c r="AB76" i="5"/>
  <c r="AB32" i="5"/>
  <c r="AB91" i="5"/>
  <c r="AE86" i="5"/>
  <c r="AB129" i="5"/>
  <c r="AB152" i="5"/>
  <c r="AB172" i="5"/>
  <c r="AM82" i="5"/>
  <c r="AM94" i="5"/>
  <c r="AM21" i="5"/>
  <c r="AM71" i="5"/>
  <c r="AM90" i="5"/>
  <c r="AM8" i="5"/>
  <c r="AM15" i="5"/>
  <c r="AK61" i="5"/>
  <c r="AM64" i="5"/>
  <c r="AK91" i="5"/>
  <c r="AM31" i="5"/>
  <c r="AM13" i="5"/>
  <c r="AM17" i="5"/>
  <c r="AM35" i="5"/>
  <c r="AM26" i="5"/>
  <c r="AM19" i="5"/>
  <c r="AL76" i="5"/>
  <c r="AM86" i="5"/>
  <c r="AL91" i="5"/>
  <c r="AM28" i="5"/>
  <c r="AM12" i="5"/>
  <c r="AM48" i="5"/>
  <c r="AM56" i="5"/>
  <c r="AM66" i="5"/>
  <c r="AM89" i="5"/>
  <c r="AJ32" i="5"/>
  <c r="AM30" i="5"/>
  <c r="AM14" i="5"/>
  <c r="AM43" i="5"/>
  <c r="AM51" i="5"/>
  <c r="AM59" i="5"/>
  <c r="AM16" i="5"/>
  <c r="AM11" i="5"/>
  <c r="AM38" i="5"/>
  <c r="AM46" i="5"/>
  <c r="AM54" i="5"/>
  <c r="AM75" i="5"/>
  <c r="AK83" i="5"/>
  <c r="AM87" i="5"/>
  <c r="AM18" i="5"/>
  <c r="AM41" i="5"/>
  <c r="AM78" i="5"/>
  <c r="AM20" i="5"/>
  <c r="AM36" i="5"/>
  <c r="AM44" i="5"/>
  <c r="AM52" i="5"/>
  <c r="AM60" i="5"/>
  <c r="AJ91" i="5"/>
  <c r="AM39" i="5"/>
  <c r="AM47" i="5"/>
  <c r="AM55" i="5"/>
  <c r="AM88" i="5"/>
  <c r="AM24" i="5"/>
  <c r="AM10" i="5"/>
  <c r="AM34" i="5"/>
  <c r="AM42" i="5"/>
  <c r="AM50" i="5"/>
  <c r="AM58" i="5"/>
  <c r="AM68" i="5"/>
  <c r="AM81" i="5"/>
  <c r="AM93" i="5"/>
  <c r="AL96" i="5"/>
  <c r="AJ96" i="5"/>
  <c r="AK96" i="5"/>
  <c r="AM85" i="5"/>
  <c r="AM74" i="5"/>
  <c r="AK72" i="5"/>
  <c r="AJ61" i="5"/>
  <c r="AM7" i="5"/>
  <c r="AL32" i="5"/>
  <c r="AK32" i="5"/>
  <c r="AJ69" i="5"/>
  <c r="AJ83" i="5"/>
  <c r="E71" i="4"/>
  <c r="Q61" i="4"/>
  <c r="Q26" i="4"/>
  <c r="Q18" i="4"/>
  <c r="Q147" i="4"/>
  <c r="Q140" i="4"/>
  <c r="Q139" i="4"/>
  <c r="Q136" i="4"/>
  <c r="Q135" i="4"/>
  <c r="Q134" i="4"/>
  <c r="Q126" i="4"/>
  <c r="Q127" i="4"/>
  <c r="Q128" i="4"/>
  <c r="Q129" i="4"/>
  <c r="Q130" i="4"/>
  <c r="Q125" i="4"/>
  <c r="Q105" i="4"/>
  <c r="Q106" i="4"/>
  <c r="Q104" i="4"/>
  <c r="Q99" i="4"/>
  <c r="Q86" i="4"/>
  <c r="Q87" i="4"/>
  <c r="Q88" i="4"/>
  <c r="Q89" i="4"/>
  <c r="Q85" i="4"/>
  <c r="Q42" i="4"/>
  <c r="Q36" i="4"/>
  <c r="Q38" i="4"/>
  <c r="Q54" i="4"/>
  <c r="Q53" i="4"/>
  <c r="Q52" i="4"/>
  <c r="Q51" i="4"/>
  <c r="Q49" i="4"/>
  <c r="Q48" i="4"/>
  <c r="Q47" i="4"/>
  <c r="Q46" i="4"/>
  <c r="Q45" i="4"/>
  <c r="Q44" i="4"/>
  <c r="Q41" i="4"/>
  <c r="Q40" i="4"/>
  <c r="Q39" i="4"/>
  <c r="Q37" i="4"/>
  <c r="Q12" i="4"/>
  <c r="Q14" i="4"/>
  <c r="Q19" i="4"/>
  <c r="Q25" i="4"/>
  <c r="Q23" i="4"/>
  <c r="Q22" i="4"/>
  <c r="Q21" i="4"/>
  <c r="Q20" i="4"/>
  <c r="AU100" i="5" l="1"/>
  <c r="AR61" i="5"/>
  <c r="AU60" i="5"/>
  <c r="AU29" i="5"/>
  <c r="AU96" i="5"/>
  <c r="AU39" i="5"/>
  <c r="BU39" i="5" s="1"/>
  <c r="AT61" i="5"/>
  <c r="AU23" i="5"/>
  <c r="AU34" i="5"/>
  <c r="AU28" i="5"/>
  <c r="AU31" i="5"/>
  <c r="BU31" i="5" s="1"/>
  <c r="AT83" i="5"/>
  <c r="AR96" i="5"/>
  <c r="AU8" i="5"/>
  <c r="AU83" i="5"/>
  <c r="AU89" i="5"/>
  <c r="BU89" i="5" s="1"/>
  <c r="AR69" i="5"/>
  <c r="AU66" i="5"/>
  <c r="AU41" i="5"/>
  <c r="AT91" i="5"/>
  <c r="AS61" i="5"/>
  <c r="AT32" i="5"/>
  <c r="BU74" i="5"/>
  <c r="BU58" i="5"/>
  <c r="BU47" i="5"/>
  <c r="BU38" i="5"/>
  <c r="BU86" i="5"/>
  <c r="BU94" i="5"/>
  <c r="AE72" i="5"/>
  <c r="BU37" i="5"/>
  <c r="AU75" i="5"/>
  <c r="AU76" i="5" s="1"/>
  <c r="BU85" i="5"/>
  <c r="BU50" i="5"/>
  <c r="BU41" i="5"/>
  <c r="BU11" i="5"/>
  <c r="BU64" i="5"/>
  <c r="BU82" i="5"/>
  <c r="BU23" i="5"/>
  <c r="BU42" i="5"/>
  <c r="BU18" i="5"/>
  <c r="BU16" i="5"/>
  <c r="BU66" i="5"/>
  <c r="BU19" i="5"/>
  <c r="BU57" i="5"/>
  <c r="BU40" i="5"/>
  <c r="BU34" i="5"/>
  <c r="BU60" i="5"/>
  <c r="BU87" i="5"/>
  <c r="BU59" i="5"/>
  <c r="BU56" i="5"/>
  <c r="BU26" i="5"/>
  <c r="BU15" i="5"/>
  <c r="BU49" i="5"/>
  <c r="BU25" i="5"/>
  <c r="BU29" i="5"/>
  <c r="BU10" i="5"/>
  <c r="BU52" i="5"/>
  <c r="BU51" i="5"/>
  <c r="BU48" i="5"/>
  <c r="BU35" i="5"/>
  <c r="BU8" i="5"/>
  <c r="BU95" i="5"/>
  <c r="AE79" i="5"/>
  <c r="AU27" i="5"/>
  <c r="BU27" i="5" s="1"/>
  <c r="AR72" i="5"/>
  <c r="BU7" i="5"/>
  <c r="BU93" i="5"/>
  <c r="BU24" i="5"/>
  <c r="BU44" i="5"/>
  <c r="BU43" i="5"/>
  <c r="BU12" i="5"/>
  <c r="BU17" i="5"/>
  <c r="BU90" i="5"/>
  <c r="BU67" i="5"/>
  <c r="BU81" i="5"/>
  <c r="BU88" i="5"/>
  <c r="BU36" i="5"/>
  <c r="BU54" i="5"/>
  <c r="BU14" i="5"/>
  <c r="BU28" i="5"/>
  <c r="BU13" i="5"/>
  <c r="BU53" i="5"/>
  <c r="BU22" i="5"/>
  <c r="AS79" i="5"/>
  <c r="AT72" i="5"/>
  <c r="BU68" i="5"/>
  <c r="BU55" i="5"/>
  <c r="BU20" i="5"/>
  <c r="BU46" i="5"/>
  <c r="BU30" i="5"/>
  <c r="BU21" i="5"/>
  <c r="BU45" i="5"/>
  <c r="BU9" i="5"/>
  <c r="AU91" i="5"/>
  <c r="AU61" i="5"/>
  <c r="AU32" i="5"/>
  <c r="AU71" i="5"/>
  <c r="AU72" i="5" s="1"/>
  <c r="AR76" i="5"/>
  <c r="AU78" i="5"/>
  <c r="AU79" i="5" s="1"/>
  <c r="AR79" i="5"/>
  <c r="AE91" i="5"/>
  <c r="AE96" i="5"/>
  <c r="AE32" i="5"/>
  <c r="AB178" i="5"/>
  <c r="AM76" i="5"/>
  <c r="AM79" i="5"/>
  <c r="AF98" i="5"/>
  <c r="AM96" i="5"/>
  <c r="AM72" i="5"/>
  <c r="AJ98" i="5"/>
  <c r="AM83" i="5"/>
  <c r="AM32" i="5"/>
  <c r="AM91" i="5"/>
  <c r="AM61" i="5"/>
  <c r="Q174" i="4"/>
  <c r="M402" i="1"/>
  <c r="K402" i="1"/>
  <c r="M24" i="1"/>
  <c r="AR98" i="5" l="1"/>
  <c r="BU75" i="5"/>
  <c r="BU91" i="5"/>
  <c r="BU76" i="5"/>
  <c r="BU83" i="5"/>
  <c r="BU72" i="5"/>
  <c r="BU32" i="5"/>
  <c r="BU96" i="5"/>
  <c r="BU61" i="5"/>
  <c r="BU79" i="5"/>
  <c r="BU71" i="5"/>
  <c r="BU78" i="5"/>
  <c r="K422" i="1"/>
  <c r="A165" i="4"/>
  <c r="A121" i="4"/>
  <c r="A106" i="4"/>
  <c r="A107" i="4" s="1"/>
  <c r="A103" i="4"/>
  <c r="A104" i="4" s="1"/>
  <c r="A105" i="4" s="1"/>
  <c r="A101" i="4"/>
  <c r="A100" i="4"/>
  <c r="A99" i="4"/>
  <c r="A87" i="4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86" i="4"/>
  <c r="A72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O7" i="5"/>
  <c r="Q7" i="5"/>
  <c r="U7" i="5"/>
  <c r="AA8" i="5"/>
  <c r="AD8" i="5" s="1"/>
  <c r="O8" i="5"/>
  <c r="Q8" i="5"/>
  <c r="U8" i="5"/>
  <c r="O9" i="5"/>
  <c r="Q9" i="5"/>
  <c r="U9" i="5"/>
  <c r="AA10" i="5"/>
  <c r="AD10" i="5" s="1"/>
  <c r="O10" i="5"/>
  <c r="Q10" i="5"/>
  <c r="U10" i="5"/>
  <c r="O11" i="5"/>
  <c r="Q11" i="5"/>
  <c r="U11" i="5"/>
  <c r="O12" i="5"/>
  <c r="Q12" i="5"/>
  <c r="U12" i="5"/>
  <c r="AA12" i="5"/>
  <c r="AD12" i="5" s="1"/>
  <c r="O13" i="5"/>
  <c r="Q13" i="5"/>
  <c r="U13" i="5"/>
  <c r="AA13" i="5"/>
  <c r="AD13" i="5" s="1"/>
  <c r="O14" i="5"/>
  <c r="Q14" i="5"/>
  <c r="U14" i="5"/>
  <c r="O15" i="5"/>
  <c r="Q15" i="5"/>
  <c r="U15" i="5"/>
  <c r="AA15" i="5"/>
  <c r="AD15" i="5" s="1"/>
  <c r="AA16" i="5"/>
  <c r="AD16" i="5" s="1"/>
  <c r="O16" i="5"/>
  <c r="Q16" i="5"/>
  <c r="U16" i="5"/>
  <c r="AA17" i="5"/>
  <c r="AD17" i="5" s="1"/>
  <c r="O17" i="5"/>
  <c r="Q17" i="5"/>
  <c r="U17" i="5"/>
  <c r="O18" i="5"/>
  <c r="Q18" i="5"/>
  <c r="U18" i="5"/>
  <c r="AA18" i="5"/>
  <c r="AD18" i="5" s="1"/>
  <c r="O19" i="5"/>
  <c r="Q19" i="5"/>
  <c r="U19" i="5"/>
  <c r="AA20" i="5"/>
  <c r="AD20" i="5" s="1"/>
  <c r="O20" i="5"/>
  <c r="Q20" i="5"/>
  <c r="O21" i="5"/>
  <c r="Q21" i="5"/>
  <c r="U21" i="5"/>
  <c r="AA21" i="5"/>
  <c r="AD21" i="5" s="1"/>
  <c r="O22" i="5"/>
  <c r="Q22" i="5"/>
  <c r="U22" i="5"/>
  <c r="AA23" i="5"/>
  <c r="O23" i="5"/>
  <c r="Q23" i="5"/>
  <c r="U23" i="5"/>
  <c r="O24" i="5"/>
  <c r="Q24" i="5"/>
  <c r="U24" i="5"/>
  <c r="O25" i="5"/>
  <c r="Q25" i="5"/>
  <c r="U25" i="5"/>
  <c r="O26" i="5"/>
  <c r="Q26" i="5"/>
  <c r="U26" i="5"/>
  <c r="AA26" i="5"/>
  <c r="AD26" i="5" s="1"/>
  <c r="O27" i="5"/>
  <c r="Q27" i="5"/>
  <c r="U27" i="5"/>
  <c r="AA27" i="5"/>
  <c r="AD27" i="5" s="1"/>
  <c r="O28" i="5"/>
  <c r="Q28" i="5"/>
  <c r="U28" i="5"/>
  <c r="AA28" i="5"/>
  <c r="AD28" i="5" s="1"/>
  <c r="O29" i="5"/>
  <c r="Q29" i="5"/>
  <c r="U29" i="5"/>
  <c r="AA29" i="5"/>
  <c r="AD29" i="5" s="1"/>
  <c r="AA30" i="5"/>
  <c r="AD30" i="5" s="1"/>
  <c r="O30" i="5"/>
  <c r="Q30" i="5"/>
  <c r="U30" i="5"/>
  <c r="O31" i="5"/>
  <c r="Q31" i="5"/>
  <c r="U31" i="5"/>
  <c r="K32" i="5"/>
  <c r="V32" i="5"/>
  <c r="O34" i="5"/>
  <c r="Q34" i="5"/>
  <c r="U34" i="5"/>
  <c r="AA34" i="5"/>
  <c r="AD34" i="5" s="1"/>
  <c r="O35" i="5"/>
  <c r="Q35" i="5"/>
  <c r="U35" i="5"/>
  <c r="O36" i="5"/>
  <c r="Q36" i="5"/>
  <c r="U36" i="5"/>
  <c r="AA36" i="5"/>
  <c r="AD36" i="5" s="1"/>
  <c r="O37" i="5"/>
  <c r="Q37" i="5"/>
  <c r="U37" i="5"/>
  <c r="AA37" i="5"/>
  <c r="O38" i="5"/>
  <c r="Q38" i="5"/>
  <c r="U38" i="5"/>
  <c r="AA38" i="5"/>
  <c r="AD38" i="5" s="1"/>
  <c r="O39" i="5"/>
  <c r="Q39" i="5"/>
  <c r="U39" i="5"/>
  <c r="O40" i="5"/>
  <c r="Q40" i="5"/>
  <c r="U40" i="5"/>
  <c r="O41" i="5"/>
  <c r="Q41" i="5"/>
  <c r="U41" i="5"/>
  <c r="AA41" i="5"/>
  <c r="AD41" i="5" s="1"/>
  <c r="O42" i="5"/>
  <c r="Q42" i="5"/>
  <c r="U42" i="5"/>
  <c r="O43" i="5"/>
  <c r="Q43" i="5"/>
  <c r="U43" i="5"/>
  <c r="AA43" i="5"/>
  <c r="AD43" i="5" s="1"/>
  <c r="O44" i="5"/>
  <c r="Q44" i="5"/>
  <c r="U44" i="5"/>
  <c r="AA44" i="5"/>
  <c r="AD44" i="5" s="1"/>
  <c r="O45" i="5"/>
  <c r="Q45" i="5"/>
  <c r="U45" i="5"/>
  <c r="AA45" i="5"/>
  <c r="AD45" i="5" s="1"/>
  <c r="O46" i="5"/>
  <c r="Q46" i="5"/>
  <c r="U46" i="5"/>
  <c r="AA46" i="5"/>
  <c r="AD46" i="5" s="1"/>
  <c r="O47" i="5"/>
  <c r="Q47" i="5"/>
  <c r="U47" i="5"/>
  <c r="O48" i="5"/>
  <c r="Q48" i="5"/>
  <c r="U48" i="5"/>
  <c r="AA48" i="5"/>
  <c r="AD48" i="5" s="1"/>
  <c r="O49" i="5"/>
  <c r="Q49" i="5"/>
  <c r="U49" i="5"/>
  <c r="AA49" i="5"/>
  <c r="AD49" i="5" s="1"/>
  <c r="O50" i="5"/>
  <c r="Q50" i="5"/>
  <c r="U50" i="5"/>
  <c r="AA50" i="5"/>
  <c r="AD50" i="5" s="1"/>
  <c r="O51" i="5"/>
  <c r="Q51" i="5"/>
  <c r="U51" i="5"/>
  <c r="AA51" i="5"/>
  <c r="AD51" i="5" s="1"/>
  <c r="O52" i="5"/>
  <c r="Q52" i="5"/>
  <c r="U52" i="5"/>
  <c r="AA52" i="5"/>
  <c r="AD52" i="5" s="1"/>
  <c r="O53" i="5"/>
  <c r="Q53" i="5"/>
  <c r="U53" i="5"/>
  <c r="AA53" i="5"/>
  <c r="AD53" i="5" s="1"/>
  <c r="O54" i="5"/>
  <c r="Q54" i="5"/>
  <c r="U54" i="5"/>
  <c r="AA54" i="5"/>
  <c r="AD54" i="5" s="1"/>
  <c r="O55" i="5"/>
  <c r="Q55" i="5"/>
  <c r="U55" i="5"/>
  <c r="O56" i="5"/>
  <c r="Q56" i="5"/>
  <c r="U56" i="5"/>
  <c r="AA56" i="5"/>
  <c r="AD56" i="5" s="1"/>
  <c r="O57" i="5"/>
  <c r="Q57" i="5"/>
  <c r="U57" i="5"/>
  <c r="O58" i="5"/>
  <c r="Q58" i="5"/>
  <c r="U58" i="5"/>
  <c r="O59" i="5"/>
  <c r="Q59" i="5"/>
  <c r="U59" i="5"/>
  <c r="O60" i="5"/>
  <c r="Q60" i="5"/>
  <c r="U60" i="5"/>
  <c r="K61" i="5"/>
  <c r="O63" i="5"/>
  <c r="Q63" i="5"/>
  <c r="S63" i="5"/>
  <c r="T63" i="5"/>
  <c r="O64" i="5"/>
  <c r="Q64" i="5"/>
  <c r="U64" i="5"/>
  <c r="O65" i="5"/>
  <c r="Q65" i="5"/>
  <c r="S65" i="5"/>
  <c r="T65" i="5"/>
  <c r="O66" i="5"/>
  <c r="Q66" i="5"/>
  <c r="U66" i="5"/>
  <c r="O67" i="5"/>
  <c r="Q67" i="5"/>
  <c r="U67" i="5"/>
  <c r="O68" i="5"/>
  <c r="Q68" i="5"/>
  <c r="U68" i="5"/>
  <c r="K69" i="5"/>
  <c r="O71" i="5"/>
  <c r="Q71" i="5"/>
  <c r="U71" i="5"/>
  <c r="AC72" i="5" s="1"/>
  <c r="AA71" i="5"/>
  <c r="AD71" i="5" s="1"/>
  <c r="J72" i="5"/>
  <c r="K72" i="5"/>
  <c r="O74" i="5"/>
  <c r="Q74" i="5"/>
  <c r="U74" i="5"/>
  <c r="AC76" i="5" s="1"/>
  <c r="AA74" i="5"/>
  <c r="AD74" i="5" s="1"/>
  <c r="O75" i="5"/>
  <c r="Q75" i="5"/>
  <c r="U75" i="5"/>
  <c r="AA75" i="5"/>
  <c r="AD75" i="5" s="1"/>
  <c r="J76" i="5"/>
  <c r="K76" i="5"/>
  <c r="O78" i="5"/>
  <c r="Q78" i="5"/>
  <c r="U78" i="5"/>
  <c r="AC79" i="5" s="1"/>
  <c r="K79" i="5"/>
  <c r="O81" i="5"/>
  <c r="Q81" i="5"/>
  <c r="U81" i="5"/>
  <c r="O82" i="5"/>
  <c r="Q82" i="5"/>
  <c r="U82" i="5"/>
  <c r="J83" i="5"/>
  <c r="K83" i="5"/>
  <c r="O85" i="5"/>
  <c r="Q85" i="5"/>
  <c r="U85" i="5"/>
  <c r="AA85" i="5"/>
  <c r="AD85" i="5" s="1"/>
  <c r="O86" i="5"/>
  <c r="Q86" i="5"/>
  <c r="U86" i="5"/>
  <c r="O87" i="5"/>
  <c r="Q87" i="5"/>
  <c r="U87" i="5"/>
  <c r="AA87" i="5"/>
  <c r="AD87" i="5" s="1"/>
  <c r="O88" i="5"/>
  <c r="Q88" i="5"/>
  <c r="U88" i="5"/>
  <c r="O89" i="5"/>
  <c r="Q89" i="5"/>
  <c r="U89" i="5"/>
  <c r="AA89" i="5"/>
  <c r="O90" i="5"/>
  <c r="Q90" i="5"/>
  <c r="U90" i="5"/>
  <c r="AA90" i="5"/>
  <c r="AD90" i="5" s="1"/>
  <c r="K91" i="5"/>
  <c r="O93" i="5"/>
  <c r="Q93" i="5"/>
  <c r="U93" i="5"/>
  <c r="AC96" i="5" s="1"/>
  <c r="AA93" i="5"/>
  <c r="AD93" i="5" s="1"/>
  <c r="O94" i="5"/>
  <c r="Q94" i="5"/>
  <c r="U94" i="5"/>
  <c r="O95" i="5"/>
  <c r="Q95" i="5"/>
  <c r="U95" i="5"/>
  <c r="K96" i="5"/>
  <c r="O109" i="5"/>
  <c r="Q109" i="5"/>
  <c r="U109" i="5"/>
  <c r="AC109" i="5" s="1"/>
  <c r="O110" i="5"/>
  <c r="Q110" i="5"/>
  <c r="U110" i="5"/>
  <c r="AC110" i="5" s="1"/>
  <c r="AA110" i="5"/>
  <c r="O111" i="5"/>
  <c r="Q111" i="5"/>
  <c r="U111" i="5"/>
  <c r="AC111" i="5" s="1"/>
  <c r="AA111" i="5"/>
  <c r="O112" i="5"/>
  <c r="Q112" i="5"/>
  <c r="U112" i="5"/>
  <c r="AC112" i="5" s="1"/>
  <c r="AA112" i="5"/>
  <c r="O113" i="5"/>
  <c r="Q113" i="5"/>
  <c r="U113" i="5"/>
  <c r="AC113" i="5" s="1"/>
  <c r="O114" i="5"/>
  <c r="Q114" i="5"/>
  <c r="U114" i="5"/>
  <c r="AC114" i="5" s="1"/>
  <c r="AA114" i="5"/>
  <c r="AA115" i="5"/>
  <c r="O115" i="5"/>
  <c r="Q115" i="5"/>
  <c r="U115" i="5"/>
  <c r="AC115" i="5" s="1"/>
  <c r="O116" i="5"/>
  <c r="Q116" i="5"/>
  <c r="U116" i="5"/>
  <c r="AC116" i="5" s="1"/>
  <c r="AA116" i="5"/>
  <c r="O117" i="5"/>
  <c r="Q117" i="5"/>
  <c r="U117" i="5"/>
  <c r="AC117" i="5" s="1"/>
  <c r="AA117" i="5"/>
  <c r="O118" i="5"/>
  <c r="Q118" i="5"/>
  <c r="U118" i="5"/>
  <c r="AC118" i="5" s="1"/>
  <c r="AA118" i="5"/>
  <c r="O119" i="5"/>
  <c r="Q119" i="5"/>
  <c r="U119" i="5"/>
  <c r="AC119" i="5" s="1"/>
  <c r="AA119" i="5"/>
  <c r="O120" i="5"/>
  <c r="Q120" i="5"/>
  <c r="U120" i="5"/>
  <c r="AC120" i="5" s="1"/>
  <c r="AA120" i="5"/>
  <c r="O121" i="5"/>
  <c r="Q121" i="5"/>
  <c r="U121" i="5"/>
  <c r="AC121" i="5" s="1"/>
  <c r="AA121" i="5"/>
  <c r="O122" i="5"/>
  <c r="Q122" i="5"/>
  <c r="U122" i="5"/>
  <c r="AC122" i="5" s="1"/>
  <c r="O123" i="5"/>
  <c r="Q123" i="5"/>
  <c r="U123" i="5"/>
  <c r="AC123" i="5" s="1"/>
  <c r="AA123" i="5"/>
  <c r="AA124" i="5"/>
  <c r="O124" i="5"/>
  <c r="Q124" i="5"/>
  <c r="U124" i="5"/>
  <c r="AC124" i="5" s="1"/>
  <c r="O125" i="5"/>
  <c r="Q125" i="5"/>
  <c r="U125" i="5"/>
  <c r="AC125" i="5" s="1"/>
  <c r="AA125" i="5"/>
  <c r="O126" i="5"/>
  <c r="U126" i="5"/>
  <c r="AC126" i="5" s="1"/>
  <c r="W126" i="5"/>
  <c r="X126" i="5"/>
  <c r="AA126" i="5"/>
  <c r="AA127" i="5"/>
  <c r="O127" i="5"/>
  <c r="Q127" i="5"/>
  <c r="U127" i="5"/>
  <c r="AC127" i="5" s="1"/>
  <c r="O128" i="5"/>
  <c r="Q128" i="5"/>
  <c r="U128" i="5"/>
  <c r="AC128" i="5" s="1"/>
  <c r="AA128" i="5"/>
  <c r="K129" i="5"/>
  <c r="V129" i="5"/>
  <c r="O131" i="5"/>
  <c r="Q131" i="5"/>
  <c r="U131" i="5"/>
  <c r="AC131" i="5" s="1"/>
  <c r="AA131" i="5"/>
  <c r="O132" i="5"/>
  <c r="Q132" i="5"/>
  <c r="U132" i="5"/>
  <c r="AC132" i="5" s="1"/>
  <c r="O133" i="5"/>
  <c r="Q133" i="5"/>
  <c r="U133" i="5"/>
  <c r="AC133" i="5" s="1"/>
  <c r="AA133" i="5"/>
  <c r="O134" i="5"/>
  <c r="Q134" i="5"/>
  <c r="U134" i="5"/>
  <c r="AC134" i="5" s="1"/>
  <c r="O135" i="5"/>
  <c r="Q135" i="5"/>
  <c r="U135" i="5"/>
  <c r="AC135" i="5" s="1"/>
  <c r="AA135" i="5"/>
  <c r="O136" i="5"/>
  <c r="Q136" i="5"/>
  <c r="U136" i="5"/>
  <c r="AC136" i="5" s="1"/>
  <c r="O137" i="5"/>
  <c r="Q137" i="5"/>
  <c r="U137" i="5"/>
  <c r="AC137" i="5" s="1"/>
  <c r="AA137" i="5"/>
  <c r="K138" i="5"/>
  <c r="V138" i="5"/>
  <c r="O140" i="5"/>
  <c r="Q140" i="5"/>
  <c r="U140" i="5"/>
  <c r="AC140" i="5" s="1"/>
  <c r="AA140" i="5"/>
  <c r="O141" i="5"/>
  <c r="Q141" i="5"/>
  <c r="U141" i="5"/>
  <c r="AC141" i="5" s="1"/>
  <c r="O142" i="5"/>
  <c r="Q142" i="5"/>
  <c r="U142" i="5"/>
  <c r="AC142" i="5" s="1"/>
  <c r="AA142" i="5"/>
  <c r="O143" i="5"/>
  <c r="Q143" i="5"/>
  <c r="U143" i="5"/>
  <c r="AC143" i="5" s="1"/>
  <c r="O144" i="5"/>
  <c r="Q144" i="5"/>
  <c r="U144" i="5"/>
  <c r="AC144" i="5" s="1"/>
  <c r="K145" i="5"/>
  <c r="O147" i="5"/>
  <c r="Q147" i="5"/>
  <c r="U147" i="5"/>
  <c r="AC147" i="5" s="1"/>
  <c r="AA147" i="5"/>
  <c r="O148" i="5"/>
  <c r="Q148" i="5"/>
  <c r="U148" i="5"/>
  <c r="AC148" i="5" s="1"/>
  <c r="O149" i="5"/>
  <c r="Q149" i="5"/>
  <c r="U149" i="5"/>
  <c r="AC149" i="5" s="1"/>
  <c r="AA149" i="5"/>
  <c r="O150" i="5"/>
  <c r="Q150" i="5"/>
  <c r="U150" i="5"/>
  <c r="AC150" i="5" s="1"/>
  <c r="O151" i="5"/>
  <c r="Q151" i="5"/>
  <c r="U151" i="5"/>
  <c r="AC151" i="5" s="1"/>
  <c r="K152" i="5"/>
  <c r="O154" i="5"/>
  <c r="Q154" i="5"/>
  <c r="U154" i="5"/>
  <c r="AC154" i="5" s="1"/>
  <c r="AA154" i="5"/>
  <c r="O155" i="5"/>
  <c r="Q155" i="5"/>
  <c r="U155" i="5"/>
  <c r="AC155" i="5" s="1"/>
  <c r="AA155" i="5"/>
  <c r="O156" i="5"/>
  <c r="Q156" i="5"/>
  <c r="U156" i="5"/>
  <c r="AC156" i="5" s="1"/>
  <c r="AA156" i="5"/>
  <c r="O157" i="5"/>
  <c r="Q157" i="5"/>
  <c r="U157" i="5"/>
  <c r="AC157" i="5" s="1"/>
  <c r="O158" i="5"/>
  <c r="Q158" i="5"/>
  <c r="U158" i="5"/>
  <c r="AC158" i="5" s="1"/>
  <c r="O159" i="5"/>
  <c r="Q159" i="5"/>
  <c r="U159" i="5"/>
  <c r="AC159" i="5" s="1"/>
  <c r="O160" i="5"/>
  <c r="Q160" i="5"/>
  <c r="U160" i="5"/>
  <c r="AC160" i="5" s="1"/>
  <c r="K161" i="5"/>
  <c r="O163" i="5"/>
  <c r="Q163" i="5"/>
  <c r="U163" i="5"/>
  <c r="AC163" i="5" s="1"/>
  <c r="AC164" i="5" s="1"/>
  <c r="K164" i="5"/>
  <c r="O166" i="5"/>
  <c r="Q166" i="5"/>
  <c r="U166" i="5"/>
  <c r="AC166" i="5" s="1"/>
  <c r="AA166" i="5"/>
  <c r="O167" i="5"/>
  <c r="Q167" i="5"/>
  <c r="U167" i="5"/>
  <c r="AC167" i="5" s="1"/>
  <c r="AA167" i="5"/>
  <c r="J168" i="5"/>
  <c r="K168" i="5"/>
  <c r="O170" i="5"/>
  <c r="Q170" i="5"/>
  <c r="U170" i="5"/>
  <c r="AC170" i="5" s="1"/>
  <c r="AA170" i="5"/>
  <c r="O171" i="5"/>
  <c r="Q171" i="5"/>
  <c r="U171" i="5"/>
  <c r="AC171" i="5" s="1"/>
  <c r="AA171" i="5"/>
  <c r="J172" i="5"/>
  <c r="K172" i="5"/>
  <c r="O174" i="5"/>
  <c r="Q174" i="5"/>
  <c r="U174" i="5"/>
  <c r="AC174" i="5" s="1"/>
  <c r="O175" i="5"/>
  <c r="Q175" i="5"/>
  <c r="U175" i="5"/>
  <c r="AC175" i="5" s="1"/>
  <c r="AA175" i="5"/>
  <c r="K176" i="5"/>
  <c r="D12" i="4"/>
  <c r="D13" i="4"/>
  <c r="D14" i="4"/>
  <c r="D15" i="4"/>
  <c r="D16" i="4"/>
  <c r="D17" i="4"/>
  <c r="D18" i="4"/>
  <c r="H72" i="4"/>
  <c r="E72" i="4"/>
  <c r="H170" i="4"/>
  <c r="F170" i="4"/>
  <c r="E170" i="4"/>
  <c r="D169" i="4"/>
  <c r="D168" i="4"/>
  <c r="D167" i="4"/>
  <c r="D166" i="4"/>
  <c r="D165" i="4"/>
  <c r="H163" i="4"/>
  <c r="E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H107" i="4"/>
  <c r="E107" i="4"/>
  <c r="D106" i="4"/>
  <c r="D105" i="4"/>
  <c r="D104" i="4"/>
  <c r="D103" i="4"/>
  <c r="H101" i="4"/>
  <c r="E101" i="4"/>
  <c r="D100" i="4"/>
  <c r="D99" i="4"/>
  <c r="H97" i="4"/>
  <c r="E97" i="4"/>
  <c r="D96" i="4"/>
  <c r="D95" i="4"/>
  <c r="D94" i="4"/>
  <c r="D93" i="4"/>
  <c r="D92" i="4"/>
  <c r="D91" i="4"/>
  <c r="D90" i="4"/>
  <c r="D89" i="4"/>
  <c r="D88" i="4"/>
  <c r="D87" i="4"/>
  <c r="D86" i="4"/>
  <c r="D85" i="4"/>
  <c r="D70" i="4"/>
  <c r="D69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H34" i="4"/>
  <c r="E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W31" i="5" l="1"/>
  <c r="X31" i="5"/>
  <c r="AK126" i="5"/>
  <c r="BS41" i="5"/>
  <c r="BS16" i="5"/>
  <c r="BS13" i="5"/>
  <c r="BS71" i="5"/>
  <c r="BS45" i="5"/>
  <c r="BS43" i="5"/>
  <c r="BS34" i="5"/>
  <c r="BS20" i="5"/>
  <c r="BS15" i="5"/>
  <c r="BS53" i="5"/>
  <c r="BS51" i="5"/>
  <c r="BS49" i="5"/>
  <c r="BS38" i="5"/>
  <c r="BS36" i="5"/>
  <c r="BS28" i="5"/>
  <c r="BS26" i="5"/>
  <c r="BS90" i="5"/>
  <c r="BS74" i="5"/>
  <c r="BS21" i="5"/>
  <c r="BS17" i="5"/>
  <c r="BS12" i="5"/>
  <c r="BS85" i="5"/>
  <c r="BS46" i="5"/>
  <c r="BS44" i="5"/>
  <c r="BS30" i="5"/>
  <c r="BS18" i="5"/>
  <c r="BS8" i="5"/>
  <c r="BS93" i="5"/>
  <c r="BS87" i="5"/>
  <c r="BS54" i="5"/>
  <c r="BS52" i="5"/>
  <c r="BS50" i="5"/>
  <c r="BS48" i="5"/>
  <c r="BS29" i="5"/>
  <c r="BS27" i="5"/>
  <c r="BS10" i="5"/>
  <c r="BS75" i="5"/>
  <c r="BS56" i="5"/>
  <c r="I70" i="4"/>
  <c r="AL126" i="5"/>
  <c r="AM126" i="5" s="1"/>
  <c r="I136" i="4"/>
  <c r="I24" i="4"/>
  <c r="I22" i="4"/>
  <c r="I105" i="4"/>
  <c r="I37" i="4"/>
  <c r="I123" i="4"/>
  <c r="I121" i="4"/>
  <c r="I104" i="4"/>
  <c r="I99" i="4"/>
  <c r="I21" i="4"/>
  <c r="I49" i="4"/>
  <c r="I16" i="4"/>
  <c r="I14" i="4"/>
  <c r="I103" i="4"/>
  <c r="I86" i="4"/>
  <c r="I50" i="4"/>
  <c r="I132" i="4"/>
  <c r="I87" i="4"/>
  <c r="I19" i="4"/>
  <c r="I46" i="4"/>
  <c r="AK63" i="5"/>
  <c r="AB63" i="5"/>
  <c r="AK65" i="5"/>
  <c r="AB65" i="5"/>
  <c r="AC172" i="5"/>
  <c r="AL65" i="5"/>
  <c r="AC168" i="5"/>
  <c r="AC161" i="5"/>
  <c r="AC91" i="5"/>
  <c r="AC83" i="5"/>
  <c r="AA63" i="5"/>
  <c r="AD63" i="5" s="1"/>
  <c r="AL63" i="5"/>
  <c r="AC32" i="5"/>
  <c r="AC152" i="5"/>
  <c r="K178" i="5"/>
  <c r="AC145" i="5"/>
  <c r="AC61" i="5"/>
  <c r="AC176" i="5"/>
  <c r="AC138" i="5"/>
  <c r="AC129" i="5"/>
  <c r="X157" i="5"/>
  <c r="V157" i="5"/>
  <c r="W122" i="5"/>
  <c r="X43" i="5"/>
  <c r="W19" i="5"/>
  <c r="V156" i="5"/>
  <c r="W154" i="5"/>
  <c r="V141" i="5"/>
  <c r="W133" i="5"/>
  <c r="X127" i="5"/>
  <c r="W115" i="5"/>
  <c r="W113" i="5"/>
  <c r="W111" i="5"/>
  <c r="V42" i="5"/>
  <c r="W16" i="5"/>
  <c r="W14" i="5"/>
  <c r="W12" i="5"/>
  <c r="X174" i="5"/>
  <c r="V142" i="5"/>
  <c r="X124" i="5"/>
  <c r="X34" i="5"/>
  <c r="V166" i="5"/>
  <c r="X143" i="5"/>
  <c r="W135" i="5"/>
  <c r="W121" i="5"/>
  <c r="W119" i="5"/>
  <c r="V68" i="5"/>
  <c r="W59" i="5"/>
  <c r="W44" i="5"/>
  <c r="V35" i="5"/>
  <c r="W25" i="5"/>
  <c r="W20" i="5"/>
  <c r="W18" i="5"/>
  <c r="W7" i="5"/>
  <c r="X147" i="5"/>
  <c r="V63" i="5"/>
  <c r="V50" i="5"/>
  <c r="W27" i="5"/>
  <c r="W9" i="5"/>
  <c r="W175" i="5"/>
  <c r="W137" i="5"/>
  <c r="V93" i="5"/>
  <c r="W52" i="5"/>
  <c r="W29" i="5"/>
  <c r="V171" i="5"/>
  <c r="V149" i="5"/>
  <c r="V95" i="5"/>
  <c r="W56" i="5"/>
  <c r="W22" i="5"/>
  <c r="W11" i="5"/>
  <c r="X125" i="5"/>
  <c r="V87" i="5"/>
  <c r="V37" i="5"/>
  <c r="W159" i="5"/>
  <c r="V151" i="5"/>
  <c r="X140" i="5"/>
  <c r="X134" i="5"/>
  <c r="W112" i="5"/>
  <c r="W110" i="5"/>
  <c r="W58" i="5"/>
  <c r="V41" i="5"/>
  <c r="W24" i="5"/>
  <c r="W17" i="5"/>
  <c r="V163" i="5"/>
  <c r="W136" i="5"/>
  <c r="X120" i="5"/>
  <c r="V78" i="5"/>
  <c r="W45" i="5"/>
  <c r="X144" i="5"/>
  <c r="W94" i="5"/>
  <c r="V88" i="5"/>
  <c r="W82" i="5"/>
  <c r="V64" i="5"/>
  <c r="W55" i="5"/>
  <c r="X53" i="5"/>
  <c r="W51" i="5"/>
  <c r="X49" i="5"/>
  <c r="V38" i="5"/>
  <c r="W36" i="5"/>
  <c r="W28" i="5"/>
  <c r="W26" i="5"/>
  <c r="W10" i="5"/>
  <c r="W128" i="5"/>
  <c r="X118" i="5"/>
  <c r="V86" i="5"/>
  <c r="V47" i="5"/>
  <c r="X30" i="5"/>
  <c r="V158" i="5"/>
  <c r="X150" i="5"/>
  <c r="W131" i="5"/>
  <c r="V90" i="5"/>
  <c r="W66" i="5"/>
  <c r="W57" i="5"/>
  <c r="W40" i="5"/>
  <c r="W23" i="5"/>
  <c r="W21" i="5"/>
  <c r="U65" i="5"/>
  <c r="X29" i="5"/>
  <c r="V55" i="5"/>
  <c r="W120" i="5"/>
  <c r="X111" i="5"/>
  <c r="V159" i="5"/>
  <c r="K98" i="5"/>
  <c r="W134" i="5"/>
  <c r="V82" i="5"/>
  <c r="X50" i="5"/>
  <c r="X23" i="5"/>
  <c r="W50" i="5"/>
  <c r="V40" i="5"/>
  <c r="AA168" i="5"/>
  <c r="AA172" i="5"/>
  <c r="X151" i="5"/>
  <c r="W118" i="5"/>
  <c r="X115" i="5"/>
  <c r="X90" i="5"/>
  <c r="I138" i="4"/>
  <c r="X65" i="5"/>
  <c r="X7" i="5"/>
  <c r="I26" i="4"/>
  <c r="U63" i="5"/>
  <c r="X10" i="5"/>
  <c r="AD23" i="5"/>
  <c r="AD37" i="5"/>
  <c r="AD89" i="5"/>
  <c r="X63" i="5"/>
  <c r="X149" i="5"/>
  <c r="W140" i="5"/>
  <c r="W63" i="5"/>
  <c r="W53" i="5"/>
  <c r="X17" i="5"/>
  <c r="X175" i="5"/>
  <c r="W171" i="5"/>
  <c r="W166" i="5"/>
  <c r="X156" i="5"/>
  <c r="V154" i="5"/>
  <c r="X154" i="5"/>
  <c r="W149" i="5"/>
  <c r="W147" i="5"/>
  <c r="V144" i="5"/>
  <c r="X142" i="5"/>
  <c r="V140" i="5"/>
  <c r="X137" i="5"/>
  <c r="X136" i="5"/>
  <c r="X128" i="5"/>
  <c r="X119" i="5"/>
  <c r="X110" i="5"/>
  <c r="X87" i="5"/>
  <c r="V66" i="5"/>
  <c r="V53" i="5"/>
  <c r="V51" i="5"/>
  <c r="X51" i="5"/>
  <c r="W49" i="5"/>
  <c r="X44" i="5"/>
  <c r="X41" i="5"/>
  <c r="X36" i="5"/>
  <c r="W30" i="5"/>
  <c r="X28" i="5"/>
  <c r="X20" i="5"/>
  <c r="X171" i="5"/>
  <c r="W156" i="5"/>
  <c r="V147" i="5"/>
  <c r="W142" i="5"/>
  <c r="X121" i="5"/>
  <c r="X112" i="5"/>
  <c r="W93" i="5"/>
  <c r="W87" i="5"/>
  <c r="W86" i="5"/>
  <c r="X56" i="5"/>
  <c r="V49" i="5"/>
  <c r="W41" i="5"/>
  <c r="X16" i="5"/>
  <c r="I12" i="4"/>
  <c r="I28" i="4"/>
  <c r="Y126" i="5"/>
  <c r="AD72" i="5"/>
  <c r="BS72" i="5" s="1"/>
  <c r="AA72" i="5"/>
  <c r="X163" i="5"/>
  <c r="J164" i="5"/>
  <c r="AA163" i="5"/>
  <c r="AA164" i="5" s="1"/>
  <c r="V160" i="5"/>
  <c r="W148" i="5"/>
  <c r="X148" i="5"/>
  <c r="J152" i="5"/>
  <c r="AA132" i="5"/>
  <c r="J138" i="5"/>
  <c r="V74" i="5"/>
  <c r="W74" i="5"/>
  <c r="X74" i="5"/>
  <c r="J69" i="5"/>
  <c r="W67" i="5"/>
  <c r="X67" i="5"/>
  <c r="I44" i="4"/>
  <c r="I41" i="4"/>
  <c r="W8" i="5"/>
  <c r="X8" i="5"/>
  <c r="W155" i="5"/>
  <c r="X155" i="5"/>
  <c r="J161" i="5"/>
  <c r="W124" i="5"/>
  <c r="J129" i="5"/>
  <c r="X109" i="5"/>
  <c r="AA109" i="5"/>
  <c r="V94" i="5"/>
  <c r="V85" i="5"/>
  <c r="W85" i="5"/>
  <c r="X85" i="5"/>
  <c r="V81" i="5"/>
  <c r="X81" i="5"/>
  <c r="AA60" i="5"/>
  <c r="AD60" i="5" s="1"/>
  <c r="X60" i="5"/>
  <c r="X47" i="5"/>
  <c r="W47" i="5"/>
  <c r="AA47" i="5"/>
  <c r="AD47" i="5" s="1"/>
  <c r="V175" i="5"/>
  <c r="W174" i="5"/>
  <c r="J176" i="5"/>
  <c r="AA174" i="5"/>
  <c r="AA176" i="5" s="1"/>
  <c r="V170" i="5"/>
  <c r="W170" i="5"/>
  <c r="X170" i="5"/>
  <c r="W114" i="5"/>
  <c r="X114" i="5"/>
  <c r="X113" i="5"/>
  <c r="AA113" i="5"/>
  <c r="I142" i="4"/>
  <c r="X88" i="5"/>
  <c r="W88" i="5"/>
  <c r="AA88" i="5"/>
  <c r="AD88" i="5" s="1"/>
  <c r="AA76" i="5"/>
  <c r="V71" i="5"/>
  <c r="W71" i="5"/>
  <c r="X71" i="5"/>
  <c r="X59" i="5"/>
  <c r="AA59" i="5"/>
  <c r="AD59" i="5" s="1"/>
  <c r="V46" i="5"/>
  <c r="W46" i="5"/>
  <c r="X46" i="5"/>
  <c r="X35" i="5"/>
  <c r="AA35" i="5"/>
  <c r="AD35" i="5" s="1"/>
  <c r="W35" i="5"/>
  <c r="J61" i="5"/>
  <c r="W160" i="5"/>
  <c r="X160" i="5"/>
  <c r="X158" i="5"/>
  <c r="W158" i="5"/>
  <c r="V148" i="5"/>
  <c r="W141" i="5"/>
  <c r="X141" i="5"/>
  <c r="J145" i="5"/>
  <c r="W132" i="5"/>
  <c r="X122" i="5"/>
  <c r="AA122" i="5"/>
  <c r="W117" i="5"/>
  <c r="X117" i="5"/>
  <c r="AA95" i="5"/>
  <c r="AD95" i="5" s="1"/>
  <c r="W95" i="5"/>
  <c r="X95" i="5"/>
  <c r="X68" i="5"/>
  <c r="W68" i="5"/>
  <c r="V67" i="5"/>
  <c r="W64" i="5"/>
  <c r="AA64" i="5"/>
  <c r="AD64" i="5" s="1"/>
  <c r="X64" i="5"/>
  <c r="V167" i="5"/>
  <c r="W167" i="5"/>
  <c r="V155" i="5"/>
  <c r="W109" i="5"/>
  <c r="X94" i="5"/>
  <c r="AA94" i="5"/>
  <c r="AD94" i="5" s="1"/>
  <c r="J96" i="5"/>
  <c r="W60" i="5"/>
  <c r="X42" i="5"/>
  <c r="W42" i="5"/>
  <c r="AA42" i="5"/>
  <c r="AD42" i="5" s="1"/>
  <c r="V174" i="5"/>
  <c r="V150" i="5"/>
  <c r="AA136" i="5"/>
  <c r="X167" i="5"/>
  <c r="W163" i="5"/>
  <c r="AA160" i="5"/>
  <c r="X159" i="5"/>
  <c r="AA159" i="5"/>
  <c r="AA158" i="5"/>
  <c r="W151" i="5"/>
  <c r="AA151" i="5"/>
  <c r="AA148" i="5"/>
  <c r="W144" i="5"/>
  <c r="AA144" i="5"/>
  <c r="AA141" i="5"/>
  <c r="AA134" i="5"/>
  <c r="X132" i="5"/>
  <c r="W123" i="5"/>
  <c r="X123" i="5"/>
  <c r="V89" i="5"/>
  <c r="W89" i="5"/>
  <c r="X89" i="5"/>
  <c r="X78" i="5"/>
  <c r="W78" i="5"/>
  <c r="AA78" i="5"/>
  <c r="AD78" i="5" s="1"/>
  <c r="J79" i="5"/>
  <c r="AA68" i="5"/>
  <c r="AD68" i="5" s="1"/>
  <c r="AA67" i="5"/>
  <c r="AD67" i="5" s="1"/>
  <c r="AA57" i="5"/>
  <c r="AD57" i="5" s="1"/>
  <c r="X57" i="5"/>
  <c r="X55" i="5"/>
  <c r="AA55" i="5"/>
  <c r="AD55" i="5" s="1"/>
  <c r="AA24" i="5"/>
  <c r="AD24" i="5" s="1"/>
  <c r="X24" i="5"/>
  <c r="W143" i="5"/>
  <c r="I141" i="4"/>
  <c r="V75" i="5"/>
  <c r="W75" i="5"/>
  <c r="X75" i="5"/>
  <c r="W65" i="5"/>
  <c r="AA65" i="5"/>
  <c r="AD65" i="5" s="1"/>
  <c r="V65" i="5"/>
  <c r="V54" i="5"/>
  <c r="W54" i="5"/>
  <c r="X54" i="5"/>
  <c r="I120" i="4"/>
  <c r="V48" i="5"/>
  <c r="X48" i="5"/>
  <c r="W48" i="5"/>
  <c r="I23" i="4"/>
  <c r="W39" i="5"/>
  <c r="X39" i="5"/>
  <c r="I54" i="4"/>
  <c r="AA22" i="5"/>
  <c r="AD22" i="5" s="1"/>
  <c r="X22" i="5"/>
  <c r="W157" i="5"/>
  <c r="W150" i="5"/>
  <c r="V143" i="5"/>
  <c r="W127" i="5"/>
  <c r="W125" i="5"/>
  <c r="W116" i="5"/>
  <c r="X116" i="5"/>
  <c r="X86" i="5"/>
  <c r="AA86" i="5"/>
  <c r="AD86" i="5" s="1"/>
  <c r="J91" i="5"/>
  <c r="X166" i="5"/>
  <c r="AA157" i="5"/>
  <c r="AA150" i="5"/>
  <c r="AA143" i="5"/>
  <c r="X135" i="5"/>
  <c r="X133" i="5"/>
  <c r="X131" i="5"/>
  <c r="X93" i="5"/>
  <c r="X82" i="5"/>
  <c r="AA82" i="5"/>
  <c r="AD82" i="5" s="1"/>
  <c r="W81" i="5"/>
  <c r="AA81" i="5"/>
  <c r="AD81" i="5" s="1"/>
  <c r="X66" i="5"/>
  <c r="AA66" i="5"/>
  <c r="AD66" i="5" s="1"/>
  <c r="X58" i="5"/>
  <c r="AA58" i="5"/>
  <c r="AD58" i="5" s="1"/>
  <c r="I122" i="4"/>
  <c r="J32" i="5"/>
  <c r="I39" i="4"/>
  <c r="V43" i="5"/>
  <c r="W43" i="5"/>
  <c r="I47" i="4"/>
  <c r="W13" i="5"/>
  <c r="X13" i="5"/>
  <c r="X12" i="5"/>
  <c r="AA11" i="5"/>
  <c r="AD11" i="5" s="1"/>
  <c r="X11" i="5"/>
  <c r="W90" i="5"/>
  <c r="V52" i="5"/>
  <c r="X52" i="5"/>
  <c r="I27" i="4"/>
  <c r="X45" i="5"/>
  <c r="X40" i="5"/>
  <c r="AA40" i="5"/>
  <c r="AD40" i="5" s="1"/>
  <c r="AA39" i="5"/>
  <c r="AD39" i="5" s="1"/>
  <c r="X37" i="5"/>
  <c r="W37" i="5"/>
  <c r="AA31" i="5"/>
  <c r="AD31" i="5" s="1"/>
  <c r="X14" i="5"/>
  <c r="AA14" i="5"/>
  <c r="AD14" i="5" s="1"/>
  <c r="AA9" i="5"/>
  <c r="AD9" i="5" s="1"/>
  <c r="X9" i="5"/>
  <c r="W38" i="5"/>
  <c r="X38" i="5"/>
  <c r="V34" i="5"/>
  <c r="W34" i="5"/>
  <c r="I42" i="4"/>
  <c r="X27" i="5"/>
  <c r="X26" i="5"/>
  <c r="X25" i="5"/>
  <c r="AA25" i="5"/>
  <c r="AD25" i="5" s="1"/>
  <c r="AA19" i="5"/>
  <c r="AD19" i="5" s="1"/>
  <c r="X19" i="5"/>
  <c r="I45" i="4"/>
  <c r="X21" i="5"/>
  <c r="X18" i="5"/>
  <c r="W15" i="5"/>
  <c r="X15" i="5"/>
  <c r="AA7" i="5"/>
  <c r="AD7" i="5" s="1"/>
  <c r="H172" i="4"/>
  <c r="E172" i="4"/>
  <c r="AP26" i="5" l="1"/>
  <c r="AK148" i="5"/>
  <c r="AK166" i="5"/>
  <c r="AN41" i="5"/>
  <c r="AN42" i="5"/>
  <c r="AJ143" i="5"/>
  <c r="AL170" i="5"/>
  <c r="AO30" i="5"/>
  <c r="AO51" i="5"/>
  <c r="AO44" i="5"/>
  <c r="AO19" i="5"/>
  <c r="AP14" i="5"/>
  <c r="AO68" i="5"/>
  <c r="AL160" i="5"/>
  <c r="AN46" i="5"/>
  <c r="AO88" i="5"/>
  <c r="AK170" i="5"/>
  <c r="AN94" i="5"/>
  <c r="AP8" i="5"/>
  <c r="AO74" i="5"/>
  <c r="AP16" i="5"/>
  <c r="AP87" i="5"/>
  <c r="AJ144" i="5"/>
  <c r="AL175" i="5"/>
  <c r="AL176" i="5" s="1"/>
  <c r="AN55" i="5"/>
  <c r="AN90" i="5"/>
  <c r="AK128" i="5"/>
  <c r="AK110" i="5"/>
  <c r="AO52" i="5"/>
  <c r="AN63" i="5"/>
  <c r="AO59" i="5"/>
  <c r="AK113" i="5"/>
  <c r="AP43" i="5"/>
  <c r="AO15" i="5"/>
  <c r="AK158" i="5"/>
  <c r="AN37" i="5"/>
  <c r="AJ156" i="5"/>
  <c r="AP82" i="5"/>
  <c r="AN67" i="5"/>
  <c r="AN85" i="5"/>
  <c r="AN66" i="5"/>
  <c r="AO29" i="5"/>
  <c r="AO34" i="5"/>
  <c r="AO13" i="5"/>
  <c r="AL131" i="5"/>
  <c r="AK157" i="5"/>
  <c r="AJ155" i="5"/>
  <c r="AK132" i="5"/>
  <c r="AK160" i="5"/>
  <c r="AJ170" i="5"/>
  <c r="AO8" i="5"/>
  <c r="AN74" i="5"/>
  <c r="AO41" i="5"/>
  <c r="AK142" i="5"/>
  <c r="AK147" i="5"/>
  <c r="AP50" i="5"/>
  <c r="AP29" i="5"/>
  <c r="AK131" i="5"/>
  <c r="AO10" i="5"/>
  <c r="AO55" i="5"/>
  <c r="AK112" i="5"/>
  <c r="AO11" i="5"/>
  <c r="AN93" i="5"/>
  <c r="AL147" i="5"/>
  <c r="AN68" i="5"/>
  <c r="AJ142" i="5"/>
  <c r="AK115" i="5"/>
  <c r="AK122" i="5"/>
  <c r="AN54" i="5"/>
  <c r="AK117" i="5"/>
  <c r="AO85" i="5"/>
  <c r="AN53" i="5"/>
  <c r="AN40" i="5"/>
  <c r="AL144" i="5"/>
  <c r="AN35" i="5"/>
  <c r="AN65" i="5"/>
  <c r="AJ150" i="5"/>
  <c r="AO46" i="5"/>
  <c r="AK155" i="5"/>
  <c r="AL142" i="5"/>
  <c r="AK120" i="5"/>
  <c r="AO58" i="5"/>
  <c r="AK111" i="5"/>
  <c r="AP93" i="5"/>
  <c r="AJ174" i="5"/>
  <c r="AO65" i="5"/>
  <c r="AN34" i="5"/>
  <c r="AP31" i="5"/>
  <c r="AP52" i="5"/>
  <c r="AP86" i="5"/>
  <c r="AN48" i="5"/>
  <c r="AP75" i="5"/>
  <c r="AP78" i="5"/>
  <c r="AP79" i="5" s="1"/>
  <c r="AL159" i="5"/>
  <c r="AO42" i="5"/>
  <c r="AK167" i="5"/>
  <c r="AL109" i="5"/>
  <c r="AL163" i="5"/>
  <c r="AL164" i="5" s="1"/>
  <c r="AN49" i="5"/>
  <c r="AJ147" i="5"/>
  <c r="AP44" i="5"/>
  <c r="AQ44" i="5" s="1"/>
  <c r="AK149" i="5"/>
  <c r="AO53" i="5"/>
  <c r="AK118" i="5"/>
  <c r="AN82" i="5"/>
  <c r="AL150" i="5"/>
  <c r="AO26" i="5"/>
  <c r="AN64" i="5"/>
  <c r="AK136" i="5"/>
  <c r="AO22" i="5"/>
  <c r="AK137" i="5"/>
  <c r="AO7" i="5"/>
  <c r="AK119" i="5"/>
  <c r="AL174" i="5"/>
  <c r="AJ157" i="5"/>
  <c r="AN86" i="5"/>
  <c r="AJ171" i="5"/>
  <c r="AJ172" i="5" s="1"/>
  <c r="AK151" i="5"/>
  <c r="AO47" i="5"/>
  <c r="AK171" i="5"/>
  <c r="AK172" i="5" s="1"/>
  <c r="AO66" i="5"/>
  <c r="AO45" i="5"/>
  <c r="AN50" i="5"/>
  <c r="AK150" i="5"/>
  <c r="AO48" i="5"/>
  <c r="AK109" i="5"/>
  <c r="AP48" i="5"/>
  <c r="AP38" i="5"/>
  <c r="AO37" i="5"/>
  <c r="AN52" i="5"/>
  <c r="AO43" i="5"/>
  <c r="AO75" i="5"/>
  <c r="AP89" i="5"/>
  <c r="AJ167" i="5"/>
  <c r="AO95" i="5"/>
  <c r="AL141" i="5"/>
  <c r="AO35" i="5"/>
  <c r="AP71" i="5"/>
  <c r="AP72" i="5" s="1"/>
  <c r="AP81" i="5"/>
  <c r="AK156" i="5"/>
  <c r="AO49" i="5"/>
  <c r="AL154" i="5"/>
  <c r="AO63" i="5"/>
  <c r="AL151" i="5"/>
  <c r="AK134" i="5"/>
  <c r="AO21" i="5"/>
  <c r="AJ158" i="5"/>
  <c r="AO28" i="5"/>
  <c r="AO82" i="5"/>
  <c r="AQ82" i="5" s="1"/>
  <c r="AL140" i="5"/>
  <c r="AO56" i="5"/>
  <c r="AK175" i="5"/>
  <c r="AO18" i="5"/>
  <c r="AK121" i="5"/>
  <c r="AO12" i="5"/>
  <c r="AK133" i="5"/>
  <c r="AL157" i="5"/>
  <c r="AM157" i="5" s="1"/>
  <c r="AO39" i="5"/>
  <c r="AK114" i="5"/>
  <c r="AO93" i="5"/>
  <c r="AQ93" i="5" s="1"/>
  <c r="AJ166" i="5"/>
  <c r="AL166" i="5"/>
  <c r="AK123" i="5"/>
  <c r="AL158" i="5"/>
  <c r="AP74" i="5"/>
  <c r="AN87" i="5"/>
  <c r="AP37" i="5"/>
  <c r="AQ37" i="5" s="1"/>
  <c r="AK116" i="5"/>
  <c r="AN75" i="5"/>
  <c r="AO89" i="5"/>
  <c r="AK144" i="5"/>
  <c r="AK163" i="5"/>
  <c r="AO60" i="5"/>
  <c r="AP64" i="5"/>
  <c r="AK141" i="5"/>
  <c r="AK174" i="5"/>
  <c r="AK176" i="5" s="1"/>
  <c r="AN81" i="5"/>
  <c r="AK124" i="5"/>
  <c r="AO86" i="5"/>
  <c r="AL171" i="5"/>
  <c r="AJ154" i="5"/>
  <c r="AM154" i="5" s="1"/>
  <c r="AK140" i="5"/>
  <c r="AO23" i="5"/>
  <c r="AO36" i="5"/>
  <c r="AN88" i="5"/>
  <c r="AO17" i="5"/>
  <c r="AJ151" i="5"/>
  <c r="AN95" i="5"/>
  <c r="AO9" i="5"/>
  <c r="AO20" i="5"/>
  <c r="AK135" i="5"/>
  <c r="AO14" i="5"/>
  <c r="AQ14" i="5" s="1"/>
  <c r="AJ141" i="5"/>
  <c r="AT63" i="5"/>
  <c r="AK127" i="5"/>
  <c r="AK143" i="5"/>
  <c r="AO64" i="5"/>
  <c r="AP46" i="5"/>
  <c r="AL155" i="5"/>
  <c r="AL161" i="5" s="1"/>
  <c r="AJ140" i="5"/>
  <c r="AO57" i="5"/>
  <c r="AO31" i="5"/>
  <c r="AP40" i="5"/>
  <c r="AJ160" i="5"/>
  <c r="AM160" i="5" s="1"/>
  <c r="AO50" i="5"/>
  <c r="AO38" i="5"/>
  <c r="AO90" i="5"/>
  <c r="AN43" i="5"/>
  <c r="AP54" i="5"/>
  <c r="AP25" i="5"/>
  <c r="AO81" i="5"/>
  <c r="AK125" i="5"/>
  <c r="AP39" i="5"/>
  <c r="AO54" i="5"/>
  <c r="AN89" i="5"/>
  <c r="AL167" i="5"/>
  <c r="AL117" i="5"/>
  <c r="AJ148" i="5"/>
  <c r="AP35" i="5"/>
  <c r="AN71" i="5"/>
  <c r="AJ175" i="5"/>
  <c r="AP85" i="5"/>
  <c r="AO67" i="5"/>
  <c r="AL148" i="5"/>
  <c r="AM148" i="5" s="1"/>
  <c r="AO87" i="5"/>
  <c r="AN51" i="5"/>
  <c r="AL156" i="5"/>
  <c r="AL149" i="5"/>
  <c r="AJ159" i="5"/>
  <c r="AM159" i="5" s="1"/>
  <c r="AO40" i="5"/>
  <c r="AN47" i="5"/>
  <c r="AN38" i="5"/>
  <c r="AO94" i="5"/>
  <c r="AO24" i="5"/>
  <c r="AK159" i="5"/>
  <c r="AJ149" i="5"/>
  <c r="AO27" i="5"/>
  <c r="AO25" i="5"/>
  <c r="AL143" i="5"/>
  <c r="AO16" i="5"/>
  <c r="AK154" i="5"/>
  <c r="AS65" i="5"/>
  <c r="BS67" i="5"/>
  <c r="BS64" i="5"/>
  <c r="I125" i="4"/>
  <c r="BS7" i="5"/>
  <c r="BS39" i="5"/>
  <c r="BS9" i="5"/>
  <c r="BS40" i="5"/>
  <c r="BS11" i="5"/>
  <c r="BS82" i="5"/>
  <c r="BS68" i="5"/>
  <c r="BS94" i="5"/>
  <c r="BS47" i="5"/>
  <c r="BS14" i="5"/>
  <c r="BS88" i="5"/>
  <c r="BS89" i="5"/>
  <c r="BS58" i="5"/>
  <c r="BS24" i="5"/>
  <c r="BS78" i="5"/>
  <c r="BS37" i="5"/>
  <c r="BS31" i="5"/>
  <c r="BS86" i="5"/>
  <c r="BS55" i="5"/>
  <c r="BS42" i="5"/>
  <c r="BS59" i="5"/>
  <c r="BS23" i="5"/>
  <c r="BS66" i="5"/>
  <c r="BS60" i="5"/>
  <c r="BS19" i="5"/>
  <c r="BS22" i="5"/>
  <c r="BS25" i="5"/>
  <c r="BS81" i="5"/>
  <c r="BS57" i="5"/>
  <c r="BS95" i="5"/>
  <c r="BS35" i="5"/>
  <c r="H179" i="4"/>
  <c r="AM117" i="5"/>
  <c r="I64" i="4"/>
  <c r="AL118" i="5"/>
  <c r="I30" i="4"/>
  <c r="AL132" i="5"/>
  <c r="I68" i="4"/>
  <c r="AL122" i="5"/>
  <c r="I67" i="4"/>
  <c r="AL121" i="5"/>
  <c r="AM121" i="5" s="1"/>
  <c r="I92" i="4"/>
  <c r="AL125" i="5"/>
  <c r="I69" i="4"/>
  <c r="AL124" i="5"/>
  <c r="AM124" i="5" s="1"/>
  <c r="I58" i="4"/>
  <c r="AL112" i="5"/>
  <c r="AJ161" i="5"/>
  <c r="I56" i="4"/>
  <c r="AL110" i="5"/>
  <c r="AK152" i="5"/>
  <c r="I61" i="4"/>
  <c r="AL115" i="5"/>
  <c r="AM115" i="5" s="1"/>
  <c r="I66" i="4"/>
  <c r="AL120" i="5"/>
  <c r="I65" i="4"/>
  <c r="AL119" i="5"/>
  <c r="AM119" i="5" s="1"/>
  <c r="I32" i="4"/>
  <c r="AL134" i="5"/>
  <c r="AM134" i="5" s="1"/>
  <c r="I93" i="4"/>
  <c r="AL127" i="5"/>
  <c r="I31" i="4"/>
  <c r="AL133" i="5"/>
  <c r="AM133" i="5" s="1"/>
  <c r="I33" i="4"/>
  <c r="AL135" i="5"/>
  <c r="I62" i="4"/>
  <c r="AL116" i="5"/>
  <c r="I94" i="4"/>
  <c r="AL128" i="5"/>
  <c r="AM128" i="5" s="1"/>
  <c r="V164" i="5"/>
  <c r="AJ163" i="5"/>
  <c r="AJ164" i="5" s="1"/>
  <c r="AK164" i="5"/>
  <c r="I59" i="4"/>
  <c r="AL113" i="5"/>
  <c r="I95" i="4"/>
  <c r="AL136" i="5"/>
  <c r="AM125" i="5"/>
  <c r="I60" i="4"/>
  <c r="AL114" i="5"/>
  <c r="I96" i="4"/>
  <c r="AL137" i="5"/>
  <c r="I165" i="4"/>
  <c r="AL123" i="5"/>
  <c r="AM123" i="5" s="1"/>
  <c r="I57" i="4"/>
  <c r="AL111" i="5"/>
  <c r="AM111" i="5" s="1"/>
  <c r="AJ168" i="5"/>
  <c r="AQ75" i="5"/>
  <c r="AO76" i="5"/>
  <c r="AN72" i="5"/>
  <c r="F103" i="4"/>
  <c r="AP28" i="5"/>
  <c r="AQ28" i="5" s="1"/>
  <c r="F125" i="4"/>
  <c r="AP63" i="5"/>
  <c r="F27" i="4"/>
  <c r="AP49" i="5"/>
  <c r="AQ35" i="5"/>
  <c r="F47" i="4"/>
  <c r="AP18" i="5"/>
  <c r="AQ87" i="5"/>
  <c r="F12" i="4"/>
  <c r="AP34" i="5"/>
  <c r="AQ34" i="5" s="1"/>
  <c r="F25" i="4"/>
  <c r="AP47" i="5"/>
  <c r="F14" i="4"/>
  <c r="AP36" i="5"/>
  <c r="F141" i="4"/>
  <c r="AP90" i="5"/>
  <c r="F85" i="4"/>
  <c r="AP23" i="5"/>
  <c r="F122" i="4"/>
  <c r="AP53" i="5"/>
  <c r="V79" i="5"/>
  <c r="AN78" i="5"/>
  <c r="AK69" i="5"/>
  <c r="AK98" i="5" s="1"/>
  <c r="AS63" i="5"/>
  <c r="F38" i="4"/>
  <c r="AP9" i="5"/>
  <c r="F143" i="4"/>
  <c r="AP94" i="5"/>
  <c r="F50" i="4"/>
  <c r="AP21" i="5"/>
  <c r="F23" i="4"/>
  <c r="AP45" i="5"/>
  <c r="AQ45" i="5" s="1"/>
  <c r="F42" i="4"/>
  <c r="AP13" i="5"/>
  <c r="F89" i="4"/>
  <c r="AP58" i="5"/>
  <c r="AQ58" i="5" s="1"/>
  <c r="W79" i="5"/>
  <c r="AO78" i="5"/>
  <c r="AO79" i="5" s="1"/>
  <c r="F130" i="4"/>
  <c r="AP68" i="5"/>
  <c r="F139" i="4"/>
  <c r="AP88" i="5"/>
  <c r="F91" i="4"/>
  <c r="AP60" i="5"/>
  <c r="AN76" i="5"/>
  <c r="F19" i="4"/>
  <c r="AP41" i="5"/>
  <c r="F46" i="4"/>
  <c r="AP17" i="5"/>
  <c r="AQ17" i="5" s="1"/>
  <c r="F44" i="4"/>
  <c r="AP15" i="5"/>
  <c r="AQ15" i="5" s="1"/>
  <c r="F40" i="4"/>
  <c r="AP11" i="5"/>
  <c r="F36" i="4"/>
  <c r="AP7" i="5"/>
  <c r="F54" i="4"/>
  <c r="AP27" i="5"/>
  <c r="F41" i="4"/>
  <c r="AP12" i="5"/>
  <c r="F52" i="4"/>
  <c r="AP24" i="5"/>
  <c r="F51" i="4"/>
  <c r="AP22" i="5"/>
  <c r="AQ22" i="5" s="1"/>
  <c r="AQ48" i="5"/>
  <c r="F124" i="4"/>
  <c r="AP55" i="5"/>
  <c r="F144" i="4"/>
  <c r="AP95" i="5"/>
  <c r="F90" i="4"/>
  <c r="AP59" i="5"/>
  <c r="AQ59" i="5" s="1"/>
  <c r="F39" i="4"/>
  <c r="AP10" i="5"/>
  <c r="AQ10" i="5" s="1"/>
  <c r="AQ26" i="5"/>
  <c r="F49" i="4"/>
  <c r="AP20" i="5"/>
  <c r="AQ20" i="5" s="1"/>
  <c r="AQ25" i="5"/>
  <c r="F127" i="4"/>
  <c r="AP65" i="5"/>
  <c r="AQ65" i="5" s="1"/>
  <c r="F48" i="4"/>
  <c r="AP19" i="5"/>
  <c r="AQ19" i="5" s="1"/>
  <c r="F128" i="4"/>
  <c r="AP66" i="5"/>
  <c r="AQ66" i="5" s="1"/>
  <c r="F88" i="4"/>
  <c r="AP57" i="5"/>
  <c r="F20" i="4"/>
  <c r="AP42" i="5"/>
  <c r="AP83" i="5"/>
  <c r="Y56" i="5"/>
  <c r="AP56" i="5"/>
  <c r="AQ21" i="5"/>
  <c r="AM65" i="5"/>
  <c r="AT65" i="5"/>
  <c r="W72" i="5"/>
  <c r="AO71" i="5"/>
  <c r="AO72" i="5" s="1"/>
  <c r="AN83" i="5"/>
  <c r="F129" i="4"/>
  <c r="AP67" i="5"/>
  <c r="F120" i="4"/>
  <c r="AP51" i="5"/>
  <c r="F105" i="4"/>
  <c r="AP30" i="5"/>
  <c r="AE63" i="5"/>
  <c r="AB69" i="5"/>
  <c r="AB98" i="5" s="1"/>
  <c r="AE65" i="5"/>
  <c r="I15" i="4"/>
  <c r="I85" i="4"/>
  <c r="I140" i="4"/>
  <c r="E179" i="4"/>
  <c r="AL69" i="5"/>
  <c r="AL98" i="5" s="1"/>
  <c r="W83" i="5"/>
  <c r="I154" i="4"/>
  <c r="I149" i="4"/>
  <c r="I156" i="4"/>
  <c r="I147" i="4"/>
  <c r="I162" i="4"/>
  <c r="I155" i="4"/>
  <c r="X164" i="5"/>
  <c r="I166" i="4"/>
  <c r="I100" i="4"/>
  <c r="I101" i="4" s="1"/>
  <c r="M182" i="1" s="1"/>
  <c r="I161" i="4"/>
  <c r="W164" i="5"/>
  <c r="W176" i="5"/>
  <c r="Y124" i="5"/>
  <c r="I150" i="4"/>
  <c r="AC69" i="5"/>
  <c r="AC98" i="5" s="1"/>
  <c r="I169" i="4"/>
  <c r="I145" i="4"/>
  <c r="I153" i="4"/>
  <c r="AC178" i="5"/>
  <c r="I152" i="4"/>
  <c r="I168" i="4"/>
  <c r="I148" i="4"/>
  <c r="AM63" i="5"/>
  <c r="Y111" i="5"/>
  <c r="Y16" i="5"/>
  <c r="Y41" i="5"/>
  <c r="Y29" i="5"/>
  <c r="Y44" i="5"/>
  <c r="Y23" i="5"/>
  <c r="Y175" i="5"/>
  <c r="Y118" i="5"/>
  <c r="Y157" i="5"/>
  <c r="Y30" i="5"/>
  <c r="F21" i="4"/>
  <c r="Y120" i="5"/>
  <c r="Y134" i="5"/>
  <c r="Y26" i="5"/>
  <c r="Y127" i="5"/>
  <c r="Y125" i="5"/>
  <c r="Y136" i="5"/>
  <c r="F104" i="4"/>
  <c r="F28" i="4"/>
  <c r="I160" i="4"/>
  <c r="Y131" i="5"/>
  <c r="Y171" i="5"/>
  <c r="Y90" i="5"/>
  <c r="W172" i="5"/>
  <c r="Y50" i="5"/>
  <c r="Y110" i="5"/>
  <c r="Y149" i="5"/>
  <c r="Y10" i="5"/>
  <c r="Y156" i="5"/>
  <c r="Y68" i="5"/>
  <c r="Y87" i="5"/>
  <c r="Y93" i="5"/>
  <c r="AA161" i="5"/>
  <c r="Y151" i="5"/>
  <c r="V69" i="5"/>
  <c r="Y51" i="5"/>
  <c r="Y63" i="5"/>
  <c r="Y144" i="5"/>
  <c r="Y115" i="5"/>
  <c r="V145" i="5"/>
  <c r="Y60" i="5"/>
  <c r="Y158" i="5"/>
  <c r="Y88" i="5"/>
  <c r="X176" i="5"/>
  <c r="Y7" i="5"/>
  <c r="W69" i="5"/>
  <c r="Y47" i="5"/>
  <c r="Y9" i="5"/>
  <c r="AA145" i="5"/>
  <c r="AA152" i="5"/>
  <c r="Y64" i="5"/>
  <c r="Y142" i="5"/>
  <c r="W96" i="5"/>
  <c r="Y8" i="5"/>
  <c r="Y133" i="5"/>
  <c r="F87" i="4"/>
  <c r="Y20" i="5"/>
  <c r="Y112" i="5"/>
  <c r="F22" i="4"/>
  <c r="Y140" i="5"/>
  <c r="Y53" i="5"/>
  <c r="Y28" i="5"/>
  <c r="BT28" i="5" s="1"/>
  <c r="Y17" i="5"/>
  <c r="BT17" i="5" s="1"/>
  <c r="W32" i="5"/>
  <c r="Y43" i="5"/>
  <c r="W152" i="5"/>
  <c r="Y119" i="5"/>
  <c r="W168" i="5"/>
  <c r="Y141" i="5"/>
  <c r="F45" i="4"/>
  <c r="W61" i="5"/>
  <c r="Y59" i="5"/>
  <c r="Y137" i="5"/>
  <c r="Y49" i="5"/>
  <c r="Y147" i="5"/>
  <c r="Y128" i="5"/>
  <c r="F138" i="4"/>
  <c r="Y154" i="5"/>
  <c r="Y121" i="5"/>
  <c r="Y36" i="5"/>
  <c r="Y159" i="5"/>
  <c r="Y132" i="5"/>
  <c r="Y116" i="5"/>
  <c r="Y117" i="5"/>
  <c r="Y122" i="5"/>
  <c r="Y95" i="5"/>
  <c r="J98" i="5"/>
  <c r="Y89" i="5"/>
  <c r="W91" i="5"/>
  <c r="Y78" i="5"/>
  <c r="Y66" i="5"/>
  <c r="Y65" i="5"/>
  <c r="BT65" i="5" s="1"/>
  <c r="Y67" i="5"/>
  <c r="Y39" i="5"/>
  <c r="Y46" i="5"/>
  <c r="Y37" i="5"/>
  <c r="Y42" i="5"/>
  <c r="Y54" i="5"/>
  <c r="Y35" i="5"/>
  <c r="I48" i="4"/>
  <c r="V61" i="5"/>
  <c r="Y34" i="5"/>
  <c r="F43" i="4"/>
  <c r="I106" i="4"/>
  <c r="I107" i="4" s="1"/>
  <c r="M288" i="1" s="1"/>
  <c r="I17" i="4"/>
  <c r="F121" i="4"/>
  <c r="I89" i="4"/>
  <c r="I128" i="4"/>
  <c r="I135" i="4"/>
  <c r="F137" i="4"/>
  <c r="Y86" i="5"/>
  <c r="F26" i="4"/>
  <c r="I127" i="4"/>
  <c r="I129" i="4"/>
  <c r="AA79" i="5"/>
  <c r="Y167" i="5"/>
  <c r="V168" i="5"/>
  <c r="AA69" i="5"/>
  <c r="Y148" i="5"/>
  <c r="V152" i="5"/>
  <c r="I90" i="4"/>
  <c r="AD76" i="5"/>
  <c r="BS76" i="5" s="1"/>
  <c r="I131" i="4"/>
  <c r="I139" i="4"/>
  <c r="Y135" i="5"/>
  <c r="X76" i="5"/>
  <c r="F131" i="4"/>
  <c r="AA32" i="5"/>
  <c r="F16" i="4"/>
  <c r="Y14" i="5"/>
  <c r="F106" i="4"/>
  <c r="Y31" i="5"/>
  <c r="F15" i="4"/>
  <c r="Y40" i="5"/>
  <c r="F18" i="4"/>
  <c r="Y52" i="5"/>
  <c r="Y13" i="5"/>
  <c r="Y27" i="5"/>
  <c r="F135" i="4"/>
  <c r="Y82" i="5"/>
  <c r="X138" i="5"/>
  <c r="I29" i="4"/>
  <c r="I157" i="4"/>
  <c r="X168" i="5"/>
  <c r="Y22" i="5"/>
  <c r="BT22" i="5" s="1"/>
  <c r="Y48" i="5"/>
  <c r="F123" i="4"/>
  <c r="Y75" i="5"/>
  <c r="I52" i="4"/>
  <c r="I130" i="4"/>
  <c r="F140" i="4"/>
  <c r="W138" i="5"/>
  <c r="Y174" i="5"/>
  <c r="V176" i="5"/>
  <c r="AA96" i="5"/>
  <c r="Y109" i="5"/>
  <c r="W129" i="5"/>
  <c r="X145" i="5"/>
  <c r="I146" i="4"/>
  <c r="F24" i="4"/>
  <c r="V72" i="5"/>
  <c r="Y71" i="5"/>
  <c r="Y113" i="5"/>
  <c r="V172" i="5"/>
  <c r="Y170" i="5"/>
  <c r="I91" i="4"/>
  <c r="X83" i="5"/>
  <c r="F134" i="4"/>
  <c r="V91" i="5"/>
  <c r="Y85" i="5"/>
  <c r="Y94" i="5"/>
  <c r="V96" i="5"/>
  <c r="AA129" i="5"/>
  <c r="W76" i="5"/>
  <c r="AA138" i="5"/>
  <c r="Y163" i="5"/>
  <c r="Y164" i="5" s="1"/>
  <c r="Y15" i="5"/>
  <c r="Y18" i="5"/>
  <c r="Y21" i="5"/>
  <c r="I53" i="4"/>
  <c r="F86" i="4"/>
  <c r="Y38" i="5"/>
  <c r="I43" i="4"/>
  <c r="I18" i="4"/>
  <c r="Y11" i="5"/>
  <c r="Y12" i="5"/>
  <c r="Y58" i="5"/>
  <c r="AA83" i="5"/>
  <c r="Y143" i="5"/>
  <c r="W161" i="5"/>
  <c r="I51" i="4"/>
  <c r="Y24" i="5"/>
  <c r="Y45" i="5"/>
  <c r="BT45" i="5" s="1"/>
  <c r="Y55" i="5"/>
  <c r="I88" i="4"/>
  <c r="F133" i="4"/>
  <c r="X79" i="5"/>
  <c r="Y123" i="5"/>
  <c r="I158" i="4"/>
  <c r="I20" i="4"/>
  <c r="Y166" i="5"/>
  <c r="F126" i="4"/>
  <c r="X69" i="5"/>
  <c r="I63" i="4"/>
  <c r="AA61" i="5"/>
  <c r="Y114" i="5"/>
  <c r="W145" i="5"/>
  <c r="I25" i="4"/>
  <c r="V83" i="5"/>
  <c r="Y81" i="5"/>
  <c r="X129" i="5"/>
  <c r="I55" i="4"/>
  <c r="I151" i="4"/>
  <c r="X161" i="5"/>
  <c r="Y74" i="5"/>
  <c r="V76" i="5"/>
  <c r="Y19" i="5"/>
  <c r="BT19" i="5" s="1"/>
  <c r="Y25" i="5"/>
  <c r="F53" i="4"/>
  <c r="I38" i="4"/>
  <c r="I40" i="4"/>
  <c r="F142" i="4"/>
  <c r="X96" i="5"/>
  <c r="AA91" i="5"/>
  <c r="F17" i="4"/>
  <c r="F132" i="4"/>
  <c r="I124" i="4"/>
  <c r="Y57" i="5"/>
  <c r="Y150" i="5"/>
  <c r="Y155" i="5"/>
  <c r="V161" i="5"/>
  <c r="I144" i="4"/>
  <c r="F13" i="4"/>
  <c r="X61" i="5"/>
  <c r="F99" i="4"/>
  <c r="F101" i="4" s="1"/>
  <c r="K182" i="1" s="1"/>
  <c r="X72" i="5"/>
  <c r="X172" i="5"/>
  <c r="I159" i="4"/>
  <c r="X91" i="5"/>
  <c r="F136" i="4"/>
  <c r="J178" i="5"/>
  <c r="X32" i="5"/>
  <c r="F37" i="4"/>
  <c r="I167" i="4"/>
  <c r="X152" i="5"/>
  <c r="Y160" i="5"/>
  <c r="AQ47" i="5" l="1"/>
  <c r="AM135" i="5"/>
  <c r="AM141" i="5"/>
  <c r="AO96" i="5"/>
  <c r="AQ85" i="5"/>
  <c r="AN96" i="5"/>
  <c r="AM147" i="5"/>
  <c r="AJ145" i="5"/>
  <c r="AQ46" i="5"/>
  <c r="AM140" i="5"/>
  <c r="AM174" i="5"/>
  <c r="AQ54" i="5"/>
  <c r="AM156" i="5"/>
  <c r="AQ52" i="5"/>
  <c r="BT52" i="5" s="1"/>
  <c r="BT14" i="5"/>
  <c r="BT20" i="5"/>
  <c r="AM158" i="5"/>
  <c r="AQ30" i="5"/>
  <c r="AQ36" i="5"/>
  <c r="AM113" i="5"/>
  <c r="AM132" i="5"/>
  <c r="AQ29" i="5"/>
  <c r="BT29" i="5" s="1"/>
  <c r="BT26" i="5"/>
  <c r="AQ31" i="5"/>
  <c r="BT31" i="5" s="1"/>
  <c r="AQ74" i="5"/>
  <c r="AP76" i="5"/>
  <c r="BT74" i="5"/>
  <c r="AM155" i="5"/>
  <c r="BT68" i="5"/>
  <c r="BT23" i="5"/>
  <c r="AQ9" i="5"/>
  <c r="AQ23" i="5"/>
  <c r="AM112" i="5"/>
  <c r="AQ89" i="5"/>
  <c r="AQ68" i="5"/>
  <c r="AQ86" i="5"/>
  <c r="BT86" i="5" s="1"/>
  <c r="AQ64" i="5"/>
  <c r="BT64" i="5" s="1"/>
  <c r="AQ95" i="5"/>
  <c r="BT95" i="5" s="1"/>
  <c r="AO83" i="5"/>
  <c r="AO91" i="5"/>
  <c r="AM144" i="5"/>
  <c r="AQ12" i="5"/>
  <c r="AQ50" i="5"/>
  <c r="BT50" i="5" s="1"/>
  <c r="BT85" i="5"/>
  <c r="BT48" i="5"/>
  <c r="BT30" i="5"/>
  <c r="AM137" i="5"/>
  <c r="AM142" i="5"/>
  <c r="BT25" i="5"/>
  <c r="AM171" i="5"/>
  <c r="AM136" i="5"/>
  <c r="AM109" i="5"/>
  <c r="BT37" i="5"/>
  <c r="BT59" i="5"/>
  <c r="AQ42" i="5"/>
  <c r="BT42" i="5" s="1"/>
  <c r="AQ27" i="5"/>
  <c r="BT27" i="5" s="1"/>
  <c r="AQ60" i="5"/>
  <c r="BT60" i="5" s="1"/>
  <c r="AQ53" i="5"/>
  <c r="BT53" i="5" s="1"/>
  <c r="AM114" i="5"/>
  <c r="AQ16" i="5"/>
  <c r="BT16" i="5" s="1"/>
  <c r="AQ38" i="5"/>
  <c r="BT38" i="5" s="1"/>
  <c r="AL145" i="5"/>
  <c r="AM118" i="5"/>
  <c r="AL168" i="5"/>
  <c r="AM166" i="5"/>
  <c r="AK129" i="5"/>
  <c r="AJ152" i="5"/>
  <c r="AM149" i="5"/>
  <c r="AM167" i="5"/>
  <c r="AM168" i="5" s="1"/>
  <c r="AK168" i="5"/>
  <c r="AL172" i="5"/>
  <c r="AM170" i="5"/>
  <c r="AQ81" i="5"/>
  <c r="AK161" i="5"/>
  <c r="AQ40" i="5"/>
  <c r="BT40" i="5" s="1"/>
  <c r="AN61" i="5"/>
  <c r="AK138" i="5"/>
  <c r="AO32" i="5"/>
  <c r="BT12" i="5"/>
  <c r="BT54" i="5"/>
  <c r="AQ63" i="5"/>
  <c r="BT63" i="5" s="1"/>
  <c r="AO61" i="5"/>
  <c r="AQ39" i="5"/>
  <c r="BT39" i="5" s="1"/>
  <c r="AM150" i="5"/>
  <c r="AL152" i="5"/>
  <c r="BT81" i="5"/>
  <c r="BT15" i="5"/>
  <c r="AM175" i="5"/>
  <c r="AM176" i="5" s="1"/>
  <c r="AJ176" i="5"/>
  <c r="BT89" i="5"/>
  <c r="BT9" i="5"/>
  <c r="BT93" i="5"/>
  <c r="AQ56" i="5"/>
  <c r="BT56" i="5" s="1"/>
  <c r="AQ76" i="5"/>
  <c r="AQ90" i="5"/>
  <c r="BT90" i="5" s="1"/>
  <c r="AQ49" i="5"/>
  <c r="BT49" i="5" s="1"/>
  <c r="AK145" i="5"/>
  <c r="AM127" i="5"/>
  <c r="AM110" i="5"/>
  <c r="AQ43" i="5"/>
  <c r="BT43" i="5" s="1"/>
  <c r="BT36" i="5"/>
  <c r="BT46" i="5"/>
  <c r="BT47" i="5"/>
  <c r="BT87" i="5"/>
  <c r="AQ8" i="5"/>
  <c r="BT8" i="5" s="1"/>
  <c r="AM116" i="5"/>
  <c r="AM120" i="5"/>
  <c r="AM122" i="5"/>
  <c r="AM143" i="5"/>
  <c r="AM145" i="5" s="1"/>
  <c r="BT44" i="5"/>
  <c r="AQ51" i="5"/>
  <c r="BT51" i="5" s="1"/>
  <c r="AQ24" i="5"/>
  <c r="BT24" i="5" s="1"/>
  <c r="AN91" i="5"/>
  <c r="AM131" i="5"/>
  <c r="BT75" i="5"/>
  <c r="BT82" i="5"/>
  <c r="BT10" i="5"/>
  <c r="AQ11" i="5"/>
  <c r="BT11" i="5" s="1"/>
  <c r="BT57" i="5"/>
  <c r="BT21" i="5"/>
  <c r="BT35" i="5"/>
  <c r="BT66" i="5"/>
  <c r="AQ67" i="5"/>
  <c r="BT67" i="5" s="1"/>
  <c r="AQ57" i="5"/>
  <c r="AQ55" i="5"/>
  <c r="BT55" i="5" s="1"/>
  <c r="AQ41" i="5"/>
  <c r="BT41" i="5" s="1"/>
  <c r="AQ13" i="5"/>
  <c r="BT13" i="5" s="1"/>
  <c r="AQ18" i="5"/>
  <c r="BT18" i="5" s="1"/>
  <c r="AM151" i="5"/>
  <c r="Y72" i="5"/>
  <c r="BS63" i="5"/>
  <c r="AM172" i="5"/>
  <c r="BT34" i="5"/>
  <c r="Y79" i="5"/>
  <c r="AU65" i="5"/>
  <c r="BT58" i="5"/>
  <c r="BS65" i="5"/>
  <c r="BU65" i="5"/>
  <c r="AP91" i="5"/>
  <c r="AM161" i="5"/>
  <c r="AE69" i="5"/>
  <c r="AE98" i="5" s="1"/>
  <c r="AL138" i="5"/>
  <c r="AM163" i="5"/>
  <c r="AM164" i="5" s="1"/>
  <c r="AM138" i="5"/>
  <c r="AL129" i="5"/>
  <c r="F97" i="4"/>
  <c r="K136" i="1" s="1"/>
  <c r="Y172" i="5"/>
  <c r="AP96" i="5"/>
  <c r="Y176" i="5"/>
  <c r="AS69" i="5"/>
  <c r="AS98" i="5" s="1"/>
  <c r="AU63" i="5"/>
  <c r="AU69" i="5" s="1"/>
  <c r="AU98" i="5" s="1"/>
  <c r="AQ94" i="5"/>
  <c r="F107" i="4"/>
  <c r="K288" i="1" s="1"/>
  <c r="AP69" i="5"/>
  <c r="AT69" i="5"/>
  <c r="AT98" i="5" s="1"/>
  <c r="AQ88" i="5"/>
  <c r="BT88" i="5" s="1"/>
  <c r="AQ83" i="5"/>
  <c r="AQ78" i="5"/>
  <c r="AQ79" i="5" s="1"/>
  <c r="AN79" i="5"/>
  <c r="AP32" i="5"/>
  <c r="AP61" i="5"/>
  <c r="AQ7" i="5"/>
  <c r="AQ71" i="5"/>
  <c r="AQ72" i="5" s="1"/>
  <c r="AO69" i="5"/>
  <c r="AN69" i="5"/>
  <c r="I170" i="4"/>
  <c r="M422" i="1" s="1"/>
  <c r="Y168" i="5"/>
  <c r="AM69" i="5"/>
  <c r="Y76" i="5"/>
  <c r="BT76" i="5" s="1"/>
  <c r="Y145" i="5"/>
  <c r="Y96" i="5"/>
  <c r="AA178" i="5"/>
  <c r="Y69" i="5"/>
  <c r="Y138" i="5"/>
  <c r="W98" i="5"/>
  <c r="C7" i="6" s="1"/>
  <c r="Y32" i="5"/>
  <c r="F34" i="4"/>
  <c r="K50" i="1" s="1"/>
  <c r="V98" i="5"/>
  <c r="B7" i="6" s="1"/>
  <c r="W178" i="5"/>
  <c r="C11" i="6" s="1"/>
  <c r="I126" i="4"/>
  <c r="AD69" i="5"/>
  <c r="Y61" i="5"/>
  <c r="X98" i="5"/>
  <c r="AD83" i="5"/>
  <c r="BS83" i="5" s="1"/>
  <c r="I134" i="4"/>
  <c r="AD91" i="5"/>
  <c r="BS91" i="5" s="1"/>
  <c r="I137" i="4"/>
  <c r="X178" i="5"/>
  <c r="Y83" i="5"/>
  <c r="I97" i="4"/>
  <c r="M136" i="1" s="1"/>
  <c r="I143" i="4"/>
  <c r="AD96" i="5"/>
  <c r="BS96" i="5" s="1"/>
  <c r="V178" i="5"/>
  <c r="B11" i="6" s="1"/>
  <c r="AD79" i="5"/>
  <c r="BS79" i="5" s="1"/>
  <c r="I133" i="4"/>
  <c r="F163" i="4"/>
  <c r="K387" i="1" s="1"/>
  <c r="Y129" i="5"/>
  <c r="AA98" i="5"/>
  <c r="F71" i="4"/>
  <c r="I71" i="4" s="1"/>
  <c r="Y161" i="5"/>
  <c r="AD61" i="5"/>
  <c r="BS61" i="5" s="1"/>
  <c r="I13" i="4"/>
  <c r="I34" i="4" s="1"/>
  <c r="Y91" i="5"/>
  <c r="AD32" i="5"/>
  <c r="BS32" i="5" s="1"/>
  <c r="I36" i="4"/>
  <c r="Y152" i="5"/>
  <c r="AK178" i="5" l="1"/>
  <c r="AM129" i="5"/>
  <c r="BT79" i="5"/>
  <c r="AJ178" i="5"/>
  <c r="B12" i="6" s="1"/>
  <c r="F7" i="6"/>
  <c r="AQ96" i="5"/>
  <c r="BT96" i="5" s="1"/>
  <c r="AM152" i="5"/>
  <c r="AM178" i="5" s="1"/>
  <c r="C12" i="6"/>
  <c r="F11" i="6"/>
  <c r="AO98" i="5"/>
  <c r="C8" i="6" s="1"/>
  <c r="BT78" i="5"/>
  <c r="BT83" i="5"/>
  <c r="AL178" i="5"/>
  <c r="AQ69" i="5"/>
  <c r="BT69" i="5" s="1"/>
  <c r="AQ91" i="5"/>
  <c r="AQ61" i="5"/>
  <c r="BT61" i="5" s="1"/>
  <c r="AQ32" i="5"/>
  <c r="BT32" i="5" s="1"/>
  <c r="BS69" i="5"/>
  <c r="BU69" i="5"/>
  <c r="BU63" i="5"/>
  <c r="BT71" i="5"/>
  <c r="BT72" i="5"/>
  <c r="BT94" i="5"/>
  <c r="BT7" i="5"/>
  <c r="AN98" i="5"/>
  <c r="B8" i="6" s="1"/>
  <c r="AP98" i="5"/>
  <c r="AM98" i="5"/>
  <c r="M50" i="1"/>
  <c r="Y178" i="5"/>
  <c r="I72" i="4"/>
  <c r="M78" i="1" s="1"/>
  <c r="Y98" i="5"/>
  <c r="AX31" i="5" s="1"/>
  <c r="I163" i="4"/>
  <c r="M387" i="1" s="1"/>
  <c r="AD98" i="5"/>
  <c r="F72" i="4"/>
  <c r="F12" i="6" l="1"/>
  <c r="AQ98" i="5"/>
  <c r="BT98" i="5" s="1"/>
  <c r="BA7" i="5"/>
  <c r="AZ7" i="5"/>
  <c r="BB7" i="5"/>
  <c r="F8" i="6"/>
  <c r="BT91" i="5"/>
  <c r="AV56" i="5"/>
  <c r="AV15" i="5"/>
  <c r="AV23" i="5"/>
  <c r="AV31" i="5"/>
  <c r="AV45" i="5"/>
  <c r="AV10" i="5"/>
  <c r="AV18" i="5"/>
  <c r="AV26" i="5"/>
  <c r="AV39" i="5"/>
  <c r="AV8" i="5"/>
  <c r="AV16" i="5"/>
  <c r="AV24" i="5"/>
  <c r="AV60" i="5"/>
  <c r="AV44" i="5"/>
  <c r="AV36" i="5"/>
  <c r="AV11" i="5"/>
  <c r="AV19" i="5"/>
  <c r="AV27" i="5"/>
  <c r="AV9" i="5"/>
  <c r="AV17" i="5"/>
  <c r="AV25" i="5"/>
  <c r="AV7" i="5"/>
  <c r="AV59" i="5"/>
  <c r="AV12" i="5"/>
  <c r="AV20" i="5"/>
  <c r="AV28" i="5"/>
  <c r="AV14" i="5"/>
  <c r="AV58" i="5"/>
  <c r="AV57" i="5"/>
  <c r="AV29" i="5"/>
  <c r="AV30" i="5"/>
  <c r="AV21" i="5"/>
  <c r="AV22" i="5"/>
  <c r="AV13" i="5"/>
  <c r="AV41" i="5"/>
  <c r="AW19" i="5"/>
  <c r="AX43" i="5"/>
  <c r="AV67" i="5"/>
  <c r="AX21" i="5"/>
  <c r="AW41" i="5"/>
  <c r="AW11" i="5"/>
  <c r="AX95" i="5"/>
  <c r="AV49" i="5"/>
  <c r="AW66" i="5"/>
  <c r="AX66" i="5"/>
  <c r="AX89" i="5"/>
  <c r="AW56" i="5"/>
  <c r="AW12" i="5"/>
  <c r="AX40" i="5"/>
  <c r="AX54" i="5"/>
  <c r="AW81" i="5"/>
  <c r="AX20" i="5"/>
  <c r="AX7" i="5"/>
  <c r="AV38" i="5"/>
  <c r="AW16" i="5"/>
  <c r="AX8" i="5"/>
  <c r="AW59" i="5"/>
  <c r="AX50" i="5"/>
  <c r="AW85" i="5"/>
  <c r="AW47" i="5"/>
  <c r="AW82" i="5"/>
  <c r="AW60" i="5"/>
  <c r="AV88" i="5"/>
  <c r="AX25" i="5"/>
  <c r="AX26" i="5"/>
  <c r="AV94" i="5"/>
  <c r="AX36" i="5"/>
  <c r="AX90" i="5"/>
  <c r="AX53" i="5"/>
  <c r="AV63" i="5"/>
  <c r="AV37" i="5"/>
  <c r="AX68" i="5"/>
  <c r="AW10" i="5"/>
  <c r="AV34" i="5"/>
  <c r="AX86" i="5"/>
  <c r="AX78" i="5"/>
  <c r="AX79" i="5" s="1"/>
  <c r="AX59" i="5"/>
  <c r="AW53" i="5"/>
  <c r="AW22" i="5"/>
  <c r="AX28" i="5"/>
  <c r="AW48" i="5"/>
  <c r="AX38" i="5"/>
  <c r="AX42" i="5"/>
  <c r="AW35" i="5"/>
  <c r="AW28" i="5"/>
  <c r="AV87" i="5"/>
  <c r="AW36" i="5"/>
  <c r="AV95" i="5"/>
  <c r="AW14" i="5"/>
  <c r="AX24" i="5"/>
  <c r="AX15" i="5"/>
  <c r="AV89" i="5"/>
  <c r="AX85" i="5"/>
  <c r="AW9" i="5"/>
  <c r="AV42" i="5"/>
  <c r="AW30" i="5"/>
  <c r="AX14" i="5"/>
  <c r="AV46" i="5"/>
  <c r="AX23" i="5"/>
  <c r="AV78" i="5"/>
  <c r="AW15" i="5"/>
  <c r="AV85" i="5"/>
  <c r="AX60" i="5"/>
  <c r="AV93" i="5"/>
  <c r="AW46" i="5"/>
  <c r="AW58" i="5"/>
  <c r="AX22" i="5"/>
  <c r="AX10" i="5"/>
  <c r="AW26" i="5"/>
  <c r="AX65" i="5"/>
  <c r="AW45" i="5"/>
  <c r="AW49" i="5"/>
  <c r="AV75" i="5"/>
  <c r="AW71" i="5"/>
  <c r="AW72" i="5" s="1"/>
  <c r="AX67" i="5"/>
  <c r="AW38" i="5"/>
  <c r="AX35" i="5"/>
  <c r="AV51" i="5"/>
  <c r="AW94" i="5"/>
  <c r="AW27" i="5"/>
  <c r="AX87" i="5"/>
  <c r="AX41" i="5"/>
  <c r="AW55" i="5"/>
  <c r="AV35" i="5"/>
  <c r="AW37" i="5"/>
  <c r="AX71" i="5"/>
  <c r="AX72" i="5" s="1"/>
  <c r="AW93" i="5"/>
  <c r="AW67" i="5"/>
  <c r="AW51" i="5"/>
  <c r="AW88" i="5"/>
  <c r="AV55" i="5"/>
  <c r="AX18" i="5"/>
  <c r="AV66" i="5"/>
  <c r="AW8" i="5"/>
  <c r="AX12" i="5"/>
  <c r="AX58" i="5"/>
  <c r="AV48" i="5"/>
  <c r="AX44" i="5"/>
  <c r="AV64" i="5"/>
  <c r="AV86" i="5"/>
  <c r="AV50" i="5"/>
  <c r="AW18" i="5"/>
  <c r="AW86" i="5"/>
  <c r="AW64" i="5"/>
  <c r="AW57" i="5"/>
  <c r="AW90" i="5"/>
  <c r="AX9" i="5"/>
  <c r="AX39" i="5"/>
  <c r="AV71" i="5"/>
  <c r="AW40" i="5"/>
  <c r="AW24" i="5"/>
  <c r="AW25" i="5"/>
  <c r="AW44" i="5"/>
  <c r="AV90" i="5"/>
  <c r="AX82" i="5"/>
  <c r="AW68" i="5"/>
  <c r="AW74" i="5"/>
  <c r="AW34" i="5"/>
  <c r="AW78" i="5"/>
  <c r="AW79" i="5" s="1"/>
  <c r="AX29" i="5"/>
  <c r="AV53" i="5"/>
  <c r="AX45" i="5"/>
  <c r="AX52" i="5"/>
  <c r="AW42" i="5"/>
  <c r="AW7" i="5"/>
  <c r="AX13" i="5"/>
  <c r="AV52" i="5"/>
  <c r="AW75" i="5"/>
  <c r="AW95" i="5"/>
  <c r="AX81" i="5"/>
  <c r="AW21" i="5"/>
  <c r="AX37" i="5"/>
  <c r="AW89" i="5"/>
  <c r="AX64" i="5"/>
  <c r="AW17" i="5"/>
  <c r="AW20" i="5"/>
  <c r="AX94" i="5"/>
  <c r="AX63" i="5"/>
  <c r="AV74" i="5"/>
  <c r="AV68" i="5"/>
  <c r="AY68" i="5" s="1"/>
  <c r="AW52" i="5"/>
  <c r="AX88" i="5"/>
  <c r="AV65" i="5"/>
  <c r="AX55" i="5"/>
  <c r="AW29" i="5"/>
  <c r="AX75" i="5"/>
  <c r="AW63" i="5"/>
  <c r="AX47" i="5"/>
  <c r="AV82" i="5"/>
  <c r="AX48" i="5"/>
  <c r="AX57" i="5"/>
  <c r="AX51" i="5"/>
  <c r="AX46" i="5"/>
  <c r="AX49" i="5"/>
  <c r="AW13" i="5"/>
  <c r="AX93" i="5"/>
  <c r="AX56" i="5"/>
  <c r="AW39" i="5"/>
  <c r="AW50" i="5"/>
  <c r="AX11" i="5"/>
  <c r="AX16" i="5"/>
  <c r="AX19" i="5"/>
  <c r="AX30" i="5"/>
  <c r="AV47" i="5"/>
  <c r="AX17" i="5"/>
  <c r="AW54" i="5"/>
  <c r="AX74" i="5"/>
  <c r="AX34" i="5"/>
  <c r="AW87" i="5"/>
  <c r="AV40" i="5"/>
  <c r="AX27" i="5"/>
  <c r="AV81" i="5"/>
  <c r="AW31" i="5"/>
  <c r="AW65" i="5"/>
  <c r="AW23" i="5"/>
  <c r="AV54" i="5"/>
  <c r="AW43" i="5"/>
  <c r="AV43" i="5"/>
  <c r="AN133" i="5"/>
  <c r="AN123" i="5"/>
  <c r="AN115" i="5"/>
  <c r="AN128" i="5"/>
  <c r="AN120" i="5"/>
  <c r="AN112" i="5"/>
  <c r="AN132" i="5"/>
  <c r="AN122" i="5"/>
  <c r="AN114" i="5"/>
  <c r="AN137" i="5"/>
  <c r="AN127" i="5"/>
  <c r="AN119" i="5"/>
  <c r="AN111" i="5"/>
  <c r="AN134" i="5"/>
  <c r="AN124" i="5"/>
  <c r="AN116" i="5"/>
  <c r="AN121" i="5"/>
  <c r="AN113" i="5"/>
  <c r="AN136" i="5"/>
  <c r="AN135" i="5"/>
  <c r="AN126" i="5"/>
  <c r="AN125" i="5"/>
  <c r="AN118" i="5"/>
  <c r="AN109" i="5"/>
  <c r="AN131" i="5"/>
  <c r="BB74" i="5"/>
  <c r="AN117" i="5"/>
  <c r="AN110" i="5"/>
  <c r="BA46" i="5"/>
  <c r="AZ23" i="5"/>
  <c r="BB28" i="5"/>
  <c r="AZ18" i="5"/>
  <c r="BA34" i="5"/>
  <c r="AZ45" i="5"/>
  <c r="BB55" i="5"/>
  <c r="BA78" i="5"/>
  <c r="BA79" i="5" s="1"/>
  <c r="AZ95" i="5"/>
  <c r="BA87" i="5"/>
  <c r="BB66" i="5"/>
  <c r="BB67" i="5"/>
  <c r="BA88" i="5"/>
  <c r="BA54" i="5"/>
  <c r="AZ58" i="5"/>
  <c r="BB88" i="5"/>
  <c r="AZ29" i="5"/>
  <c r="AZ75" i="5"/>
  <c r="BB93" i="5"/>
  <c r="BA41" i="5"/>
  <c r="AZ52" i="5"/>
  <c r="AZ66" i="5"/>
  <c r="BB86" i="5"/>
  <c r="AZ41" i="5"/>
  <c r="AZ34" i="5"/>
  <c r="BA37" i="5"/>
  <c r="AZ48" i="5"/>
  <c r="BB58" i="5"/>
  <c r="BB78" i="5"/>
  <c r="BB79" i="5" s="1"/>
  <c r="BA95" i="5"/>
  <c r="BB23" i="5"/>
  <c r="BB30" i="5"/>
  <c r="AZ20" i="5"/>
  <c r="BA9" i="5"/>
  <c r="AZ43" i="5"/>
  <c r="BB53" i="5"/>
  <c r="BA30" i="5"/>
  <c r="BB19" i="5"/>
  <c r="AZ9" i="5"/>
  <c r="BA43" i="5"/>
  <c r="AZ54" i="5"/>
  <c r="AZ68" i="5"/>
  <c r="BA19" i="5"/>
  <c r="BB8" i="5"/>
  <c r="BA64" i="5"/>
  <c r="BA55" i="5"/>
  <c r="BB29" i="5"/>
  <c r="AZ19" i="5"/>
  <c r="BA8" i="5"/>
  <c r="BB26" i="5"/>
  <c r="AZ16" i="5"/>
  <c r="BA36" i="5"/>
  <c r="AZ47" i="5"/>
  <c r="BB57" i="5"/>
  <c r="BB75" i="5"/>
  <c r="BA94" i="5"/>
  <c r="AZ26" i="5"/>
  <c r="BA15" i="5"/>
  <c r="AZ37" i="5"/>
  <c r="BB47" i="5"/>
  <c r="BA58" i="5"/>
  <c r="AZ85" i="5"/>
  <c r="BA18" i="5"/>
  <c r="AZ90" i="5"/>
  <c r="BA74" i="5"/>
  <c r="AZ93" i="5"/>
  <c r="BB31" i="5"/>
  <c r="BB82" i="5"/>
  <c r="BA93" i="5"/>
  <c r="BA10" i="5"/>
  <c r="AZ30" i="5"/>
  <c r="BB81" i="5"/>
  <c r="AZ15" i="5"/>
  <c r="AZ44" i="5"/>
  <c r="BB54" i="5"/>
  <c r="BB68" i="5"/>
  <c r="BA89" i="5"/>
  <c r="BA20" i="5"/>
  <c r="BA47" i="5"/>
  <c r="AZ40" i="5"/>
  <c r="BB50" i="5"/>
  <c r="AZ64" i="5"/>
  <c r="BA85" i="5"/>
  <c r="BB36" i="5"/>
  <c r="AZ28" i="5"/>
  <c r="BA17" i="5"/>
  <c r="AZ35" i="5"/>
  <c r="BB45" i="5"/>
  <c r="BA56" i="5"/>
  <c r="BB27" i="5"/>
  <c r="AZ17" i="5"/>
  <c r="BA35" i="5"/>
  <c r="AZ46" i="5"/>
  <c r="BB56" i="5"/>
  <c r="BA27" i="5"/>
  <c r="BB16" i="5"/>
  <c r="BA38" i="5"/>
  <c r="BA26" i="5"/>
  <c r="BA71" i="5"/>
  <c r="BA72" i="5" s="1"/>
  <c r="AZ27" i="5"/>
  <c r="BA16" i="5"/>
  <c r="AZ36" i="5"/>
  <c r="AZ24" i="5"/>
  <c r="BA13" i="5"/>
  <c r="AZ39" i="5"/>
  <c r="BB49" i="5"/>
  <c r="BA60" i="5"/>
  <c r="BA82" i="5"/>
  <c r="BB43" i="5"/>
  <c r="BA23" i="5"/>
  <c r="BB12" i="5"/>
  <c r="BB39" i="5"/>
  <c r="BA50" i="5"/>
  <c r="AZ63" i="5"/>
  <c r="BB87" i="5"/>
  <c r="BA39" i="5"/>
  <c r="AZ81" i="5"/>
  <c r="BB95" i="5"/>
  <c r="BB15" i="5"/>
  <c r="BA81" i="5"/>
  <c r="BA12" i="5"/>
  <c r="AZ50" i="5"/>
  <c r="BA86" i="5"/>
  <c r="BB59" i="5"/>
  <c r="BB46" i="5"/>
  <c r="BA57" i="5"/>
  <c r="BA75" i="5"/>
  <c r="AZ94" i="5"/>
  <c r="AZ67" i="5"/>
  <c r="BB60" i="5"/>
  <c r="BB42" i="5"/>
  <c r="BA53" i="5"/>
  <c r="BA67" i="5"/>
  <c r="AZ88" i="5"/>
  <c r="BA25" i="5"/>
  <c r="BB14" i="5"/>
  <c r="BB37" i="5"/>
  <c r="BA48" i="5"/>
  <c r="AZ59" i="5"/>
  <c r="AZ25" i="5"/>
  <c r="BA14" i="5"/>
  <c r="AZ38" i="5"/>
  <c r="BB48" i="5"/>
  <c r="BA59" i="5"/>
  <c r="BB35" i="5"/>
  <c r="BB24" i="5"/>
  <c r="AZ14" i="5"/>
  <c r="AZ65" i="5"/>
  <c r="AZ13" i="5"/>
  <c r="BA24" i="5"/>
  <c r="BB13" i="5"/>
  <c r="BA21" i="5"/>
  <c r="BB10" i="5"/>
  <c r="BB41" i="5"/>
  <c r="BA52" i="5"/>
  <c r="BA66" i="5"/>
  <c r="AZ87" i="5"/>
  <c r="BA31" i="5"/>
  <c r="BB20" i="5"/>
  <c r="AZ10" i="5"/>
  <c r="BA42" i="5"/>
  <c r="AZ53" i="5"/>
  <c r="BB71" i="5"/>
  <c r="BB72" i="5" s="1"/>
  <c r="BA90" i="5"/>
  <c r="BB25" i="5"/>
  <c r="BB52" i="5"/>
  <c r="BA28" i="5"/>
  <c r="BB85" i="5"/>
  <c r="BB9" i="5"/>
  <c r="BB44" i="5"/>
  <c r="AZ86" i="5"/>
  <c r="BC86" i="5" s="1"/>
  <c r="AZ57" i="5"/>
  <c r="AZ78" i="5"/>
  <c r="AZ89" i="5"/>
  <c r="BB38" i="5"/>
  <c r="BA49" i="5"/>
  <c r="AZ60" i="5"/>
  <c r="AZ82" i="5"/>
  <c r="BA51" i="5"/>
  <c r="BB17" i="5"/>
  <c r="AZ71" i="5"/>
  <c r="AZ21" i="5"/>
  <c r="AZ74" i="5"/>
  <c r="AZ51" i="5"/>
  <c r="BA22" i="5"/>
  <c r="AZ8" i="5"/>
  <c r="AZ31" i="5"/>
  <c r="BC31" i="5" s="1"/>
  <c r="BA44" i="5"/>
  <c r="AZ49" i="5"/>
  <c r="BB34" i="5"/>
  <c r="BB51" i="5"/>
  <c r="BB22" i="5"/>
  <c r="BA11" i="5"/>
  <c r="AZ11" i="5"/>
  <c r="BB40" i="5"/>
  <c r="AZ55" i="5"/>
  <c r="BC55" i="5" s="1"/>
  <c r="AZ56" i="5"/>
  <c r="BA40" i="5"/>
  <c r="AZ42" i="5"/>
  <c r="BB18" i="5"/>
  <c r="BB64" i="5"/>
  <c r="AZ22" i="5"/>
  <c r="BB21" i="5"/>
  <c r="BB89" i="5"/>
  <c r="AZ12" i="5"/>
  <c r="BA29" i="5"/>
  <c r="BB94" i="5"/>
  <c r="BB90" i="5"/>
  <c r="BB11" i="5"/>
  <c r="BA45" i="5"/>
  <c r="BA68" i="5"/>
  <c r="AP126" i="5"/>
  <c r="AO126" i="5"/>
  <c r="AP170" i="5"/>
  <c r="AP160" i="5"/>
  <c r="AP121" i="5"/>
  <c r="AO128" i="5"/>
  <c r="AN155" i="5"/>
  <c r="AN142" i="5"/>
  <c r="AN150" i="5"/>
  <c r="AO120" i="5"/>
  <c r="AP150" i="5"/>
  <c r="AO156" i="5"/>
  <c r="AP166" i="5"/>
  <c r="AO116" i="5"/>
  <c r="AO141" i="5"/>
  <c r="AP136" i="5"/>
  <c r="AO127" i="5"/>
  <c r="AP155" i="5"/>
  <c r="AN148" i="5"/>
  <c r="AN149" i="5"/>
  <c r="AN156" i="5"/>
  <c r="AO157" i="5"/>
  <c r="AO109" i="5"/>
  <c r="AP128" i="5"/>
  <c r="AP167" i="5"/>
  <c r="AP137" i="5"/>
  <c r="AP131" i="5"/>
  <c r="AN170" i="5"/>
  <c r="AP115" i="5"/>
  <c r="AO117" i="5"/>
  <c r="AP144" i="5"/>
  <c r="AP174" i="5"/>
  <c r="AO151" i="5"/>
  <c r="AP135" i="5"/>
  <c r="AP151" i="5"/>
  <c r="AO114" i="5"/>
  <c r="AO163" i="5"/>
  <c r="AO164" i="5" s="1"/>
  <c r="AO124" i="5"/>
  <c r="AN167" i="5"/>
  <c r="AO142" i="5"/>
  <c r="AO115" i="5"/>
  <c r="AN174" i="5"/>
  <c r="AN147" i="5"/>
  <c r="AP127" i="5"/>
  <c r="AP116" i="5"/>
  <c r="AO175" i="5"/>
  <c r="AO133" i="5"/>
  <c r="AO123" i="5"/>
  <c r="BA63" i="5"/>
  <c r="AN154" i="5"/>
  <c r="AO143" i="5"/>
  <c r="AN140" i="5"/>
  <c r="AO125" i="5"/>
  <c r="AN159" i="5"/>
  <c r="AO154" i="5"/>
  <c r="AP132" i="5"/>
  <c r="AO132" i="5"/>
  <c r="AP159" i="5"/>
  <c r="AO137" i="5"/>
  <c r="AO134" i="5"/>
  <c r="AP113" i="5"/>
  <c r="AN141" i="5"/>
  <c r="AO148" i="5"/>
  <c r="AO110" i="5"/>
  <c r="AP124" i="5"/>
  <c r="AP110" i="5"/>
  <c r="AP120" i="5"/>
  <c r="AP147" i="5"/>
  <c r="AO122" i="5"/>
  <c r="AO155" i="5"/>
  <c r="AO111" i="5"/>
  <c r="AP109" i="5"/>
  <c r="AO118" i="5"/>
  <c r="AN157" i="5"/>
  <c r="AP112" i="5"/>
  <c r="AN163" i="5"/>
  <c r="AP157" i="5"/>
  <c r="AP111" i="5"/>
  <c r="AP158" i="5"/>
  <c r="AO140" i="5"/>
  <c r="AN160" i="5"/>
  <c r="AO166" i="5"/>
  <c r="AO170" i="5"/>
  <c r="AO113" i="5"/>
  <c r="AO147" i="5"/>
  <c r="AO112" i="5"/>
  <c r="AN143" i="5"/>
  <c r="AN144" i="5"/>
  <c r="AP125" i="5"/>
  <c r="AO158" i="5"/>
  <c r="AP118" i="5"/>
  <c r="AO160" i="5"/>
  <c r="AP119" i="5"/>
  <c r="BB65" i="5"/>
  <c r="AP154" i="5"/>
  <c r="AO174" i="5"/>
  <c r="BB63" i="5"/>
  <c r="AP114" i="5"/>
  <c r="AP148" i="5"/>
  <c r="AP156" i="5"/>
  <c r="BA65" i="5"/>
  <c r="AP122" i="5"/>
  <c r="AP163" i="5"/>
  <c r="AP164" i="5" s="1"/>
  <c r="AP123" i="5"/>
  <c r="AQ123" i="5" s="1"/>
  <c r="AO171" i="5"/>
  <c r="AP140" i="5"/>
  <c r="AP171" i="5"/>
  <c r="AO135" i="5"/>
  <c r="AP143" i="5"/>
  <c r="AN175" i="5"/>
  <c r="AP175" i="5"/>
  <c r="AP149" i="5"/>
  <c r="AP134" i="5"/>
  <c r="AO131" i="5"/>
  <c r="AP133" i="5"/>
  <c r="AN171" i="5"/>
  <c r="AN151" i="5"/>
  <c r="AO159" i="5"/>
  <c r="AO136" i="5"/>
  <c r="AO119" i="5"/>
  <c r="AN158" i="5"/>
  <c r="AO144" i="5"/>
  <c r="AP117" i="5"/>
  <c r="AP141" i="5"/>
  <c r="AP142" i="5"/>
  <c r="AO167" i="5"/>
  <c r="AO149" i="5"/>
  <c r="AO150" i="5"/>
  <c r="AO121" i="5"/>
  <c r="AN166" i="5"/>
  <c r="BS98" i="5"/>
  <c r="BU98" i="5"/>
  <c r="F172" i="4"/>
  <c r="K78" i="1"/>
  <c r="I172" i="4"/>
  <c r="M453" i="1"/>
  <c r="K453" i="1"/>
  <c r="E453" i="1"/>
  <c r="M446" i="1"/>
  <c r="K446" i="1"/>
  <c r="E446" i="1"/>
  <c r="M423" i="1"/>
  <c r="K423" i="1"/>
  <c r="E423" i="1"/>
  <c r="M416" i="1"/>
  <c r="K416" i="1"/>
  <c r="M395" i="1"/>
  <c r="K395" i="1"/>
  <c r="M388" i="1"/>
  <c r="K388" i="1"/>
  <c r="E30" i="3"/>
  <c r="M348" i="1"/>
  <c r="K348" i="1"/>
  <c r="M296" i="1"/>
  <c r="K296" i="1"/>
  <c r="M289" i="1"/>
  <c r="K289" i="1"/>
  <c r="M234" i="1"/>
  <c r="K234" i="1"/>
  <c r="M183" i="1"/>
  <c r="K183" i="1"/>
  <c r="M79" i="1"/>
  <c r="K79" i="1"/>
  <c r="M31" i="1"/>
  <c r="K31" i="1"/>
  <c r="U503" i="1"/>
  <c r="AY90" i="5" l="1"/>
  <c r="BA96" i="5"/>
  <c r="AQ143" i="5"/>
  <c r="AQ110" i="5"/>
  <c r="AO176" i="5"/>
  <c r="AO145" i="5"/>
  <c r="AP176" i="5"/>
  <c r="BC75" i="5"/>
  <c r="BA32" i="5"/>
  <c r="AQ116" i="5"/>
  <c r="AQ122" i="5"/>
  <c r="BC22" i="5"/>
  <c r="BC37" i="5"/>
  <c r="BA69" i="5"/>
  <c r="BC87" i="5"/>
  <c r="BC52" i="5"/>
  <c r="AQ114" i="5"/>
  <c r="AQ133" i="5"/>
  <c r="AY8" i="5"/>
  <c r="AW69" i="5"/>
  <c r="AY35" i="5"/>
  <c r="AY23" i="5"/>
  <c r="AQ132" i="5"/>
  <c r="AZ32" i="5"/>
  <c r="AQ121" i="5"/>
  <c r="BC16" i="5"/>
  <c r="BC82" i="5"/>
  <c r="BC53" i="5"/>
  <c r="BC64" i="5"/>
  <c r="AY54" i="5"/>
  <c r="BC51" i="5"/>
  <c r="BC60" i="5"/>
  <c r="BC20" i="5"/>
  <c r="AQ126" i="5"/>
  <c r="AQ120" i="5"/>
  <c r="AW96" i="5"/>
  <c r="BC14" i="5"/>
  <c r="AQ141" i="5"/>
  <c r="AO138" i="5"/>
  <c r="BB83" i="5"/>
  <c r="BC19" i="5"/>
  <c r="AY37" i="5"/>
  <c r="AY88" i="5"/>
  <c r="AY30" i="5"/>
  <c r="AY59" i="5"/>
  <c r="AY36" i="5"/>
  <c r="AY18" i="5"/>
  <c r="AQ171" i="5"/>
  <c r="BC58" i="5"/>
  <c r="AY66" i="5"/>
  <c r="AY10" i="5"/>
  <c r="BC59" i="5"/>
  <c r="AQ157" i="5"/>
  <c r="BC49" i="5"/>
  <c r="BC89" i="5"/>
  <c r="BC88" i="5"/>
  <c r="BC66" i="5"/>
  <c r="AY86" i="5"/>
  <c r="I179" i="4"/>
  <c r="X181" i="5"/>
  <c r="F179" i="4"/>
  <c r="X180" i="5"/>
  <c r="AQ142" i="5"/>
  <c r="AN138" i="5"/>
  <c r="AQ131" i="5"/>
  <c r="BC7" i="5"/>
  <c r="AO152" i="5"/>
  <c r="AP161" i="5"/>
  <c r="AO129" i="5"/>
  <c r="BC34" i="5"/>
  <c r="AZ61" i="5"/>
  <c r="AN129" i="5"/>
  <c r="AQ109" i="5"/>
  <c r="AY64" i="5"/>
  <c r="AX91" i="5"/>
  <c r="AV32" i="5"/>
  <c r="AY7" i="5"/>
  <c r="AQ159" i="5"/>
  <c r="BC11" i="5"/>
  <c r="BC8" i="5"/>
  <c r="AZ79" i="5"/>
  <c r="BC78" i="5"/>
  <c r="BC79" i="5" s="1"/>
  <c r="BB32" i="5"/>
  <c r="BC36" i="5"/>
  <c r="BC40" i="5"/>
  <c r="BC15" i="5"/>
  <c r="BC9" i="5"/>
  <c r="BC41" i="5"/>
  <c r="BC29" i="5"/>
  <c r="BC23" i="5"/>
  <c r="AQ118" i="5"/>
  <c r="AQ124" i="5"/>
  <c r="AV83" i="5"/>
  <c r="AY81" i="5"/>
  <c r="AX76" i="5"/>
  <c r="AY74" i="5"/>
  <c r="AV76" i="5"/>
  <c r="AY55" i="5"/>
  <c r="AY75" i="5"/>
  <c r="AY89" i="5"/>
  <c r="AV69" i="5"/>
  <c r="AY63" i="5"/>
  <c r="AY67" i="5"/>
  <c r="AY57" i="5"/>
  <c r="AY25" i="5"/>
  <c r="AY60" i="5"/>
  <c r="AY45" i="5"/>
  <c r="BC10" i="5"/>
  <c r="BC24" i="5"/>
  <c r="BC44" i="5"/>
  <c r="AZ91" i="5"/>
  <c r="BC85" i="5"/>
  <c r="AX61" i="5"/>
  <c r="AY52" i="5"/>
  <c r="AY78" i="5"/>
  <c r="AY79" i="5" s="1"/>
  <c r="AV79" i="5"/>
  <c r="AY87" i="5"/>
  <c r="AW83" i="5"/>
  <c r="AY29" i="5"/>
  <c r="AY44" i="5"/>
  <c r="AQ175" i="5"/>
  <c r="AQ151" i="5"/>
  <c r="AQ115" i="5"/>
  <c r="AQ156" i="5"/>
  <c r="AP168" i="5"/>
  <c r="BC42" i="5"/>
  <c r="BC57" i="5"/>
  <c r="BC67" i="5"/>
  <c r="BC50" i="5"/>
  <c r="BC35" i="5"/>
  <c r="BC47" i="5"/>
  <c r="BC95" i="5"/>
  <c r="AQ125" i="5"/>
  <c r="AQ134" i="5"/>
  <c r="AQ112" i="5"/>
  <c r="AY43" i="5"/>
  <c r="AW32" i="5"/>
  <c r="AW61" i="5"/>
  <c r="AY48" i="5"/>
  <c r="AY46" i="5"/>
  <c r="AY49" i="5"/>
  <c r="AY13" i="5"/>
  <c r="AY58" i="5"/>
  <c r="AY17" i="5"/>
  <c r="AY24" i="5"/>
  <c r="AY31" i="5"/>
  <c r="AP129" i="5"/>
  <c r="BC81" i="5"/>
  <c r="AZ83" i="5"/>
  <c r="BC94" i="5"/>
  <c r="AZ96" i="5"/>
  <c r="BC93" i="5"/>
  <c r="AQ111" i="5"/>
  <c r="AW76" i="5"/>
  <c r="AY51" i="5"/>
  <c r="AY93" i="5"/>
  <c r="AV96" i="5"/>
  <c r="AY9" i="5"/>
  <c r="AY16" i="5"/>
  <c r="AO172" i="5"/>
  <c r="AN152" i="5"/>
  <c r="AQ147" i="5"/>
  <c r="AQ148" i="5"/>
  <c r="AP172" i="5"/>
  <c r="BC12" i="5"/>
  <c r="BC74" i="5"/>
  <c r="BC76" i="5" s="1"/>
  <c r="AZ76" i="5"/>
  <c r="BC13" i="5"/>
  <c r="BC38" i="5"/>
  <c r="BA83" i="5"/>
  <c r="AZ69" i="5"/>
  <c r="BC63" i="5"/>
  <c r="BC46" i="5"/>
  <c r="BC28" i="5"/>
  <c r="BA76" i="5"/>
  <c r="AQ135" i="5"/>
  <c r="AQ119" i="5"/>
  <c r="AQ128" i="5"/>
  <c r="AY40" i="5"/>
  <c r="AY47" i="5"/>
  <c r="AV72" i="5"/>
  <c r="AY71" i="5"/>
  <c r="AY72" i="5" s="1"/>
  <c r="AY34" i="5"/>
  <c r="AV61" i="5"/>
  <c r="AY22" i="5"/>
  <c r="AY28" i="5"/>
  <c r="AY27" i="5"/>
  <c r="AY15" i="5"/>
  <c r="AP152" i="5"/>
  <c r="AN145" i="5"/>
  <c r="AQ140" i="5"/>
  <c r="AQ170" i="5"/>
  <c r="AQ172" i="5" s="1"/>
  <c r="AN172" i="5"/>
  <c r="AY14" i="5"/>
  <c r="AP138" i="5"/>
  <c r="AN168" i="5"/>
  <c r="AQ166" i="5"/>
  <c r="AQ144" i="5"/>
  <c r="AP145" i="5"/>
  <c r="AO161" i="5"/>
  <c r="AO168" i="5"/>
  <c r="AN161" i="5"/>
  <c r="AQ154" i="5"/>
  <c r="AQ174" i="5"/>
  <c r="AN176" i="5"/>
  <c r="AQ155" i="5"/>
  <c r="BB61" i="5"/>
  <c r="BC21" i="5"/>
  <c r="BC65" i="5"/>
  <c r="BC30" i="5"/>
  <c r="BC26" i="5"/>
  <c r="BC43" i="5"/>
  <c r="BC48" i="5"/>
  <c r="BC45" i="5"/>
  <c r="AQ117" i="5"/>
  <c r="AQ136" i="5"/>
  <c r="AQ127" i="5"/>
  <c r="AY82" i="5"/>
  <c r="AY65" i="5"/>
  <c r="AX83" i="5"/>
  <c r="AY42" i="5"/>
  <c r="AY95" i="5"/>
  <c r="AY94" i="5"/>
  <c r="AY38" i="5"/>
  <c r="AY41" i="5"/>
  <c r="AY21" i="5"/>
  <c r="AY20" i="5"/>
  <c r="AY19" i="5"/>
  <c r="AY39" i="5"/>
  <c r="AY56" i="5"/>
  <c r="BC54" i="5"/>
  <c r="BC18" i="5"/>
  <c r="AW91" i="5"/>
  <c r="AN164" i="5"/>
  <c r="AQ163" i="5"/>
  <c r="AQ164" i="5" s="1"/>
  <c r="AQ149" i="5"/>
  <c r="BC27" i="5"/>
  <c r="AX69" i="5"/>
  <c r="AQ158" i="5"/>
  <c r="BB69" i="5"/>
  <c r="AQ160" i="5"/>
  <c r="AQ167" i="5"/>
  <c r="AQ150" i="5"/>
  <c r="BC56" i="5"/>
  <c r="BC71" i="5"/>
  <c r="BC72" i="5" s="1"/>
  <c r="AZ72" i="5"/>
  <c r="BB91" i="5"/>
  <c r="BC25" i="5"/>
  <c r="BC39" i="5"/>
  <c r="BC17" i="5"/>
  <c r="BA91" i="5"/>
  <c r="BC90" i="5"/>
  <c r="BC68" i="5"/>
  <c r="BB96" i="5"/>
  <c r="BA61" i="5"/>
  <c r="BB76" i="5"/>
  <c r="AQ113" i="5"/>
  <c r="AQ137" i="5"/>
  <c r="AX96" i="5"/>
  <c r="AY53" i="5"/>
  <c r="AY50" i="5"/>
  <c r="AY85" i="5"/>
  <c r="AV91" i="5"/>
  <c r="AX32" i="5"/>
  <c r="AY12" i="5"/>
  <c r="AY11" i="5"/>
  <c r="AY26" i="5"/>
  <c r="K24" i="1"/>
  <c r="I63" i="3"/>
  <c r="G63" i="3"/>
  <c r="K467" i="1" s="1"/>
  <c r="E63" i="3"/>
  <c r="E467" i="1" s="1"/>
  <c r="I42" i="3"/>
  <c r="M409" i="1" s="1"/>
  <c r="G42" i="3"/>
  <c r="K409" i="1" s="1"/>
  <c r="E42" i="3"/>
  <c r="E409" i="1" s="1"/>
  <c r="A16" i="3"/>
  <c r="A18" i="3" s="1"/>
  <c r="A20" i="3" s="1"/>
  <c r="A22" i="3" s="1"/>
  <c r="A24" i="3" s="1"/>
  <c r="A26" i="3" s="1"/>
  <c r="A28" i="3" s="1"/>
  <c r="A30" i="3" s="1"/>
  <c r="A32" i="3" s="1"/>
  <c r="AY76" i="5" l="1"/>
  <c r="AW98" i="5"/>
  <c r="AQ168" i="5"/>
  <c r="BC83" i="5"/>
  <c r="BA98" i="5"/>
  <c r="AY91" i="5"/>
  <c r="AZ98" i="5"/>
  <c r="AQ176" i="5"/>
  <c r="AY96" i="5"/>
  <c r="AQ129" i="5"/>
  <c r="BC32" i="5"/>
  <c r="AQ161" i="5"/>
  <c r="AN178" i="5"/>
  <c r="AX98" i="5"/>
  <c r="BC69" i="5"/>
  <c r="AQ152" i="5"/>
  <c r="AY69" i="5"/>
  <c r="AY83" i="5"/>
  <c r="AQ138" i="5"/>
  <c r="BB98" i="5"/>
  <c r="AY32" i="5"/>
  <c r="BC61" i="5"/>
  <c r="AV98" i="5"/>
  <c r="AQ145" i="5"/>
  <c r="AY61" i="5"/>
  <c r="BC96" i="5"/>
  <c r="AP178" i="5"/>
  <c r="BC91" i="5"/>
  <c r="AO178" i="5"/>
  <c r="A34" i="3"/>
  <c r="A36" i="3" s="1"/>
  <c r="A38" i="3" s="1"/>
  <c r="A39" i="3" s="1"/>
  <c r="A40" i="3" s="1"/>
  <c r="A41" i="3" s="1"/>
  <c r="A42" i="3" s="1"/>
  <c r="A44" i="3" s="1"/>
  <c r="A46" i="3" s="1"/>
  <c r="A47" i="3" s="1"/>
  <c r="A48" i="3" s="1"/>
  <c r="A49" i="3" s="1"/>
  <c r="A51" i="3" s="1"/>
  <c r="A53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I65" i="3"/>
  <c r="M467" i="1"/>
  <c r="I466" i="1"/>
  <c r="I467" i="1"/>
  <c r="AY98" i="5" l="1"/>
  <c r="BC98" i="5"/>
  <c r="BF79" i="5"/>
  <c r="AQ178" i="5"/>
  <c r="M576" i="1"/>
  <c r="M575" i="1"/>
  <c r="K576" i="1"/>
  <c r="K575" i="1"/>
  <c r="K577" i="1" s="1"/>
  <c r="A541" i="1"/>
  <c r="U540" i="1"/>
  <c r="U539" i="1"/>
  <c r="U538" i="1"/>
  <c r="M508" i="1"/>
  <c r="K508" i="1"/>
  <c r="I279" i="1"/>
  <c r="I280" i="1"/>
  <c r="I281" i="1"/>
  <c r="I282" i="1"/>
  <c r="BE79" i="5" l="1"/>
  <c r="BG85" i="5"/>
  <c r="BG89" i="5"/>
  <c r="BG47" i="5"/>
  <c r="BG82" i="5"/>
  <c r="BG90" i="5"/>
  <c r="BG50" i="5"/>
  <c r="BG56" i="5"/>
  <c r="BG68" i="5"/>
  <c r="BG9" i="5"/>
  <c r="BG39" i="5"/>
  <c r="BF72" i="5"/>
  <c r="BG81" i="5"/>
  <c r="BE72" i="5"/>
  <c r="BF91" i="5"/>
  <c r="BG8" i="5"/>
  <c r="BE69" i="5"/>
  <c r="BD91" i="5"/>
  <c r="BG58" i="5"/>
  <c r="BF76" i="5"/>
  <c r="BG60" i="5"/>
  <c r="BD76" i="5"/>
  <c r="BG11" i="5"/>
  <c r="BG86" i="5"/>
  <c r="BG87" i="5"/>
  <c r="BG93" i="5"/>
  <c r="BG42" i="5"/>
  <c r="BG37" i="5"/>
  <c r="BG17" i="5"/>
  <c r="BG29" i="5"/>
  <c r="BG26" i="5"/>
  <c r="BG40" i="5"/>
  <c r="BF96" i="5"/>
  <c r="BG24" i="5"/>
  <c r="BG27" i="5"/>
  <c r="BE96" i="5"/>
  <c r="BG12" i="5"/>
  <c r="BV98" i="5"/>
  <c r="BG67" i="5"/>
  <c r="BI7" i="5"/>
  <c r="BH7" i="5"/>
  <c r="BK56" i="5"/>
  <c r="BG21" i="5"/>
  <c r="BG49" i="5"/>
  <c r="BG18" i="5"/>
  <c r="BG25" i="5"/>
  <c r="BG36" i="5"/>
  <c r="BG54" i="5"/>
  <c r="BG35" i="5"/>
  <c r="BE76" i="5"/>
  <c r="BK20" i="5"/>
  <c r="BJ7" i="5"/>
  <c r="BG13" i="5"/>
  <c r="BG10" i="5"/>
  <c r="BG53" i="5"/>
  <c r="BG15" i="5"/>
  <c r="BG28" i="5"/>
  <c r="BG31" i="5"/>
  <c r="BG78" i="5"/>
  <c r="BG79" i="5" s="1"/>
  <c r="BD79" i="5"/>
  <c r="BG19" i="5"/>
  <c r="BW98" i="5"/>
  <c r="BG38" i="5"/>
  <c r="BG59" i="5"/>
  <c r="BD83" i="5"/>
  <c r="BK14" i="5"/>
  <c r="BK40" i="5"/>
  <c r="BG63" i="5"/>
  <c r="BD72" i="5"/>
  <c r="BJ72" i="5"/>
  <c r="AT164" i="5"/>
  <c r="AR109" i="5"/>
  <c r="AS164" i="5"/>
  <c r="AT172" i="5"/>
  <c r="BH79" i="5"/>
  <c r="BI79" i="5"/>
  <c r="AU111" i="5"/>
  <c r="AT109" i="5"/>
  <c r="BI72" i="5"/>
  <c r="BH83" i="5"/>
  <c r="AS109" i="5"/>
  <c r="BK22" i="5"/>
  <c r="BK46" i="5"/>
  <c r="M577" i="1"/>
  <c r="P577" i="1" s="1"/>
  <c r="K293" i="1"/>
  <c r="M293" i="1"/>
  <c r="K345" i="1"/>
  <c r="M345" i="1"/>
  <c r="K359" i="1"/>
  <c r="M359" i="1"/>
  <c r="K392" i="1"/>
  <c r="M392" i="1"/>
  <c r="K399" i="1"/>
  <c r="M399" i="1"/>
  <c r="K406" i="1"/>
  <c r="M406" i="1"/>
  <c r="K413" i="1"/>
  <c r="M413" i="1"/>
  <c r="K443" i="1"/>
  <c r="M443" i="1"/>
  <c r="K450" i="1"/>
  <c r="M450" i="1"/>
  <c r="K451" i="1"/>
  <c r="M451" i="1"/>
  <c r="K457" i="1"/>
  <c r="M457" i="1"/>
  <c r="K472" i="1"/>
  <c r="M472" i="1"/>
  <c r="A503" i="1"/>
  <c r="A434" i="1"/>
  <c r="A376" i="1"/>
  <c r="A336" i="1"/>
  <c r="A310" i="1"/>
  <c r="A263" i="1"/>
  <c r="A215" i="1"/>
  <c r="A157" i="1"/>
  <c r="A97" i="1"/>
  <c r="U336" i="1"/>
  <c r="BG75" i="5" l="1"/>
  <c r="BG23" i="5"/>
  <c r="BF83" i="5"/>
  <c r="BK60" i="5"/>
  <c r="BK25" i="5"/>
  <c r="BG64" i="5"/>
  <c r="BG44" i="5"/>
  <c r="BG94" i="5"/>
  <c r="BE32" i="5"/>
  <c r="BG74" i="5"/>
  <c r="BG43" i="5"/>
  <c r="BG66" i="5"/>
  <c r="BK23" i="5"/>
  <c r="BG16" i="5"/>
  <c r="BG48" i="5"/>
  <c r="BG57" i="5"/>
  <c r="BD69" i="5"/>
  <c r="BF61" i="5"/>
  <c r="BG14" i="5"/>
  <c r="BD32" i="5"/>
  <c r="BG45" i="5"/>
  <c r="BG51" i="5"/>
  <c r="BD61" i="5"/>
  <c r="BG30" i="5"/>
  <c r="BG34" i="5"/>
  <c r="BG46" i="5"/>
  <c r="BG52" i="5"/>
  <c r="BG22" i="5"/>
  <c r="BF32" i="5"/>
  <c r="BG88" i="5"/>
  <c r="BG91" i="5" s="1"/>
  <c r="BG20" i="5"/>
  <c r="BG55" i="5"/>
  <c r="BE61" i="5"/>
  <c r="BE83" i="5"/>
  <c r="BE91" i="5"/>
  <c r="BG95" i="5"/>
  <c r="BG65" i="5"/>
  <c r="BD96" i="5"/>
  <c r="BG7" i="5"/>
  <c r="BG71" i="5"/>
  <c r="BG72" i="5" s="1"/>
  <c r="BF69" i="5"/>
  <c r="BG41" i="5"/>
  <c r="BK50" i="5"/>
  <c r="BI76" i="5"/>
  <c r="BK57" i="5"/>
  <c r="AR168" i="5"/>
  <c r="BK24" i="5"/>
  <c r="BK44" i="5"/>
  <c r="BK31" i="5"/>
  <c r="BK39" i="5"/>
  <c r="BK15" i="5"/>
  <c r="BK26" i="5"/>
  <c r="BK52" i="5"/>
  <c r="BK53" i="5"/>
  <c r="BK38" i="5"/>
  <c r="BJ69" i="5"/>
  <c r="AU166" i="5"/>
  <c r="BK35" i="5"/>
  <c r="BK48" i="5"/>
  <c r="BK17" i="5"/>
  <c r="BK36" i="5"/>
  <c r="BK30" i="5"/>
  <c r="BK42" i="5"/>
  <c r="BK49" i="5"/>
  <c r="BK8" i="5"/>
  <c r="BK43" i="5"/>
  <c r="BK41" i="5"/>
  <c r="BK58" i="5"/>
  <c r="BJ76" i="5"/>
  <c r="BI96" i="5"/>
  <c r="BJ91" i="5"/>
  <c r="BK29" i="5"/>
  <c r="BK45" i="5"/>
  <c r="BK7" i="5"/>
  <c r="BH69" i="5"/>
  <c r="BH96" i="5"/>
  <c r="BK55" i="5"/>
  <c r="BK16" i="5"/>
  <c r="BK10" i="5"/>
  <c r="BK27" i="5"/>
  <c r="BK9" i="5"/>
  <c r="BK68" i="5"/>
  <c r="BI69" i="5"/>
  <c r="AU156" i="5"/>
  <c r="AS138" i="5"/>
  <c r="AU124" i="5"/>
  <c r="AU150" i="5"/>
  <c r="AU120" i="5"/>
  <c r="AU125" i="5"/>
  <c r="AU113" i="5"/>
  <c r="BK86" i="5"/>
  <c r="AU114" i="5"/>
  <c r="BK37" i="5"/>
  <c r="BJ61" i="5"/>
  <c r="BK51" i="5"/>
  <c r="BK13" i="5"/>
  <c r="AU144" i="5"/>
  <c r="AU119" i="5"/>
  <c r="AU141" i="5"/>
  <c r="BK90" i="5"/>
  <c r="BK54" i="5"/>
  <c r="BK59" i="5"/>
  <c r="BJ32" i="5"/>
  <c r="AU151" i="5"/>
  <c r="AU155" i="5"/>
  <c r="BJ96" i="5"/>
  <c r="AU127" i="5"/>
  <c r="AR129" i="5"/>
  <c r="BI91" i="5"/>
  <c r="BK65" i="5"/>
  <c r="BK12" i="5"/>
  <c r="BK21" i="5"/>
  <c r="BK11" i="5"/>
  <c r="BK85" i="5"/>
  <c r="AU121" i="5"/>
  <c r="BH76" i="5"/>
  <c r="AT168" i="5"/>
  <c r="AU132" i="5"/>
  <c r="AU128" i="5"/>
  <c r="BK93" i="5"/>
  <c r="BK18" i="5"/>
  <c r="BK78" i="5"/>
  <c r="BK79" i="5" s="1"/>
  <c r="BJ79" i="5"/>
  <c r="AU175" i="5"/>
  <c r="BK19" i="5"/>
  <c r="AS168" i="5"/>
  <c r="BK34" i="5"/>
  <c r="BI32" i="5"/>
  <c r="BH91" i="5"/>
  <c r="AU135" i="5"/>
  <c r="AU171" i="5"/>
  <c r="BK81" i="5"/>
  <c r="AT145" i="5"/>
  <c r="BK66" i="5"/>
  <c r="AU126" i="5"/>
  <c r="AU160" i="5"/>
  <c r="BK89" i="5"/>
  <c r="AU110" i="5"/>
  <c r="BJ83" i="5"/>
  <c r="AU133" i="5"/>
  <c r="BK87" i="5"/>
  <c r="AS161" i="5"/>
  <c r="AS152" i="5"/>
  <c r="BH61" i="5"/>
  <c r="AT138" i="5"/>
  <c r="AU112" i="5"/>
  <c r="AS145" i="5"/>
  <c r="AU142" i="5"/>
  <c r="BK74" i="5"/>
  <c r="AT161" i="5"/>
  <c r="BI61" i="5"/>
  <c r="AU109" i="5"/>
  <c r="AU170" i="5"/>
  <c r="AR172" i="5"/>
  <c r="AU116" i="5"/>
  <c r="AU122" i="5"/>
  <c r="AU174" i="5"/>
  <c r="AR176" i="5"/>
  <c r="AT129" i="5"/>
  <c r="BK88" i="5"/>
  <c r="AU143" i="5"/>
  <c r="AT152" i="5"/>
  <c r="AU167" i="5"/>
  <c r="AU168" i="5" s="1"/>
  <c r="BK82" i="5"/>
  <c r="BK83" i="5" s="1"/>
  <c r="AU137" i="5"/>
  <c r="AU123" i="5"/>
  <c r="BG83" i="5"/>
  <c r="AU157" i="5"/>
  <c r="BK63" i="5"/>
  <c r="BI83" i="5"/>
  <c r="AR164" i="5"/>
  <c r="AU163" i="5"/>
  <c r="AU164" i="5" s="1"/>
  <c r="AU149" i="5"/>
  <c r="AU115" i="5"/>
  <c r="AS129" i="5"/>
  <c r="AR161" i="5"/>
  <c r="AU154" i="5"/>
  <c r="AU134" i="5"/>
  <c r="BK67" i="5"/>
  <c r="AU148" i="5"/>
  <c r="AU158" i="5"/>
  <c r="BH32" i="5"/>
  <c r="BK71" i="5"/>
  <c r="BK72" i="5" s="1"/>
  <c r="BH72" i="5"/>
  <c r="AU117" i="5"/>
  <c r="AS176" i="5"/>
  <c r="AR152" i="5"/>
  <c r="AU147" i="5"/>
  <c r="AR145" i="5"/>
  <c r="AU140" i="5"/>
  <c r="BK64" i="5"/>
  <c r="AU118" i="5"/>
  <c r="AS172" i="5"/>
  <c r="BK95" i="5"/>
  <c r="AR138" i="5"/>
  <c r="AU136" i="5"/>
  <c r="AU131" i="5"/>
  <c r="AU159" i="5"/>
  <c r="BK75" i="5"/>
  <c r="AT176" i="5"/>
  <c r="BK94" i="5"/>
  <c r="BK28" i="5"/>
  <c r="BK47" i="5"/>
  <c r="U502" i="1"/>
  <c r="U501" i="1"/>
  <c r="U500" i="1"/>
  <c r="U433" i="1"/>
  <c r="U432" i="1"/>
  <c r="U431" i="1"/>
  <c r="U375" i="1"/>
  <c r="U374" i="1"/>
  <c r="U373" i="1"/>
  <c r="U335" i="1"/>
  <c r="U334" i="1"/>
  <c r="U333" i="1"/>
  <c r="U309" i="1"/>
  <c r="U308" i="1"/>
  <c r="U307" i="1"/>
  <c r="U262" i="1"/>
  <c r="U261" i="1"/>
  <c r="U260" i="1"/>
  <c r="U214" i="1"/>
  <c r="U213" i="1"/>
  <c r="U212" i="1"/>
  <c r="U156" i="1"/>
  <c r="U155" i="1"/>
  <c r="U154" i="1"/>
  <c r="U96" i="1"/>
  <c r="U95" i="1"/>
  <c r="U94" i="1"/>
  <c r="BG76" i="5" l="1"/>
  <c r="BG69" i="5"/>
  <c r="BD98" i="5"/>
  <c r="B9" i="6" s="1"/>
  <c r="BE98" i="5"/>
  <c r="C9" i="6" s="1"/>
  <c r="BG96" i="5"/>
  <c r="AU152" i="5"/>
  <c r="BG61" i="5"/>
  <c r="BF98" i="5"/>
  <c r="BG32" i="5"/>
  <c r="BI98" i="5"/>
  <c r="BK32" i="5"/>
  <c r="AR178" i="5"/>
  <c r="BK96" i="5"/>
  <c r="BK91" i="5"/>
  <c r="BH98" i="5"/>
  <c r="AU161" i="5"/>
  <c r="BK69" i="5"/>
  <c r="BJ98" i="5"/>
  <c r="BK61" i="5"/>
  <c r="AU145" i="5"/>
  <c r="BK76" i="5"/>
  <c r="AU176" i="5"/>
  <c r="AT178" i="5"/>
  <c r="AS178" i="5"/>
  <c r="AU172" i="5"/>
  <c r="AU138" i="5"/>
  <c r="AU129" i="5"/>
  <c r="G491" i="1"/>
  <c r="E491" i="1"/>
  <c r="G484" i="1"/>
  <c r="E484" i="1"/>
  <c r="G477" i="1"/>
  <c r="E477" i="1"/>
  <c r="G470" i="1"/>
  <c r="E448" i="1"/>
  <c r="E470" i="1"/>
  <c r="G462" i="1"/>
  <c r="E462" i="1"/>
  <c r="G455" i="1"/>
  <c r="E455" i="1"/>
  <c r="G448" i="1"/>
  <c r="G425" i="1"/>
  <c r="E425" i="1"/>
  <c r="G418" i="1"/>
  <c r="E418" i="1"/>
  <c r="G411" i="1"/>
  <c r="E411" i="1"/>
  <c r="G404" i="1"/>
  <c r="E404" i="1"/>
  <c r="G397" i="1"/>
  <c r="E397" i="1"/>
  <c r="G390" i="1"/>
  <c r="E390" i="1"/>
  <c r="G364" i="1"/>
  <c r="E364" i="1"/>
  <c r="G357" i="1"/>
  <c r="E357" i="1"/>
  <c r="G350" i="1"/>
  <c r="E350" i="1"/>
  <c r="E324" i="1"/>
  <c r="E327" i="1" s="1"/>
  <c r="G298" i="1"/>
  <c r="E298" i="1"/>
  <c r="G291" i="1"/>
  <c r="E291" i="1"/>
  <c r="G284" i="1"/>
  <c r="E284" i="1"/>
  <c r="G277" i="1"/>
  <c r="E277" i="1"/>
  <c r="G250" i="1"/>
  <c r="E250" i="1"/>
  <c r="G243" i="1"/>
  <c r="E243" i="1"/>
  <c r="G236" i="1"/>
  <c r="E236" i="1"/>
  <c r="G229" i="1"/>
  <c r="E229" i="1"/>
  <c r="G206" i="1"/>
  <c r="E206" i="1"/>
  <c r="G199" i="1"/>
  <c r="E199" i="1"/>
  <c r="G192" i="1"/>
  <c r="E192" i="1"/>
  <c r="G185" i="1"/>
  <c r="E185" i="1"/>
  <c r="G178" i="1"/>
  <c r="E178" i="1"/>
  <c r="G171" i="1"/>
  <c r="E171" i="1"/>
  <c r="G146" i="1"/>
  <c r="E146" i="1"/>
  <c r="G139" i="1"/>
  <c r="E139" i="1"/>
  <c r="G132" i="1"/>
  <c r="E132" i="1"/>
  <c r="G125" i="1"/>
  <c r="E125" i="1"/>
  <c r="G118" i="1"/>
  <c r="E118" i="1"/>
  <c r="G111" i="1"/>
  <c r="E111" i="1"/>
  <c r="G88" i="1"/>
  <c r="E88" i="1"/>
  <c r="G81" i="1"/>
  <c r="E81" i="1"/>
  <c r="G74" i="1"/>
  <c r="E74" i="1"/>
  <c r="G67" i="1"/>
  <c r="E67" i="1"/>
  <c r="G60" i="1"/>
  <c r="E60" i="1"/>
  <c r="G53" i="1"/>
  <c r="E53" i="1"/>
  <c r="G42" i="1"/>
  <c r="E42" i="1"/>
  <c r="M33" i="1"/>
  <c r="K33" i="1"/>
  <c r="G33" i="1"/>
  <c r="E33" i="1"/>
  <c r="E26" i="1"/>
  <c r="F13" i="6" l="1"/>
  <c r="H13" i="6" s="1"/>
  <c r="F9" i="6"/>
  <c r="H9" i="6" s="1"/>
  <c r="BG98" i="5"/>
  <c r="BX98" i="5" s="1"/>
  <c r="BK98" i="5"/>
  <c r="AU178" i="5"/>
  <c r="E367" i="1"/>
  <c r="E301" i="1"/>
  <c r="E494" i="1"/>
  <c r="E253" i="1"/>
  <c r="E148" i="1"/>
  <c r="K524" i="1"/>
  <c r="I524" i="1"/>
  <c r="G524" i="1"/>
  <c r="E524" i="1"/>
  <c r="E522" i="1"/>
  <c r="M513" i="1"/>
  <c r="K513" i="1"/>
  <c r="M509" i="1"/>
  <c r="K509" i="1"/>
  <c r="I489" i="1"/>
  <c r="I488" i="1"/>
  <c r="M487" i="1"/>
  <c r="K487" i="1"/>
  <c r="M486" i="1"/>
  <c r="K486" i="1"/>
  <c r="K491" i="1" s="1"/>
  <c r="I482" i="1"/>
  <c r="I481" i="1"/>
  <c r="I480" i="1"/>
  <c r="K480" i="1" s="1"/>
  <c r="M480" i="1" s="1"/>
  <c r="I475" i="1"/>
  <c r="I474" i="1"/>
  <c r="I473" i="1"/>
  <c r="K473" i="1" s="1"/>
  <c r="M473" i="1" s="1"/>
  <c r="M524" i="1"/>
  <c r="I460" i="1"/>
  <c r="I459" i="1"/>
  <c r="I458" i="1"/>
  <c r="K458" i="1" s="1"/>
  <c r="M458" i="1" s="1"/>
  <c r="I453" i="1"/>
  <c r="I452" i="1"/>
  <c r="I446" i="1"/>
  <c r="I445" i="1"/>
  <c r="I443" i="1"/>
  <c r="I423" i="1"/>
  <c r="I422" i="1"/>
  <c r="I421" i="1"/>
  <c r="K421" i="1" s="1"/>
  <c r="M421" i="1" s="1"/>
  <c r="I420" i="1"/>
  <c r="K420" i="1" s="1"/>
  <c r="M420" i="1" s="1"/>
  <c r="I416" i="1"/>
  <c r="I415" i="1"/>
  <c r="I414" i="1"/>
  <c r="K414" i="1" s="1"/>
  <c r="M414" i="1" s="1"/>
  <c r="I409" i="1"/>
  <c r="I408" i="1"/>
  <c r="I407" i="1"/>
  <c r="K407" i="1" s="1"/>
  <c r="M407" i="1" s="1"/>
  <c r="M411" i="1" s="1"/>
  <c r="I406" i="1"/>
  <c r="I401" i="1"/>
  <c r="I399" i="1"/>
  <c r="I395" i="1"/>
  <c r="I394" i="1"/>
  <c r="G367" i="1"/>
  <c r="I362" i="1"/>
  <c r="I361" i="1"/>
  <c r="I355" i="1"/>
  <c r="I354" i="1"/>
  <c r="I348" i="1"/>
  <c r="E28" i="3" s="1"/>
  <c r="I347" i="1"/>
  <c r="M320" i="1"/>
  <c r="K320" i="1"/>
  <c r="M319" i="1"/>
  <c r="K319" i="1"/>
  <c r="G301" i="1"/>
  <c r="I296" i="1"/>
  <c r="E26" i="3" s="1"/>
  <c r="I295" i="1"/>
  <c r="M298" i="1"/>
  <c r="K298" i="1"/>
  <c r="I294" i="1"/>
  <c r="I289" i="1"/>
  <c r="E24" i="3" s="1"/>
  <c r="I288" i="1"/>
  <c r="I274" i="1"/>
  <c r="M273" i="1"/>
  <c r="K273" i="1"/>
  <c r="M272" i="1"/>
  <c r="K272" i="1"/>
  <c r="I272" i="1"/>
  <c r="G253" i="1"/>
  <c r="I248" i="1"/>
  <c r="I247" i="1"/>
  <c r="I246" i="1"/>
  <c r="I245" i="1"/>
  <c r="K245" i="1" s="1"/>
  <c r="M245" i="1" s="1"/>
  <c r="I241" i="1"/>
  <c r="I240" i="1"/>
  <c r="I234" i="1"/>
  <c r="I233" i="1"/>
  <c r="I227" i="1"/>
  <c r="I226" i="1"/>
  <c r="I225" i="1"/>
  <c r="I224" i="1"/>
  <c r="K224" i="1" s="1"/>
  <c r="M224" i="1" s="1"/>
  <c r="I204" i="1"/>
  <c r="I203" i="1"/>
  <c r="I197" i="1"/>
  <c r="I196" i="1"/>
  <c r="I194" i="1"/>
  <c r="K194" i="1" s="1"/>
  <c r="M194" i="1" s="1"/>
  <c r="I190" i="1"/>
  <c r="I189" i="1"/>
  <c r="I183" i="1"/>
  <c r="I182" i="1"/>
  <c r="I176" i="1"/>
  <c r="I175" i="1"/>
  <c r="I173" i="1"/>
  <c r="K173" i="1" s="1"/>
  <c r="M173" i="1" s="1"/>
  <c r="I169" i="1"/>
  <c r="I168" i="1"/>
  <c r="I167" i="1"/>
  <c r="I166" i="1"/>
  <c r="I144" i="1"/>
  <c r="I143" i="1"/>
  <c r="I137" i="1"/>
  <c r="I136" i="1"/>
  <c r="I130" i="1"/>
  <c r="I129" i="1"/>
  <c r="I128" i="1"/>
  <c r="I123" i="1"/>
  <c r="I122" i="1"/>
  <c r="I116" i="1"/>
  <c r="C116" i="1"/>
  <c r="C123" i="1" s="1"/>
  <c r="C130" i="1" s="1"/>
  <c r="C137" i="1" s="1"/>
  <c r="C144" i="1" s="1"/>
  <c r="C169" i="1" s="1"/>
  <c r="C176" i="1" s="1"/>
  <c r="C183" i="1" s="1"/>
  <c r="C190" i="1" s="1"/>
  <c r="C197" i="1" s="1"/>
  <c r="C204" i="1" s="1"/>
  <c r="C227" i="1" s="1"/>
  <c r="C234" i="1" s="1"/>
  <c r="C241" i="1" s="1"/>
  <c r="C248" i="1" s="1"/>
  <c r="C275" i="1" s="1"/>
  <c r="C282" i="1" s="1"/>
  <c r="C289" i="1" s="1"/>
  <c r="C296" i="1" s="1"/>
  <c r="C322" i="1" s="1"/>
  <c r="C348" i="1" s="1"/>
  <c r="C355" i="1" s="1"/>
  <c r="C362" i="1" s="1"/>
  <c r="C388" i="1" s="1"/>
  <c r="C395" i="1" s="1"/>
  <c r="C402" i="1" s="1"/>
  <c r="C409" i="1" s="1"/>
  <c r="C416" i="1" s="1"/>
  <c r="C423" i="1" s="1"/>
  <c r="C453" i="1" s="1"/>
  <c r="C460" i="1" s="1"/>
  <c r="C467" i="1" s="1"/>
  <c r="C475" i="1" s="1"/>
  <c r="I115" i="1"/>
  <c r="C115" i="1"/>
  <c r="C122" i="1" s="1"/>
  <c r="C129" i="1" s="1"/>
  <c r="C136" i="1" s="1"/>
  <c r="C143" i="1" s="1"/>
  <c r="C168" i="1" s="1"/>
  <c r="C175" i="1" s="1"/>
  <c r="C182" i="1" s="1"/>
  <c r="C189" i="1" s="1"/>
  <c r="C196" i="1" s="1"/>
  <c r="C203" i="1" s="1"/>
  <c r="C226" i="1" s="1"/>
  <c r="C233" i="1" s="1"/>
  <c r="C240" i="1" s="1"/>
  <c r="C247" i="1" s="1"/>
  <c r="C274" i="1" s="1"/>
  <c r="C281" i="1" s="1"/>
  <c r="C288" i="1" s="1"/>
  <c r="C295" i="1" s="1"/>
  <c r="C321" i="1" s="1"/>
  <c r="C347" i="1" s="1"/>
  <c r="C354" i="1" s="1"/>
  <c r="C361" i="1" s="1"/>
  <c r="C387" i="1" s="1"/>
  <c r="C394" i="1" s="1"/>
  <c r="C401" i="1" s="1"/>
  <c r="C408" i="1" s="1"/>
  <c r="C415" i="1" s="1"/>
  <c r="C422" i="1" s="1"/>
  <c r="C452" i="1" s="1"/>
  <c r="C459" i="1" s="1"/>
  <c r="C466" i="1" s="1"/>
  <c r="C474" i="1" s="1"/>
  <c r="C114" i="1"/>
  <c r="C121" i="1" s="1"/>
  <c r="C128" i="1" s="1"/>
  <c r="C135" i="1" s="1"/>
  <c r="C142" i="1" s="1"/>
  <c r="C167" i="1" s="1"/>
  <c r="C174" i="1" s="1"/>
  <c r="C181" i="1" s="1"/>
  <c r="C188" i="1" s="1"/>
  <c r="C195" i="1" s="1"/>
  <c r="C202" i="1" s="1"/>
  <c r="C225" i="1" s="1"/>
  <c r="C232" i="1" s="1"/>
  <c r="C239" i="1" s="1"/>
  <c r="C246" i="1" s="1"/>
  <c r="C273" i="1" s="1"/>
  <c r="C280" i="1" s="1"/>
  <c r="C287" i="1" s="1"/>
  <c r="C294" i="1" s="1"/>
  <c r="C320" i="1" s="1"/>
  <c r="C346" i="1" s="1"/>
  <c r="C353" i="1" s="1"/>
  <c r="C360" i="1" s="1"/>
  <c r="C386" i="1" s="1"/>
  <c r="C393" i="1" s="1"/>
  <c r="C400" i="1" s="1"/>
  <c r="C407" i="1" s="1"/>
  <c r="C414" i="1" s="1"/>
  <c r="C421" i="1" s="1"/>
  <c r="C451" i="1" s="1"/>
  <c r="C458" i="1" s="1"/>
  <c r="C465" i="1" s="1"/>
  <c r="C473" i="1" s="1"/>
  <c r="I114" i="1"/>
  <c r="C113" i="1"/>
  <c r="C120" i="1" s="1"/>
  <c r="C127" i="1" s="1"/>
  <c r="C134" i="1" s="1"/>
  <c r="C141" i="1" s="1"/>
  <c r="C166" i="1" s="1"/>
  <c r="C173" i="1" s="1"/>
  <c r="C180" i="1" s="1"/>
  <c r="C187" i="1" s="1"/>
  <c r="C194" i="1" s="1"/>
  <c r="C201" i="1" s="1"/>
  <c r="C224" i="1" s="1"/>
  <c r="C231" i="1" s="1"/>
  <c r="C238" i="1" s="1"/>
  <c r="C245" i="1" s="1"/>
  <c r="C272" i="1" s="1"/>
  <c r="C279" i="1" s="1"/>
  <c r="C286" i="1" s="1"/>
  <c r="C293" i="1" s="1"/>
  <c r="C319" i="1" s="1"/>
  <c r="C345" i="1" s="1"/>
  <c r="C352" i="1" s="1"/>
  <c r="C359" i="1" s="1"/>
  <c r="C385" i="1" s="1"/>
  <c r="C392" i="1" s="1"/>
  <c r="C399" i="1" s="1"/>
  <c r="C406" i="1" s="1"/>
  <c r="C413" i="1" s="1"/>
  <c r="C420" i="1" s="1"/>
  <c r="C450" i="1" s="1"/>
  <c r="C457" i="1" s="1"/>
  <c r="C464" i="1" s="1"/>
  <c r="C472" i="1" s="1"/>
  <c r="I109" i="1"/>
  <c r="I108" i="1"/>
  <c r="A107" i="1"/>
  <c r="I86" i="1"/>
  <c r="I85" i="1"/>
  <c r="I83" i="1"/>
  <c r="K83" i="1" s="1"/>
  <c r="M83" i="1" s="1"/>
  <c r="I84" i="1"/>
  <c r="I79" i="1"/>
  <c r="AB79" i="1" s="1"/>
  <c r="I78" i="1"/>
  <c r="I76" i="1"/>
  <c r="K76" i="1" s="1"/>
  <c r="M76" i="1" s="1"/>
  <c r="I72" i="1"/>
  <c r="I71" i="1"/>
  <c r="I70" i="1"/>
  <c r="I69" i="1"/>
  <c r="K69" i="1" s="1"/>
  <c r="M69" i="1" s="1"/>
  <c r="I65" i="1"/>
  <c r="I64" i="1"/>
  <c r="I63" i="1"/>
  <c r="I62" i="1"/>
  <c r="K62" i="1" s="1"/>
  <c r="M62" i="1" s="1"/>
  <c r="I58" i="1"/>
  <c r="AB58" i="1" s="1"/>
  <c r="C58" i="1"/>
  <c r="C65" i="1" s="1"/>
  <c r="C72" i="1" s="1"/>
  <c r="C79" i="1" s="1"/>
  <c r="C86" i="1" s="1"/>
  <c r="I57" i="1"/>
  <c r="C57" i="1"/>
  <c r="C64" i="1" s="1"/>
  <c r="C71" i="1" s="1"/>
  <c r="C78" i="1" s="1"/>
  <c r="C85" i="1" s="1"/>
  <c r="C56" i="1"/>
  <c r="C63" i="1" s="1"/>
  <c r="C70" i="1" s="1"/>
  <c r="C77" i="1" s="1"/>
  <c r="C84" i="1" s="1"/>
  <c r="I56" i="1"/>
  <c r="C55" i="1"/>
  <c r="C62" i="1" s="1"/>
  <c r="C69" i="1" s="1"/>
  <c r="C76" i="1" s="1"/>
  <c r="C83" i="1" s="1"/>
  <c r="G148" i="1"/>
  <c r="I51" i="1"/>
  <c r="I50" i="1"/>
  <c r="I49" i="1"/>
  <c r="I40" i="1"/>
  <c r="I39" i="1"/>
  <c r="K42" i="1"/>
  <c r="I30" i="1"/>
  <c r="I29" i="1"/>
  <c r="I28" i="1"/>
  <c r="M26" i="1"/>
  <c r="K26" i="1"/>
  <c r="I24" i="1"/>
  <c r="E14" i="3" s="1"/>
  <c r="I23" i="1"/>
  <c r="I22" i="1"/>
  <c r="A22" i="1"/>
  <c r="A23" i="1" s="1"/>
  <c r="A24" i="1" s="1"/>
  <c r="A26" i="1" s="1"/>
  <c r="A28" i="1" s="1"/>
  <c r="A29" i="1" s="1"/>
  <c r="A30" i="1" s="1"/>
  <c r="A31" i="1" s="1"/>
  <c r="A33" i="1" s="1"/>
  <c r="A37" i="1" s="1"/>
  <c r="A38" i="1" s="1"/>
  <c r="A39" i="1" s="1"/>
  <c r="A40" i="1" s="1"/>
  <c r="A42" i="1" s="1"/>
  <c r="A48" i="1" s="1"/>
  <c r="A49" i="1" s="1"/>
  <c r="A50" i="1" s="1"/>
  <c r="A51" i="1" s="1"/>
  <c r="A53" i="1" s="1"/>
  <c r="A55" i="1" s="1"/>
  <c r="A56" i="1" s="1"/>
  <c r="A57" i="1" s="1"/>
  <c r="A58" i="1" s="1"/>
  <c r="A60" i="1" s="1"/>
  <c r="A62" i="1" s="1"/>
  <c r="A63" i="1" s="1"/>
  <c r="A64" i="1" s="1"/>
  <c r="A65" i="1" s="1"/>
  <c r="A67" i="1" s="1"/>
  <c r="A69" i="1" s="1"/>
  <c r="A70" i="1" s="1"/>
  <c r="A71" i="1" s="1"/>
  <c r="A72" i="1" s="1"/>
  <c r="A74" i="1" s="1"/>
  <c r="A76" i="1" s="1"/>
  <c r="A77" i="1" s="1"/>
  <c r="A78" i="1" s="1"/>
  <c r="A79" i="1" s="1"/>
  <c r="A81" i="1" s="1"/>
  <c r="A83" i="1" s="1"/>
  <c r="A84" i="1" s="1"/>
  <c r="A85" i="1" s="1"/>
  <c r="A86" i="1" s="1"/>
  <c r="A88" i="1" s="1"/>
  <c r="I21" i="1"/>
  <c r="M14" i="1"/>
  <c r="M511" i="1" s="1"/>
  <c r="K14" i="1"/>
  <c r="M13" i="1"/>
  <c r="M510" i="1" s="1"/>
  <c r="K13" i="1"/>
  <c r="K510" i="1" s="1"/>
  <c r="BY98" i="5" l="1"/>
  <c r="E20" i="3"/>
  <c r="AB183" i="1"/>
  <c r="E22" i="3"/>
  <c r="AB234" i="1"/>
  <c r="K166" i="1"/>
  <c r="K511" i="1"/>
  <c r="K386" i="1"/>
  <c r="M386" i="1" s="1"/>
  <c r="K84" i="1"/>
  <c r="M84" i="1" s="1"/>
  <c r="K246" i="1"/>
  <c r="M246" i="1" s="1"/>
  <c r="K114" i="1"/>
  <c r="M114" i="1" s="1"/>
  <c r="K167" i="1"/>
  <c r="K128" i="1"/>
  <c r="M128" i="1" s="1"/>
  <c r="K225" i="1"/>
  <c r="M225" i="1" s="1"/>
  <c r="K49" i="1"/>
  <c r="K70" i="1"/>
  <c r="M70" i="1" s="1"/>
  <c r="K280" i="1"/>
  <c r="M280" i="1" s="1"/>
  <c r="K63" i="1"/>
  <c r="M63" i="1" s="1"/>
  <c r="K56" i="1"/>
  <c r="M56" i="1" s="1"/>
  <c r="K411" i="1"/>
  <c r="K455" i="1"/>
  <c r="I411" i="1"/>
  <c r="E255" i="1"/>
  <c r="M462" i="1"/>
  <c r="M455" i="1"/>
  <c r="I171" i="1"/>
  <c r="I229" i="1"/>
  <c r="I250" i="1"/>
  <c r="M42" i="1"/>
  <c r="I67" i="1"/>
  <c r="I74" i="1"/>
  <c r="I88" i="1"/>
  <c r="K277" i="1"/>
  <c r="K324" i="1"/>
  <c r="K327" i="1" s="1"/>
  <c r="G522" i="1"/>
  <c r="K477" i="1"/>
  <c r="M491" i="1"/>
  <c r="M277" i="1"/>
  <c r="M324" i="1"/>
  <c r="K418" i="1"/>
  <c r="I425" i="1"/>
  <c r="K462" i="1"/>
  <c r="M477" i="1"/>
  <c r="G494" i="1"/>
  <c r="I321" i="1"/>
  <c r="I522" i="1" s="1"/>
  <c r="I26" i="1"/>
  <c r="C481" i="1"/>
  <c r="C488" i="1"/>
  <c r="C522" i="1" s="1"/>
  <c r="C482" i="1"/>
  <c r="C489" i="1"/>
  <c r="C523" i="1" s="1"/>
  <c r="I107" i="1"/>
  <c r="K107" i="1" s="1"/>
  <c r="M107" i="1" s="1"/>
  <c r="I106" i="1"/>
  <c r="C480" i="1"/>
  <c r="C487" i="1"/>
  <c r="C521" i="1" s="1"/>
  <c r="C486" i="1"/>
  <c r="C520" i="1" s="1"/>
  <c r="C479" i="1"/>
  <c r="I195" i="1"/>
  <c r="K195" i="1" s="1"/>
  <c r="M195" i="1" s="1"/>
  <c r="I37" i="1"/>
  <c r="I575" i="1" s="1"/>
  <c r="I38" i="1"/>
  <c r="I48" i="1"/>
  <c r="G26" i="1"/>
  <c r="I31" i="1"/>
  <c r="I55" i="1"/>
  <c r="I77" i="1"/>
  <c r="K77" i="1" s="1"/>
  <c r="M77" i="1" s="1"/>
  <c r="I275" i="1"/>
  <c r="I120" i="1"/>
  <c r="I121" i="1"/>
  <c r="K121" i="1" s="1"/>
  <c r="M121" i="1" s="1"/>
  <c r="I134" i="1"/>
  <c r="I135" i="1"/>
  <c r="K135" i="1" s="1"/>
  <c r="M135" i="1" s="1"/>
  <c r="I181" i="1"/>
  <c r="K181" i="1" s="1"/>
  <c r="M181" i="1" s="1"/>
  <c r="I180" i="1"/>
  <c r="K180" i="1" s="1"/>
  <c r="M180" i="1" s="1"/>
  <c r="I239" i="1"/>
  <c r="K239" i="1" s="1"/>
  <c r="M239" i="1" s="1"/>
  <c r="I238" i="1"/>
  <c r="K238" i="1" s="1"/>
  <c r="M238" i="1" s="1"/>
  <c r="G255" i="1"/>
  <c r="I287" i="1"/>
  <c r="K287" i="1" s="1"/>
  <c r="M287" i="1" s="1"/>
  <c r="M561" i="1" s="1"/>
  <c r="I142" i="1"/>
  <c r="K142" i="1" s="1"/>
  <c r="M142" i="1" s="1"/>
  <c r="I232" i="1"/>
  <c r="K232" i="1" s="1"/>
  <c r="M232" i="1" s="1"/>
  <c r="I231" i="1"/>
  <c r="K231" i="1" s="1"/>
  <c r="M231" i="1" s="1"/>
  <c r="I286" i="1"/>
  <c r="I560" i="1" s="1"/>
  <c r="I113" i="1"/>
  <c r="I127" i="1"/>
  <c r="I141" i="1"/>
  <c r="K141" i="1" s="1"/>
  <c r="M141" i="1" s="1"/>
  <c r="I202" i="1"/>
  <c r="K202" i="1" s="1"/>
  <c r="M202" i="1" s="1"/>
  <c r="I201" i="1"/>
  <c r="K201" i="1" s="1"/>
  <c r="M201" i="1" s="1"/>
  <c r="I273" i="1"/>
  <c r="I188" i="1"/>
  <c r="K188" i="1" s="1"/>
  <c r="M188" i="1" s="1"/>
  <c r="I187" i="1"/>
  <c r="K187" i="1" s="1"/>
  <c r="M187" i="1" s="1"/>
  <c r="I319" i="1"/>
  <c r="E520" i="1"/>
  <c r="I293" i="1"/>
  <c r="I298" i="1" s="1"/>
  <c r="I346" i="1"/>
  <c r="I566" i="1" s="1"/>
  <c r="I345" i="1"/>
  <c r="I393" i="1"/>
  <c r="I392" i="1"/>
  <c r="I402" i="1"/>
  <c r="E36" i="3" s="1"/>
  <c r="K522" i="1"/>
  <c r="F178" i="4" s="1"/>
  <c r="M418" i="1"/>
  <c r="M522" i="1"/>
  <c r="I178" i="4" s="1"/>
  <c r="I359" i="1"/>
  <c r="I360" i="1"/>
  <c r="I450" i="1"/>
  <c r="I451" i="1"/>
  <c r="I464" i="1"/>
  <c r="I465" i="1"/>
  <c r="I352" i="1"/>
  <c r="K352" i="1" s="1"/>
  <c r="I353" i="1"/>
  <c r="I444" i="1"/>
  <c r="I448" i="1" s="1"/>
  <c r="I486" i="1"/>
  <c r="I457" i="1"/>
  <c r="I462" i="1" s="1"/>
  <c r="I472" i="1"/>
  <c r="I477" i="1" s="1"/>
  <c r="I413" i="1"/>
  <c r="I418" i="1" s="1"/>
  <c r="I479" i="1"/>
  <c r="I484" i="1" s="1"/>
  <c r="I33" i="1" l="1"/>
  <c r="AB31" i="1"/>
  <c r="E16" i="3"/>
  <c r="E65" i="3" s="1"/>
  <c r="I555" i="1"/>
  <c r="K551" i="1"/>
  <c r="M166" i="1"/>
  <c r="M555" i="1" s="1"/>
  <c r="K555" i="1"/>
  <c r="M352" i="1"/>
  <c r="M565" i="1" s="1"/>
  <c r="K565" i="1"/>
  <c r="I277" i="1"/>
  <c r="I561" i="1"/>
  <c r="I562" i="1" s="1"/>
  <c r="I551" i="1"/>
  <c r="K561" i="1"/>
  <c r="I565" i="1"/>
  <c r="I567" i="1" s="1"/>
  <c r="I550" i="1"/>
  <c r="M167" i="1"/>
  <c r="I576" i="1"/>
  <c r="I577" i="1" s="1"/>
  <c r="O577" i="1" s="1"/>
  <c r="K465" i="1"/>
  <c r="K464" i="1"/>
  <c r="I570" i="1"/>
  <c r="M49" i="1"/>
  <c r="M551" i="1" s="1"/>
  <c r="M327" i="1"/>
  <c r="I350" i="1"/>
  <c r="I42" i="1"/>
  <c r="I397" i="1"/>
  <c r="I53" i="1"/>
  <c r="K48" i="1"/>
  <c r="I60" i="1"/>
  <c r="K55" i="1"/>
  <c r="M55" i="1" s="1"/>
  <c r="I111" i="1"/>
  <c r="K106" i="1"/>
  <c r="M106" i="1" s="1"/>
  <c r="I118" i="1"/>
  <c r="K113" i="1"/>
  <c r="M113" i="1" s="1"/>
  <c r="I125" i="1"/>
  <c r="K120" i="1"/>
  <c r="M120" i="1" s="1"/>
  <c r="I132" i="1"/>
  <c r="K127" i="1"/>
  <c r="M127" i="1" s="1"/>
  <c r="I139" i="1"/>
  <c r="K134" i="1"/>
  <c r="M134" i="1" s="1"/>
  <c r="I284" i="1"/>
  <c r="K279" i="1"/>
  <c r="I291" i="1"/>
  <c r="K286" i="1"/>
  <c r="M286" i="1" s="1"/>
  <c r="K346" i="1"/>
  <c r="K353" i="1"/>
  <c r="M353" i="1" s="1"/>
  <c r="K360" i="1"/>
  <c r="M360" i="1" s="1"/>
  <c r="M364" i="1" s="1"/>
  <c r="I390" i="1"/>
  <c r="K385" i="1"/>
  <c r="M385" i="1" s="1"/>
  <c r="K393" i="1"/>
  <c r="M393" i="1" s="1"/>
  <c r="M397" i="1" s="1"/>
  <c r="K444" i="1"/>
  <c r="M425" i="1"/>
  <c r="M67" i="1"/>
  <c r="K81" i="1"/>
  <c r="M171" i="1"/>
  <c r="M229" i="1"/>
  <c r="K229" i="1"/>
  <c r="I357" i="1"/>
  <c r="I455" i="1"/>
  <c r="I192" i="1"/>
  <c r="I206" i="1"/>
  <c r="K199" i="1"/>
  <c r="I243" i="1"/>
  <c r="I199" i="1"/>
  <c r="M81" i="1"/>
  <c r="M74" i="1"/>
  <c r="K74" i="1"/>
  <c r="K425" i="1"/>
  <c r="M88" i="1"/>
  <c r="K88" i="1"/>
  <c r="K250" i="1"/>
  <c r="I470" i="1"/>
  <c r="I364" i="1"/>
  <c r="I146" i="1"/>
  <c r="I236" i="1"/>
  <c r="I185" i="1"/>
  <c r="M250" i="1"/>
  <c r="I81" i="1"/>
  <c r="K67" i="1"/>
  <c r="K171" i="1"/>
  <c r="K192" i="1"/>
  <c r="K206" i="1"/>
  <c r="K146" i="1"/>
  <c r="E521" i="1"/>
  <c r="I487" i="1"/>
  <c r="I491" i="1" s="1"/>
  <c r="G521" i="1"/>
  <c r="I400" i="1"/>
  <c r="I571" i="1" s="1"/>
  <c r="K185" i="1"/>
  <c r="G520" i="1"/>
  <c r="K479" i="1"/>
  <c r="K484" i="1" s="1"/>
  <c r="I520" i="1"/>
  <c r="M199" i="1"/>
  <c r="K243" i="1"/>
  <c r="I174" i="1"/>
  <c r="K236" i="1"/>
  <c r="I552" i="1" l="1"/>
  <c r="I556" i="1"/>
  <c r="I581" i="1" s="1"/>
  <c r="M346" i="1"/>
  <c r="K566" i="1"/>
  <c r="K567" i="1" s="1"/>
  <c r="O567" i="1" s="1"/>
  <c r="M357" i="1"/>
  <c r="M279" i="1"/>
  <c r="M560" i="1" s="1"/>
  <c r="M562" i="1" s="1"/>
  <c r="K560" i="1"/>
  <c r="K562" i="1" s="1"/>
  <c r="O562" i="1" s="1"/>
  <c r="K550" i="1"/>
  <c r="K552" i="1" s="1"/>
  <c r="O552" i="1" s="1"/>
  <c r="K470" i="1"/>
  <c r="I580" i="1"/>
  <c r="I572" i="1"/>
  <c r="M464" i="1"/>
  <c r="K570" i="1"/>
  <c r="M465" i="1"/>
  <c r="M48" i="1"/>
  <c r="M550" i="1" s="1"/>
  <c r="M552" i="1" s="1"/>
  <c r="M444" i="1"/>
  <c r="K111" i="1"/>
  <c r="K60" i="1"/>
  <c r="K291" i="1"/>
  <c r="K125" i="1"/>
  <c r="K448" i="1"/>
  <c r="K53" i="1"/>
  <c r="K390" i="1"/>
  <c r="K364" i="1"/>
  <c r="K284" i="1"/>
  <c r="K139" i="1"/>
  <c r="K132" i="1"/>
  <c r="K118" i="1"/>
  <c r="I178" i="1"/>
  <c r="K174" i="1"/>
  <c r="K350" i="1"/>
  <c r="K357" i="1"/>
  <c r="K397" i="1"/>
  <c r="I404" i="1"/>
  <c r="I494" i="1" s="1"/>
  <c r="K400" i="1"/>
  <c r="M400" i="1" s="1"/>
  <c r="I301" i="1"/>
  <c r="I367" i="1"/>
  <c r="I320" i="1"/>
  <c r="M284" i="1"/>
  <c r="G324" i="1"/>
  <c r="I322" i="1"/>
  <c r="I523" i="1" s="1"/>
  <c r="E523" i="1"/>
  <c r="M146" i="1"/>
  <c r="M192" i="1"/>
  <c r="M111" i="1"/>
  <c r="M125" i="1"/>
  <c r="M118" i="1"/>
  <c r="M132" i="1"/>
  <c r="M291" i="1"/>
  <c r="M60" i="1"/>
  <c r="M139" i="1"/>
  <c r="M206" i="1"/>
  <c r="M236" i="1"/>
  <c r="M53" i="1"/>
  <c r="K520" i="1"/>
  <c r="M243" i="1"/>
  <c r="M390" i="1"/>
  <c r="M185" i="1"/>
  <c r="M523" i="1"/>
  <c r="M479" i="1"/>
  <c r="M484" i="1" s="1"/>
  <c r="I148" i="1"/>
  <c r="M571" i="1" l="1"/>
  <c r="I582" i="1"/>
  <c r="M470" i="1"/>
  <c r="P552" i="1"/>
  <c r="M570" i="1"/>
  <c r="M572" i="1" s="1"/>
  <c r="P562" i="1"/>
  <c r="I557" i="1"/>
  <c r="I584" i="1" s="1"/>
  <c r="M174" i="1"/>
  <c r="M556" i="1" s="1"/>
  <c r="M557" i="1" s="1"/>
  <c r="K556" i="1"/>
  <c r="K557" i="1" s="1"/>
  <c r="M350" i="1"/>
  <c r="M367" i="1" s="1"/>
  <c r="M566" i="1"/>
  <c r="M567" i="1" s="1"/>
  <c r="P567" i="1" s="1"/>
  <c r="K580" i="1"/>
  <c r="E526" i="1"/>
  <c r="M448" i="1"/>
  <c r="I253" i="1"/>
  <c r="I255" i="1" s="1"/>
  <c r="K367" i="1"/>
  <c r="K178" i="1"/>
  <c r="K253" i="1" s="1"/>
  <c r="I521" i="1"/>
  <c r="I526" i="1" s="1"/>
  <c r="I324" i="1"/>
  <c r="K301" i="1"/>
  <c r="M520" i="1"/>
  <c r="K148" i="1"/>
  <c r="G523" i="1"/>
  <c r="G327" i="1"/>
  <c r="M404" i="1"/>
  <c r="K521" i="1"/>
  <c r="M148" i="1"/>
  <c r="M301" i="1"/>
  <c r="M580" i="1" l="1"/>
  <c r="P557" i="1"/>
  <c r="O557" i="1"/>
  <c r="M581" i="1"/>
  <c r="M584" i="1"/>
  <c r="I327" i="1"/>
  <c r="G526" i="1"/>
  <c r="M178" i="1"/>
  <c r="M494" i="1"/>
  <c r="M521" i="1"/>
  <c r="M526" i="1" s="1"/>
  <c r="K255" i="1"/>
  <c r="M582" i="1" l="1"/>
  <c r="M253" i="1"/>
  <c r="M255" i="1" s="1"/>
  <c r="M530" i="1" l="1"/>
  <c r="O78" i="4" l="1"/>
  <c r="O112" i="4"/>
  <c r="O77" i="4"/>
  <c r="O111" i="4"/>
  <c r="O113" i="4"/>
  <c r="O79" i="4"/>
  <c r="A114" i="4"/>
  <c r="A80" i="4"/>
  <c r="K571" i="1" l="1"/>
  <c r="K581" i="1" s="1"/>
  <c r="K582" i="1" s="1"/>
  <c r="K523" i="1"/>
  <c r="K526" i="1" s="1"/>
  <c r="K404" i="1"/>
  <c r="K494" i="1" s="1"/>
  <c r="G65" i="3"/>
  <c r="P582" i="1" l="1"/>
  <c r="O582" i="1"/>
  <c r="K572" i="1"/>
  <c r="P572" i="1" l="1"/>
  <c r="K584" i="1"/>
  <c r="O572" i="1"/>
  <c r="P584" i="1" l="1"/>
  <c r="O584" i="1"/>
</calcChain>
</file>

<file path=xl/sharedStrings.xml><?xml version="1.0" encoding="utf-8"?>
<sst xmlns="http://schemas.openxmlformats.org/spreadsheetml/2006/main" count="1992" uniqueCount="479">
  <si>
    <t>SCHEDULE G-2</t>
  </si>
  <si>
    <t>CALCULATION OF THE PROJECTED TEST YEAR - NET OPERATING INCOME</t>
  </si>
  <si>
    <t>MACRO DIRECTORY FOR SCHB5</t>
  </si>
  <si>
    <t>FLORIDA PUBLIC SERVICE COMMISSION</t>
  </si>
  <si>
    <t>EXPLANATION:  PROVIDE THE CALCULATION OF OPERATION AND MAINTENANCE EXPENSES FOR</t>
  </si>
  <si>
    <t>TYPE OF DATA SHOWN:</t>
  </si>
  <si>
    <t>THE HISTORIC BASE YEAR + 1 AND THE PROJECTED TEST YEAR.  IF ADDITIONAL TREND</t>
  </si>
  <si>
    <t>HISTORIC BASE YEAR DATA:</t>
  </si>
  <si>
    <t>[ALT] Z</t>
  </si>
  <si>
    <t>{GOTO}AZ1~/XQ</t>
  </si>
  <si>
    <t>GO TO MACRO DIRECTORY</t>
  </si>
  <si>
    <t>COMPANY:</t>
  </si>
  <si>
    <t>RATES ARE APPLIED, PROVIDE AN EXPLANATION AS TO THE BASIS OF THE FACTOR.</t>
  </si>
  <si>
    <t>HISTORIC BASE YR + 1:</t>
  </si>
  <si>
    <t>PROJECTED TEST YEAR:</t>
  </si>
  <si>
    <t>[ALT] A</t>
  </si>
  <si>
    <t>/PPRSCHB5P1~A~</t>
  </si>
  <si>
    <t>PRINT PAGE ONE ONLY</t>
  </si>
  <si>
    <t>WITNESS:</t>
  </si>
  <si>
    <t>GPPQ/XQ</t>
  </si>
  <si>
    <t>HISTORIC BASE</t>
  </si>
  <si>
    <t>PROJECTED</t>
  </si>
  <si>
    <t>YEAR + 1</t>
  </si>
  <si>
    <t>TEST YEAR</t>
  </si>
  <si>
    <t>TREND RATES:</t>
  </si>
  <si>
    <t>#1</t>
  </si>
  <si>
    <t>PAYROLL ONLY</t>
  </si>
  <si>
    <t>#2</t>
  </si>
  <si>
    <t>CUSTOMER GROWTH X PAY CHANGE (not used)</t>
  </si>
  <si>
    <t>#3</t>
  </si>
  <si>
    <t>CUSTOMER GROWTH X INFLATION</t>
  </si>
  <si>
    <t>#4</t>
  </si>
  <si>
    <t>INFLATION ONLY</t>
  </si>
  <si>
    <t>CUSTOMER GROWTH</t>
  </si>
  <si>
    <t>LINE</t>
  </si>
  <si>
    <t>PGS</t>
  </si>
  <si>
    <t>TOTAL</t>
  </si>
  <si>
    <t>TREND BASIS</t>
  </si>
  <si>
    <t>NO.</t>
  </si>
  <si>
    <t>ACCOUNT</t>
  </si>
  <si>
    <t>BASE YEAR</t>
  </si>
  <si>
    <t>ADJUSTMENTS</t>
  </si>
  <si>
    <t>BASE YEAR + 1</t>
  </si>
  <si>
    <t>FROM ABOVE</t>
  </si>
  <si>
    <t>Payroll trended</t>
  </si>
  <si>
    <t>Other trended</t>
  </si>
  <si>
    <t>Payroll not trended</t>
  </si>
  <si>
    <t>Other not trended</t>
  </si>
  <si>
    <t>Total</t>
  </si>
  <si>
    <t>OTHER STORAGE EXPENSE</t>
  </si>
  <si>
    <t>DISTRIBUTION EXPENSE</t>
  </si>
  <si>
    <t>OPERATION EXPENSE</t>
  </si>
  <si>
    <t xml:space="preserve">  </t>
  </si>
  <si>
    <t>TOTAL OPERATION EXPENSE</t>
  </si>
  <si>
    <t>MAINTENANCE EXPENSE</t>
  </si>
  <si>
    <t>PAGE 13 OF 31</t>
  </si>
  <si>
    <t>TOTAL MAINTENANCE EXPENSE</t>
  </si>
  <si>
    <t>TOTAL DISTRIBUTION EXPENSE</t>
  </si>
  <si>
    <t>PAGE 14 OF 31</t>
  </si>
  <si>
    <t>CUSTOMER ACCT. &amp; COLLECT.</t>
  </si>
  <si>
    <t>TOTAL CUSTOMER ACCT. &amp; COLLECT.</t>
  </si>
  <si>
    <t>PAGE 15 OF 31</t>
  </si>
  <si>
    <t>CUSTOMER SERVICE &amp; INFO.</t>
  </si>
  <si>
    <t>907 thru 910</t>
  </si>
  <si>
    <t>ENERGY CONSERVATION</t>
  </si>
  <si>
    <t>EXPENSES RECOVERABLE</t>
  </si>
  <si>
    <t>THROUGH CONSERVATION COST</t>
  </si>
  <si>
    <t>RECOVERY MECHANISM</t>
  </si>
  <si>
    <t>TOTAL CUSTOMER SERVICE &amp; INFO.</t>
  </si>
  <si>
    <t>PAGE 16 OF 31</t>
  </si>
  <si>
    <t>PAGE 17 OF 31</t>
  </si>
  <si>
    <t>ADMINISTRATIVE &amp; GENERAL EXPENSE</t>
  </si>
  <si>
    <t>Unreconciled budget items</t>
  </si>
  <si>
    <t>CUSTOMER GROWTH X PAY CHANGE</t>
  </si>
  <si>
    <t>TOTAL EXPENSES</t>
  </si>
  <si>
    <t>TOTAL O&amp;M EXPENSES</t>
  </si>
  <si>
    <t>Cast Iron Bare Steel Rider FERC Account 407</t>
  </si>
  <si>
    <t>O&amp;M Per MFR Schedule G2, page 5</t>
  </si>
  <si>
    <t>RECAP SCHEDULES:  G-2 pp.1, 4, 5, E-6</t>
  </si>
  <si>
    <t>12/31/22</t>
  </si>
  <si>
    <t>12/31/23</t>
  </si>
  <si>
    <t>12/31/2023</t>
  </si>
  <si>
    <t xml:space="preserve">DOCKET NO.:  </t>
  </si>
  <si>
    <t>12/31/24</t>
  </si>
  <si>
    <t>12/31/2024</t>
  </si>
  <si>
    <t>PEOPLES GAS SYSTEM, INC.</t>
  </si>
  <si>
    <t>R. PARSONS / C. RICHARD</t>
  </si>
  <si>
    <t>R. PARSONS</t>
  </si>
  <si>
    <t>20230023-GU</t>
  </si>
  <si>
    <t>PAGE 12a OF 31</t>
  </si>
  <si>
    <t>PAGE 12b OF 31</t>
  </si>
  <si>
    <t>PAGE 12c OF 31</t>
  </si>
  <si>
    <t>PAGE 18a OF 31</t>
  </si>
  <si>
    <t>PAGE 18b OF 31</t>
  </si>
  <si>
    <t>Payroll</t>
  </si>
  <si>
    <t>Other</t>
  </si>
  <si>
    <t>Historic Base Year + 1</t>
  </si>
  <si>
    <t>Projected Test Year</t>
  </si>
  <si>
    <t>As Compared With The</t>
  </si>
  <si>
    <t>Historic Base Year</t>
  </si>
  <si>
    <t>TOTAL OTHER</t>
  </si>
  <si>
    <t>TOTAL DISTRIBUTION OPERATION EXPENSE</t>
  </si>
  <si>
    <t>TOTAL DISTRIBUTION MAINTENANCE EXPENSE</t>
  </si>
  <si>
    <t>TOTAL ADMINISTRATIVE &amp; GENERAL EXPENSE</t>
  </si>
  <si>
    <t>FERC</t>
  </si>
  <si>
    <t>Witness</t>
  </si>
  <si>
    <t>Secondary</t>
  </si>
  <si>
    <t>Line</t>
  </si>
  <si>
    <t>Account</t>
  </si>
  <si>
    <t>O&amp;M</t>
  </si>
  <si>
    <t>407 Total</t>
  </si>
  <si>
    <t xml:space="preserve">Regulatory Debits and Credits - State Tax Reform </t>
  </si>
  <si>
    <t>Parsons</t>
  </si>
  <si>
    <t>413 Total</t>
  </si>
  <si>
    <t xml:space="preserve">CNG Leased Station O&amp;M </t>
  </si>
  <si>
    <t>O'Connor</t>
  </si>
  <si>
    <t>874 Total</t>
  </si>
  <si>
    <t>Gas Operations reduced Contractor Costs</t>
  </si>
  <si>
    <t>887 Total</t>
  </si>
  <si>
    <t>TIMP - Pipeline Reassessments and Risk Analysis</t>
  </si>
  <si>
    <t>Richard</t>
  </si>
  <si>
    <t>892 Total</t>
  </si>
  <si>
    <t>DIMP Risk Analysis and Planning</t>
  </si>
  <si>
    <t>903 Total</t>
  </si>
  <si>
    <t>CRMB Asset Usage Fee</t>
  </si>
  <si>
    <t>904 Total</t>
  </si>
  <si>
    <t>Bad Debt Expense</t>
  </si>
  <si>
    <t>912 Total</t>
  </si>
  <si>
    <t>TECO Partners Contract</t>
  </si>
  <si>
    <t>Alex</t>
  </si>
  <si>
    <t>920 Total</t>
  </si>
  <si>
    <t>Short-term Employee Incentive Compensation</t>
  </si>
  <si>
    <t>Bluestone</t>
  </si>
  <si>
    <t>Rutkin</t>
  </si>
  <si>
    <t>921 Total</t>
  </si>
  <si>
    <t>922 Total</t>
  </si>
  <si>
    <t xml:space="preserve">Capitalized A&amp;G </t>
  </si>
  <si>
    <t xml:space="preserve">Non-recurring Legal Expenses </t>
  </si>
  <si>
    <t>Audit Fees</t>
  </si>
  <si>
    <t>Strategy Consultants</t>
  </si>
  <si>
    <t xml:space="preserve">IT Contractor Costs (WAM contractor costs) </t>
  </si>
  <si>
    <t>923 Total</t>
  </si>
  <si>
    <t>924 Total</t>
  </si>
  <si>
    <t>Storm Costs Recognized</t>
  </si>
  <si>
    <t>Insurance Premiums and Fees</t>
  </si>
  <si>
    <t>I&amp;D Reserve Balance Adjustments</t>
  </si>
  <si>
    <t xml:space="preserve">Non-recurring I&amp;D-related Legal Expenses </t>
  </si>
  <si>
    <t>925 Total</t>
  </si>
  <si>
    <t>926 Total</t>
  </si>
  <si>
    <t>Total Employee Pension and Benefits</t>
  </si>
  <si>
    <t>928 Total</t>
  </si>
  <si>
    <t>Rate Case Expense</t>
  </si>
  <si>
    <t>Depreciation from TEC</t>
  </si>
  <si>
    <t>Non-CRB Portion of Asset Usage Fee</t>
  </si>
  <si>
    <t>Alliance Project added O&amp;M</t>
  </si>
  <si>
    <t>Credit Agency Fees</t>
  </si>
  <si>
    <t xml:space="preserve">Regulatory Asset Amortization - non-capitalizable WAM implementation costs </t>
  </si>
  <si>
    <t>Christian  - What makes up the regulatory asset</t>
  </si>
  <si>
    <t>IT Costs ( WAM maintenance and Microsoft EA Agreement(1/2 year))</t>
  </si>
  <si>
    <t>IT Costs (full-year impact of Microsoft EA Agreement and Redwood software upgrade)</t>
  </si>
  <si>
    <t>930.2 Total</t>
  </si>
  <si>
    <t>PAGE 19a OF 31</t>
  </si>
  <si>
    <t>C. RICHARD / L. RUTKIN</t>
  </si>
  <si>
    <t>R. PARSONS / D. BLUESTONE</t>
  </si>
  <si>
    <t>PAGE 19b OF 31</t>
  </si>
  <si>
    <t xml:space="preserve">Start </t>
  </si>
  <si>
    <t>Position</t>
  </si>
  <si>
    <t>Month/Year</t>
  </si>
  <si>
    <t>Headcount</t>
  </si>
  <si>
    <t>North Distribution Design - Construction Inspector</t>
  </si>
  <si>
    <t>South Distribution Design - Gas Design Technician (replacement)</t>
  </si>
  <si>
    <t>South Distribution Design - Gas Design Supervisor</t>
  </si>
  <si>
    <t>South Distribution Design - Admin</t>
  </si>
  <si>
    <t>Central Distribution Design - Admin Specialist (replacement)</t>
  </si>
  <si>
    <t>Central Distribution Design - Construction Project Manager (replacement)</t>
  </si>
  <si>
    <t>Central Distribution Design - Gas Design Project Manager (replacement)</t>
  </si>
  <si>
    <t>Central Distribution Design - Construction Coordinator (replacement)</t>
  </si>
  <si>
    <t xml:space="preserve">Corp Engineering - Engineer II </t>
  </si>
  <si>
    <t>Corp Engineering - Engineering Manager (replacement)</t>
  </si>
  <si>
    <t>Admin &amp; Special Projects - Business Analyst II</t>
  </si>
  <si>
    <t>Admin &amp; Special Projects - Director of Capital &amp; Work Management</t>
  </si>
  <si>
    <t xml:space="preserve">Eng &amp; Design - System Modeler Strategic System Planning </t>
  </si>
  <si>
    <t xml:space="preserve">Capital &amp; Work Mgt - Manager Budgeting and IRP </t>
  </si>
  <si>
    <t>Capital &amp; Work Mgt - Planning Coordinator</t>
  </si>
  <si>
    <t>Capital &amp; Work Mgt - Manager, Scheduling, Planning and Reporting</t>
  </si>
  <si>
    <t xml:space="preserve">Capital &amp; Work Mgt - Analyst Reporting and Analytics </t>
  </si>
  <si>
    <t>870 Total</t>
  </si>
  <si>
    <t>Tampa - Apprentice (replacement)</t>
  </si>
  <si>
    <t>Tampa - Utility Tech (replacement)</t>
  </si>
  <si>
    <t>Tampa - Utility Coordinator (replacement)</t>
  </si>
  <si>
    <t>St Pete - Utility Tech (replacement)</t>
  </si>
  <si>
    <t>St Pete - Pipeline Locator (replacement)</t>
  </si>
  <si>
    <t>St Pete - Utility Coordinator (replacement)</t>
  </si>
  <si>
    <t>Orlando - Corrosion Coordinator</t>
  </si>
  <si>
    <t>Orlando - Utility Tech (replacement)</t>
  </si>
  <si>
    <t>Ocala - Apprentice (replacement)</t>
  </si>
  <si>
    <t>Ocala - Utility Tech (replacement)</t>
  </si>
  <si>
    <t>Eustis - Apprentice (replacement)</t>
  </si>
  <si>
    <t>Daytona - Apprentice (replacement)</t>
  </si>
  <si>
    <t>Sarasota - Utility Tech (replacement)</t>
  </si>
  <si>
    <t xml:space="preserve">Sarasota - Apprentice </t>
  </si>
  <si>
    <t>Sarasota - Admin/Storekeeper (replacement)</t>
  </si>
  <si>
    <t>SW FL - Utility Tech (replacement)</t>
  </si>
  <si>
    <t>Dade - Utility Tech (replacement)</t>
  </si>
  <si>
    <t xml:space="preserve">Tampa - Pipeline Locator </t>
  </si>
  <si>
    <t xml:space="preserve">St Pete - Apprentice </t>
  </si>
  <si>
    <t>St Pete - Pipeline Locator</t>
  </si>
  <si>
    <t xml:space="preserve">Orlando - Apprentice </t>
  </si>
  <si>
    <t xml:space="preserve">Lakeland - Apprentice </t>
  </si>
  <si>
    <t>Jacksonville - Leak survey tech</t>
  </si>
  <si>
    <t xml:space="preserve">Jacksonville - Apprentice </t>
  </si>
  <si>
    <t>Jacksonville - Pipeline Locator</t>
  </si>
  <si>
    <t>Ocala - Apprentice</t>
  </si>
  <si>
    <t>Dade Broward - Apprentice</t>
  </si>
  <si>
    <t xml:space="preserve">Sarasota -Pipeline Locator </t>
  </si>
  <si>
    <t>Sarasota - Leak survey tech</t>
  </si>
  <si>
    <t xml:space="preserve">SW FL - Utility Tech </t>
  </si>
  <si>
    <t xml:space="preserve">Jupiter - Apprentice </t>
  </si>
  <si>
    <t>Sarasota - Supervisor (replacement)</t>
  </si>
  <si>
    <t>SW FL - Supervisor (replacement)</t>
  </si>
  <si>
    <t xml:space="preserve">M&amp;R - Tech Compressor SR </t>
  </si>
  <si>
    <t xml:space="preserve">Jupiter - Supervisor </t>
  </si>
  <si>
    <t>ENG Tech Training - Tech Trainer</t>
  </si>
  <si>
    <t>ENG Tech Training - Admin</t>
  </si>
  <si>
    <t xml:space="preserve">Gas Control - Technology Analyst </t>
  </si>
  <si>
    <t xml:space="preserve">Gas Control - Controller </t>
  </si>
  <si>
    <t>880 Total</t>
  </si>
  <si>
    <t>Quality Assurance - CAPA Program Specialist</t>
  </si>
  <si>
    <t>Ops Processes - Dispatcher</t>
  </si>
  <si>
    <t>Ops Processes - Support Specialist (replacement)</t>
  </si>
  <si>
    <t>Ops Processes - Manager (replacement)</t>
  </si>
  <si>
    <t>Supply Chain Mgt - Analyst</t>
  </si>
  <si>
    <t>Supply Chain Mgt - Sr Contract Specialist</t>
  </si>
  <si>
    <t>Supply Chain Mgt - Sr Category Manager - Materials</t>
  </si>
  <si>
    <t>Supply Chain Mgt - Sr Buyer</t>
  </si>
  <si>
    <t>Supply Chain Mgt - Sr Project Procurement Specialist</t>
  </si>
  <si>
    <t>BD - BI Insights Analyst (replacement)</t>
  </si>
  <si>
    <t>BD - Portfolio Analyst (replacement)</t>
  </si>
  <si>
    <t>BD - Manager BP &amp; Analysis (replacement)</t>
  </si>
  <si>
    <t>BD - Coordinator (replacement)</t>
  </si>
  <si>
    <t>BD - Manager Natural Gas Trading &amp; Portfolio (replacement)</t>
  </si>
  <si>
    <t>BD - Manager CNG (replacement)</t>
  </si>
  <si>
    <t>Marketing -  Service Coord</t>
  </si>
  <si>
    <t>Marketing - Manager Strategic Communications and Media Relations</t>
  </si>
  <si>
    <t>External Affairs - Analyst</t>
  </si>
  <si>
    <t>Finance (BP) - Co-Op</t>
  </si>
  <si>
    <t>Finance (FA) - Mgr Comm Inv</t>
  </si>
  <si>
    <t>HR - Analyst Lead</t>
  </si>
  <si>
    <t>HR - Business Partner</t>
  </si>
  <si>
    <t>HR - Talent Acquisition Specialist</t>
  </si>
  <si>
    <t>BD Origination - Business Development Manager</t>
  </si>
  <si>
    <t>BD Origination - Analyst</t>
  </si>
  <si>
    <t>Marketing - Manager</t>
  </si>
  <si>
    <t>Marketing - Coordinator</t>
  </si>
  <si>
    <t>Process Improvement - Lead Business Innovation Coordinator</t>
  </si>
  <si>
    <t>Analytics - Business Analytics &amp; Insights Analyst</t>
  </si>
  <si>
    <t>Analytics - Co-op</t>
  </si>
  <si>
    <t>Strategy - Coordinator</t>
  </si>
  <si>
    <t>Strategy - Co-op</t>
  </si>
  <si>
    <t>Regulatory - Admin (50% to Pipeline Safety)</t>
  </si>
  <si>
    <t>Regulatory - Sr. Analyst</t>
  </si>
  <si>
    <t xml:space="preserve">Finance (FA) - Analyst </t>
  </si>
  <si>
    <t>Sarasota - Field Damage Prevention Leader</t>
  </si>
  <si>
    <t>Compliance - Analyst/Engineer</t>
  </si>
  <si>
    <t>Emergency Mgt - Coordinator</t>
  </si>
  <si>
    <t>Emergency Mgt - Security Coordinator</t>
  </si>
  <si>
    <t>Safety - Environmental Scientist</t>
  </si>
  <si>
    <t>Vacancy Allowance (5% for Field Operations applied to 874)</t>
  </si>
  <si>
    <t>checks</t>
  </si>
  <si>
    <t>PAGE 19c OF 31</t>
  </si>
  <si>
    <t>N/A</t>
  </si>
  <si>
    <t>Real Estate</t>
  </si>
  <si>
    <t>DAVID</t>
  </si>
  <si>
    <t>CC_390140 - CRP Human Resources (140)</t>
  </si>
  <si>
    <t>CC_390360 - CRP Real Estate</t>
  </si>
  <si>
    <t>Finance</t>
  </si>
  <si>
    <t>RACHEL</t>
  </si>
  <si>
    <t>CC_390200 - CRP General Accounting (200)</t>
  </si>
  <si>
    <t>PGA, ECCR</t>
  </si>
  <si>
    <t>Regulatory Affairs</t>
  </si>
  <si>
    <t>Regulatory</t>
  </si>
  <si>
    <t>LUKE</t>
  </si>
  <si>
    <t>CC_390240 - CRP Regulatory (240)</t>
  </si>
  <si>
    <t>External Affairs Analyst</t>
  </si>
  <si>
    <t>Ext Affairs &amp; Eco Dev</t>
  </si>
  <si>
    <t>External Affairs</t>
  </si>
  <si>
    <t>TIM</t>
  </si>
  <si>
    <t>COM_REL - Community Relations</t>
  </si>
  <si>
    <t>Marketing</t>
  </si>
  <si>
    <t>Strategy Marketing &amp; Communication</t>
  </si>
  <si>
    <t>JOANN</t>
  </si>
  <si>
    <t>T30164 - Strategy Marketing &amp; Communication</t>
  </si>
  <si>
    <t>Pipeline Safety</t>
  </si>
  <si>
    <t>Safety/Compliance</t>
  </si>
  <si>
    <t>T20029 - Pipeline Safety &amp; Operational Services</t>
  </si>
  <si>
    <t xml:space="preserve"> PGA, SGT </t>
  </si>
  <si>
    <t>Commercial Development &amp; Fuels</t>
  </si>
  <si>
    <t xml:space="preserve"> PGA, SGT</t>
  </si>
  <si>
    <t>Business Development</t>
  </si>
  <si>
    <t>LEW</t>
  </si>
  <si>
    <t>T20005 - Fuels</t>
  </si>
  <si>
    <t>Engineering Services</t>
  </si>
  <si>
    <t>Engineering</t>
  </si>
  <si>
    <t>CHRISTIAN</t>
  </si>
  <si>
    <t>CC_390442 - Measurement &amp; Regulation</t>
  </si>
  <si>
    <t>T20028 - Engineering Svs - Gas</t>
  </si>
  <si>
    <t>Gas Operations</t>
  </si>
  <si>
    <t>Gas Ops</t>
  </si>
  <si>
    <t>CC_390505 - OPS Operations Processes</t>
  </si>
  <si>
    <t>T20001 - Gas Operations</t>
  </si>
  <si>
    <t>CC_316400 - SWF Operations</t>
  </si>
  <si>
    <t>CC_311400 - SAR Operations</t>
  </si>
  <si>
    <t>CC_301400 - DBD Operations</t>
  </si>
  <si>
    <t>CC_306400 - JAX Operations</t>
  </si>
  <si>
    <t>CC_309400 - DAY Operations</t>
  </si>
  <si>
    <t>CC_315400 - OCA Operations</t>
  </si>
  <si>
    <t>CC_304400 - ORL Operations</t>
  </si>
  <si>
    <t>CC_303400 - TP Operations</t>
  </si>
  <si>
    <t>Full Year</t>
  </si>
  <si>
    <t>Labor $</t>
  </si>
  <si>
    <t>Capital</t>
  </si>
  <si>
    <t>Labor %</t>
  </si>
  <si>
    <t>Level</t>
  </si>
  <si>
    <t>% Year</t>
  </si>
  <si>
    <t>Sent</t>
  </si>
  <si>
    <t>Start Date</t>
  </si>
  <si>
    <t>Positions</t>
  </si>
  <si>
    <t>Fringe and PR Tax</t>
  </si>
  <si>
    <t>Req #</t>
  </si>
  <si>
    <t xml:space="preserve">$ Split </t>
  </si>
  <si>
    <t xml:space="preserve">% Split </t>
  </si>
  <si>
    <t>Grade</t>
  </si>
  <si>
    <t xml:space="preserve">% Labor </t>
  </si>
  <si>
    <t>% Labor</t>
  </si>
  <si>
    <t>BPC without</t>
  </si>
  <si>
    <t>CC_302400 - TPA Operations</t>
  </si>
  <si>
    <t>Labor At PGS</t>
  </si>
  <si>
    <t>should = 100%</t>
  </si>
  <si>
    <t>Area</t>
  </si>
  <si>
    <t>VP</t>
  </si>
  <si>
    <t>Human Resources</t>
  </si>
  <si>
    <t>HR</t>
  </si>
  <si>
    <t>DONNA</t>
  </si>
  <si>
    <t>PGA</t>
  </si>
  <si>
    <t xml:space="preserve"> PGA </t>
  </si>
  <si>
    <t xml:space="preserve"> PGA , SGT</t>
  </si>
  <si>
    <t>CC_397325 - Gas Control</t>
  </si>
  <si>
    <t>CC_390443 - Admin &amp; Special Projects</t>
  </si>
  <si>
    <t>CC_390441 - PGS Transmission Engineering Corporate</t>
  </si>
  <si>
    <t>39932/39932/41033</t>
  </si>
  <si>
    <t>CC_351299 - Central Dist Design &amp; Construction</t>
  </si>
  <si>
    <t>39993/38777</t>
  </si>
  <si>
    <t>CC_351199 - South Dist Design &amp; Construction</t>
  </si>
  <si>
    <t>CC_305400 - EUS Operations</t>
  </si>
  <si>
    <t>2023 Labor At PGS</t>
  </si>
  <si>
    <t>Annualized</t>
  </si>
  <si>
    <t xml:space="preserve">2023 O&amp;M </t>
  </si>
  <si>
    <t>2024 O&amp;M</t>
  </si>
  <si>
    <t>Payroll Additions Support</t>
  </si>
  <si>
    <t>2024 Added</t>
  </si>
  <si>
    <t>Added</t>
  </si>
  <si>
    <t>2023 Replacement/</t>
  </si>
  <si>
    <t>Total Payroll Not Trended</t>
  </si>
  <si>
    <t>Other Not Trended Item</t>
  </si>
  <si>
    <t>No.</t>
  </si>
  <si>
    <t>Payroll not trended Item</t>
  </si>
  <si>
    <t>Affiliate/</t>
  </si>
  <si>
    <t>Gas Ops additional resources:</t>
  </si>
  <si>
    <t>Eng and Construction additional resources:</t>
  </si>
  <si>
    <t>Commercial Development &amp; Fuels additional resources:</t>
  </si>
  <si>
    <t>Pipeline Safety additional resources:</t>
  </si>
  <si>
    <t>Strategy Marketing &amp; Communication additional resources:</t>
  </si>
  <si>
    <t>External Affairs additional resources:</t>
  </si>
  <si>
    <t>Regulatory additional resources:</t>
  </si>
  <si>
    <t>Finance additional resources:</t>
  </si>
  <si>
    <t>HR additional resources:</t>
  </si>
  <si>
    <t>Real Estate additional resources:</t>
  </si>
  <si>
    <t>Finance (FA) - Treasury Analyst</t>
  </si>
  <si>
    <t>M&amp;R - Operation Technology Analyst</t>
  </si>
  <si>
    <t>PAGE 19d OF 31</t>
  </si>
  <si>
    <t>PAGE 19e OF 31</t>
  </si>
  <si>
    <t>Total Other not trended</t>
  </si>
  <si>
    <t>Payroll O&amp;M</t>
  </si>
  <si>
    <t>See page 19b</t>
  </si>
  <si>
    <t>See page 19c</t>
  </si>
  <si>
    <t>See page 19d</t>
  </si>
  <si>
    <t>See page 19e</t>
  </si>
  <si>
    <t>Regulatory Affairs - Manager  (replacement)</t>
  </si>
  <si>
    <t>Finance (BP) - Sr Analyst (replacement)</t>
  </si>
  <si>
    <t>Finance (FA) - Sr. Portfolio Analyst (replacement)</t>
  </si>
  <si>
    <t>Finance (FA) - Director of Financial Planning  (replacement)</t>
  </si>
  <si>
    <t xml:space="preserve">Real Estate - Manager </t>
  </si>
  <si>
    <t>Real Estate - Technician</t>
  </si>
  <si>
    <t>BD Origination - Project Developer/ Coordinator</t>
  </si>
  <si>
    <t>Regulatory Affairs - Manager Strategic Policy and Advocacy (replacement)</t>
  </si>
  <si>
    <t>BD Origination - Sr. Manager - Business Development (replacement)</t>
  </si>
  <si>
    <t>replacement</t>
  </si>
  <si>
    <t>Quality Assurance - Admtr., Pipeline Safety Mgt System (replacement)</t>
  </si>
  <si>
    <t>Gas Control - Analyst (replacement)</t>
  </si>
  <si>
    <t>M&amp;R - Instrumentation / Gas Tech (replacement)</t>
  </si>
  <si>
    <t>M&amp;R - Gas Ops Tech (replacement)</t>
  </si>
  <si>
    <t>North Distribution Design - Gas Design Tech (replacement)</t>
  </si>
  <si>
    <t>Central Distribution Design - Contract inspector (replacement)</t>
  </si>
  <si>
    <t xml:space="preserve">South Distribution Design - Construction Coordinator </t>
  </si>
  <si>
    <t>Central Distribution Design - Gas Design Tech (replacement)</t>
  </si>
  <si>
    <t>GIS - GIS/GPS Technician (replacement)</t>
  </si>
  <si>
    <t>Total PGS expected to add in 2023</t>
  </si>
  <si>
    <t>Total PGS expected to add in 2024</t>
  </si>
  <si>
    <t>BD Origination -  Compressed Natural Gas Coordinator (replacement)</t>
  </si>
  <si>
    <t xml:space="preserve">D. BLUESTONE / T. O'CONNOR </t>
  </si>
  <si>
    <t xml:space="preserve">R. PARSONS / C. RICHARD </t>
  </si>
  <si>
    <t>T. O'CONNOR / C. RICHARD</t>
  </si>
  <si>
    <t>D. BLUESTONE / T. O'CONNOR</t>
  </si>
  <si>
    <t>R. PARSONS / C.RICHARD</t>
  </si>
  <si>
    <t>L. RUTKIN</t>
  </si>
  <si>
    <t xml:space="preserve">L. RUTKIN / K. SPARKMAN </t>
  </si>
  <si>
    <t>T. O'CONNOR</t>
  </si>
  <si>
    <t>C. RICHARD / T. O'CONNOR</t>
  </si>
  <si>
    <t>T. O'CONNOR / K. SPARKMAN</t>
  </si>
  <si>
    <t xml:space="preserve">Procurement Allocations from TEC </t>
  </si>
  <si>
    <t>CDF - BI Insights Analyst (replacement)</t>
  </si>
  <si>
    <t>CDF - Portfolio Analyst (replacement)</t>
  </si>
  <si>
    <t>CDF - Manager BP &amp; Analysis (replacement)</t>
  </si>
  <si>
    <t>CDF - Coordinator (replacement)</t>
  </si>
  <si>
    <t>CDF - Manager Natural Gas Trading &amp; Portfolio (replacement)</t>
  </si>
  <si>
    <t>CDF -  Manager CNG (replacement)</t>
  </si>
  <si>
    <t>CDF - Business Development Manager</t>
  </si>
  <si>
    <t>CDF - Origination - Analyst</t>
  </si>
  <si>
    <t>CDF - Sr. Manager - Business Development (replacement)</t>
  </si>
  <si>
    <t>CDF - Project Developer/ Coordinator</t>
  </si>
  <si>
    <t>CDF -  Compressed Natural Gas Coordinator (replacement)</t>
  </si>
  <si>
    <t>Finance - Co-Op</t>
  </si>
  <si>
    <t xml:space="preserve">Finance - Analyst </t>
  </si>
  <si>
    <t>Finance - Sr Analyst (replacement)</t>
  </si>
  <si>
    <t>Finance - Mgr Comm Inv</t>
  </si>
  <si>
    <t>Finance - Sr. Portfolio Analyst (replacement)</t>
  </si>
  <si>
    <t>Finance - Director of Financial Planning  (replacement)</t>
  </si>
  <si>
    <t>Finance - Treasury Analyst</t>
  </si>
  <si>
    <t>Gas Operations 2023 Challenge</t>
  </si>
  <si>
    <t>Increased employee expenses and materials &amp; supplies to support headcount</t>
  </si>
  <si>
    <t>Sparkman</t>
  </si>
  <si>
    <t>SALES EXPENSE</t>
  </si>
  <si>
    <t>K. SPARKMAN</t>
  </si>
  <si>
    <t>TOTAL SALES EXPENSE</t>
  </si>
  <si>
    <t>TOTAL SALES  EXPENSE</t>
  </si>
  <si>
    <t>2024 Labor At PGS</t>
  </si>
  <si>
    <t>2023 Cap</t>
  </si>
  <si>
    <t>2024 Cap</t>
  </si>
  <si>
    <t>check</t>
  </si>
  <si>
    <t>2023 Payroll Taxes At PGS</t>
  </si>
  <si>
    <t>2024 Payroll Taxes At PGS</t>
  </si>
  <si>
    <t>2023 Other</t>
  </si>
  <si>
    <t>2024 Other</t>
  </si>
  <si>
    <t>2023 Benefit Inflation Expense At PGS</t>
  </si>
  <si>
    <t>2024 Benefit Inflation Expense At PGS</t>
  </si>
  <si>
    <t>2023 Benefit Expense (Excluding Inflation) At PGS</t>
  </si>
  <si>
    <t>2024 Benefit Expense (Excluding Inflation) At PGS</t>
  </si>
  <si>
    <t>2023 Check to MFR</t>
  </si>
  <si>
    <t>2024 Check to MFR</t>
  </si>
  <si>
    <t>PEOPLES GAS SYSTEM</t>
  </si>
  <si>
    <t>OPC INTERROGATORY NO 202</t>
  </si>
  <si>
    <t>ADDITIONAL PAYROLL, PAYROLL RELATED AND EMPLOYEE BENEFIT COSTS</t>
  </si>
  <si>
    <t>Vacancy Allowance</t>
  </si>
  <si>
    <t>Check</t>
  </si>
  <si>
    <t>2023 Labor</t>
  </si>
  <si>
    <t xml:space="preserve">2023 Payroll Taxes </t>
  </si>
  <si>
    <t xml:space="preserve">2024 Labor </t>
  </si>
  <si>
    <t>2024 Payroll Taxes</t>
  </si>
  <si>
    <t>2022 Budget</t>
  </si>
  <si>
    <t>2022 with 23 5% escalation</t>
  </si>
  <si>
    <t>2022 with 23 &amp; 24 5% escalation</t>
  </si>
  <si>
    <t>attributable to new HC</t>
  </si>
  <si>
    <t>2023 Pension &amp; Benefits, ST Incentive Comp Costs</t>
  </si>
  <si>
    <t>2024 Pension &amp; Benefits, ST Incentive Comp Costs</t>
  </si>
  <si>
    <t>(2)</t>
  </si>
  <si>
    <r>
      <t xml:space="preserve">Other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</si>
  <si>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Amounts tie to MFR G-2 page 18b and 19e</t>
    </r>
  </si>
  <si>
    <t>O&amp;M/Payroll Tax Exp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</si>
  <si>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"Other" refers to clause recoverable or charges to affiliates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</si>
</sst>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0.0%"/>
    <numFmt numFmtId="167" formatCode="0.0_)"/>
    <numFmt numFmtId="168" formatCode="0.00000%"/>
    <numFmt numFmtId="169" formatCode="_(&quot;$&quot;* #,##0_);_(&quot;$&quot;* \(#,##0\);_(&quot;$&quot;* &quot;-&quot;??_);_(@_)"/>
    <numFmt numFmtId="170" formatCode="[$-409]mmm\-yy;@"/>
    <numFmt numFmtId="171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i/>
      <sz val="10"/>
      <color rgb="FFFF000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indexed="4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2">
    <xf numFmtId="0" fontId="0" fillId="0" borderId="0" xfId="0"/>
    <xf numFmtId="164" fontId="3" fillId="0" borderId="0" xfId="3" applyFont="1" applyAlignment="1">
      <alignment horizontal="left"/>
    </xf>
    <xf numFmtId="164" fontId="3" fillId="0" borderId="0" xfId="3" applyFont="1"/>
    <xf numFmtId="164" fontId="3" fillId="0" borderId="0" xfId="3" applyFont="1" applyAlignment="1">
      <alignment horizontal="center"/>
    </xf>
    <xf numFmtId="164" fontId="3" fillId="0" borderId="0" xfId="3" quotePrefix="1" applyFont="1" applyAlignment="1">
      <alignment horizontal="left"/>
    </xf>
    <xf numFmtId="49" fontId="3" fillId="0" borderId="0" xfId="3" quotePrefix="1" applyNumberFormat="1" applyFont="1" applyAlignment="1">
      <alignment horizontal="left"/>
    </xf>
    <xf numFmtId="164" fontId="4" fillId="0" borderId="0" xfId="3" applyFont="1" applyAlignment="1" applyProtection="1">
      <alignment horizontal="left"/>
      <protection locked="0"/>
    </xf>
    <xf numFmtId="164" fontId="3" fillId="2" borderId="0" xfId="3" applyFont="1" applyFill="1"/>
    <xf numFmtId="164" fontId="3" fillId="0" borderId="2" xfId="3" applyFont="1" applyBorder="1"/>
    <xf numFmtId="164" fontId="3" fillId="0" borderId="0" xfId="3" quotePrefix="1" applyFont="1" applyAlignment="1">
      <alignment horizontal="center"/>
    </xf>
    <xf numFmtId="164" fontId="3" fillId="0" borderId="2" xfId="3" quotePrefix="1" applyFont="1" applyBorder="1" applyAlignment="1">
      <alignment horizontal="center"/>
    </xf>
    <xf numFmtId="164" fontId="3" fillId="0" borderId="3" xfId="3" applyFont="1" applyBorder="1"/>
    <xf numFmtId="164" fontId="3" fillId="0" borderId="4" xfId="3" applyFont="1" applyBorder="1"/>
    <xf numFmtId="164" fontId="3" fillId="0" borderId="5" xfId="3" applyFont="1" applyBorder="1"/>
    <xf numFmtId="10" fontId="3" fillId="0" borderId="0" xfId="4" applyNumberFormat="1"/>
    <xf numFmtId="164" fontId="5" fillId="0" borderId="0" xfId="3" applyFont="1" applyAlignment="1">
      <alignment horizontal="center"/>
    </xf>
    <xf numFmtId="164" fontId="3" fillId="0" borderId="6" xfId="3" applyFont="1" applyBorder="1"/>
    <xf numFmtId="164" fontId="3" fillId="0" borderId="0" xfId="3" quotePrefix="1" applyFont="1" applyAlignment="1">
      <alignment horizontal="right"/>
    </xf>
    <xf numFmtId="164" fontId="3" fillId="0" borderId="7" xfId="3" quotePrefix="1" applyFont="1" applyBorder="1" applyAlignment="1">
      <alignment horizontal="right"/>
    </xf>
    <xf numFmtId="164" fontId="3" fillId="0" borderId="6" xfId="3" quotePrefix="1" applyFont="1" applyBorder="1" applyAlignment="1">
      <alignment horizontal="left"/>
    </xf>
    <xf numFmtId="165" fontId="4" fillId="0" borderId="0" xfId="5" applyNumberFormat="1" applyFont="1" applyProtection="1">
      <protection locked="0"/>
    </xf>
    <xf numFmtId="165" fontId="3" fillId="0" borderId="0" xfId="5" applyNumberFormat="1"/>
    <xf numFmtId="165" fontId="3" fillId="0" borderId="7" xfId="5" applyNumberFormat="1" applyBorder="1"/>
    <xf numFmtId="10" fontId="3" fillId="0" borderId="7" xfId="4" applyNumberFormat="1" applyBorder="1"/>
    <xf numFmtId="164" fontId="5" fillId="0" borderId="0" xfId="3" quotePrefix="1" applyFont="1" applyAlignment="1">
      <alignment horizontal="center"/>
    </xf>
    <xf numFmtId="164" fontId="3" fillId="0" borderId="8" xfId="3" applyFont="1" applyBorder="1"/>
    <xf numFmtId="164" fontId="3" fillId="0" borderId="1" xfId="3" applyFont="1" applyBorder="1"/>
    <xf numFmtId="164" fontId="3" fillId="0" borderId="9" xfId="3" applyFont="1" applyBorder="1"/>
    <xf numFmtId="164" fontId="6" fillId="0" borderId="0" xfId="3" applyFont="1"/>
    <xf numFmtId="164" fontId="3" fillId="0" borderId="2" xfId="3" applyFont="1" applyBorder="1" applyAlignment="1">
      <alignment horizontal="center"/>
    </xf>
    <xf numFmtId="164" fontId="7" fillId="0" borderId="0" xfId="3" quotePrefix="1" applyFont="1" applyAlignment="1">
      <alignment horizontal="center"/>
    </xf>
    <xf numFmtId="37" fontId="3" fillId="0" borderId="0" xfId="3" applyNumberFormat="1" applyFont="1"/>
    <xf numFmtId="37" fontId="3" fillId="0" borderId="0" xfId="0" applyNumberFormat="1" applyFont="1"/>
    <xf numFmtId="37" fontId="3" fillId="0" borderId="10" xfId="3" applyNumberFormat="1" applyFont="1" applyBorder="1"/>
    <xf numFmtId="164" fontId="3" fillId="0" borderId="10" xfId="3" applyFont="1" applyBorder="1" applyAlignment="1">
      <alignment horizontal="centerContinuous"/>
    </xf>
    <xf numFmtId="37" fontId="8" fillId="0" borderId="0" xfId="3" applyNumberFormat="1" applyFont="1"/>
    <xf numFmtId="164" fontId="3" fillId="0" borderId="0" xfId="3" applyFont="1" applyAlignment="1">
      <alignment horizontal="centerContinuous"/>
    </xf>
    <xf numFmtId="0" fontId="3" fillId="0" borderId="0" xfId="0" applyFont="1"/>
    <xf numFmtId="164" fontId="9" fillId="0" borderId="0" xfId="3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3" quotePrefix="1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0" xfId="3" applyFont="1" applyAlignment="1">
      <alignment horizontal="left"/>
    </xf>
    <xf numFmtId="165" fontId="3" fillId="0" borderId="11" xfId="5" applyNumberFormat="1" applyBorder="1"/>
    <xf numFmtId="37" fontId="3" fillId="0" borderId="11" xfId="3" applyNumberFormat="1" applyFont="1" applyBorder="1"/>
    <xf numFmtId="10" fontId="3" fillId="0" borderId="0" xfId="4" applyNumberFormat="1" applyFill="1" applyAlignment="1">
      <alignment horizontal="center"/>
    </xf>
    <xf numFmtId="37" fontId="3" fillId="0" borderId="11" xfId="0" applyNumberFormat="1" applyFont="1" applyBorder="1"/>
    <xf numFmtId="166" fontId="3" fillId="0" borderId="0" xfId="2" applyNumberFormat="1" applyFont="1"/>
    <xf numFmtId="37" fontId="3" fillId="0" borderId="10" xfId="3" applyNumberFormat="1" applyFont="1" applyBorder="1" applyAlignment="1">
      <alignment horizontal="centerContinuous"/>
    </xf>
    <xf numFmtId="37" fontId="10" fillId="0" borderId="0" xfId="3" applyNumberFormat="1" applyFont="1"/>
    <xf numFmtId="164" fontId="11" fillId="0" borderId="0" xfId="3" applyFont="1" applyAlignment="1">
      <alignment horizontal="left"/>
    </xf>
    <xf numFmtId="0" fontId="12" fillId="0" borderId="0" xfId="0" applyFont="1" applyAlignment="1">
      <alignment horizontal="left" vertical="center"/>
    </xf>
    <xf numFmtId="164" fontId="5" fillId="0" borderId="0" xfId="3" applyFont="1"/>
    <xf numFmtId="164" fontId="5" fillId="0" borderId="0" xfId="3" quotePrefix="1" applyFont="1" applyAlignment="1">
      <alignment horizontal="left"/>
    </xf>
    <xf numFmtId="164" fontId="12" fillId="0" borderId="0" xfId="3" quotePrefix="1" applyFont="1" applyAlignment="1">
      <alignment horizontal="left"/>
    </xf>
    <xf numFmtId="167" fontId="3" fillId="0" borderId="0" xfId="3" applyNumberFormat="1" applyFont="1"/>
    <xf numFmtId="164" fontId="2" fillId="0" borderId="0" xfId="3"/>
    <xf numFmtId="10" fontId="3" fillId="0" borderId="0" xfId="4" quotePrefix="1" applyNumberFormat="1" applyFont="1" applyAlignment="1">
      <alignment horizontal="center"/>
    </xf>
    <xf numFmtId="166" fontId="3" fillId="0" borderId="0" xfId="2" applyNumberFormat="1" applyFont="1" applyAlignment="1">
      <alignment horizontal="left"/>
    </xf>
    <xf numFmtId="164" fontId="3" fillId="0" borderId="10" xfId="3" applyFont="1" applyBorder="1"/>
    <xf numFmtId="164" fontId="3" fillId="0" borderId="0" xfId="3" quotePrefix="1" applyFont="1"/>
    <xf numFmtId="165" fontId="3" fillId="0" borderId="0" xfId="1" applyNumberFormat="1" applyFont="1"/>
    <xf numFmtId="165" fontId="3" fillId="0" borderId="0" xfId="5" applyNumberFormat="1" applyFont="1"/>
    <xf numFmtId="164" fontId="10" fillId="0" borderId="0" xfId="3" applyFont="1"/>
    <xf numFmtId="165" fontId="10" fillId="0" borderId="0" xfId="1" applyNumberFormat="1" applyFont="1"/>
    <xf numFmtId="43" fontId="10" fillId="0" borderId="0" xfId="1" applyFont="1" applyBorder="1"/>
    <xf numFmtId="165" fontId="3" fillId="0" borderId="0" xfId="1" applyNumberFormat="1" applyFont="1" applyBorder="1"/>
    <xf numFmtId="37" fontId="3" fillId="0" borderId="0" xfId="0" quotePrefix="1" applyNumberFormat="1" applyFont="1" applyAlignment="1">
      <alignment horizontal="left"/>
    </xf>
    <xf numFmtId="164" fontId="3" fillId="0" borderId="2" xfId="0" quotePrefix="1" applyNumberFormat="1" applyFont="1" applyBorder="1" applyAlignment="1">
      <alignment horizontal="center"/>
    </xf>
    <xf numFmtId="10" fontId="3" fillId="0" borderId="0" xfId="4" applyNumberFormat="1" applyFill="1"/>
    <xf numFmtId="10" fontId="3" fillId="0" borderId="0" xfId="4" applyNumberFormat="1" applyFont="1" applyFill="1"/>
    <xf numFmtId="0" fontId="13" fillId="0" borderId="0" xfId="0" applyFont="1" applyAlignment="1">
      <alignment horizontal="left"/>
    </xf>
    <xf numFmtId="37" fontId="3" fillId="0" borderId="10" xfId="0" applyNumberFormat="1" applyFont="1" applyBorder="1"/>
    <xf numFmtId="166" fontId="3" fillId="0" borderId="0" xfId="2" applyNumberFormat="1" applyFont="1" applyAlignment="1">
      <alignment horizontal="center"/>
    </xf>
    <xf numFmtId="168" fontId="3" fillId="0" borderId="0" xfId="2" applyNumberFormat="1" applyFont="1" applyAlignment="1">
      <alignment horizontal="center"/>
    </xf>
    <xf numFmtId="168" fontId="3" fillId="0" borderId="0" xfId="3" applyNumberFormat="1" applyFont="1" applyAlignment="1">
      <alignment horizontal="center"/>
    </xf>
    <xf numFmtId="164" fontId="3" fillId="0" borderId="2" xfId="3" applyFont="1" applyBorder="1" applyAlignment="1">
      <alignment horizontal="fill"/>
    </xf>
    <xf numFmtId="164" fontId="3" fillId="0" borderId="2" xfId="3" applyFont="1" applyBorder="1" applyAlignment="1">
      <alignment horizontal="left"/>
    </xf>
    <xf numFmtId="0" fontId="3" fillId="0" borderId="2" xfId="0" applyFont="1" applyBorder="1" applyAlignment="1">
      <alignment horizontal="fill"/>
    </xf>
    <xf numFmtId="165" fontId="3" fillId="0" borderId="2" xfId="1" applyNumberFormat="1" applyFont="1" applyBorder="1" applyAlignment="1">
      <alignment horizontal="fill"/>
    </xf>
    <xf numFmtId="165" fontId="3" fillId="0" borderId="2" xfId="5" applyNumberFormat="1" applyFont="1" applyBorder="1" applyAlignment="1" applyProtection="1"/>
    <xf numFmtId="0" fontId="15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37" fontId="3" fillId="0" borderId="0" xfId="3" applyNumberFormat="1" applyFont="1" applyAlignment="1">
      <alignment vertical="top"/>
    </xf>
    <xf numFmtId="43" fontId="3" fillId="0" borderId="0" xfId="1" applyFont="1" applyFill="1" applyAlignment="1">
      <alignment vertical="top"/>
    </xf>
    <xf numFmtId="165" fontId="3" fillId="0" borderId="0" xfId="1" applyNumberFormat="1" applyFont="1" applyFill="1" applyAlignment="1">
      <alignment vertical="top"/>
    </xf>
    <xf numFmtId="0" fontId="14" fillId="0" borderId="0" xfId="0" applyFont="1"/>
    <xf numFmtId="43" fontId="3" fillId="0" borderId="2" xfId="1" applyFont="1" applyFill="1" applyBorder="1" applyAlignment="1">
      <alignment vertical="top"/>
    </xf>
    <xf numFmtId="165" fontId="0" fillId="0" borderId="0" xfId="0" applyNumberFormat="1"/>
    <xf numFmtId="0" fontId="12" fillId="0" borderId="0" xfId="0" applyFont="1" applyAlignment="1">
      <alignment horizontal="center"/>
    </xf>
    <xf numFmtId="0" fontId="3" fillId="0" borderId="0" xfId="0" applyFont="1" applyAlignment="1">
      <alignment wrapText="1"/>
    </xf>
    <xf numFmtId="169" fontId="3" fillId="0" borderId="0" xfId="6" applyNumberFormat="1" applyFont="1" applyAlignment="1">
      <alignment vertical="top"/>
    </xf>
    <xf numFmtId="0" fontId="1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165" fontId="3" fillId="0" borderId="0" xfId="1" applyNumberFormat="1" applyFont="1" applyFill="1" applyBorder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165" fontId="12" fillId="0" borderId="0" xfId="1" applyNumberFormat="1" applyFont="1" applyBorder="1" applyAlignment="1">
      <alignment vertical="top"/>
    </xf>
    <xf numFmtId="165" fontId="12" fillId="0" borderId="0" xfId="1" applyNumberFormat="1" applyFont="1" applyAlignment="1">
      <alignment vertical="top"/>
    </xf>
    <xf numFmtId="165" fontId="12" fillId="0" borderId="0" xfId="1" applyNumberFormat="1" applyFont="1" applyFill="1" applyAlignment="1">
      <alignment vertical="top"/>
    </xf>
    <xf numFmtId="165" fontId="12" fillId="0" borderId="12" xfId="1" applyNumberFormat="1" applyFont="1" applyBorder="1" applyAlignment="1">
      <alignment vertical="top"/>
    </xf>
    <xf numFmtId="165" fontId="3" fillId="0" borderId="12" xfId="1" applyNumberFormat="1" applyFont="1" applyBorder="1" applyAlignment="1">
      <alignment vertical="top"/>
    </xf>
    <xf numFmtId="165" fontId="12" fillId="0" borderId="0" xfId="1" applyNumberFormat="1" applyFont="1" applyFill="1" applyBorder="1" applyAlignment="1">
      <alignment vertical="top"/>
    </xf>
    <xf numFmtId="0" fontId="12" fillId="0" borderId="0" xfId="0" applyFont="1" applyAlignment="1">
      <alignment vertical="top" wrapText="1"/>
    </xf>
    <xf numFmtId="165" fontId="12" fillId="0" borderId="11" xfId="0" applyNumberFormat="1" applyFont="1" applyBorder="1" applyAlignment="1">
      <alignment vertical="top"/>
    </xf>
    <xf numFmtId="169" fontId="12" fillId="0" borderId="0" xfId="6" applyNumberFormat="1" applyFont="1" applyAlignment="1">
      <alignment vertical="top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wrapText="1"/>
    </xf>
    <xf numFmtId="164" fontId="3" fillId="0" borderId="0" xfId="3" applyFont="1" applyAlignment="1">
      <alignment horizontal="fill"/>
    </xf>
    <xf numFmtId="169" fontId="3" fillId="0" borderId="0" xfId="6" applyNumberFormat="1" applyFont="1" applyBorder="1" applyAlignment="1">
      <alignment vertical="top"/>
    </xf>
    <xf numFmtId="43" fontId="3" fillId="0" borderId="0" xfId="1" applyFont="1" applyFill="1" applyBorder="1" applyAlignment="1">
      <alignment vertical="top"/>
    </xf>
    <xf numFmtId="165" fontId="12" fillId="0" borderId="0" xfId="0" applyNumberFormat="1" applyFont="1" applyAlignment="1">
      <alignment vertical="top"/>
    </xf>
    <xf numFmtId="169" fontId="12" fillId="0" borderId="0" xfId="6" applyNumberFormat="1" applyFont="1" applyBorder="1" applyAlignment="1">
      <alignment vertical="top"/>
    </xf>
    <xf numFmtId="164" fontId="18" fillId="0" borderId="0" xfId="3" applyFont="1"/>
    <xf numFmtId="0" fontId="3" fillId="0" borderId="0" xfId="0" applyFont="1" applyAlignment="1">
      <alignment horizontal="fill"/>
    </xf>
    <xf numFmtId="0" fontId="17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6" applyNumberFormat="1" applyFont="1"/>
    <xf numFmtId="169" fontId="3" fillId="0" borderId="0" xfId="6" applyNumberFormat="1" applyFont="1" applyBorder="1"/>
    <xf numFmtId="0" fontId="3" fillId="0" borderId="12" xfId="0" applyFont="1" applyBorder="1" applyAlignment="1">
      <alignment horizontal="center"/>
    </xf>
    <xf numFmtId="165" fontId="3" fillId="0" borderId="12" xfId="1" applyNumberFormat="1" applyFont="1" applyBorder="1"/>
    <xf numFmtId="1" fontId="3" fillId="0" borderId="11" xfId="0" applyNumberFormat="1" applyFont="1" applyBorder="1" applyAlignment="1">
      <alignment horizontal="center"/>
    </xf>
    <xf numFmtId="164" fontId="3" fillId="0" borderId="0" xfId="3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wrapText="1"/>
    </xf>
    <xf numFmtId="165" fontId="3" fillId="0" borderId="2" xfId="1" applyNumberFormat="1" applyFont="1" applyBorder="1"/>
    <xf numFmtId="165" fontId="3" fillId="0" borderId="11" xfId="1" applyNumberFormat="1" applyFont="1" applyBorder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69" fontId="3" fillId="0" borderId="12" xfId="6" applyNumberFormat="1" applyFont="1" applyBorder="1"/>
    <xf numFmtId="1" fontId="3" fillId="0" borderId="12" xfId="0" applyNumberFormat="1" applyFont="1" applyBorder="1" applyAlignment="1">
      <alignment horizontal="center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170" fontId="0" fillId="0" borderId="0" xfId="0" applyNumberFormat="1" applyProtection="1">
      <protection hidden="1"/>
    </xf>
    <xf numFmtId="37" fontId="0" fillId="0" borderId="0" xfId="0" applyNumberFormat="1" applyProtection="1">
      <protection hidden="1"/>
    </xf>
    <xf numFmtId="43" fontId="0" fillId="0" borderId="0" xfId="0" applyNumberFormat="1" applyProtection="1">
      <protection hidden="1"/>
    </xf>
    <xf numFmtId="165" fontId="0" fillId="0" borderId="0" xfId="1" applyNumberFormat="1" applyFont="1" applyProtection="1">
      <protection hidden="1"/>
    </xf>
    <xf numFmtId="165" fontId="0" fillId="0" borderId="0" xfId="0" applyNumberFormat="1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9" fontId="17" fillId="0" borderId="0" xfId="2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70" fontId="0" fillId="0" borderId="0" xfId="0" applyNumberFormat="1" applyAlignment="1" applyProtection="1">
      <alignment horizontal="center"/>
      <protection hidden="1"/>
    </xf>
    <xf numFmtId="37" fontId="0" fillId="0" borderId="0" xfId="0" applyNumberFormat="1" applyAlignment="1" applyProtection="1">
      <alignment horizontal="center"/>
      <protection hidden="1"/>
    </xf>
    <xf numFmtId="43" fontId="17" fillId="0" borderId="0" xfId="1" applyFont="1" applyFill="1" applyBorder="1" applyAlignment="1">
      <alignment horizontal="center"/>
    </xf>
    <xf numFmtId="41" fontId="16" fillId="0" borderId="0" xfId="6" applyNumberFormat="1" applyFont="1" applyFill="1" applyBorder="1" applyAlignment="1" applyProtection="1">
      <alignment horizontal="center"/>
      <protection hidden="1"/>
    </xf>
    <xf numFmtId="41" fontId="14" fillId="0" borderId="0" xfId="0" applyNumberFormat="1" applyFont="1" applyAlignment="1" applyProtection="1">
      <alignment horizontal="center"/>
      <protection hidden="1"/>
    </xf>
    <xf numFmtId="41" fontId="0" fillId="0" borderId="0" xfId="0" applyNumberFormat="1" applyAlignment="1" applyProtection="1">
      <alignment horizontal="center"/>
      <protection hidden="1"/>
    </xf>
    <xf numFmtId="41" fontId="17" fillId="0" borderId="0" xfId="0" applyNumberFormat="1" applyFont="1" applyAlignment="1" applyProtection="1">
      <alignment horizontal="center"/>
      <protection hidden="1"/>
    </xf>
    <xf numFmtId="41" fontId="0" fillId="0" borderId="0" xfId="0" applyNumberFormat="1" applyProtection="1">
      <protection hidden="1"/>
    </xf>
    <xf numFmtId="1" fontId="16" fillId="0" borderId="0" xfId="6" applyNumberFormat="1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41" fontId="16" fillId="0" borderId="11" xfId="6" applyNumberFormat="1" applyFont="1" applyFill="1" applyBorder="1" applyAlignment="1" applyProtection="1">
      <alignment horizontal="center"/>
      <protection hidden="1"/>
    </xf>
    <xf numFmtId="41" fontId="14" fillId="0" borderId="11" xfId="0" applyNumberFormat="1" applyFont="1" applyBorder="1" applyAlignment="1" applyProtection="1">
      <alignment horizontal="center"/>
      <protection hidden="1"/>
    </xf>
    <xf numFmtId="41" fontId="0" fillId="0" borderId="11" xfId="0" applyNumberFormat="1" applyBorder="1" applyAlignment="1" applyProtection="1">
      <alignment horizontal="center"/>
      <protection hidden="1"/>
    </xf>
    <xf numFmtId="41" fontId="17" fillId="0" borderId="11" xfId="0" applyNumberFormat="1" applyFont="1" applyBorder="1" applyAlignment="1" applyProtection="1">
      <alignment horizontal="center"/>
      <protection hidden="1"/>
    </xf>
    <xf numFmtId="41" fontId="0" fillId="0" borderId="11" xfId="0" applyNumberFormat="1" applyBorder="1" applyProtection="1">
      <protection hidden="1"/>
    </xf>
    <xf numFmtId="37" fontId="15" fillId="0" borderId="11" xfId="0" applyNumberFormat="1" applyFont="1" applyBorder="1" applyAlignment="1" applyProtection="1">
      <alignment horizontal="center"/>
      <protection hidden="1"/>
    </xf>
    <xf numFmtId="1" fontId="16" fillId="0" borderId="11" xfId="6" applyNumberFormat="1" applyFont="1" applyFill="1" applyBorder="1" applyAlignment="1" applyProtection="1">
      <alignment horizontal="center"/>
      <protection hidden="1"/>
    </xf>
    <xf numFmtId="0" fontId="16" fillId="0" borderId="11" xfId="0" applyFont="1" applyBorder="1" applyProtection="1">
      <protection hidden="1"/>
    </xf>
    <xf numFmtId="41" fontId="17" fillId="0" borderId="0" xfId="0" applyNumberFormat="1" applyFont="1" applyAlignment="1">
      <alignment horizontal="center"/>
    </xf>
    <xf numFmtId="41" fontId="16" fillId="0" borderId="0" xfId="6" applyNumberFormat="1" applyFont="1" applyFill="1" applyBorder="1" applyAlignment="1">
      <alignment horizontal="center"/>
    </xf>
    <xf numFmtId="41" fontId="17" fillId="0" borderId="0" xfId="2" applyNumberFormat="1" applyFont="1" applyFill="1" applyBorder="1" applyAlignment="1" applyProtection="1">
      <alignment horizontal="center"/>
      <protection hidden="1"/>
    </xf>
    <xf numFmtId="41" fontId="17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41" fontId="16" fillId="4" borderId="12" xfId="6" applyNumberFormat="1" applyFont="1" applyFill="1" applyBorder="1" applyAlignment="1" applyProtection="1">
      <alignment horizontal="center"/>
      <protection hidden="1"/>
    </xf>
    <xf numFmtId="41" fontId="14" fillId="4" borderId="12" xfId="0" applyNumberFormat="1" applyFont="1" applyFill="1" applyBorder="1" applyAlignment="1" applyProtection="1">
      <alignment horizontal="center"/>
      <protection hidden="1"/>
    </xf>
    <xf numFmtId="41" fontId="16" fillId="4" borderId="12" xfId="7" applyNumberFormat="1" applyFont="1" applyFill="1" applyBorder="1" applyAlignment="1" applyProtection="1">
      <alignment horizontal="center"/>
      <protection hidden="1"/>
    </xf>
    <xf numFmtId="37" fontId="16" fillId="4" borderId="12" xfId="7" applyNumberFormat="1" applyFont="1" applyFill="1" applyBorder="1" applyAlignment="1" applyProtection="1">
      <alignment horizontal="center"/>
      <protection hidden="1"/>
    </xf>
    <xf numFmtId="1" fontId="16" fillId="4" borderId="12" xfId="6" applyNumberFormat="1" applyFont="1" applyFill="1" applyBorder="1" applyAlignment="1" applyProtection="1">
      <alignment horizontal="center"/>
      <protection hidden="1"/>
    </xf>
    <xf numFmtId="0" fontId="16" fillId="4" borderId="12" xfId="7" applyFont="1" applyFill="1" applyBorder="1" applyProtection="1">
      <protection hidden="1"/>
    </xf>
    <xf numFmtId="0" fontId="17" fillId="0" borderId="0" xfId="0" applyFont="1" applyAlignment="1" applyProtection="1">
      <alignment horizontal="center" vertical="center"/>
      <protection hidden="1"/>
    </xf>
    <xf numFmtId="165" fontId="0" fillId="0" borderId="0" xfId="1" applyNumberFormat="1" applyFont="1" applyFill="1" applyBorder="1"/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 applyProtection="1">
      <alignment horizontal="center"/>
      <protection hidden="1"/>
    </xf>
    <xf numFmtId="13" fontId="17" fillId="0" borderId="0" xfId="1" applyNumberFormat="1" applyFont="1" applyFill="1" applyAlignment="1" applyProtection="1">
      <alignment horizontal="center"/>
      <protection hidden="1"/>
    </xf>
    <xf numFmtId="165" fontId="17" fillId="0" borderId="0" xfId="8" applyNumberFormat="1" applyFont="1" applyFill="1" applyBorder="1" applyProtection="1">
      <protection hidden="1"/>
    </xf>
    <xf numFmtId="170" fontId="17" fillId="0" borderId="0" xfId="0" applyNumberFormat="1" applyFont="1" applyAlignment="1" applyProtection="1">
      <alignment horizontal="center"/>
      <protection hidden="1"/>
    </xf>
    <xf numFmtId="37" fontId="17" fillId="0" borderId="0" xfId="0" applyNumberFormat="1" applyFont="1" applyAlignment="1" applyProtection="1">
      <alignment horizontal="center"/>
      <protection hidden="1"/>
    </xf>
    <xf numFmtId="1" fontId="17" fillId="0" borderId="0" xfId="1" applyNumberFormat="1" applyFont="1" applyFill="1" applyBorder="1" applyAlignment="1" applyProtection="1">
      <alignment horizontal="center"/>
      <protection hidden="1"/>
    </xf>
    <xf numFmtId="165" fontId="17" fillId="0" borderId="0" xfId="8" applyNumberFormat="1" applyFont="1" applyFill="1" applyBorder="1" applyAlignment="1" applyProtection="1">
      <alignment wrapText="1"/>
      <protection hidden="1"/>
    </xf>
    <xf numFmtId="165" fontId="17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Protection="1">
      <protection hidden="1"/>
    </xf>
    <xf numFmtId="37" fontId="0" fillId="0" borderId="0" xfId="1" applyNumberFormat="1" applyFont="1" applyFill="1" applyAlignment="1" applyProtection="1">
      <alignment horizontal="center"/>
      <protection hidden="1"/>
    </xf>
    <xf numFmtId="1" fontId="0" fillId="0" borderId="0" xfId="1" applyNumberFormat="1" applyFont="1" applyFill="1" applyProtection="1">
      <protection hidden="1"/>
    </xf>
    <xf numFmtId="41" fontId="16" fillId="7" borderId="12" xfId="6" applyNumberFormat="1" applyFont="1" applyFill="1" applyBorder="1" applyAlignment="1" applyProtection="1">
      <alignment horizontal="center"/>
      <protection hidden="1"/>
    </xf>
    <xf numFmtId="41" fontId="14" fillId="7" borderId="12" xfId="0" applyNumberFormat="1" applyFont="1" applyFill="1" applyBorder="1" applyAlignment="1" applyProtection="1">
      <alignment horizontal="center"/>
      <protection hidden="1"/>
    </xf>
    <xf numFmtId="41" fontId="0" fillId="7" borderId="12" xfId="0" applyNumberFormat="1" applyFill="1" applyBorder="1" applyAlignment="1" applyProtection="1">
      <alignment horizontal="center"/>
      <protection hidden="1"/>
    </xf>
    <xf numFmtId="41" fontId="17" fillId="7" borderId="12" xfId="0" applyNumberFormat="1" applyFont="1" applyFill="1" applyBorder="1" applyAlignment="1" applyProtection="1">
      <alignment horizontal="center"/>
      <protection hidden="1"/>
    </xf>
    <xf numFmtId="41" fontId="0" fillId="7" borderId="12" xfId="0" applyNumberFormat="1" applyFill="1" applyBorder="1" applyProtection="1">
      <protection hidden="1"/>
    </xf>
    <xf numFmtId="37" fontId="15" fillId="7" borderId="12" xfId="0" applyNumberFormat="1" applyFont="1" applyFill="1" applyBorder="1" applyAlignment="1" applyProtection="1">
      <alignment horizontal="center"/>
      <protection hidden="1"/>
    </xf>
    <xf numFmtId="1" fontId="16" fillId="7" borderId="12" xfId="6" applyNumberFormat="1" applyFont="1" applyFill="1" applyBorder="1" applyAlignment="1" applyProtection="1">
      <alignment horizontal="center"/>
      <protection hidden="1"/>
    </xf>
    <xf numFmtId="0" fontId="16" fillId="7" borderId="12" xfId="0" applyFont="1" applyFill="1" applyBorder="1" applyProtection="1">
      <protection hidden="1"/>
    </xf>
    <xf numFmtId="170" fontId="17" fillId="0" borderId="0" xfId="2" applyNumberFormat="1" applyFont="1" applyFill="1" applyAlignment="1" applyProtection="1">
      <alignment horizontal="center"/>
      <protection hidden="1"/>
    </xf>
    <xf numFmtId="41" fontId="16" fillId="8" borderId="12" xfId="6" applyNumberFormat="1" applyFont="1" applyFill="1" applyBorder="1" applyAlignment="1" applyProtection="1">
      <alignment horizontal="center"/>
      <protection hidden="1"/>
    </xf>
    <xf numFmtId="41" fontId="14" fillId="8" borderId="12" xfId="0" applyNumberFormat="1" applyFont="1" applyFill="1" applyBorder="1" applyAlignment="1" applyProtection="1">
      <alignment horizontal="center"/>
      <protection hidden="1"/>
    </xf>
    <xf numFmtId="41" fontId="17" fillId="8" borderId="12" xfId="7" applyNumberFormat="1" applyFont="1" applyFill="1" applyBorder="1" applyAlignment="1" applyProtection="1">
      <alignment horizontal="center"/>
      <protection hidden="1"/>
    </xf>
    <xf numFmtId="41" fontId="17" fillId="8" borderId="12" xfId="8" applyNumberFormat="1" applyFont="1" applyFill="1" applyBorder="1" applyProtection="1">
      <protection hidden="1"/>
    </xf>
    <xf numFmtId="37" fontId="16" fillId="8" borderId="12" xfId="7" applyNumberFormat="1" applyFont="1" applyFill="1" applyBorder="1" applyAlignment="1" applyProtection="1">
      <alignment horizontal="center"/>
      <protection hidden="1"/>
    </xf>
    <xf numFmtId="1" fontId="16" fillId="8" borderId="12" xfId="6" applyNumberFormat="1" applyFont="1" applyFill="1" applyBorder="1" applyAlignment="1" applyProtection="1">
      <alignment horizontal="center"/>
      <protection hidden="1"/>
    </xf>
    <xf numFmtId="0" fontId="16" fillId="8" borderId="12" xfId="7" applyFont="1" applyFill="1" applyBorder="1" applyProtection="1">
      <protection hidden="1"/>
    </xf>
    <xf numFmtId="1" fontId="0" fillId="0" borderId="0" xfId="1" applyNumberFormat="1" applyFont="1" applyProtection="1">
      <protection hidden="1"/>
    </xf>
    <xf numFmtId="41" fontId="16" fillId="5" borderId="12" xfId="6" applyNumberFormat="1" applyFont="1" applyFill="1" applyBorder="1" applyAlignment="1" applyProtection="1">
      <alignment horizontal="center"/>
      <protection hidden="1"/>
    </xf>
    <xf numFmtId="41" fontId="14" fillId="5" borderId="12" xfId="0" applyNumberFormat="1" applyFont="1" applyFill="1" applyBorder="1" applyAlignment="1" applyProtection="1">
      <alignment horizontal="center"/>
      <protection hidden="1"/>
    </xf>
    <xf numFmtId="41" fontId="17" fillId="5" borderId="12" xfId="7" applyNumberFormat="1" applyFont="1" applyFill="1" applyBorder="1" applyAlignment="1" applyProtection="1">
      <alignment horizontal="center"/>
      <protection hidden="1"/>
    </xf>
    <xf numFmtId="41" fontId="17" fillId="5" borderId="12" xfId="8" applyNumberFormat="1" applyFont="1" applyFill="1" applyBorder="1" applyProtection="1">
      <protection hidden="1"/>
    </xf>
    <xf numFmtId="37" fontId="16" fillId="5" borderId="12" xfId="7" applyNumberFormat="1" applyFont="1" applyFill="1" applyBorder="1" applyAlignment="1" applyProtection="1">
      <alignment horizontal="center"/>
      <protection hidden="1"/>
    </xf>
    <xf numFmtId="1" fontId="16" fillId="5" borderId="12" xfId="6" applyNumberFormat="1" applyFont="1" applyFill="1" applyBorder="1" applyAlignment="1" applyProtection="1">
      <alignment horizontal="center"/>
      <protection hidden="1"/>
    </xf>
    <xf numFmtId="0" fontId="16" fillId="5" borderId="12" xfId="7" applyFont="1" applyFill="1" applyBorder="1" applyProtection="1">
      <protection hidden="1"/>
    </xf>
    <xf numFmtId="41" fontId="16" fillId="9" borderId="12" xfId="7" applyNumberFormat="1" applyFont="1" applyFill="1" applyBorder="1" applyAlignment="1" applyProtection="1">
      <alignment horizontal="center"/>
      <protection hidden="1"/>
    </xf>
    <xf numFmtId="41" fontId="14" fillId="9" borderId="12" xfId="0" applyNumberFormat="1" applyFont="1" applyFill="1" applyBorder="1" applyAlignment="1" applyProtection="1">
      <alignment horizontal="center"/>
      <protection hidden="1"/>
    </xf>
    <xf numFmtId="41" fontId="17" fillId="9" borderId="12" xfId="7" applyNumberFormat="1" applyFont="1" applyFill="1" applyBorder="1" applyAlignment="1" applyProtection="1">
      <alignment horizontal="center"/>
      <protection hidden="1"/>
    </xf>
    <xf numFmtId="41" fontId="17" fillId="9" borderId="12" xfId="8" applyNumberFormat="1" applyFont="1" applyFill="1" applyBorder="1" applyProtection="1">
      <protection hidden="1"/>
    </xf>
    <xf numFmtId="37" fontId="16" fillId="9" borderId="12" xfId="7" applyNumberFormat="1" applyFont="1" applyFill="1" applyBorder="1" applyAlignment="1" applyProtection="1">
      <alignment horizontal="center"/>
      <protection hidden="1"/>
    </xf>
    <xf numFmtId="1" fontId="16" fillId="9" borderId="12" xfId="6" applyNumberFormat="1" applyFont="1" applyFill="1" applyBorder="1" applyAlignment="1" applyProtection="1">
      <alignment horizontal="center"/>
      <protection hidden="1"/>
    </xf>
    <xf numFmtId="0" fontId="16" fillId="9" borderId="12" xfId="7" applyFont="1" applyFill="1" applyBorder="1" applyProtection="1">
      <protection hidden="1"/>
    </xf>
    <xf numFmtId="41" fontId="16" fillId="3" borderId="12" xfId="6" applyNumberFormat="1" applyFont="1" applyFill="1" applyBorder="1" applyAlignment="1" applyProtection="1">
      <alignment horizontal="center"/>
      <protection hidden="1"/>
    </xf>
    <xf numFmtId="41" fontId="14" fillId="3" borderId="12" xfId="0" applyNumberFormat="1" applyFont="1" applyFill="1" applyBorder="1" applyAlignment="1" applyProtection="1">
      <alignment horizontal="center"/>
      <protection hidden="1"/>
    </xf>
    <xf numFmtId="41" fontId="15" fillId="3" borderId="12" xfId="0" applyNumberFormat="1" applyFont="1" applyFill="1" applyBorder="1" applyAlignment="1" applyProtection="1">
      <alignment horizontal="center"/>
      <protection hidden="1"/>
    </xf>
    <xf numFmtId="41" fontId="16" fillId="3" borderId="12" xfId="0" applyNumberFormat="1" applyFont="1" applyFill="1" applyBorder="1" applyAlignment="1" applyProtection="1">
      <alignment horizontal="center"/>
      <protection hidden="1"/>
    </xf>
    <xf numFmtId="41" fontId="15" fillId="3" borderId="12" xfId="0" applyNumberFormat="1" applyFont="1" applyFill="1" applyBorder="1" applyProtection="1">
      <protection hidden="1"/>
    </xf>
    <xf numFmtId="37" fontId="16" fillId="3" borderId="12" xfId="7" applyNumberFormat="1" applyFont="1" applyFill="1" applyBorder="1" applyAlignment="1" applyProtection="1">
      <alignment horizontal="center"/>
      <protection hidden="1"/>
    </xf>
    <xf numFmtId="1" fontId="16" fillId="3" borderId="12" xfId="6" applyNumberFormat="1" applyFont="1" applyFill="1" applyBorder="1" applyAlignment="1" applyProtection="1">
      <alignment horizontal="center"/>
      <protection hidden="1"/>
    </xf>
    <xf numFmtId="0" fontId="16" fillId="3" borderId="12" xfId="0" applyFont="1" applyFill="1" applyBorder="1" applyProtection="1">
      <protection hidden="1"/>
    </xf>
    <xf numFmtId="9" fontId="0" fillId="0" borderId="0" xfId="2" applyFont="1" applyProtection="1">
      <protection hidden="1"/>
    </xf>
    <xf numFmtId="1" fontId="0" fillId="0" borderId="0" xfId="2" applyNumberFormat="1" applyFont="1" applyProtection="1">
      <protection hidden="1"/>
    </xf>
    <xf numFmtId="41" fontId="16" fillId="10" borderId="12" xfId="6" applyNumberFormat="1" applyFont="1" applyFill="1" applyBorder="1" applyAlignment="1" applyProtection="1">
      <alignment horizontal="center"/>
      <protection hidden="1"/>
    </xf>
    <xf numFmtId="41" fontId="14" fillId="10" borderId="12" xfId="0" applyNumberFormat="1" applyFont="1" applyFill="1" applyBorder="1" applyAlignment="1" applyProtection="1">
      <alignment horizontal="center"/>
      <protection hidden="1"/>
    </xf>
    <xf numFmtId="41" fontId="16" fillId="10" borderId="12" xfId="7" applyNumberFormat="1" applyFont="1" applyFill="1" applyBorder="1" applyAlignment="1" applyProtection="1">
      <alignment horizontal="center"/>
      <protection hidden="1"/>
    </xf>
    <xf numFmtId="37" fontId="16" fillId="10" borderId="12" xfId="7" applyNumberFormat="1" applyFont="1" applyFill="1" applyBorder="1" applyAlignment="1" applyProtection="1">
      <alignment horizontal="center"/>
      <protection hidden="1"/>
    </xf>
    <xf numFmtId="1" fontId="16" fillId="10" borderId="12" xfId="6" applyNumberFormat="1" applyFont="1" applyFill="1" applyBorder="1" applyAlignment="1" applyProtection="1">
      <alignment horizontal="center"/>
      <protection hidden="1"/>
    </xf>
    <xf numFmtId="0" fontId="16" fillId="10" borderId="12" xfId="7" applyFont="1" applyFill="1" applyBorder="1" applyProtection="1">
      <protection hidden="1"/>
    </xf>
    <xf numFmtId="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41" fontId="16" fillId="6" borderId="12" xfId="6" applyNumberFormat="1" applyFont="1" applyFill="1" applyBorder="1" applyAlignment="1" applyProtection="1">
      <alignment horizontal="center"/>
      <protection hidden="1"/>
    </xf>
    <xf numFmtId="41" fontId="14" fillId="6" borderId="12" xfId="0" applyNumberFormat="1" applyFont="1" applyFill="1" applyBorder="1" applyAlignment="1" applyProtection="1">
      <alignment horizontal="center"/>
      <protection hidden="1"/>
    </xf>
    <xf numFmtId="41" fontId="16" fillId="6" borderId="12" xfId="7" applyNumberFormat="1" applyFont="1" applyFill="1" applyBorder="1" applyAlignment="1" applyProtection="1">
      <alignment horizontal="center"/>
      <protection hidden="1"/>
    </xf>
    <xf numFmtId="37" fontId="16" fillId="6" borderId="12" xfId="7" applyNumberFormat="1" applyFont="1" applyFill="1" applyBorder="1" applyAlignment="1" applyProtection="1">
      <alignment horizontal="center"/>
      <protection hidden="1"/>
    </xf>
    <xf numFmtId="1" fontId="16" fillId="6" borderId="12" xfId="6" applyNumberFormat="1" applyFont="1" applyFill="1" applyBorder="1" applyAlignment="1" applyProtection="1">
      <alignment horizontal="center"/>
      <protection hidden="1"/>
    </xf>
    <xf numFmtId="0" fontId="16" fillId="6" borderId="12" xfId="7" applyFont="1" applyFill="1" applyBorder="1" applyProtection="1">
      <protection hidden="1"/>
    </xf>
    <xf numFmtId="41" fontId="16" fillId="11" borderId="12" xfId="6" applyNumberFormat="1" applyFont="1" applyFill="1" applyBorder="1" applyAlignment="1" applyProtection="1">
      <alignment horizontal="center"/>
      <protection hidden="1"/>
    </xf>
    <xf numFmtId="41" fontId="14" fillId="11" borderId="12" xfId="0" applyNumberFormat="1" applyFont="1" applyFill="1" applyBorder="1" applyAlignment="1" applyProtection="1">
      <alignment horizontal="center"/>
      <protection hidden="1"/>
    </xf>
    <xf numFmtId="41" fontId="16" fillId="11" borderId="12" xfId="7" applyNumberFormat="1" applyFont="1" applyFill="1" applyBorder="1" applyAlignment="1" applyProtection="1">
      <alignment horizontal="center"/>
      <protection hidden="1"/>
    </xf>
    <xf numFmtId="41" fontId="17" fillId="11" borderId="12" xfId="7" applyNumberFormat="1" applyFont="1" applyFill="1" applyBorder="1" applyAlignment="1" applyProtection="1">
      <alignment horizontal="center"/>
      <protection hidden="1"/>
    </xf>
    <xf numFmtId="37" fontId="16" fillId="11" borderId="12" xfId="6" applyNumberFormat="1" applyFont="1" applyFill="1" applyBorder="1" applyAlignment="1" applyProtection="1">
      <alignment horizontal="center"/>
      <protection hidden="1"/>
    </xf>
    <xf numFmtId="1" fontId="16" fillId="11" borderId="12" xfId="6" applyNumberFormat="1" applyFont="1" applyFill="1" applyBorder="1" applyAlignment="1" applyProtection="1">
      <alignment horizontal="center"/>
      <protection hidden="1"/>
    </xf>
    <xf numFmtId="0" fontId="16" fillId="11" borderId="12" xfId="7" applyFont="1" applyFill="1" applyBorder="1" applyProtection="1">
      <protection hidden="1"/>
    </xf>
    <xf numFmtId="165" fontId="0" fillId="0" borderId="0" xfId="1" applyNumberFormat="1" applyFont="1" applyBorder="1" applyProtection="1">
      <protection hidden="1"/>
    </xf>
    <xf numFmtId="165" fontId="0" fillId="0" borderId="0" xfId="1" applyNumberFormat="1" applyFont="1" applyFill="1" applyBorder="1" applyProtection="1">
      <protection hidden="1"/>
    </xf>
    <xf numFmtId="165" fontId="17" fillId="0" borderId="0" xfId="1" applyNumberFormat="1" applyFont="1" applyFill="1" applyProtection="1">
      <protection hidden="1"/>
    </xf>
    <xf numFmtId="165" fontId="17" fillId="0" borderId="0" xfId="1" applyNumberFormat="1" applyFont="1" applyFill="1" applyBorder="1" applyProtection="1">
      <protection hidden="1"/>
    </xf>
    <xf numFmtId="0" fontId="16" fillId="0" borderId="2" xfId="7" applyFont="1" applyBorder="1" applyAlignment="1" applyProtection="1">
      <alignment horizontal="center"/>
      <protection hidden="1"/>
    </xf>
    <xf numFmtId="0" fontId="16" fillId="0" borderId="13" xfId="7" applyFont="1" applyBorder="1" applyAlignment="1" applyProtection="1">
      <alignment horizontal="center"/>
      <protection hidden="1"/>
    </xf>
    <xf numFmtId="0" fontId="16" fillId="0" borderId="14" xfId="7" applyFont="1" applyBorder="1" applyAlignment="1" applyProtection="1">
      <alignment horizontal="center"/>
      <protection hidden="1"/>
    </xf>
    <xf numFmtId="170" fontId="16" fillId="0" borderId="2" xfId="7" applyNumberFormat="1" applyFont="1" applyBorder="1" applyAlignment="1" applyProtection="1">
      <alignment horizontal="center" wrapText="1"/>
      <protection hidden="1"/>
    </xf>
    <xf numFmtId="0" fontId="16" fillId="0" borderId="7" xfId="7" applyFont="1" applyBorder="1" applyAlignment="1" applyProtection="1">
      <alignment horizontal="center"/>
      <protection hidden="1"/>
    </xf>
    <xf numFmtId="0" fontId="16" fillId="0" borderId="0" xfId="7" applyFont="1" applyAlignment="1" applyProtection="1">
      <alignment horizontal="center"/>
      <protection hidden="1"/>
    </xf>
    <xf numFmtId="0" fontId="16" fillId="0" borderId="6" xfId="7" applyFont="1" applyBorder="1" applyAlignment="1" applyProtection="1">
      <alignment horizontal="center"/>
      <protection hidden="1"/>
    </xf>
    <xf numFmtId="170" fontId="15" fillId="0" borderId="0" xfId="0" applyNumberFormat="1" applyFont="1" applyAlignment="1" applyProtection="1">
      <alignment horizontal="center"/>
      <protection hidden="1"/>
    </xf>
    <xf numFmtId="171" fontId="0" fillId="0" borderId="0" xfId="0" applyNumberFormat="1" applyProtection="1">
      <protection hidden="1"/>
    </xf>
    <xf numFmtId="0" fontId="17" fillId="0" borderId="0" xfId="7" applyFont="1" applyAlignment="1" applyProtection="1">
      <alignment horizontal="center"/>
      <protection hidden="1"/>
    </xf>
    <xf numFmtId="0" fontId="17" fillId="0" borderId="6" xfId="7" applyFont="1" applyBorder="1" applyAlignment="1" applyProtection="1">
      <alignment horizont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165" fontId="17" fillId="0" borderId="0" xfId="8" applyNumberFormat="1" applyFont="1" applyFill="1" applyBorder="1" applyAlignment="1" applyProtection="1">
      <alignment horizontal="left" wrapText="1"/>
      <protection hidden="1"/>
    </xf>
    <xf numFmtId="41" fontId="16" fillId="9" borderId="12" xfId="6" applyNumberFormat="1" applyFont="1" applyFill="1" applyBorder="1" applyAlignment="1" applyProtection="1">
      <alignment horizontal="center"/>
      <protection hidden="1"/>
    </xf>
    <xf numFmtId="37" fontId="15" fillId="3" borderId="12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>
      <alignment wrapText="1"/>
    </xf>
    <xf numFmtId="1" fontId="19" fillId="0" borderId="0" xfId="1" applyNumberFormat="1" applyFont="1" applyFill="1" applyBorder="1" applyAlignment="1" applyProtection="1">
      <alignment horizontal="left"/>
      <protection hidden="1"/>
    </xf>
    <xf numFmtId="0" fontId="16" fillId="0" borderId="0" xfId="7" applyFont="1" applyAlignment="1">
      <alignment horizontal="center"/>
    </xf>
    <xf numFmtId="0" fontId="14" fillId="0" borderId="0" xfId="0" applyFont="1" applyAlignment="1" applyProtection="1">
      <alignment horizontal="left" vertical="center"/>
      <protection hidden="1"/>
    </xf>
    <xf numFmtId="37" fontId="0" fillId="0" borderId="0" xfId="1" applyNumberFormat="1" applyFont="1" applyFill="1" applyBorder="1" applyAlignment="1" applyProtection="1">
      <alignment horizontal="center"/>
      <protection hidden="1"/>
    </xf>
    <xf numFmtId="41" fontId="16" fillId="0" borderId="0" xfId="7" applyNumberFormat="1" applyFont="1" applyAlignment="1" applyProtection="1">
      <alignment horizontal="center"/>
      <protection hidden="1"/>
    </xf>
    <xf numFmtId="164" fontId="3" fillId="0" borderId="12" xfId="3" quotePrefix="1" applyFont="1" applyBorder="1" applyAlignment="1">
      <alignment horizontal="left"/>
    </xf>
    <xf numFmtId="164" fontId="3" fillId="0" borderId="12" xfId="3" applyFont="1" applyBorder="1"/>
    <xf numFmtId="0" fontId="3" fillId="0" borderId="12" xfId="0" applyFont="1" applyBorder="1"/>
    <xf numFmtId="0" fontId="21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quotePrefix="1" applyFont="1" applyAlignment="1" applyProtection="1">
      <alignment horizontal="center"/>
      <protection hidden="1"/>
    </xf>
    <xf numFmtId="9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/>
    </xf>
    <xf numFmtId="37" fontId="3" fillId="0" borderId="2" xfId="3" applyNumberFormat="1" applyFont="1" applyBorder="1"/>
    <xf numFmtId="37" fontId="3" fillId="0" borderId="2" xfId="0" applyNumberFormat="1" applyFont="1" applyBorder="1"/>
    <xf numFmtId="165" fontId="12" fillId="0" borderId="0" xfId="0" applyNumberFormat="1" applyFont="1"/>
    <xf numFmtId="165" fontId="3" fillId="0" borderId="0" xfId="5" applyNumberFormat="1" applyFill="1"/>
    <xf numFmtId="0" fontId="3" fillId="0" borderId="0" xfId="0" applyFont="1" applyAlignment="1">
      <alignment horizontal="right"/>
    </xf>
    <xf numFmtId="43" fontId="10" fillId="0" borderId="0" xfId="1" applyFont="1" applyFill="1"/>
    <xf numFmtId="39" fontId="3" fillId="0" borderId="0" xfId="3" applyNumberFormat="1" applyFont="1"/>
    <xf numFmtId="165" fontId="3" fillId="0" borderId="0" xfId="1" quotePrefix="1" applyNumberFormat="1" applyFont="1" applyAlignment="1">
      <alignment horizontal="right"/>
    </xf>
    <xf numFmtId="165" fontId="3" fillId="0" borderId="2" xfId="1" applyNumberFormat="1" applyFont="1" applyFill="1" applyBorder="1" applyAlignment="1">
      <alignment vertical="top"/>
    </xf>
    <xf numFmtId="9" fontId="0" fillId="0" borderId="0" xfId="2" applyFont="1"/>
    <xf numFmtId="41" fontId="0" fillId="12" borderId="0" xfId="0" applyNumberFormat="1" applyFill="1" applyProtection="1">
      <protection hidden="1"/>
    </xf>
    <xf numFmtId="0" fontId="0" fillId="12" borderId="0" xfId="0" applyFill="1" applyProtection="1">
      <protection hidden="1"/>
    </xf>
    <xf numFmtId="37" fontId="0" fillId="12" borderId="0" xfId="0" applyNumberFormat="1" applyFill="1" applyAlignment="1" applyProtection="1">
      <alignment horizontal="center"/>
      <protection hidden="1"/>
    </xf>
    <xf numFmtId="170" fontId="0" fillId="12" borderId="0" xfId="0" applyNumberFormat="1" applyFill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  <xf numFmtId="0" fontId="0" fillId="12" borderId="0" xfId="0" applyFill="1" applyAlignment="1" applyProtection="1">
      <alignment horizontal="center"/>
      <protection hidden="1"/>
    </xf>
    <xf numFmtId="9" fontId="17" fillId="12" borderId="0" xfId="2" applyFont="1" applyFill="1" applyBorder="1" applyAlignment="1" applyProtection="1">
      <alignment horizontal="center"/>
      <protection hidden="1"/>
    </xf>
    <xf numFmtId="170" fontId="0" fillId="12" borderId="0" xfId="0" applyNumberFormat="1" applyFill="1" applyProtection="1">
      <protection hidden="1"/>
    </xf>
    <xf numFmtId="165" fontId="0" fillId="12" borderId="0" xfId="0" applyNumberFormat="1" applyFill="1" applyProtection="1">
      <protection hidden="1"/>
    </xf>
    <xf numFmtId="0" fontId="17" fillId="12" borderId="0" xfId="0" applyFont="1" applyFill="1" applyProtection="1">
      <protection hidden="1"/>
    </xf>
    <xf numFmtId="165" fontId="17" fillId="12" borderId="0" xfId="1" applyNumberFormat="1" applyFont="1" applyFill="1" applyBorder="1" applyAlignment="1">
      <alignment horizontal="center"/>
    </xf>
    <xf numFmtId="41" fontId="17" fillId="0" borderId="0" xfId="6" applyNumberFormat="1" applyFont="1" applyFill="1" applyBorder="1" applyAlignment="1" applyProtection="1">
      <alignment horizontal="center"/>
      <protection hidden="1"/>
    </xf>
    <xf numFmtId="41" fontId="0" fillId="0" borderId="0" xfId="0" applyNumberFormat="1"/>
    <xf numFmtId="41" fontId="0" fillId="0" borderId="0" xfId="0" applyNumberForma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6" fillId="0" borderId="0" xfId="7" applyFont="1" applyAlignment="1" applyProtection="1">
      <alignment horizontal="left" vertical="top"/>
      <protection hidden="1"/>
    </xf>
    <xf numFmtId="0" fontId="16" fillId="0" borderId="2" xfId="7" applyFont="1" applyBorder="1" applyAlignment="1" applyProtection="1">
      <alignment horizontal="left" vertical="top"/>
      <protection hidden="1"/>
    </xf>
    <xf numFmtId="43" fontId="12" fillId="0" borderId="0" xfId="0" applyNumberFormat="1" applyFont="1"/>
    <xf numFmtId="41" fontId="17" fillId="0" borderId="0" xfId="6" applyNumberFormat="1" applyFont="1" applyFill="1" applyBorder="1" applyAlignment="1" applyProtection="1">
      <alignment horizontal="right"/>
      <protection hidden="1"/>
    </xf>
    <xf numFmtId="41" fontId="0" fillId="0" borderId="0" xfId="0" applyNumberFormat="1" applyAlignment="1" applyProtection="1">
      <alignment horizontal="right"/>
      <protection hidden="1"/>
    </xf>
    <xf numFmtId="43" fontId="0" fillId="0" borderId="0" xfId="0" applyNumberFormat="1" applyAlignment="1" applyProtection="1">
      <alignment horizontal="right"/>
      <protection hidden="1"/>
    </xf>
    <xf numFmtId="41" fontId="22" fillId="0" borderId="0" xfId="6" quotePrefix="1" applyNumberFormat="1" applyFont="1" applyFill="1" applyBorder="1" applyAlignment="1" applyProtection="1">
      <alignment horizontal="left" vertical="top"/>
      <protection hidden="1"/>
    </xf>
    <xf numFmtId="41" fontId="15" fillId="0" borderId="0" xfId="0" applyNumberFormat="1" applyFont="1" applyAlignment="1" applyProtection="1">
      <alignment horizontal="left" vertical="top"/>
      <protection hidden="1"/>
    </xf>
    <xf numFmtId="43" fontId="15" fillId="0" borderId="0" xfId="0" applyNumberFormat="1" applyFont="1" applyAlignment="1" applyProtection="1">
      <alignment horizontal="left" vertical="top"/>
      <protection hidden="1"/>
    </xf>
    <xf numFmtId="0" fontId="16" fillId="0" borderId="2" xfId="7" applyFont="1" applyBorder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3" xfId="7" applyFont="1" applyBorder="1" applyAlignment="1" applyProtection="1">
      <alignment horizontal="center"/>
      <protection hidden="1"/>
    </xf>
    <xf numFmtId="0" fontId="16" fillId="0" borderId="4" xfId="7" applyFont="1" applyBorder="1" applyAlignment="1" applyProtection="1">
      <alignment horizontal="center"/>
      <protection hidden="1"/>
    </xf>
    <xf numFmtId="0" fontId="16" fillId="0" borderId="5" xfId="7" applyFont="1" applyBorder="1" applyAlignment="1" applyProtection="1">
      <alignment horizontal="center"/>
      <protection hidden="1"/>
    </xf>
  </cellXfs>
  <cellStyles count="9">
    <cellStyle name="Comma" xfId="1" builtinId="3"/>
    <cellStyle name="Comma 2" xfId="5" xr:uid="{DECA60C0-1B64-45D8-94D0-57F561D56E94}"/>
    <cellStyle name="Comma 5" xfId="8" xr:uid="{D3BD897D-5A37-47C5-BC54-885221631313}"/>
    <cellStyle name="Currency" xfId="6" builtinId="4"/>
    <cellStyle name="Normal" xfId="0" builtinId="0"/>
    <cellStyle name="Normal 2" xfId="3" xr:uid="{121ED0C5-77F3-4FD2-9652-5EA8350B05D3}"/>
    <cellStyle name="Normal 5" xfId="7" xr:uid="{59FF2A86-24EB-4F47-9813-EF7C24451894}"/>
    <cellStyle name="Percent" xfId="2" builtinId="5"/>
    <cellStyle name="Percent 2" xfId="4" xr:uid="{07DD397A-4C16-4F16-AAC4-3C5D9C71C377}"/>
  </cellStyles>
  <dxfs count="56"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F8B9-EC38-4EF3-85A4-B54703A5A6FB}">
  <sheetPr>
    <tabColor rgb="FF00B050"/>
    <pageSetUpPr fitToPage="1"/>
  </sheetPr>
  <dimension ref="A1:H16"/>
  <sheetViews>
    <sheetView showGridLines="0" tabSelected="1" zoomScale="77" zoomScaleNormal="77" workbookViewId="0">
      <pane ySplit="6" topLeftCell="A7" activePane="bottomLeft" state="frozen"/>
      <selection activeCell="W1" sqref="W1"/>
      <selection pane="bottomLeft" activeCell="A18" sqref="A18"/>
    </sheetView>
  </sheetViews>
  <sheetFormatPr defaultColWidth="9.28515625" defaultRowHeight="15" x14ac:dyDescent="0.25"/>
  <cols>
    <col min="1" max="1" width="53.85546875" style="142" customWidth="1"/>
    <col min="2" max="3" width="11" style="142" customWidth="1"/>
    <col min="4" max="4" width="12" style="142" customWidth="1"/>
    <col min="5" max="5" width="2.7109375" style="317" customWidth="1"/>
    <col min="6" max="6" width="14.28515625" style="142" customWidth="1"/>
  </cols>
  <sheetData>
    <row r="1" spans="1:8" x14ac:dyDescent="0.25">
      <c r="A1" s="328" t="s">
        <v>459</v>
      </c>
      <c r="B1" s="328"/>
      <c r="C1" s="328"/>
      <c r="D1" s="328"/>
      <c r="E1" s="328"/>
      <c r="F1" s="328"/>
    </row>
    <row r="2" spans="1:8" x14ac:dyDescent="0.25">
      <c r="A2" s="328" t="s">
        <v>461</v>
      </c>
      <c r="B2" s="328"/>
      <c r="C2" s="328"/>
      <c r="D2" s="328"/>
      <c r="E2" s="328"/>
      <c r="F2" s="328"/>
    </row>
    <row r="3" spans="1:8" x14ac:dyDescent="0.25">
      <c r="A3" s="328" t="s">
        <v>460</v>
      </c>
      <c r="B3" s="328"/>
      <c r="C3" s="328"/>
      <c r="D3" s="328"/>
      <c r="E3" s="328"/>
      <c r="F3" s="328"/>
    </row>
    <row r="4" spans="1:8" ht="16.149999999999999" customHeight="1" x14ac:dyDescent="0.25">
      <c r="A4" s="289"/>
    </row>
    <row r="5" spans="1:8" x14ac:dyDescent="0.25">
      <c r="A5" s="271"/>
      <c r="B5" s="268"/>
      <c r="C5" s="268"/>
      <c r="D5" s="268"/>
      <c r="E5" s="318"/>
      <c r="F5" s="268"/>
    </row>
    <row r="6" spans="1:8" ht="30" x14ac:dyDescent="0.25">
      <c r="A6" s="268"/>
      <c r="B6" s="263" t="s">
        <v>475</v>
      </c>
      <c r="C6" s="263" t="s">
        <v>320</v>
      </c>
      <c r="D6" s="327" t="s">
        <v>477</v>
      </c>
      <c r="E6" s="319"/>
      <c r="F6" s="263" t="s">
        <v>48</v>
      </c>
      <c r="H6" s="268" t="s">
        <v>463</v>
      </c>
    </row>
    <row r="7" spans="1:8" ht="17.25" x14ac:dyDescent="0.25">
      <c r="A7" s="142" t="s">
        <v>464</v>
      </c>
      <c r="B7" s="314">
        <f>+'IRR 202 Detail '!V98</f>
        <v>104419.87293009475</v>
      </c>
      <c r="C7" s="314">
        <f>+'IRR 202 Detail '!W98</f>
        <v>1072949.161799903</v>
      </c>
      <c r="D7" s="321">
        <f>+'IRR 202 Detail '!X98+'IRR 202 Detail '!X100</f>
        <v>1551793.7950024167</v>
      </c>
      <c r="E7" s="324" t="s">
        <v>474</v>
      </c>
      <c r="F7" s="314">
        <f>SUM(B7:D7)</f>
        <v>2729162.8297324143</v>
      </c>
      <c r="H7" s="315">
        <f>+D7-'SCHG2-19c to 19e'!F172</f>
        <v>0</v>
      </c>
    </row>
    <row r="8" spans="1:8" x14ac:dyDescent="0.25">
      <c r="A8" s="142" t="s">
        <v>465</v>
      </c>
      <c r="B8" s="160">
        <f>+'IRR 202 Detail '!AN98</f>
        <v>8353.5898344075795</v>
      </c>
      <c r="C8" s="160">
        <f>+'IRR 202 Detail '!AO98</f>
        <v>85835.932943992273</v>
      </c>
      <c r="D8" s="322">
        <f>+'IRR 202 Detail '!AP98+'IRR 202 Detail '!AP100</f>
        <v>124143.50360019333</v>
      </c>
      <c r="E8" s="325"/>
      <c r="F8" s="314">
        <f t="shared" ref="F8:F9" si="0">SUM(B8:D8)</f>
        <v>218333.02637859317</v>
      </c>
    </row>
    <row r="9" spans="1:8" x14ac:dyDescent="0.25">
      <c r="A9" s="142" t="s">
        <v>472</v>
      </c>
      <c r="B9" s="160">
        <f>+'IRR 202 Detail '!AV98+'IRR 202 Detail '!BD98</f>
        <v>36586.114070254785</v>
      </c>
      <c r="C9" s="160">
        <f>+'IRR 202 Detail '!AW98+'IRR 202 Detail '!BE98</f>
        <v>375934.57379013777</v>
      </c>
      <c r="D9" s="322">
        <f>+'IRR 202 Detail '!AX98+'IRR 202 Detail '!BF98+'SCHG2-19b'!O31</f>
        <v>960133.50925233052</v>
      </c>
      <c r="E9" s="325"/>
      <c r="F9" s="314">
        <f t="shared" si="0"/>
        <v>1372654.197112723</v>
      </c>
      <c r="H9" s="315">
        <f>+F9-'SCHG2-19'!K449-'SCHG2-19b'!O31</f>
        <v>0</v>
      </c>
    </row>
    <row r="10" spans="1:8" ht="16.149999999999999" customHeight="1" x14ac:dyDescent="0.25">
      <c r="D10" s="323"/>
      <c r="E10" s="326"/>
    </row>
    <row r="11" spans="1:8" ht="17.25" x14ac:dyDescent="0.25">
      <c r="A11" s="142" t="s">
        <v>466</v>
      </c>
      <c r="B11" s="160">
        <f>+'IRR 202 Detail '!AJ98+'IRR 202 Detail '!V178</f>
        <v>619573.4820297421</v>
      </c>
      <c r="C11" s="160">
        <f>+'IRR 202 Detail '!AK98+'IRR 202 Detail '!W178</f>
        <v>4284455.8090312462</v>
      </c>
      <c r="D11" s="322">
        <f>+'IRR 202 Detail '!AL98+'IRR 202 Detail '!X178+'IRR 202 Detail '!AL100</f>
        <v>7663232.3210807983</v>
      </c>
      <c r="E11" s="324" t="s">
        <v>474</v>
      </c>
      <c r="F11" s="314">
        <f>SUM(B11:D11)</f>
        <v>12567261.612141786</v>
      </c>
      <c r="H11" s="315">
        <f>+D11-'SCHG2-19c to 19e'!I172</f>
        <v>-0.20000000018626451</v>
      </c>
    </row>
    <row r="12" spans="1:8" x14ac:dyDescent="0.25">
      <c r="A12" s="142" t="s">
        <v>467</v>
      </c>
      <c r="B12" s="160">
        <f>+'IRR 202 Detail '!AR98+'IRR 202 Detail '!AJ178</f>
        <v>49565.878562379381</v>
      </c>
      <c r="C12" s="160">
        <f>+'IRR 202 Detail '!AS98+'IRR 202 Detail '!AK178</f>
        <v>342756.46472249966</v>
      </c>
      <c r="D12" s="322">
        <f>+'IRR 202 Detail '!AT98+'IRR 202 Detail '!AL178+'IRR 202 Detail '!AT100</f>
        <v>613058.58568646398</v>
      </c>
      <c r="E12" s="316"/>
      <c r="F12" s="314">
        <f t="shared" ref="F12:F13" si="1">SUM(B12:D12)</f>
        <v>1005380.928971343</v>
      </c>
    </row>
    <row r="13" spans="1:8" x14ac:dyDescent="0.25">
      <c r="A13" s="142" t="s">
        <v>473</v>
      </c>
      <c r="B13" s="160">
        <f>+'IRR 202 Detail '!AZ98+'IRR 202 Detail '!BH98+'IRR 202 Detail '!AN178+'IRR 202 Detail '!AR178</f>
        <v>54841.970370733441</v>
      </c>
      <c r="C13" s="160">
        <f>+'IRR 202 Detail '!BA98+'IRR 202 Detail '!BI98+'IRR 202 Detail '!AO178+'IRR 202 Detail '!AS178</f>
        <v>379241.53526365565</v>
      </c>
      <c r="D13" s="322">
        <f>+'IRR 202 Detail '!BB98+'IRR 202 Detail '!BJ98+'IRR 202 Detail '!AP178+'IRR 202 Detail '!AT178+'SCHG2-19b'!P31</f>
        <v>2167417.2761402056</v>
      </c>
      <c r="E13" s="316"/>
      <c r="F13" s="314">
        <f t="shared" si="1"/>
        <v>2601500.7817745944</v>
      </c>
      <c r="H13" s="315">
        <f>+F13-'SCHG2-19'!M449-'SCHG2-19b'!P31</f>
        <v>0</v>
      </c>
    </row>
    <row r="15" spans="1:8" ht="17.25" x14ac:dyDescent="0.25">
      <c r="A15" s="142" t="s">
        <v>478</v>
      </c>
    </row>
    <row r="16" spans="1:8" ht="17.25" x14ac:dyDescent="0.25">
      <c r="A16" s="142" t="s">
        <v>476</v>
      </c>
      <c r="D16" s="146"/>
    </row>
  </sheetData>
  <protectedRanges>
    <protectedRange sqref="A17:A1048576 A5:A16" name="Range1"/>
  </protectedRanges>
  <mergeCells count="3">
    <mergeCell ref="A1:F1"/>
    <mergeCell ref="A2:F2"/>
    <mergeCell ref="A3:F3"/>
  </mergeCells>
  <pageMargins left="0.7" right="0.7" top="0.75" bottom="0.75" header="0.3" footer="0.3"/>
  <pageSetup scale="40" fitToHeight="0" orientation="landscape" horizontalDpi="90" verticalDpi="90" r:id="rId1"/>
  <customProperties>
    <customPr name="_pios_id" r:id="rId2"/>
    <customPr name="EpmWorksheetKeyString_GUID" r:id="rId3"/>
  </customProperties>
  <ignoredErrors>
    <ignoredError sqref="E7: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D11B-5DF4-40D3-A749-D9AF433F74BB}">
  <sheetPr>
    <tabColor rgb="FF00B050"/>
    <pageSetUpPr fitToPage="1"/>
  </sheetPr>
  <dimension ref="A1:BY184"/>
  <sheetViews>
    <sheetView topLeftCell="AQ1" workbookViewId="0">
      <pane ySplit="6" topLeftCell="A170" activePane="bottomLeft" state="frozen"/>
      <selection activeCell="W1" sqref="W1"/>
      <selection pane="bottomLeft" activeCell="AZ98" sqref="AZ98"/>
    </sheetView>
  </sheetViews>
  <sheetFormatPr defaultColWidth="9.28515625" defaultRowHeight="15" outlineLevelCol="1" x14ac:dyDescent="0.25"/>
  <cols>
    <col min="1" max="2" width="9.28515625" hidden="1" customWidth="1"/>
    <col min="3" max="3" width="42.28515625" hidden="1" customWidth="1" outlineLevel="1"/>
    <col min="4" max="4" width="42.7109375" hidden="1" customWidth="1" outlineLevel="1"/>
    <col min="5" max="5" width="10.28515625" style="143" hidden="1" customWidth="1" collapsed="1"/>
    <col min="6" max="6" width="20.5703125" style="142" hidden="1" customWidth="1"/>
    <col min="7" max="7" width="16.5703125" style="142" hidden="1" customWidth="1"/>
    <col min="8" max="8" width="53.85546875" style="142" customWidth="1"/>
    <col min="9" max="9" width="17.7109375" style="142" hidden="1" customWidth="1"/>
    <col min="10" max="10" width="15.85546875" style="142" hidden="1" customWidth="1"/>
    <col min="11" max="11" width="14.28515625" style="142" hidden="1" customWidth="1"/>
    <col min="12" max="12" width="15.7109375" style="144" hidden="1" customWidth="1"/>
    <col min="13" max="13" width="9.7109375" style="142" hidden="1" customWidth="1" outlineLevel="1"/>
    <col min="14" max="14" width="10.28515625" style="142" hidden="1" customWidth="1" outlineLevel="1"/>
    <col min="15" max="15" width="13.7109375" style="142" hidden="1" customWidth="1" outlineLevel="1"/>
    <col min="16" max="16" width="13.42578125" style="142" hidden="1" customWidth="1" outlineLevel="1"/>
    <col min="17" max="17" width="12.28515625" style="143" hidden="1" customWidth="1" outlineLevel="1"/>
    <col min="18" max="18" width="10.7109375" style="142" hidden="1" customWidth="1" outlineLevel="1"/>
    <col min="19" max="19" width="12.28515625" style="142" hidden="1" customWidth="1" outlineLevel="1"/>
    <col min="20" max="20" width="10.7109375" style="142" hidden="1" customWidth="1" outlineLevel="1"/>
    <col min="21" max="21" width="13.7109375" style="142" hidden="1" customWidth="1" outlineLevel="1"/>
    <col min="22" max="25" width="11" style="142" customWidth="1" outlineLevel="1"/>
    <col min="26" max="26" width="9.28515625" hidden="1" customWidth="1"/>
    <col min="27" max="29" width="10.42578125" hidden="1" customWidth="1"/>
    <col min="30" max="32" width="12.5703125" hidden="1" customWidth="1"/>
    <col min="33" max="33" width="53.42578125" hidden="1" customWidth="1"/>
    <col min="34" max="34" width="12.42578125" style="142" hidden="1" customWidth="1"/>
    <col min="35" max="35" width="28.7109375" style="142" hidden="1" customWidth="1"/>
    <col min="36" max="63" width="11" style="142" customWidth="1" outlineLevel="1"/>
    <col min="64" max="64" width="3.28515625" customWidth="1"/>
    <col min="65" max="65" width="12.42578125" customWidth="1"/>
    <col min="66" max="66" width="11.42578125" customWidth="1"/>
    <col min="67" max="67" width="0.140625" customWidth="1"/>
    <col min="68" max="70" width="7.85546875" bestFit="1" customWidth="1"/>
    <col min="71" max="77" width="7.5703125" customWidth="1"/>
    <col min="78" max="78" width="21.42578125" bestFit="1" customWidth="1"/>
    <col min="79" max="84" width="9.28515625" customWidth="1"/>
  </cols>
  <sheetData>
    <row r="1" spans="1:77" x14ac:dyDescent="0.25">
      <c r="H1" s="289" t="s">
        <v>35</v>
      </c>
      <c r="K1" s="274"/>
      <c r="M1" s="271"/>
      <c r="N1" s="271"/>
      <c r="O1" s="271"/>
      <c r="P1" s="271"/>
    </row>
    <row r="2" spans="1:77" ht="15.75" thickBot="1" x14ac:dyDescent="0.3">
      <c r="H2" s="289" t="s">
        <v>358</v>
      </c>
      <c r="K2" s="274"/>
      <c r="M2" s="271"/>
      <c r="N2" s="271"/>
      <c r="O2" s="271"/>
      <c r="P2" s="271"/>
    </row>
    <row r="3" spans="1:77" ht="16.149999999999999" customHeight="1" thickBot="1" x14ac:dyDescent="0.3">
      <c r="H3" s="289"/>
      <c r="K3" s="274"/>
      <c r="L3" s="153"/>
      <c r="M3" s="271"/>
      <c r="N3" s="271"/>
      <c r="O3" s="271"/>
      <c r="P3" s="271"/>
      <c r="Q3" s="152"/>
      <c r="S3" s="329" t="s">
        <v>336</v>
      </c>
      <c r="T3" s="330"/>
      <c r="U3" s="331"/>
      <c r="AI3" s="151"/>
    </row>
    <row r="4" spans="1:77" x14ac:dyDescent="0.25">
      <c r="H4" s="271"/>
      <c r="I4" s="151"/>
      <c r="J4" s="151"/>
      <c r="K4" s="290" t="s">
        <v>361</v>
      </c>
      <c r="L4" s="270"/>
      <c r="M4" s="272"/>
      <c r="N4" s="272"/>
      <c r="O4" s="268"/>
      <c r="P4" s="268"/>
      <c r="Q4" s="152"/>
      <c r="S4" s="273"/>
      <c r="T4" s="272"/>
      <c r="U4" s="267" t="s">
        <v>337</v>
      </c>
      <c r="V4" s="329" t="s">
        <v>354</v>
      </c>
      <c r="W4" s="330"/>
      <c r="X4" s="330"/>
      <c r="Y4" s="331"/>
      <c r="AI4" s="151"/>
      <c r="AJ4" s="329" t="s">
        <v>445</v>
      </c>
      <c r="AK4" s="330"/>
      <c r="AL4" s="330"/>
      <c r="AM4" s="331"/>
      <c r="AN4" s="329" t="s">
        <v>449</v>
      </c>
      <c r="AO4" s="330"/>
      <c r="AP4" s="330"/>
      <c r="AQ4" s="331"/>
      <c r="AR4" s="329" t="s">
        <v>450</v>
      </c>
      <c r="AS4" s="330"/>
      <c r="AT4" s="330"/>
      <c r="AU4" s="331"/>
      <c r="AV4" s="329" t="s">
        <v>453</v>
      </c>
      <c r="AW4" s="330"/>
      <c r="AX4" s="330"/>
      <c r="AY4" s="331"/>
      <c r="AZ4" s="329" t="s">
        <v>454</v>
      </c>
      <c r="BA4" s="330"/>
      <c r="BB4" s="330"/>
      <c r="BC4" s="331"/>
      <c r="BD4" s="329" t="s">
        <v>455</v>
      </c>
      <c r="BE4" s="330"/>
      <c r="BF4" s="330"/>
      <c r="BG4" s="331"/>
      <c r="BH4" s="329" t="s">
        <v>456</v>
      </c>
      <c r="BI4" s="330"/>
      <c r="BJ4" s="330"/>
      <c r="BK4" s="331"/>
    </row>
    <row r="5" spans="1:77" x14ac:dyDescent="0.25">
      <c r="H5" s="271"/>
      <c r="I5" s="268"/>
      <c r="J5" s="268" t="s">
        <v>334</v>
      </c>
      <c r="K5" s="275" t="s">
        <v>360</v>
      </c>
      <c r="L5" s="270"/>
      <c r="M5" s="268" t="s">
        <v>333</v>
      </c>
      <c r="N5" s="268" t="s">
        <v>332</v>
      </c>
      <c r="O5" s="268" t="s">
        <v>48</v>
      </c>
      <c r="P5" s="268" t="s">
        <v>366</v>
      </c>
      <c r="Q5" s="152"/>
      <c r="R5" s="267" t="s">
        <v>331</v>
      </c>
      <c r="S5" s="269" t="s">
        <v>330</v>
      </c>
      <c r="T5" s="268" t="s">
        <v>330</v>
      </c>
      <c r="U5" s="267" t="s">
        <v>48</v>
      </c>
      <c r="V5" s="269" t="s">
        <v>329</v>
      </c>
      <c r="W5" s="268" t="s">
        <v>329</v>
      </c>
      <c r="X5" s="268" t="s">
        <v>329</v>
      </c>
      <c r="Y5" s="267" t="s">
        <v>48</v>
      </c>
      <c r="AA5" s="82" t="s">
        <v>356</v>
      </c>
      <c r="AB5" s="82" t="s">
        <v>446</v>
      </c>
      <c r="AC5" s="82" t="s">
        <v>451</v>
      </c>
      <c r="AH5" s="275"/>
      <c r="AJ5" s="269" t="s">
        <v>329</v>
      </c>
      <c r="AK5" s="268" t="s">
        <v>329</v>
      </c>
      <c r="AL5" s="268" t="s">
        <v>329</v>
      </c>
      <c r="AM5" s="267" t="s">
        <v>48</v>
      </c>
      <c r="AN5" s="269" t="s">
        <v>329</v>
      </c>
      <c r="AO5" s="268" t="s">
        <v>329</v>
      </c>
      <c r="AP5" s="268" t="s">
        <v>329</v>
      </c>
      <c r="AQ5" s="267" t="s">
        <v>48</v>
      </c>
      <c r="AR5" s="269" t="s">
        <v>329</v>
      </c>
      <c r="AS5" s="268" t="s">
        <v>329</v>
      </c>
      <c r="AT5" s="268" t="s">
        <v>329</v>
      </c>
      <c r="AU5" s="267" t="s">
        <v>48</v>
      </c>
      <c r="AV5" s="269" t="s">
        <v>329</v>
      </c>
      <c r="AW5" s="268" t="s">
        <v>329</v>
      </c>
      <c r="AX5" s="268" t="s">
        <v>329</v>
      </c>
      <c r="AY5" s="267" t="s">
        <v>48</v>
      </c>
      <c r="AZ5" s="269" t="s">
        <v>329</v>
      </c>
      <c r="BA5" s="268" t="s">
        <v>329</v>
      </c>
      <c r="BB5" s="268" t="s">
        <v>329</v>
      </c>
      <c r="BC5" s="267" t="s">
        <v>48</v>
      </c>
      <c r="BD5" s="269" t="s">
        <v>329</v>
      </c>
      <c r="BE5" s="268" t="s">
        <v>329</v>
      </c>
      <c r="BF5" s="268" t="s">
        <v>329</v>
      </c>
      <c r="BG5" s="267" t="s">
        <v>48</v>
      </c>
      <c r="BH5" s="269" t="s">
        <v>329</v>
      </c>
      <c r="BI5" s="268" t="s">
        <v>329</v>
      </c>
      <c r="BJ5" s="268" t="s">
        <v>329</v>
      </c>
      <c r="BK5" s="267" t="s">
        <v>48</v>
      </c>
      <c r="BL5" s="84"/>
      <c r="BO5" s="84"/>
      <c r="BP5" s="125"/>
      <c r="BQ5" s="84"/>
      <c r="BR5" s="125"/>
      <c r="BS5" s="125"/>
      <c r="BT5" s="125"/>
      <c r="BU5" s="84"/>
      <c r="BV5" s="84"/>
      <c r="BW5" s="84"/>
      <c r="BX5" s="84"/>
      <c r="BY5" s="84"/>
    </row>
    <row r="6" spans="1:77" x14ac:dyDescent="0.25">
      <c r="E6" s="263" t="s">
        <v>339</v>
      </c>
      <c r="F6" s="263" t="s">
        <v>338</v>
      </c>
      <c r="G6" s="263"/>
      <c r="H6" s="263" t="s">
        <v>166</v>
      </c>
      <c r="I6" s="263" t="s">
        <v>328</v>
      </c>
      <c r="J6" s="263" t="s">
        <v>327</v>
      </c>
      <c r="K6" s="263" t="s">
        <v>326</v>
      </c>
      <c r="L6" s="266" t="s">
        <v>325</v>
      </c>
      <c r="M6" s="263" t="s">
        <v>35</v>
      </c>
      <c r="N6" s="263" t="s">
        <v>324</v>
      </c>
      <c r="O6" s="263" t="s">
        <v>321</v>
      </c>
      <c r="P6" s="263" t="s">
        <v>95</v>
      </c>
      <c r="Q6" s="263" t="s">
        <v>323</v>
      </c>
      <c r="R6" s="264" t="s">
        <v>322</v>
      </c>
      <c r="S6" s="265" t="s">
        <v>320</v>
      </c>
      <c r="T6" s="263" t="s">
        <v>109</v>
      </c>
      <c r="U6" s="264" t="s">
        <v>321</v>
      </c>
      <c r="V6" s="265" t="s">
        <v>95</v>
      </c>
      <c r="W6" s="263" t="s">
        <v>320</v>
      </c>
      <c r="X6" s="263" t="s">
        <v>109</v>
      </c>
      <c r="Y6" s="264" t="s">
        <v>319</v>
      </c>
      <c r="Z6" s="263" t="s">
        <v>104</v>
      </c>
      <c r="AA6" s="263" t="s">
        <v>355</v>
      </c>
      <c r="AB6" s="263" t="s">
        <v>355</v>
      </c>
      <c r="AC6" s="263" t="s">
        <v>355</v>
      </c>
      <c r="AD6" s="263" t="s">
        <v>357</v>
      </c>
      <c r="AE6" s="263" t="s">
        <v>447</v>
      </c>
      <c r="AF6" s="263" t="s">
        <v>452</v>
      </c>
      <c r="AG6" s="268"/>
      <c r="AH6" s="268"/>
      <c r="AI6" s="268"/>
      <c r="AJ6" s="265" t="s">
        <v>95</v>
      </c>
      <c r="AK6" s="263" t="s">
        <v>320</v>
      </c>
      <c r="AL6" s="263" t="s">
        <v>109</v>
      </c>
      <c r="AM6" s="264" t="s">
        <v>319</v>
      </c>
      <c r="AN6" s="265" t="s">
        <v>95</v>
      </c>
      <c r="AO6" s="263" t="s">
        <v>320</v>
      </c>
      <c r="AP6" s="263" t="s">
        <v>109</v>
      </c>
      <c r="AQ6" s="264" t="s">
        <v>319</v>
      </c>
      <c r="AR6" s="265" t="s">
        <v>95</v>
      </c>
      <c r="AS6" s="263" t="s">
        <v>320</v>
      </c>
      <c r="AT6" s="263" t="s">
        <v>109</v>
      </c>
      <c r="AU6" s="264" t="s">
        <v>319</v>
      </c>
      <c r="AV6" s="265" t="s">
        <v>95</v>
      </c>
      <c r="AW6" s="263" t="s">
        <v>320</v>
      </c>
      <c r="AX6" s="263" t="s">
        <v>109</v>
      </c>
      <c r="AY6" s="264" t="s">
        <v>319</v>
      </c>
      <c r="AZ6" s="265" t="s">
        <v>95</v>
      </c>
      <c r="BA6" s="263" t="s">
        <v>320</v>
      </c>
      <c r="BB6" s="263" t="s">
        <v>109</v>
      </c>
      <c r="BC6" s="264" t="s">
        <v>319</v>
      </c>
      <c r="BD6" s="265" t="s">
        <v>95</v>
      </c>
      <c r="BE6" s="263" t="s">
        <v>320</v>
      </c>
      <c r="BF6" s="263" t="s">
        <v>109</v>
      </c>
      <c r="BG6" s="264" t="s">
        <v>319</v>
      </c>
      <c r="BH6" s="265" t="s">
        <v>95</v>
      </c>
      <c r="BI6" s="263" t="s">
        <v>320</v>
      </c>
      <c r="BJ6" s="263" t="s">
        <v>109</v>
      </c>
      <c r="BK6" s="264" t="s">
        <v>319</v>
      </c>
      <c r="BL6" s="281"/>
      <c r="BM6" s="84"/>
      <c r="BN6" s="84"/>
      <c r="BO6" s="281"/>
      <c r="BP6" s="188"/>
      <c r="BQ6" s="188"/>
      <c r="BR6" s="188"/>
      <c r="BS6" s="281" t="s">
        <v>448</v>
      </c>
      <c r="BT6" s="281" t="s">
        <v>448</v>
      </c>
      <c r="BU6" s="281" t="s">
        <v>448</v>
      </c>
      <c r="BV6" s="281" t="s">
        <v>448</v>
      </c>
      <c r="BW6" s="281" t="s">
        <v>448</v>
      </c>
      <c r="BX6" s="281" t="s">
        <v>448</v>
      </c>
      <c r="BY6" s="281" t="s">
        <v>448</v>
      </c>
    </row>
    <row r="7" spans="1:77" x14ac:dyDescent="0.25">
      <c r="A7" s="88"/>
      <c r="B7" s="88"/>
      <c r="C7" t="s">
        <v>309</v>
      </c>
      <c r="D7" s="83" t="s">
        <v>335</v>
      </c>
      <c r="E7" s="162" t="s">
        <v>286</v>
      </c>
      <c r="F7" s="182" t="s">
        <v>307</v>
      </c>
      <c r="G7" s="182"/>
      <c r="H7" s="191" t="s">
        <v>187</v>
      </c>
      <c r="I7" s="190" t="s">
        <v>270</v>
      </c>
      <c r="J7" s="185">
        <v>142236.85500013499</v>
      </c>
      <c r="K7" s="189">
        <v>3</v>
      </c>
      <c r="L7" s="188">
        <v>45231</v>
      </c>
      <c r="M7" s="150">
        <v>1</v>
      </c>
      <c r="N7" s="150">
        <v>0</v>
      </c>
      <c r="O7" s="150">
        <f t="shared" ref="O7:O31" si="0">M7+N7</f>
        <v>1</v>
      </c>
      <c r="P7" s="187"/>
      <c r="Q7" s="186">
        <f t="shared" ref="Q7:Q31" si="1">((13-MONTH(L7)-$AI$5))/12</f>
        <v>0.16666666666666666</v>
      </c>
      <c r="R7" s="152">
        <v>2</v>
      </c>
      <c r="S7" s="150">
        <v>0.28999999999999998</v>
      </c>
      <c r="T7" s="150">
        <v>0.71</v>
      </c>
      <c r="U7" s="150">
        <f t="shared" ref="U7:U19" si="2">+S7+T7</f>
        <v>1</v>
      </c>
      <c r="V7" s="261">
        <v>0</v>
      </c>
      <c r="W7" s="261">
        <f t="shared" ref="W7:W31" si="3">J7*M7*Q7*S7</f>
        <v>6874.7813250065246</v>
      </c>
      <c r="X7" s="193">
        <f t="shared" ref="X7:X31" si="4">J7*M7*Q7*T7</f>
        <v>16831.361175015973</v>
      </c>
      <c r="Y7" s="185">
        <f t="shared" ref="Y7:Y31" si="5">V7+W7+X7</f>
        <v>23706.142500022499</v>
      </c>
      <c r="Z7">
        <v>874</v>
      </c>
      <c r="AA7" s="184">
        <f t="shared" ref="AA7:AA31" si="6">+J7*M7*T7</f>
        <v>100988.16705009584</v>
      </c>
      <c r="AB7" s="184">
        <f>+J7*M7*S7</f>
        <v>41248.687950039144</v>
      </c>
      <c r="AC7" s="184">
        <f>+J7*N7</f>
        <v>0</v>
      </c>
      <c r="AD7" s="184">
        <f>+AA7*(1+'SCHG2-19'!$M$12)</f>
        <v>106037.57540260063</v>
      </c>
      <c r="AE7" s="184">
        <f>+AB7*(1+'SCHG2-19'!$M$12)</f>
        <v>43311.122347541102</v>
      </c>
      <c r="AF7" s="184">
        <f>+AC7*(1+'SCHG2-19'!$M$12)</f>
        <v>0</v>
      </c>
      <c r="AH7" s="260"/>
      <c r="AJ7" s="261">
        <f>($J7*(1+'SCHG2-19'!$M$12))*$N7</f>
        <v>0</v>
      </c>
      <c r="AK7" s="261">
        <f>($J7*(1+'SCHG2-19'!$M$12))*$M7*S7</f>
        <v>43311.12234754111</v>
      </c>
      <c r="AL7" s="261">
        <f>($J7*(1+'SCHG2-19'!$M$12))*$M7*T7</f>
        <v>106037.57540260065</v>
      </c>
      <c r="AM7" s="185">
        <f t="shared" ref="AM7" si="7">AJ7+AK7+AL7</f>
        <v>149348.69775014176</v>
      </c>
      <c r="AN7" s="261">
        <f>+V7*0.08</f>
        <v>0</v>
      </c>
      <c r="AO7" s="261">
        <f t="shared" ref="AO7:AP7" si="8">+W7*0.08</f>
        <v>549.98250600052199</v>
      </c>
      <c r="AP7" s="261">
        <f t="shared" si="8"/>
        <v>1346.5088940012779</v>
      </c>
      <c r="AQ7" s="185">
        <f t="shared" ref="AQ7" si="9">AN7+AO7+AP7</f>
        <v>1896.4914000017998</v>
      </c>
      <c r="AR7" s="261">
        <f>+AJ7*0.08</f>
        <v>0</v>
      </c>
      <c r="AS7" s="261">
        <f t="shared" ref="AS7:AT7" si="10">+AK7*0.08</f>
        <v>3464.889787803289</v>
      </c>
      <c r="AT7" s="261">
        <f t="shared" si="10"/>
        <v>8483.0060322080517</v>
      </c>
      <c r="AU7" s="185">
        <f t="shared" ref="AU7" si="11">AR7+AS7+AT7</f>
        <v>11947.895820011341</v>
      </c>
      <c r="AV7" s="261">
        <f>(+V7/$Y$98)*('SCHG2-19'!$I$448*'SCHG2-19'!$K$15)</f>
        <v>0</v>
      </c>
      <c r="AW7" s="261">
        <f>(+W7/$Y$98)*('SCHG2-19'!$I$448*'SCHG2-19'!$K$15)</f>
        <v>713.56683088727266</v>
      </c>
      <c r="AX7" s="261">
        <f>(+X7/$Y$98)*('SCHG2-19'!$I$448*'SCHG2-19'!$K$15)</f>
        <v>1747.0084480343567</v>
      </c>
      <c r="AY7" s="185">
        <f t="shared" ref="AY7:AY31" si="12">AV7+AW7+AX7</f>
        <v>2460.5752789216294</v>
      </c>
      <c r="AZ7" s="261">
        <f>((+AJ7/($AM$98+$Y$178)*((('SCHG2-19'!$I$448*'SCHG2-19'!$K$15)+'SCHG2-19'!$I$448)*'SCHG2-19'!$M$15)))</f>
        <v>0</v>
      </c>
      <c r="BA7" s="261">
        <f>((+AK7/($AM$98+$Y$178)*((('SCHG2-19'!$I$448*'SCHG2-19'!$K$15)+'SCHG2-19'!$I$448)*'SCHG2-19'!$M$15)))</f>
        <v>788.962598998521</v>
      </c>
      <c r="BB7" s="261">
        <f>((+AL7/($AM$98+$Y$178)*((('SCHG2-19'!$I$448*'SCHG2-19'!$K$15)+'SCHG2-19'!$I$448)*'SCHG2-19'!$M$15)))</f>
        <v>1931.5980872032753</v>
      </c>
      <c r="BC7" s="185">
        <f t="shared" ref="BC7" si="13">AZ7+BA7+BB7</f>
        <v>2720.5606862017962</v>
      </c>
      <c r="BD7" s="261">
        <f>(+V7/$Y$98)*('SCHG2-19'!$K$448-'SCHG2-19'!$I$448-'IRR 202 Detail '!$AY$98)</f>
        <v>0</v>
      </c>
      <c r="BE7" s="261">
        <f>(+W7/$Y$98)*('SCHG2-19'!$K$448-'SCHG2-19'!$I$448-'IRR 202 Detail '!$AY$98)</f>
        <v>1695.1847477813824</v>
      </c>
      <c r="BF7" s="261">
        <f>(+X7/$Y$98)*('SCHG2-19'!$K$448-'SCHG2-19'!$I$448-'IRR 202 Detail '!$AY$98)</f>
        <v>4150.2798997406253</v>
      </c>
      <c r="BG7" s="185">
        <f t="shared" ref="BG7" si="14">BD7+BE7+BF7</f>
        <v>5845.4646475220079</v>
      </c>
      <c r="BH7" s="261">
        <f>(+AJ7/($AM$98+$Y$178))*('SCHG2-19'!$M$448-'SCHG2-19'!$K$448-'IRR 202 Detail '!$BC$98-'IRR 202 Detail '!$AQ$178)</f>
        <v>0</v>
      </c>
      <c r="BI7" s="261">
        <f>(+AK7/($AM$98+$Y$178))*('SCHG2-19'!$M$448-'SCHG2-19'!$K$448-'IRR 202 Detail '!$BC$98-'IRR 202 Detail '!$AQ$178)</f>
        <v>3044.7510078614928</v>
      </c>
      <c r="BJ7" s="261">
        <f>(+AL7/($AM$98+$Y$178))*('SCHG2-19'!$M$448-'SCHG2-19'!$K$448-'IRR 202 Detail '!$BC$98-'IRR 202 Detail '!$AQ$178)</f>
        <v>7454.390398557448</v>
      </c>
      <c r="BK7" s="185">
        <f t="shared" ref="BK7" si="15">BH7+BI7+BJ7</f>
        <v>10499.141406418941</v>
      </c>
      <c r="BL7" s="192"/>
      <c r="BM7" s="183"/>
      <c r="BN7" s="90"/>
      <c r="BO7" s="192"/>
      <c r="BP7" s="192"/>
      <c r="BQ7" s="192"/>
      <c r="BR7" s="192"/>
      <c r="BS7" s="192">
        <f t="shared" ref="BS7:BS32" si="16">+AM7-AD7-AE7-AF7</f>
        <v>2.1827872842550278E-11</v>
      </c>
      <c r="BT7" s="192">
        <f>+Y7*0.08-AQ7</f>
        <v>0</v>
      </c>
      <c r="BU7" s="192">
        <f>+AM7*0.08-AU7</f>
        <v>0</v>
      </c>
      <c r="BV7" s="192"/>
      <c r="BW7" s="192"/>
      <c r="BX7" s="192"/>
      <c r="BY7" s="192"/>
    </row>
    <row r="8" spans="1:77" x14ac:dyDescent="0.25">
      <c r="A8" s="88"/>
      <c r="B8" s="88"/>
      <c r="C8" t="s">
        <v>309</v>
      </c>
      <c r="D8" s="83" t="s">
        <v>335</v>
      </c>
      <c r="E8" s="162" t="s">
        <v>286</v>
      </c>
      <c r="F8" s="182" t="s">
        <v>307</v>
      </c>
      <c r="G8" s="182"/>
      <c r="H8" s="191" t="s">
        <v>188</v>
      </c>
      <c r="I8" s="190" t="s">
        <v>270</v>
      </c>
      <c r="J8" s="185">
        <v>56786.255571465001</v>
      </c>
      <c r="K8" s="189">
        <v>1</v>
      </c>
      <c r="L8" s="188">
        <v>45231</v>
      </c>
      <c r="M8" s="150">
        <v>1</v>
      </c>
      <c r="N8" s="150">
        <v>0</v>
      </c>
      <c r="O8" s="150">
        <f t="shared" si="0"/>
        <v>1</v>
      </c>
      <c r="P8" s="187"/>
      <c r="Q8" s="186">
        <f t="shared" si="1"/>
        <v>0.16666666666666666</v>
      </c>
      <c r="R8" s="152">
        <v>3</v>
      </c>
      <c r="S8" s="150">
        <v>0.28999999999999998</v>
      </c>
      <c r="T8" s="150">
        <v>0.71</v>
      </c>
      <c r="U8" s="150">
        <f t="shared" si="2"/>
        <v>1</v>
      </c>
      <c r="V8" s="261">
        <v>0</v>
      </c>
      <c r="W8" s="261">
        <f t="shared" si="3"/>
        <v>2744.6690192874748</v>
      </c>
      <c r="X8" s="193">
        <f t="shared" si="4"/>
        <v>6719.7069092900247</v>
      </c>
      <c r="Y8" s="185">
        <f t="shared" si="5"/>
        <v>9464.3759285774995</v>
      </c>
      <c r="Z8">
        <v>874</v>
      </c>
      <c r="AA8" s="184">
        <f t="shared" si="6"/>
        <v>40318.24145574015</v>
      </c>
      <c r="AB8" s="184">
        <f t="shared" ref="AB8:AB31" si="17">+J8*M8*S8</f>
        <v>16468.014115724851</v>
      </c>
      <c r="AC8" s="184">
        <f t="shared" ref="AC8:AC31" si="18">+J8*N8</f>
        <v>0</v>
      </c>
      <c r="AD8" s="184">
        <f>+AA8*(1+'SCHG2-19'!$M$12)</f>
        <v>42334.15352852716</v>
      </c>
      <c r="AE8" s="184">
        <f>+AB8*(1+'SCHG2-19'!$M$12)</f>
        <v>17291.414821511094</v>
      </c>
      <c r="AF8" s="184">
        <f>+AC8*(1+'SCHG2-19'!$M$12)</f>
        <v>0</v>
      </c>
      <c r="AH8" s="260"/>
      <c r="AJ8" s="261">
        <f>($J8*(1+'SCHG2-19'!$M$12))*$N8</f>
        <v>0</v>
      </c>
      <c r="AK8" s="261">
        <f>($J8*(1+'SCHG2-19'!$M$12))*$M8*S8</f>
        <v>17291.414821511091</v>
      </c>
      <c r="AL8" s="261">
        <f>($J8*(1+'SCHG2-19'!$M$12))*$M8*T8</f>
        <v>42334.153528527153</v>
      </c>
      <c r="AM8" s="185">
        <f t="shared" ref="AM8:AM31" si="19">AJ8+AK8+AL8</f>
        <v>59625.568350038244</v>
      </c>
      <c r="AN8" s="261">
        <f t="shared" ref="AN8:AN31" si="20">+V8*0.08</f>
        <v>0</v>
      </c>
      <c r="AO8" s="261">
        <f t="shared" ref="AO8:AO31" si="21">+W8*0.08</f>
        <v>219.57352154299798</v>
      </c>
      <c r="AP8" s="261">
        <f t="shared" ref="AP8:AP31" si="22">+X8*0.08</f>
        <v>537.576552743202</v>
      </c>
      <c r="AQ8" s="185">
        <f t="shared" ref="AQ8:AQ31" si="23">AN8+AO8+AP8</f>
        <v>757.15007428619992</v>
      </c>
      <c r="AR8" s="261">
        <f t="shared" ref="AR8:AR31" si="24">+AJ8*0.08</f>
        <v>0</v>
      </c>
      <c r="AS8" s="261">
        <f t="shared" ref="AS8:AS31" si="25">+AK8*0.08</f>
        <v>1383.3131857208873</v>
      </c>
      <c r="AT8" s="261">
        <f t="shared" ref="AT8:AT31" si="26">+AL8*0.08</f>
        <v>3386.7322822821725</v>
      </c>
      <c r="AU8" s="185">
        <f t="shared" ref="AU8:AU31" si="27">AR8+AS8+AT8</f>
        <v>4770.0454680030598</v>
      </c>
      <c r="AV8" s="261">
        <f>(+V8/$Y$98)*('SCHG2-19'!$I$448*'SCHG2-19'!$K$15)</f>
        <v>0</v>
      </c>
      <c r="AW8" s="261">
        <f>(+W8/$Y$98)*('SCHG2-19'!$I$448*'SCHG2-19'!$K$15)</f>
        <v>284.88248299673489</v>
      </c>
      <c r="AX8" s="261">
        <f>(+X8/$Y$98)*('SCHG2-19'!$I$448*'SCHG2-19'!$K$15)</f>
        <v>697.47090664717859</v>
      </c>
      <c r="AY8" s="185">
        <f t="shared" si="12"/>
        <v>982.35338964391349</v>
      </c>
      <c r="AZ8" s="261">
        <f>((+AJ8/($AM$98+$Y$178)*((('SCHG2-19'!$I$448*'SCHG2-19'!$K$15)+'SCHG2-19'!$I$448)*'SCHG2-19'!$M$15)))</f>
        <v>0</v>
      </c>
      <c r="BA8" s="261">
        <f>((+AK8/($AM$98+$Y$178)*((('SCHG2-19'!$I$448*'SCHG2-19'!$K$15)+'SCHG2-19'!$I$448)*'SCHG2-19'!$M$15)))</f>
        <v>314.98328462770593</v>
      </c>
      <c r="BB8" s="261">
        <f>((+AL8/($AM$98+$Y$178)*((('SCHG2-19'!$I$448*'SCHG2-19'!$K$15)+'SCHG2-19'!$I$448)*'SCHG2-19'!$M$15)))</f>
        <v>771.16597270921113</v>
      </c>
      <c r="BC8" s="185">
        <f t="shared" ref="BC8:BC31" si="28">AZ8+BA8+BB8</f>
        <v>1086.1492573369171</v>
      </c>
      <c r="BD8" s="261">
        <f>(+V8/$Y$98)*('SCHG2-19'!$K$448-'SCHG2-19'!$I$448-'IRR 202 Detail '!$AY$98)</f>
        <v>0</v>
      </c>
      <c r="BE8" s="261">
        <f>(+W8/$Y$98)*('SCHG2-19'!$K$448-'SCHG2-19'!$I$448-'IRR 202 Detail '!$AY$98)</f>
        <v>676.78095334905743</v>
      </c>
      <c r="BF8" s="261">
        <f>(+X8/$Y$98)*('SCHG2-19'!$K$448-'SCHG2-19'!$I$448-'IRR 202 Detail '!$AY$98)</f>
        <v>1656.9464719925199</v>
      </c>
      <c r="BG8" s="185">
        <f t="shared" ref="BG8:BG31" si="29">BD8+BE8+BF8</f>
        <v>2333.7274253415771</v>
      </c>
      <c r="BH8" s="261">
        <f>(+AJ8/($AM$98+$Y$178))*('SCHG2-19'!$M$448-'SCHG2-19'!$K$448-'IRR 202 Detail '!$BC$98-'IRR 202 Detail '!$AQ$178)</f>
        <v>0</v>
      </c>
      <c r="BI8" s="261">
        <f>(+AK8/($AM$98+$Y$178))*('SCHG2-19'!$M$448-'SCHG2-19'!$K$448-'IRR 202 Detail '!$BC$98-'IRR 202 Detail '!$AQ$178)</f>
        <v>1215.5781206195416</v>
      </c>
      <c r="BJ8" s="261">
        <f>(+AL8/($AM$98+$Y$178))*('SCHG2-19'!$M$448-'SCHG2-19'!$K$448-'IRR 202 Detail '!$BC$98-'IRR 202 Detail '!$AQ$178)</f>
        <v>2976.0705711719811</v>
      </c>
      <c r="BK8" s="185">
        <f t="shared" ref="BK8:BK31" si="30">BH8+BI8+BJ8</f>
        <v>4191.6486917915227</v>
      </c>
      <c r="BL8" s="192"/>
      <c r="BM8" s="183"/>
      <c r="BN8" s="90"/>
      <c r="BO8" s="192"/>
      <c r="BP8" s="192"/>
      <c r="BQ8" s="192"/>
      <c r="BR8" s="192"/>
      <c r="BS8" s="192">
        <f t="shared" si="16"/>
        <v>-1.0913936421275139E-11</v>
      </c>
      <c r="BT8" s="192">
        <f t="shared" ref="BT8:BT32" si="31">+Y8*0.08-AQ8</f>
        <v>0</v>
      </c>
      <c r="BU8" s="192">
        <f t="shared" ref="BU8:BU32" si="32">+AM8*0.08-AU8</f>
        <v>0</v>
      </c>
      <c r="BV8" s="192"/>
      <c r="BW8" s="192"/>
      <c r="BX8" s="192"/>
      <c r="BY8" s="192"/>
    </row>
    <row r="9" spans="1:77" x14ac:dyDescent="0.25">
      <c r="A9" s="88"/>
      <c r="B9" s="88"/>
      <c r="D9" s="83"/>
      <c r="E9" s="162" t="s">
        <v>286</v>
      </c>
      <c r="F9" s="182" t="s">
        <v>307</v>
      </c>
      <c r="G9" s="182"/>
      <c r="H9" s="191" t="s">
        <v>189</v>
      </c>
      <c r="I9" s="190" t="s">
        <v>270</v>
      </c>
      <c r="J9" s="185">
        <v>92933.872236135008</v>
      </c>
      <c r="K9" s="189">
        <v>1</v>
      </c>
      <c r="L9" s="188">
        <v>45232</v>
      </c>
      <c r="M9" s="150">
        <v>1</v>
      </c>
      <c r="N9" s="150">
        <v>0</v>
      </c>
      <c r="O9" s="150">
        <f t="shared" si="0"/>
        <v>1</v>
      </c>
      <c r="P9" s="187"/>
      <c r="Q9" s="186">
        <f t="shared" si="1"/>
        <v>0.16666666666666666</v>
      </c>
      <c r="R9" s="152">
        <v>6</v>
      </c>
      <c r="S9" s="150">
        <v>0.28999999999999998</v>
      </c>
      <c r="T9" s="150">
        <v>0.71</v>
      </c>
      <c r="U9" s="150">
        <f t="shared" si="2"/>
        <v>1</v>
      </c>
      <c r="V9" s="261">
        <v>0</v>
      </c>
      <c r="W9" s="261">
        <f t="shared" si="3"/>
        <v>4491.8038247465247</v>
      </c>
      <c r="X9" s="193">
        <f t="shared" si="4"/>
        <v>10997.174881275974</v>
      </c>
      <c r="Y9" s="185">
        <f t="shared" si="5"/>
        <v>15488.978706022499</v>
      </c>
      <c r="Z9">
        <v>874</v>
      </c>
      <c r="AA9" s="184">
        <f t="shared" si="6"/>
        <v>65983.049287655856</v>
      </c>
      <c r="AB9" s="184">
        <f t="shared" si="17"/>
        <v>26950.822948479152</v>
      </c>
      <c r="AC9" s="184">
        <f t="shared" si="18"/>
        <v>0</v>
      </c>
      <c r="AD9" s="184">
        <f>+AA9*(1+'SCHG2-19'!$M$12)</f>
        <v>69282.201752038658</v>
      </c>
      <c r="AE9" s="184">
        <f>+AB9*(1+'SCHG2-19'!$M$12)</f>
        <v>28298.364095903111</v>
      </c>
      <c r="AF9" s="184">
        <f>+AC9*(1+'SCHG2-19'!$M$12)</f>
        <v>0</v>
      </c>
      <c r="AH9" s="260"/>
      <c r="AJ9" s="261">
        <f>($J9*(1+'SCHG2-19'!$M$12))*$N9</f>
        <v>0</v>
      </c>
      <c r="AK9" s="261">
        <f>($J9*(1+'SCHG2-19'!$M$12))*$M9*S9</f>
        <v>28298.364095903107</v>
      </c>
      <c r="AL9" s="261">
        <f>($J9*(1+'SCHG2-19'!$M$12))*$M9*T9</f>
        <v>69282.201752038643</v>
      </c>
      <c r="AM9" s="185">
        <f t="shared" si="19"/>
        <v>97580.565847941747</v>
      </c>
      <c r="AN9" s="261">
        <f t="shared" si="20"/>
        <v>0</v>
      </c>
      <c r="AO9" s="261">
        <f t="shared" si="21"/>
        <v>359.34430597972198</v>
      </c>
      <c r="AP9" s="261">
        <f t="shared" si="22"/>
        <v>879.77399050207794</v>
      </c>
      <c r="AQ9" s="185">
        <f t="shared" si="23"/>
        <v>1239.1182964817999</v>
      </c>
      <c r="AR9" s="261">
        <f t="shared" si="24"/>
        <v>0</v>
      </c>
      <c r="AS9" s="261">
        <f t="shared" si="25"/>
        <v>2263.8691276722489</v>
      </c>
      <c r="AT9" s="261">
        <f t="shared" si="26"/>
        <v>5542.5761401630916</v>
      </c>
      <c r="AU9" s="185">
        <f t="shared" si="27"/>
        <v>7806.4452678353409</v>
      </c>
      <c r="AV9" s="261">
        <f>(+V9/$Y$98)*('SCHG2-19'!$I$448*'SCHG2-19'!$K$15)</f>
        <v>0</v>
      </c>
      <c r="AW9" s="261">
        <f>(+W9/$Y$98)*('SCHG2-19'!$I$448*'SCHG2-19'!$K$15)</f>
        <v>466.22606140693</v>
      </c>
      <c r="AX9" s="261">
        <f>(+X9/$Y$98)*('SCHG2-19'!$I$448*'SCHG2-19'!$K$15)</f>
        <v>1141.45001241007</v>
      </c>
      <c r="AY9" s="185">
        <f t="shared" si="12"/>
        <v>1607.6760738170001</v>
      </c>
      <c r="AZ9" s="261">
        <f>((+AJ9/($AM$98+$Y$178)*((('SCHG2-19'!$I$448*'SCHG2-19'!$K$15)+'SCHG2-19'!$I$448)*'SCHG2-19'!$M$15)))</f>
        <v>0</v>
      </c>
      <c r="BA9" s="261">
        <f>((+AK9/($AM$98+$Y$178)*((('SCHG2-19'!$I$448*'SCHG2-19'!$K$15)+'SCHG2-19'!$I$448)*'SCHG2-19'!$M$15)))</f>
        <v>515.48770095027749</v>
      </c>
      <c r="BB9" s="261">
        <f>((+AL9/($AM$98+$Y$178)*((('SCHG2-19'!$I$448*'SCHG2-19'!$K$15)+'SCHG2-19'!$I$448)*'SCHG2-19'!$M$15)))</f>
        <v>1262.0560954299897</v>
      </c>
      <c r="BC9" s="185">
        <f t="shared" si="28"/>
        <v>1777.5437963802672</v>
      </c>
      <c r="BD9" s="261">
        <f>(+V9/$Y$98)*('SCHG2-19'!$K$448-'SCHG2-19'!$I$448-'IRR 202 Detail '!$AY$98)</f>
        <v>0</v>
      </c>
      <c r="BE9" s="261">
        <f>(+W9/$Y$98)*('SCHG2-19'!$K$448-'SCHG2-19'!$I$448-'IRR 202 Detail '!$AY$98)</f>
        <v>1107.5897506789659</v>
      </c>
      <c r="BF9" s="261">
        <f>(+X9/$Y$98)*('SCHG2-19'!$K$448-'SCHG2-19'!$I$448-'IRR 202 Detail '!$AY$98)</f>
        <v>2711.6852516622953</v>
      </c>
      <c r="BG9" s="185">
        <f t="shared" si="29"/>
        <v>3819.2750023412609</v>
      </c>
      <c r="BH9" s="261">
        <f>(+AJ9/($AM$98+$Y$178))*('SCHG2-19'!$M$448-'SCHG2-19'!$K$448-'IRR 202 Detail '!$BC$98-'IRR 202 Detail '!$AQ$178)</f>
        <v>0</v>
      </c>
      <c r="BI9" s="261">
        <f>(+AK9/($AM$98+$Y$178))*('SCHG2-19'!$M$448-'SCHG2-19'!$K$448-'IRR 202 Detail '!$BC$98-'IRR 202 Detail '!$AQ$178)</f>
        <v>1989.3613448861388</v>
      </c>
      <c r="BJ9" s="261">
        <f>(+AL9/($AM$98+$Y$178))*('SCHG2-19'!$M$448-'SCHG2-19'!$K$448-'IRR 202 Detail '!$BC$98-'IRR 202 Detail '!$AQ$178)</f>
        <v>4870.5053616177884</v>
      </c>
      <c r="BK9" s="185">
        <f t="shared" si="30"/>
        <v>6859.8667065039272</v>
      </c>
      <c r="BL9" s="192"/>
      <c r="BM9" s="183"/>
      <c r="BN9" s="90"/>
      <c r="BO9" s="192"/>
      <c r="BP9" s="192"/>
      <c r="BQ9" s="192"/>
      <c r="BR9" s="192"/>
      <c r="BS9" s="192">
        <f t="shared" si="16"/>
        <v>-2.1827872842550278E-11</v>
      </c>
      <c r="BT9" s="192">
        <f t="shared" si="31"/>
        <v>0</v>
      </c>
      <c r="BU9" s="192">
        <f t="shared" si="32"/>
        <v>0</v>
      </c>
      <c r="BV9" s="192"/>
      <c r="BW9" s="192"/>
      <c r="BX9" s="192"/>
      <c r="BY9" s="192"/>
    </row>
    <row r="10" spans="1:77" x14ac:dyDescent="0.25">
      <c r="A10" s="88"/>
      <c r="B10" s="88"/>
      <c r="C10" t="s">
        <v>309</v>
      </c>
      <c r="D10" s="83" t="s">
        <v>317</v>
      </c>
      <c r="E10" s="162" t="s">
        <v>286</v>
      </c>
      <c r="F10" s="182" t="s">
        <v>307</v>
      </c>
      <c r="G10" s="182"/>
      <c r="H10" s="191" t="s">
        <v>187</v>
      </c>
      <c r="I10" s="190" t="s">
        <v>270</v>
      </c>
      <c r="J10" s="185">
        <v>85884.27314628</v>
      </c>
      <c r="K10" s="189">
        <v>2</v>
      </c>
      <c r="L10" s="188">
        <v>44927</v>
      </c>
      <c r="M10" s="150">
        <v>1</v>
      </c>
      <c r="N10" s="150">
        <v>0</v>
      </c>
      <c r="O10" s="150">
        <f t="shared" si="0"/>
        <v>1</v>
      </c>
      <c r="P10" s="187"/>
      <c r="Q10" s="186">
        <f t="shared" si="1"/>
        <v>1</v>
      </c>
      <c r="R10" s="152">
        <v>1</v>
      </c>
      <c r="S10" s="150">
        <v>0.28999999999999998</v>
      </c>
      <c r="T10" s="150">
        <v>0.71</v>
      </c>
      <c r="U10" s="150">
        <f t="shared" si="2"/>
        <v>1</v>
      </c>
      <c r="V10" s="261">
        <v>0</v>
      </c>
      <c r="W10" s="261">
        <f t="shared" si="3"/>
        <v>24906.439212421199</v>
      </c>
      <c r="X10" s="193">
        <f t="shared" si="4"/>
        <v>60977.833933858798</v>
      </c>
      <c r="Y10" s="185">
        <f t="shared" si="5"/>
        <v>85884.27314628</v>
      </c>
      <c r="Z10">
        <v>874</v>
      </c>
      <c r="AA10" s="184">
        <f t="shared" si="6"/>
        <v>60977.833933858798</v>
      </c>
      <c r="AB10" s="184">
        <f t="shared" si="17"/>
        <v>24906.439212421199</v>
      </c>
      <c r="AC10" s="184">
        <f t="shared" si="18"/>
        <v>0</v>
      </c>
      <c r="AD10" s="184">
        <f>+AA10*(1+'SCHG2-19'!$M$12)</f>
        <v>64026.725630551737</v>
      </c>
      <c r="AE10" s="184">
        <f>+AB10*(1+'SCHG2-19'!$M$12)</f>
        <v>26151.761173042261</v>
      </c>
      <c r="AF10" s="184">
        <f>+AC10*(1+'SCHG2-19'!$M$12)</f>
        <v>0</v>
      </c>
      <c r="AH10" s="260"/>
      <c r="AJ10" s="261">
        <f>($J10*(1+'SCHG2-19'!$M$12))*$N10</f>
        <v>0</v>
      </c>
      <c r="AK10" s="261">
        <f>($J10*(1+'SCHG2-19'!$M$12))*$M10*S10</f>
        <v>26151.761173042258</v>
      </c>
      <c r="AL10" s="261">
        <f>($J10*(1+'SCHG2-19'!$M$12))*$M10*T10</f>
        <v>64026.725630551737</v>
      </c>
      <c r="AM10" s="185">
        <f t="shared" si="19"/>
        <v>90178.486803593987</v>
      </c>
      <c r="AN10" s="261">
        <f t="shared" si="20"/>
        <v>0</v>
      </c>
      <c r="AO10" s="261">
        <f t="shared" si="21"/>
        <v>1992.5151369936959</v>
      </c>
      <c r="AP10" s="261">
        <f t="shared" si="22"/>
        <v>4878.2267147087041</v>
      </c>
      <c r="AQ10" s="185">
        <f t="shared" si="23"/>
        <v>6870.7418517023998</v>
      </c>
      <c r="AR10" s="261">
        <f t="shared" si="24"/>
        <v>0</v>
      </c>
      <c r="AS10" s="261">
        <f t="shared" si="25"/>
        <v>2092.1408938433806</v>
      </c>
      <c r="AT10" s="261">
        <f t="shared" si="26"/>
        <v>5122.1380504441395</v>
      </c>
      <c r="AU10" s="185">
        <f t="shared" si="27"/>
        <v>7214.2789442875201</v>
      </c>
      <c r="AV10" s="261">
        <f>(+V10/$Y$98)*('SCHG2-19'!$I$448*'SCHG2-19'!$K$15)</f>
        <v>0</v>
      </c>
      <c r="AW10" s="261">
        <f>(+W10/$Y$98)*('SCHG2-19'!$I$448*'SCHG2-19'!$K$15)</f>
        <v>2585.1598847003365</v>
      </c>
      <c r="AX10" s="261">
        <f>(+X10/$Y$98)*('SCHG2-19'!$I$448*'SCHG2-19'!$K$15)</f>
        <v>6329.1845453008236</v>
      </c>
      <c r="AY10" s="185">
        <f t="shared" si="12"/>
        <v>8914.3444300011597</v>
      </c>
      <c r="AZ10" s="261">
        <f>((+AJ10/($AM$98+$Y$178)*((('SCHG2-19'!$I$448*'SCHG2-19'!$K$15)+'SCHG2-19'!$I$448)*'SCHG2-19'!$M$15)))</f>
        <v>0</v>
      </c>
      <c r="BA10" s="261">
        <f>((+AK10/($AM$98+$Y$178)*((('SCHG2-19'!$I$448*'SCHG2-19'!$K$15)+'SCHG2-19'!$I$448)*'SCHG2-19'!$M$15)))</f>
        <v>476.38482553993214</v>
      </c>
      <c r="BB10" s="261">
        <f>((+AL10/($AM$98+$Y$178)*((('SCHG2-19'!$I$448*'SCHG2-19'!$K$15)+'SCHG2-19'!$I$448)*'SCHG2-19'!$M$15)))</f>
        <v>1166.3214694253513</v>
      </c>
      <c r="BC10" s="185">
        <f t="shared" si="28"/>
        <v>1642.7062949652834</v>
      </c>
      <c r="BD10" s="261">
        <f>(+V10/$Y$98)*('SCHG2-19'!$K$448-'SCHG2-19'!$I$448-'IRR 202 Detail '!$AY$98)</f>
        <v>0</v>
      </c>
      <c r="BE10" s="261">
        <f>(+W10/$Y$98)*('SCHG2-19'!$K$448-'SCHG2-19'!$I$448-'IRR 202 Detail '!$AY$98)</f>
        <v>6141.4340149067202</v>
      </c>
      <c r="BF10" s="261">
        <f>(+X10/$Y$98)*('SCHG2-19'!$K$448-'SCHG2-19'!$I$448-'IRR 202 Detail '!$AY$98)</f>
        <v>15035.924657185418</v>
      </c>
      <c r="BG10" s="185">
        <f t="shared" si="29"/>
        <v>21177.358672092138</v>
      </c>
      <c r="BH10" s="261">
        <f>(+AJ10/($AM$98+$Y$178))*('SCHG2-19'!$M$448-'SCHG2-19'!$K$448-'IRR 202 Detail '!$BC$98-'IRR 202 Detail '!$AQ$178)</f>
        <v>0</v>
      </c>
      <c r="BI10" s="261">
        <f>(+AK10/($AM$98+$Y$178))*('SCHG2-19'!$M$448-'SCHG2-19'!$K$448-'IRR 202 Detail '!$BC$98-'IRR 202 Detail '!$AQ$178)</f>
        <v>1838.4561949245822</v>
      </c>
      <c r="BJ10" s="261">
        <f>(+AL10/($AM$98+$Y$178))*('SCHG2-19'!$M$448-'SCHG2-19'!$K$448-'IRR 202 Detail '!$BC$98-'IRR 202 Detail '!$AQ$178)</f>
        <v>4501.0479255050122</v>
      </c>
      <c r="BK10" s="185">
        <f t="shared" si="30"/>
        <v>6339.504120429594</v>
      </c>
      <c r="BL10" s="192"/>
      <c r="BM10" s="183"/>
      <c r="BN10" s="302"/>
      <c r="BO10" s="192"/>
      <c r="BP10" s="192"/>
      <c r="BQ10" s="192"/>
      <c r="BR10" s="192"/>
      <c r="BS10" s="192">
        <f t="shared" si="16"/>
        <v>-1.0913936421275139E-11</v>
      </c>
      <c r="BT10" s="192">
        <f t="shared" si="31"/>
        <v>0</v>
      </c>
      <c r="BU10" s="192">
        <f t="shared" si="32"/>
        <v>0</v>
      </c>
      <c r="BV10" s="192"/>
      <c r="BW10" s="192"/>
      <c r="BX10" s="192"/>
      <c r="BY10" s="192"/>
    </row>
    <row r="11" spans="1:77" x14ac:dyDescent="0.25">
      <c r="A11" s="88"/>
      <c r="B11" s="88"/>
      <c r="C11" t="s">
        <v>309</v>
      </c>
      <c r="D11" s="83" t="s">
        <v>317</v>
      </c>
      <c r="E11" s="162" t="s">
        <v>286</v>
      </c>
      <c r="F11" s="182" t="s">
        <v>307</v>
      </c>
      <c r="G11" s="182"/>
      <c r="H11" s="191" t="s">
        <v>190</v>
      </c>
      <c r="I11" s="190" t="s">
        <v>270</v>
      </c>
      <c r="J11" s="185">
        <v>56786.255571465001</v>
      </c>
      <c r="K11" s="189">
        <v>1</v>
      </c>
      <c r="L11" s="188">
        <v>45231</v>
      </c>
      <c r="M11" s="150">
        <v>1</v>
      </c>
      <c r="N11" s="150">
        <v>0</v>
      </c>
      <c r="O11" s="150">
        <f t="shared" si="0"/>
        <v>1</v>
      </c>
      <c r="P11" s="187"/>
      <c r="Q11" s="186">
        <f t="shared" si="1"/>
        <v>0.16666666666666666</v>
      </c>
      <c r="R11" s="152">
        <v>3</v>
      </c>
      <c r="S11" s="150">
        <v>0.4</v>
      </c>
      <c r="T11" s="150">
        <v>0.6</v>
      </c>
      <c r="U11" s="150">
        <f t="shared" si="2"/>
        <v>1</v>
      </c>
      <c r="V11" s="261">
        <v>0</v>
      </c>
      <c r="W11" s="261">
        <f t="shared" si="3"/>
        <v>3785.7503714310001</v>
      </c>
      <c r="X11" s="193">
        <f t="shared" si="4"/>
        <v>5678.6255571464999</v>
      </c>
      <c r="Y11" s="185">
        <f t="shared" si="5"/>
        <v>9464.3759285774995</v>
      </c>
      <c r="Z11">
        <v>874</v>
      </c>
      <c r="AA11" s="184">
        <f t="shared" si="6"/>
        <v>34071.753342878998</v>
      </c>
      <c r="AB11" s="184">
        <f t="shared" si="17"/>
        <v>22714.502228586003</v>
      </c>
      <c r="AC11" s="184">
        <f t="shared" si="18"/>
        <v>0</v>
      </c>
      <c r="AD11" s="184">
        <f>+AA11*(1+'SCHG2-19'!$M$12)</f>
        <v>35775.341010022952</v>
      </c>
      <c r="AE11" s="184">
        <f>+AB11*(1+'SCHG2-19'!$M$12)</f>
        <v>23850.227340015303</v>
      </c>
      <c r="AF11" s="184">
        <f>+AC11*(1+'SCHG2-19'!$M$12)</f>
        <v>0</v>
      </c>
      <c r="AH11" s="260"/>
      <c r="AJ11" s="261">
        <f>($J11*(1+'SCHG2-19'!$M$12))*$N11</f>
        <v>0</v>
      </c>
      <c r="AK11" s="261">
        <f>($J11*(1+'SCHG2-19'!$M$12))*$M11*S11</f>
        <v>23850.227340015303</v>
      </c>
      <c r="AL11" s="261">
        <f>($J11*(1+'SCHG2-19'!$M$12))*$M11*T11</f>
        <v>35775.341010022952</v>
      </c>
      <c r="AM11" s="185">
        <f t="shared" si="19"/>
        <v>59625.568350038258</v>
      </c>
      <c r="AN11" s="261">
        <f t="shared" si="20"/>
        <v>0</v>
      </c>
      <c r="AO11" s="261">
        <f t="shared" si="21"/>
        <v>302.86002971447999</v>
      </c>
      <c r="AP11" s="261">
        <f t="shared" si="22"/>
        <v>454.29004457171999</v>
      </c>
      <c r="AQ11" s="185">
        <f t="shared" si="23"/>
        <v>757.15007428619992</v>
      </c>
      <c r="AR11" s="261">
        <f t="shared" si="24"/>
        <v>0</v>
      </c>
      <c r="AS11" s="261">
        <f t="shared" si="25"/>
        <v>1908.0181872012242</v>
      </c>
      <c r="AT11" s="261">
        <f t="shared" si="26"/>
        <v>2862.0272808018362</v>
      </c>
      <c r="AU11" s="185">
        <f t="shared" si="27"/>
        <v>4770.0454680030607</v>
      </c>
      <c r="AV11" s="261">
        <f>(+V11/$Y$98)*('SCHG2-19'!$I$448*'SCHG2-19'!$K$15)</f>
        <v>0</v>
      </c>
      <c r="AW11" s="261">
        <f>(+W11/$Y$98)*('SCHG2-19'!$I$448*'SCHG2-19'!$K$15)</f>
        <v>392.94135585756538</v>
      </c>
      <c r="AX11" s="261">
        <f>(+X11/$Y$98)*('SCHG2-19'!$I$448*'SCHG2-19'!$K$15)</f>
        <v>589.41203378634805</v>
      </c>
      <c r="AY11" s="185">
        <f t="shared" si="12"/>
        <v>982.35338964391349</v>
      </c>
      <c r="AZ11" s="261">
        <f>((+AJ11/($AM$98+$Y$178)*((('SCHG2-19'!$I$448*'SCHG2-19'!$K$15)+'SCHG2-19'!$I$448)*'SCHG2-19'!$M$15)))</f>
        <v>0</v>
      </c>
      <c r="BA11" s="261">
        <f>((+AK11/($AM$98+$Y$178)*((('SCHG2-19'!$I$448*'SCHG2-19'!$K$15)+'SCHG2-19'!$I$448)*'SCHG2-19'!$M$15)))</f>
        <v>434.45970293476688</v>
      </c>
      <c r="BB11" s="261">
        <f>((+AL11/($AM$98+$Y$178)*((('SCHG2-19'!$I$448*'SCHG2-19'!$K$15)+'SCHG2-19'!$I$448)*'SCHG2-19'!$M$15)))</f>
        <v>651.68955440215041</v>
      </c>
      <c r="BC11" s="185">
        <f t="shared" si="28"/>
        <v>1086.1492573369173</v>
      </c>
      <c r="BD11" s="261">
        <f>(+V11/$Y$98)*('SCHG2-19'!$K$448-'SCHG2-19'!$I$448-'IRR 202 Detail '!$AY$98)</f>
        <v>0</v>
      </c>
      <c r="BE11" s="261">
        <f>(+W11/$Y$98)*('SCHG2-19'!$K$448-'SCHG2-19'!$I$448-'IRR 202 Detail '!$AY$98)</f>
        <v>933.49097013663106</v>
      </c>
      <c r="BF11" s="261">
        <f>(+X11/$Y$98)*('SCHG2-19'!$K$448-'SCHG2-19'!$I$448-'IRR 202 Detail '!$AY$98)</f>
        <v>1400.2364552049464</v>
      </c>
      <c r="BG11" s="185">
        <f t="shared" si="29"/>
        <v>2333.7274253415776</v>
      </c>
      <c r="BH11" s="261">
        <f>(+AJ11/($AM$98+$Y$178))*('SCHG2-19'!$M$448-'SCHG2-19'!$K$448-'IRR 202 Detail '!$BC$98-'IRR 202 Detail '!$AQ$178)</f>
        <v>0</v>
      </c>
      <c r="BI11" s="261">
        <f>(+AK11/($AM$98+$Y$178))*('SCHG2-19'!$M$448-'SCHG2-19'!$K$448-'IRR 202 Detail '!$BC$98-'IRR 202 Detail '!$AQ$178)</f>
        <v>1676.6594767166093</v>
      </c>
      <c r="BJ11" s="261">
        <f>(+AL11/($AM$98+$Y$178))*('SCHG2-19'!$M$448-'SCHG2-19'!$K$448-'IRR 202 Detail '!$BC$98-'IRR 202 Detail '!$AQ$178)</f>
        <v>2514.9892150749142</v>
      </c>
      <c r="BK11" s="185">
        <f t="shared" si="30"/>
        <v>4191.6486917915236</v>
      </c>
      <c r="BL11" s="192"/>
      <c r="BM11" s="183"/>
      <c r="BN11" s="302"/>
      <c r="BO11" s="192"/>
      <c r="BP11" s="192"/>
      <c r="BQ11" s="192"/>
      <c r="BR11" s="192"/>
      <c r="BS11" s="192">
        <f t="shared" si="16"/>
        <v>3.637978807091713E-12</v>
      </c>
      <c r="BT11" s="192">
        <f t="shared" si="31"/>
        <v>0</v>
      </c>
      <c r="BU11" s="192">
        <f t="shared" si="32"/>
        <v>0</v>
      </c>
      <c r="BV11" s="192"/>
      <c r="BW11" s="192"/>
      <c r="BX11" s="192"/>
      <c r="BY11" s="192"/>
    </row>
    <row r="12" spans="1:77" x14ac:dyDescent="0.25">
      <c r="A12" s="88"/>
      <c r="B12" s="88"/>
      <c r="C12" t="s">
        <v>309</v>
      </c>
      <c r="D12" s="83" t="s">
        <v>316</v>
      </c>
      <c r="E12" s="162" t="s">
        <v>286</v>
      </c>
      <c r="F12" s="182" t="s">
        <v>307</v>
      </c>
      <c r="G12" s="182"/>
      <c r="H12" s="191" t="s">
        <v>191</v>
      </c>
      <c r="I12" s="190" t="s">
        <v>270</v>
      </c>
      <c r="J12" s="185">
        <v>113572.51114293</v>
      </c>
      <c r="K12" s="189">
        <v>2</v>
      </c>
      <c r="L12" s="188">
        <v>45231</v>
      </c>
      <c r="M12" s="150">
        <v>1</v>
      </c>
      <c r="N12" s="150">
        <v>0</v>
      </c>
      <c r="O12" s="150">
        <f t="shared" si="0"/>
        <v>1</v>
      </c>
      <c r="P12" s="187"/>
      <c r="Q12" s="186">
        <f t="shared" si="1"/>
        <v>0.16666666666666666</v>
      </c>
      <c r="R12" s="152">
        <v>3</v>
      </c>
      <c r="S12" s="150">
        <v>0.4</v>
      </c>
      <c r="T12" s="150">
        <v>0.6</v>
      </c>
      <c r="U12" s="150">
        <f t="shared" si="2"/>
        <v>1</v>
      </c>
      <c r="V12" s="261">
        <v>0</v>
      </c>
      <c r="W12" s="261">
        <f t="shared" si="3"/>
        <v>7571.5007428620002</v>
      </c>
      <c r="X12" s="193">
        <f t="shared" si="4"/>
        <v>11357.251114293</v>
      </c>
      <c r="Y12" s="185">
        <f t="shared" si="5"/>
        <v>18928.751857154999</v>
      </c>
      <c r="Z12">
        <v>874</v>
      </c>
      <c r="AA12" s="184">
        <f t="shared" si="6"/>
        <v>68143.506685757995</v>
      </c>
      <c r="AB12" s="184">
        <f t="shared" si="17"/>
        <v>45429.004457172006</v>
      </c>
      <c r="AC12" s="184">
        <f t="shared" si="18"/>
        <v>0</v>
      </c>
      <c r="AD12" s="184">
        <f>+AA12*(1+'SCHG2-19'!$M$12)</f>
        <v>71550.682020045904</v>
      </c>
      <c r="AE12" s="184">
        <f>+AB12*(1+'SCHG2-19'!$M$12)</f>
        <v>47700.454680030605</v>
      </c>
      <c r="AF12" s="184">
        <f>+AC12*(1+'SCHG2-19'!$M$12)</f>
        <v>0</v>
      </c>
      <c r="AH12" s="260"/>
      <c r="AJ12" s="261">
        <f>($J12*(1+'SCHG2-19'!$M$12))*$N12</f>
        <v>0</v>
      </c>
      <c r="AK12" s="261">
        <f>($J12*(1+'SCHG2-19'!$M$12))*$M12*S12</f>
        <v>47700.454680030605</v>
      </c>
      <c r="AL12" s="261">
        <f>($J12*(1+'SCHG2-19'!$M$12))*$M12*T12</f>
        <v>71550.682020045904</v>
      </c>
      <c r="AM12" s="185">
        <f t="shared" si="19"/>
        <v>119251.13670007652</v>
      </c>
      <c r="AN12" s="261">
        <f t="shared" si="20"/>
        <v>0</v>
      </c>
      <c r="AO12" s="261">
        <f t="shared" si="21"/>
        <v>605.72005942895998</v>
      </c>
      <c r="AP12" s="261">
        <f t="shared" si="22"/>
        <v>908.58008914343998</v>
      </c>
      <c r="AQ12" s="185">
        <f t="shared" si="23"/>
        <v>1514.3001485723998</v>
      </c>
      <c r="AR12" s="261">
        <f t="shared" si="24"/>
        <v>0</v>
      </c>
      <c r="AS12" s="261">
        <f t="shared" si="25"/>
        <v>3816.0363744024485</v>
      </c>
      <c r="AT12" s="261">
        <f t="shared" si="26"/>
        <v>5724.0545616036725</v>
      </c>
      <c r="AU12" s="185">
        <f t="shared" si="27"/>
        <v>9540.0909360061214</v>
      </c>
      <c r="AV12" s="261">
        <f>(+V12/$Y$98)*('SCHG2-19'!$I$448*'SCHG2-19'!$K$15)</f>
        <v>0</v>
      </c>
      <c r="AW12" s="261">
        <f>(+W12/$Y$98)*('SCHG2-19'!$I$448*'SCHG2-19'!$K$15)</f>
        <v>785.88271171513077</v>
      </c>
      <c r="AX12" s="261">
        <f>(+X12/$Y$98)*('SCHG2-19'!$I$448*'SCHG2-19'!$K$15)</f>
        <v>1178.8240675726961</v>
      </c>
      <c r="AY12" s="185">
        <f t="shared" si="12"/>
        <v>1964.706779287827</v>
      </c>
      <c r="AZ12" s="261">
        <f>((+AJ12/($AM$98+$Y$178)*((('SCHG2-19'!$I$448*'SCHG2-19'!$K$15)+'SCHG2-19'!$I$448)*'SCHG2-19'!$M$15)))</f>
        <v>0</v>
      </c>
      <c r="BA12" s="261">
        <f>((+AK12/($AM$98+$Y$178)*((('SCHG2-19'!$I$448*'SCHG2-19'!$K$15)+'SCHG2-19'!$I$448)*'SCHG2-19'!$M$15)))</f>
        <v>868.91940586953376</v>
      </c>
      <c r="BB12" s="261">
        <f>((+AL12/($AM$98+$Y$178)*((('SCHG2-19'!$I$448*'SCHG2-19'!$K$15)+'SCHG2-19'!$I$448)*'SCHG2-19'!$M$15)))</f>
        <v>1303.3791088043008</v>
      </c>
      <c r="BC12" s="185">
        <f t="shared" si="28"/>
        <v>2172.2985146738347</v>
      </c>
      <c r="BD12" s="261">
        <f>(+V12/$Y$98)*('SCHG2-19'!$K$448-'SCHG2-19'!$I$448-'IRR 202 Detail '!$AY$98)</f>
        <v>0</v>
      </c>
      <c r="BE12" s="261">
        <f>(+W12/$Y$98)*('SCHG2-19'!$K$448-'SCHG2-19'!$I$448-'IRR 202 Detail '!$AY$98)</f>
        <v>1866.9819402732621</v>
      </c>
      <c r="BF12" s="261">
        <f>(+X12/$Y$98)*('SCHG2-19'!$K$448-'SCHG2-19'!$I$448-'IRR 202 Detail '!$AY$98)</f>
        <v>2800.4729104098928</v>
      </c>
      <c r="BG12" s="185">
        <f t="shared" si="29"/>
        <v>4667.4548506831552</v>
      </c>
      <c r="BH12" s="261">
        <f>(+AJ12/($AM$98+$Y$178))*('SCHG2-19'!$M$448-'SCHG2-19'!$K$448-'IRR 202 Detail '!$BC$98-'IRR 202 Detail '!$AQ$178)</f>
        <v>0</v>
      </c>
      <c r="BI12" s="261">
        <f>(+AK12/($AM$98+$Y$178))*('SCHG2-19'!$M$448-'SCHG2-19'!$K$448-'IRR 202 Detail '!$BC$98-'IRR 202 Detail '!$AQ$178)</f>
        <v>3353.3189534332187</v>
      </c>
      <c r="BJ12" s="261">
        <f>(+AL12/($AM$98+$Y$178))*('SCHG2-19'!$M$448-'SCHG2-19'!$K$448-'IRR 202 Detail '!$BC$98-'IRR 202 Detail '!$AQ$178)</f>
        <v>5029.9784301498285</v>
      </c>
      <c r="BK12" s="185">
        <f t="shared" si="30"/>
        <v>8383.2973835830471</v>
      </c>
      <c r="BL12" s="192"/>
      <c r="BM12" s="183"/>
      <c r="BN12" s="90"/>
      <c r="BO12" s="192"/>
      <c r="BP12" s="192"/>
      <c r="BQ12" s="192"/>
      <c r="BR12" s="192"/>
      <c r="BS12" s="192">
        <f t="shared" si="16"/>
        <v>7.2759576141834259E-12</v>
      </c>
      <c r="BT12" s="192">
        <f t="shared" si="31"/>
        <v>0</v>
      </c>
      <c r="BU12" s="192">
        <f t="shared" si="32"/>
        <v>0</v>
      </c>
      <c r="BV12" s="192"/>
      <c r="BW12" s="192"/>
      <c r="BX12" s="192"/>
      <c r="BY12" s="192"/>
    </row>
    <row r="13" spans="1:77" x14ac:dyDescent="0.25">
      <c r="A13" s="88"/>
      <c r="B13" s="88"/>
      <c r="D13" s="83"/>
      <c r="E13" s="162" t="s">
        <v>286</v>
      </c>
      <c r="F13" s="182" t="s">
        <v>307</v>
      </c>
      <c r="G13" s="182"/>
      <c r="H13" s="191" t="s">
        <v>192</v>
      </c>
      <c r="I13" s="190" t="s">
        <v>270</v>
      </c>
      <c r="J13" s="185">
        <v>77867.235382545012</v>
      </c>
      <c r="K13" s="189">
        <v>1</v>
      </c>
      <c r="L13" s="188">
        <v>44927</v>
      </c>
      <c r="M13" s="150">
        <v>1</v>
      </c>
      <c r="N13" s="150">
        <v>0</v>
      </c>
      <c r="O13" s="150">
        <f t="shared" si="0"/>
        <v>1</v>
      </c>
      <c r="P13" s="187"/>
      <c r="Q13" s="186">
        <f t="shared" si="1"/>
        <v>1</v>
      </c>
      <c r="R13" s="152">
        <v>5</v>
      </c>
      <c r="S13" s="150">
        <v>0.4</v>
      </c>
      <c r="T13" s="150">
        <v>0.6</v>
      </c>
      <c r="U13" s="150">
        <f t="shared" si="2"/>
        <v>1</v>
      </c>
      <c r="V13" s="261">
        <v>0</v>
      </c>
      <c r="W13" s="261">
        <f t="shared" si="3"/>
        <v>31146.894153018005</v>
      </c>
      <c r="X13" s="193">
        <f t="shared" si="4"/>
        <v>46720.341229527003</v>
      </c>
      <c r="Y13" s="185">
        <f t="shared" si="5"/>
        <v>77867.235382545012</v>
      </c>
      <c r="Z13">
        <v>874</v>
      </c>
      <c r="AA13" s="184">
        <f t="shared" si="6"/>
        <v>46720.341229527003</v>
      </c>
      <c r="AB13" s="184">
        <f t="shared" si="17"/>
        <v>31146.894153018005</v>
      </c>
      <c r="AC13" s="184">
        <f t="shared" si="18"/>
        <v>0</v>
      </c>
      <c r="AD13" s="184">
        <f>+AA13*(1+'SCHG2-19'!$M$12)</f>
        <v>49056.358291003358</v>
      </c>
      <c r="AE13" s="184">
        <f>+AB13*(1+'SCHG2-19'!$M$12)</f>
        <v>32704.238860668906</v>
      </c>
      <c r="AF13" s="184">
        <f>+AC13*(1+'SCHG2-19'!$M$12)</f>
        <v>0</v>
      </c>
      <c r="AH13" s="260"/>
      <c r="AJ13" s="261">
        <f>($J13*(1+'SCHG2-19'!$M$12))*$N13</f>
        <v>0</v>
      </c>
      <c r="AK13" s="261">
        <f>($J13*(1+'SCHG2-19'!$M$12))*$M13*S13</f>
        <v>32704.238860668906</v>
      </c>
      <c r="AL13" s="261">
        <f>($J13*(1+'SCHG2-19'!$M$12))*$M13*T13</f>
        <v>49056.358291003358</v>
      </c>
      <c r="AM13" s="185">
        <f t="shared" si="19"/>
        <v>81760.597151672264</v>
      </c>
      <c r="AN13" s="261">
        <f t="shared" si="20"/>
        <v>0</v>
      </c>
      <c r="AO13" s="261">
        <f t="shared" si="21"/>
        <v>2491.7515322414406</v>
      </c>
      <c r="AP13" s="261">
        <f t="shared" si="22"/>
        <v>3737.6272983621602</v>
      </c>
      <c r="AQ13" s="185">
        <f t="shared" si="23"/>
        <v>6229.3788306036004</v>
      </c>
      <c r="AR13" s="261">
        <f t="shared" si="24"/>
        <v>0</v>
      </c>
      <c r="AS13" s="261">
        <f t="shared" si="25"/>
        <v>2616.3391088535127</v>
      </c>
      <c r="AT13" s="261">
        <f t="shared" si="26"/>
        <v>3924.5086632802686</v>
      </c>
      <c r="AU13" s="185">
        <f t="shared" si="27"/>
        <v>6540.8477721337813</v>
      </c>
      <c r="AV13" s="261">
        <f>(+V13/$Y$98)*('SCHG2-19'!$I$448*'SCHG2-19'!$K$15)</f>
        <v>0</v>
      </c>
      <c r="AW13" s="261">
        <f>(+W13/$Y$98)*('SCHG2-19'!$I$448*'SCHG2-19'!$K$15)</f>
        <v>3232.8869097126208</v>
      </c>
      <c r="AX13" s="261">
        <f>(+X13/$Y$98)*('SCHG2-19'!$I$448*'SCHG2-19'!$K$15)</f>
        <v>4849.3303645689302</v>
      </c>
      <c r="AY13" s="185">
        <f t="shared" si="12"/>
        <v>8082.217274281551</v>
      </c>
      <c r="AZ13" s="261">
        <f>((+AJ13/($AM$98+$Y$178)*((('SCHG2-19'!$I$448*'SCHG2-19'!$K$15)+'SCHG2-19'!$I$448)*'SCHG2-19'!$M$15)))</f>
        <v>0</v>
      </c>
      <c r="BA13" s="261">
        <f>((+AK13/($AM$98+$Y$178)*((('SCHG2-19'!$I$448*'SCHG2-19'!$K$15)+'SCHG2-19'!$I$448)*'SCHG2-19'!$M$15)))</f>
        <v>595.74584751546251</v>
      </c>
      <c r="BB13" s="261">
        <f>((+AL13/($AM$98+$Y$178)*((('SCHG2-19'!$I$448*'SCHG2-19'!$K$15)+'SCHG2-19'!$I$448)*'SCHG2-19'!$M$15)))</f>
        <v>893.61877127319383</v>
      </c>
      <c r="BC13" s="185">
        <f t="shared" si="28"/>
        <v>1489.3646187886563</v>
      </c>
      <c r="BD13" s="261">
        <f>(+V13/$Y$98)*('SCHG2-19'!$K$448-'SCHG2-19'!$I$448-'IRR 202 Detail '!$AY$98)</f>
        <v>0</v>
      </c>
      <c r="BE13" s="261">
        <f>(+W13/$Y$98)*('SCHG2-19'!$K$448-'SCHG2-19'!$I$448-'IRR 202 Detail '!$AY$98)</f>
        <v>7680.2064549896259</v>
      </c>
      <c r="BF13" s="261">
        <f>(+X13/$Y$98)*('SCHG2-19'!$K$448-'SCHG2-19'!$I$448-'IRR 202 Detail '!$AY$98)</f>
        <v>11520.309682484438</v>
      </c>
      <c r="BG13" s="185">
        <f t="shared" si="29"/>
        <v>19200.516137474064</v>
      </c>
      <c r="BH13" s="261">
        <f>(+AJ13/($AM$98+$Y$178))*('SCHG2-19'!$M$448-'SCHG2-19'!$K$448-'IRR 202 Detail '!$BC$98-'IRR 202 Detail '!$AQ$178)</f>
        <v>0</v>
      </c>
      <c r="BI13" s="261">
        <f>(+AK13/($AM$98+$Y$178))*('SCHG2-19'!$M$448-'SCHG2-19'!$K$448-'IRR 202 Detail '!$BC$98-'IRR 202 Detail '!$AQ$178)</f>
        <v>2299.0922154668629</v>
      </c>
      <c r="BJ13" s="261">
        <f>(+AL13/($AM$98+$Y$178))*('SCHG2-19'!$M$448-'SCHG2-19'!$K$448-'IRR 202 Detail '!$BC$98-'IRR 202 Detail '!$AQ$178)</f>
        <v>3448.6383232002945</v>
      </c>
      <c r="BK13" s="185">
        <f t="shared" si="30"/>
        <v>5747.7305386671578</v>
      </c>
      <c r="BL13" s="192"/>
      <c r="BM13" s="183"/>
      <c r="BN13" s="90"/>
      <c r="BO13" s="192"/>
      <c r="BP13" s="192"/>
      <c r="BQ13" s="192"/>
      <c r="BR13" s="192"/>
      <c r="BS13" s="192">
        <f t="shared" si="16"/>
        <v>0</v>
      </c>
      <c r="BT13" s="192">
        <f t="shared" si="31"/>
        <v>0</v>
      </c>
      <c r="BU13" s="192">
        <f t="shared" si="32"/>
        <v>0</v>
      </c>
      <c r="BV13" s="192"/>
      <c r="BW13" s="192"/>
      <c r="BX13" s="192"/>
      <c r="BY13" s="192"/>
    </row>
    <row r="14" spans="1:77" x14ac:dyDescent="0.25">
      <c r="A14" s="88"/>
      <c r="B14" s="88"/>
      <c r="C14" t="s">
        <v>309</v>
      </c>
      <c r="D14" s="83" t="s">
        <v>315</v>
      </c>
      <c r="E14" s="162" t="s">
        <v>286</v>
      </c>
      <c r="F14" s="182" t="s">
        <v>307</v>
      </c>
      <c r="G14" s="182"/>
      <c r="H14" s="191" t="s">
        <v>193</v>
      </c>
      <c r="I14" s="190" t="s">
        <v>270</v>
      </c>
      <c r="J14" s="185">
        <v>92933.872236135008</v>
      </c>
      <c r="K14" s="189">
        <v>1</v>
      </c>
      <c r="L14" s="188">
        <v>45231</v>
      </c>
      <c r="M14" s="150">
        <v>1</v>
      </c>
      <c r="N14" s="150">
        <v>0</v>
      </c>
      <c r="O14" s="150">
        <f t="shared" si="0"/>
        <v>1</v>
      </c>
      <c r="P14" s="187"/>
      <c r="Q14" s="186">
        <f t="shared" si="1"/>
        <v>0.16666666666666666</v>
      </c>
      <c r="R14" s="152">
        <v>6</v>
      </c>
      <c r="S14" s="150">
        <v>0.29000000000000004</v>
      </c>
      <c r="T14" s="150">
        <v>0.71</v>
      </c>
      <c r="U14" s="150">
        <f t="shared" si="2"/>
        <v>1</v>
      </c>
      <c r="V14" s="262">
        <v>0</v>
      </c>
      <c r="W14" s="262">
        <f t="shared" si="3"/>
        <v>4491.8038247465256</v>
      </c>
      <c r="X14" s="260">
        <f t="shared" si="4"/>
        <v>10997.174881275974</v>
      </c>
      <c r="Y14" s="185">
        <f t="shared" si="5"/>
        <v>15488.978706022499</v>
      </c>
      <c r="Z14">
        <v>874</v>
      </c>
      <c r="AA14" s="184">
        <f t="shared" si="6"/>
        <v>65983.049287655856</v>
      </c>
      <c r="AB14" s="184">
        <f t="shared" si="17"/>
        <v>26950.822948479155</v>
      </c>
      <c r="AC14" s="184">
        <f t="shared" si="18"/>
        <v>0</v>
      </c>
      <c r="AD14" s="184">
        <f>+AA14*(1+'SCHG2-19'!$M$12)</f>
        <v>69282.201752038658</v>
      </c>
      <c r="AE14" s="184">
        <f>+AB14*(1+'SCHG2-19'!$M$12)</f>
        <v>28298.364095903115</v>
      </c>
      <c r="AF14" s="184">
        <f>+AC14*(1+'SCHG2-19'!$M$12)</f>
        <v>0</v>
      </c>
      <c r="AH14" s="260"/>
      <c r="AJ14" s="261">
        <f>($J14*(1+'SCHG2-19'!$M$12))*$N14</f>
        <v>0</v>
      </c>
      <c r="AK14" s="261">
        <f>($J14*(1+'SCHG2-19'!$M$12))*$M14*S14</f>
        <v>28298.364095903115</v>
      </c>
      <c r="AL14" s="261">
        <f>($J14*(1+'SCHG2-19'!$M$12))*$M14*T14</f>
        <v>69282.201752038643</v>
      </c>
      <c r="AM14" s="185">
        <f t="shared" si="19"/>
        <v>97580.565847941762</v>
      </c>
      <c r="AN14" s="261">
        <f t="shared" si="20"/>
        <v>0</v>
      </c>
      <c r="AO14" s="261">
        <f t="shared" si="21"/>
        <v>359.34430597972204</v>
      </c>
      <c r="AP14" s="261">
        <f t="shared" si="22"/>
        <v>879.77399050207794</v>
      </c>
      <c r="AQ14" s="185">
        <f t="shared" si="23"/>
        <v>1239.1182964817999</v>
      </c>
      <c r="AR14" s="261">
        <f t="shared" si="24"/>
        <v>0</v>
      </c>
      <c r="AS14" s="261">
        <f t="shared" si="25"/>
        <v>2263.8691276722493</v>
      </c>
      <c r="AT14" s="261">
        <f t="shared" si="26"/>
        <v>5542.5761401630916</v>
      </c>
      <c r="AU14" s="185">
        <f t="shared" si="27"/>
        <v>7806.4452678353409</v>
      </c>
      <c r="AV14" s="261">
        <f>(+V14/$Y$98)*('SCHG2-19'!$I$448*'SCHG2-19'!$K$15)</f>
        <v>0</v>
      </c>
      <c r="AW14" s="261">
        <f>(+W14/$Y$98)*('SCHG2-19'!$I$448*'SCHG2-19'!$K$15)</f>
        <v>466.22606140693006</v>
      </c>
      <c r="AX14" s="261">
        <f>(+X14/$Y$98)*('SCHG2-19'!$I$448*'SCHG2-19'!$K$15)</f>
        <v>1141.45001241007</v>
      </c>
      <c r="AY14" s="185">
        <f t="shared" si="12"/>
        <v>1607.6760738170001</v>
      </c>
      <c r="AZ14" s="261">
        <f>((+AJ14/($AM$98+$Y$178)*((('SCHG2-19'!$I$448*'SCHG2-19'!$K$15)+'SCHG2-19'!$I$448)*'SCHG2-19'!$M$15)))</f>
        <v>0</v>
      </c>
      <c r="BA14" s="261">
        <f>((+AK14/($AM$98+$Y$178)*((('SCHG2-19'!$I$448*'SCHG2-19'!$K$15)+'SCHG2-19'!$I$448)*'SCHG2-19'!$M$15)))</f>
        <v>515.48770095027749</v>
      </c>
      <c r="BB14" s="261">
        <f>((+AL14/($AM$98+$Y$178)*((('SCHG2-19'!$I$448*'SCHG2-19'!$K$15)+'SCHG2-19'!$I$448)*'SCHG2-19'!$M$15)))</f>
        <v>1262.0560954299897</v>
      </c>
      <c r="BC14" s="185">
        <f t="shared" si="28"/>
        <v>1777.5437963802672</v>
      </c>
      <c r="BD14" s="261">
        <f>(+V14/$Y$98)*('SCHG2-19'!$K$448-'SCHG2-19'!$I$448-'IRR 202 Detail '!$AY$98)</f>
        <v>0</v>
      </c>
      <c r="BE14" s="261">
        <f>(+W14/$Y$98)*('SCHG2-19'!$K$448-'SCHG2-19'!$I$448-'IRR 202 Detail '!$AY$98)</f>
        <v>1107.5897506789659</v>
      </c>
      <c r="BF14" s="261">
        <f>(+X14/$Y$98)*('SCHG2-19'!$K$448-'SCHG2-19'!$I$448-'IRR 202 Detail '!$AY$98)</f>
        <v>2711.6852516622953</v>
      </c>
      <c r="BG14" s="185">
        <f t="shared" si="29"/>
        <v>3819.2750023412609</v>
      </c>
      <c r="BH14" s="261">
        <f>(+AJ14/($AM$98+$Y$178))*('SCHG2-19'!$M$448-'SCHG2-19'!$K$448-'IRR 202 Detail '!$BC$98-'IRR 202 Detail '!$AQ$178)</f>
        <v>0</v>
      </c>
      <c r="BI14" s="261">
        <f>(+AK14/($AM$98+$Y$178))*('SCHG2-19'!$M$448-'SCHG2-19'!$K$448-'IRR 202 Detail '!$BC$98-'IRR 202 Detail '!$AQ$178)</f>
        <v>1989.361344886139</v>
      </c>
      <c r="BJ14" s="261">
        <f>(+AL14/($AM$98+$Y$178))*('SCHG2-19'!$M$448-'SCHG2-19'!$K$448-'IRR 202 Detail '!$BC$98-'IRR 202 Detail '!$AQ$178)</f>
        <v>4870.5053616177884</v>
      </c>
      <c r="BK14" s="185">
        <f t="shared" si="30"/>
        <v>6859.8667065039272</v>
      </c>
      <c r="BL14" s="192"/>
      <c r="BM14" s="183"/>
      <c r="BN14" s="90"/>
      <c r="BO14" s="192"/>
      <c r="BP14" s="192"/>
      <c r="BQ14" s="192"/>
      <c r="BR14" s="192"/>
      <c r="BS14" s="192">
        <f t="shared" si="16"/>
        <v>-1.0913936421275139E-11</v>
      </c>
      <c r="BT14" s="192">
        <f t="shared" si="31"/>
        <v>0</v>
      </c>
      <c r="BU14" s="192">
        <f t="shared" si="32"/>
        <v>0</v>
      </c>
      <c r="BV14" s="192"/>
      <c r="BW14" s="192"/>
      <c r="BX14" s="192"/>
      <c r="BY14" s="192"/>
    </row>
    <row r="15" spans="1:77" x14ac:dyDescent="0.25">
      <c r="A15" s="88"/>
      <c r="B15" s="88"/>
      <c r="C15" t="s">
        <v>309</v>
      </c>
      <c r="D15" s="83" t="s">
        <v>315</v>
      </c>
      <c r="E15" s="162" t="s">
        <v>286</v>
      </c>
      <c r="F15" s="182" t="s">
        <v>307</v>
      </c>
      <c r="G15" s="182"/>
      <c r="H15" s="191" t="s">
        <v>194</v>
      </c>
      <c r="I15" s="190" t="s">
        <v>270</v>
      </c>
      <c r="J15" s="185">
        <v>113572.51114293</v>
      </c>
      <c r="K15" s="189">
        <v>2</v>
      </c>
      <c r="L15" s="188">
        <v>45232</v>
      </c>
      <c r="M15" s="150">
        <v>1</v>
      </c>
      <c r="N15" s="150">
        <v>0</v>
      </c>
      <c r="O15" s="150">
        <f t="shared" si="0"/>
        <v>1</v>
      </c>
      <c r="P15" s="187"/>
      <c r="Q15" s="186">
        <f t="shared" si="1"/>
        <v>0.16666666666666666</v>
      </c>
      <c r="R15" s="152">
        <v>3</v>
      </c>
      <c r="S15" s="150">
        <v>0.29000000000000004</v>
      </c>
      <c r="T15" s="150">
        <v>0.71</v>
      </c>
      <c r="U15" s="150">
        <f t="shared" si="2"/>
        <v>1</v>
      </c>
      <c r="V15" s="262">
        <v>0</v>
      </c>
      <c r="W15" s="262">
        <f t="shared" si="3"/>
        <v>5489.3380385749506</v>
      </c>
      <c r="X15" s="260">
        <f t="shared" si="4"/>
        <v>13439.413818580049</v>
      </c>
      <c r="Y15" s="185">
        <f t="shared" si="5"/>
        <v>18928.751857154999</v>
      </c>
      <c r="Z15">
        <v>874</v>
      </c>
      <c r="AA15" s="184">
        <f t="shared" si="6"/>
        <v>80636.4829114803</v>
      </c>
      <c r="AB15" s="184">
        <f t="shared" si="17"/>
        <v>32936.028231449702</v>
      </c>
      <c r="AC15" s="184">
        <f t="shared" si="18"/>
        <v>0</v>
      </c>
      <c r="AD15" s="184">
        <f>+AA15*(1+'SCHG2-19'!$M$12)</f>
        <v>84668.30705705432</v>
      </c>
      <c r="AE15" s="184">
        <f>+AB15*(1+'SCHG2-19'!$M$12)</f>
        <v>34582.829643022189</v>
      </c>
      <c r="AF15" s="184">
        <f>+AC15*(1+'SCHG2-19'!$M$12)</f>
        <v>0</v>
      </c>
      <c r="AH15" s="260"/>
      <c r="AJ15" s="261">
        <f>($J15*(1+'SCHG2-19'!$M$12))*$N15</f>
        <v>0</v>
      </c>
      <c r="AK15" s="261">
        <f>($J15*(1+'SCHG2-19'!$M$12))*$M15*S15</f>
        <v>34582.829643022189</v>
      </c>
      <c r="AL15" s="261">
        <f>($J15*(1+'SCHG2-19'!$M$12))*$M15*T15</f>
        <v>84668.307057054306</v>
      </c>
      <c r="AM15" s="185">
        <f t="shared" si="19"/>
        <v>119251.13670007649</v>
      </c>
      <c r="AN15" s="261">
        <f t="shared" si="20"/>
        <v>0</v>
      </c>
      <c r="AO15" s="261">
        <f t="shared" si="21"/>
        <v>439.14704308599607</v>
      </c>
      <c r="AP15" s="261">
        <f t="shared" si="22"/>
        <v>1075.153105486404</v>
      </c>
      <c r="AQ15" s="185">
        <f t="shared" si="23"/>
        <v>1514.3001485724001</v>
      </c>
      <c r="AR15" s="261">
        <f t="shared" si="24"/>
        <v>0</v>
      </c>
      <c r="AS15" s="261">
        <f t="shared" si="25"/>
        <v>2766.6263714417751</v>
      </c>
      <c r="AT15" s="261">
        <f t="shared" si="26"/>
        <v>6773.464564564345</v>
      </c>
      <c r="AU15" s="185">
        <f t="shared" si="27"/>
        <v>9540.0909360061196</v>
      </c>
      <c r="AV15" s="261">
        <f>(+V15/$Y$98)*('SCHG2-19'!$I$448*'SCHG2-19'!$K$15)</f>
        <v>0</v>
      </c>
      <c r="AW15" s="261">
        <f>(+W15/$Y$98)*('SCHG2-19'!$I$448*'SCHG2-19'!$K$15)</f>
        <v>569.7649659934699</v>
      </c>
      <c r="AX15" s="261">
        <f>(+X15/$Y$98)*('SCHG2-19'!$I$448*'SCHG2-19'!$K$15)</f>
        <v>1394.9418132943572</v>
      </c>
      <c r="AY15" s="185">
        <f t="shared" si="12"/>
        <v>1964.706779287827</v>
      </c>
      <c r="AZ15" s="261">
        <f>((+AJ15/($AM$98+$Y$178)*((('SCHG2-19'!$I$448*'SCHG2-19'!$K$15)+'SCHG2-19'!$I$448)*'SCHG2-19'!$M$15)))</f>
        <v>0</v>
      </c>
      <c r="BA15" s="261">
        <f>((+AK15/($AM$98+$Y$178)*((('SCHG2-19'!$I$448*'SCHG2-19'!$K$15)+'SCHG2-19'!$I$448)*'SCHG2-19'!$M$15)))</f>
        <v>629.96656925541197</v>
      </c>
      <c r="BB15" s="261">
        <f>((+AL15/($AM$98+$Y$178)*((('SCHG2-19'!$I$448*'SCHG2-19'!$K$15)+'SCHG2-19'!$I$448)*'SCHG2-19'!$M$15)))</f>
        <v>1542.3319454184223</v>
      </c>
      <c r="BC15" s="185">
        <f t="shared" si="28"/>
        <v>2172.2985146738342</v>
      </c>
      <c r="BD15" s="261">
        <f>(+V15/$Y$98)*('SCHG2-19'!$K$448-'SCHG2-19'!$I$448-'IRR 202 Detail '!$AY$98)</f>
        <v>0</v>
      </c>
      <c r="BE15" s="261">
        <f>(+W15/$Y$98)*('SCHG2-19'!$K$448-'SCHG2-19'!$I$448-'IRR 202 Detail '!$AY$98)</f>
        <v>1353.5619066981153</v>
      </c>
      <c r="BF15" s="261">
        <f>(+X15/$Y$98)*('SCHG2-19'!$K$448-'SCHG2-19'!$I$448-'IRR 202 Detail '!$AY$98)</f>
        <v>3313.8929439850399</v>
      </c>
      <c r="BG15" s="185">
        <f t="shared" si="29"/>
        <v>4667.4548506831552</v>
      </c>
      <c r="BH15" s="261">
        <f>(+AJ15/($AM$98+$Y$178))*('SCHG2-19'!$M$448-'SCHG2-19'!$K$448-'IRR 202 Detail '!$BC$98-'IRR 202 Detail '!$AQ$178)</f>
        <v>0</v>
      </c>
      <c r="BI15" s="261">
        <f>(+AK15/($AM$98+$Y$178))*('SCHG2-19'!$M$448-'SCHG2-19'!$K$448-'IRR 202 Detail '!$BC$98-'IRR 202 Detail '!$AQ$178)</f>
        <v>2431.1562412390836</v>
      </c>
      <c r="BJ15" s="261">
        <f>(+AL15/($AM$98+$Y$178))*('SCHG2-19'!$M$448-'SCHG2-19'!$K$448-'IRR 202 Detail '!$BC$98-'IRR 202 Detail '!$AQ$178)</f>
        <v>5952.1411423439622</v>
      </c>
      <c r="BK15" s="185">
        <f t="shared" si="30"/>
        <v>8383.2973835830453</v>
      </c>
      <c r="BL15" s="192"/>
      <c r="BM15" s="183"/>
      <c r="BN15" s="90"/>
      <c r="BO15" s="192"/>
      <c r="BP15" s="192"/>
      <c r="BQ15" s="192"/>
      <c r="BR15" s="192"/>
      <c r="BS15" s="192">
        <f t="shared" si="16"/>
        <v>-2.1827872842550278E-11</v>
      </c>
      <c r="BT15" s="192">
        <f t="shared" si="31"/>
        <v>0</v>
      </c>
      <c r="BU15" s="192">
        <f t="shared" si="32"/>
        <v>0</v>
      </c>
      <c r="BV15" s="192"/>
      <c r="BW15" s="192"/>
      <c r="BX15" s="192"/>
      <c r="BY15" s="192"/>
    </row>
    <row r="16" spans="1:77" x14ac:dyDescent="0.25">
      <c r="A16" s="88"/>
      <c r="B16" s="88"/>
      <c r="C16" t="s">
        <v>309</v>
      </c>
      <c r="D16" s="83" t="s">
        <v>353</v>
      </c>
      <c r="E16" s="162" t="s">
        <v>286</v>
      </c>
      <c r="F16" s="182" t="s">
        <v>307</v>
      </c>
      <c r="G16" s="182"/>
      <c r="H16" s="191" t="s">
        <v>195</v>
      </c>
      <c r="I16" s="190" t="s">
        <v>270</v>
      </c>
      <c r="J16" s="185">
        <v>47412.285000044998</v>
      </c>
      <c r="K16" s="189">
        <v>1</v>
      </c>
      <c r="L16" s="188">
        <v>45231</v>
      </c>
      <c r="M16" s="150">
        <v>1</v>
      </c>
      <c r="N16" s="150">
        <v>0</v>
      </c>
      <c r="O16" s="150">
        <f t="shared" si="0"/>
        <v>1</v>
      </c>
      <c r="P16" s="187"/>
      <c r="Q16" s="186">
        <f t="shared" si="1"/>
        <v>0.16666666666666666</v>
      </c>
      <c r="R16" s="152">
        <v>2</v>
      </c>
      <c r="S16" s="150">
        <v>0.18</v>
      </c>
      <c r="T16" s="150">
        <v>0.82</v>
      </c>
      <c r="U16" s="150">
        <f t="shared" si="2"/>
        <v>1</v>
      </c>
      <c r="V16" s="261">
        <v>0</v>
      </c>
      <c r="W16" s="261">
        <f t="shared" si="3"/>
        <v>1422.3685500013498</v>
      </c>
      <c r="X16" s="193">
        <f t="shared" si="4"/>
        <v>6479.6789500061495</v>
      </c>
      <c r="Y16" s="185">
        <f t="shared" si="5"/>
        <v>7902.0475000074994</v>
      </c>
      <c r="Z16">
        <v>874</v>
      </c>
      <c r="AA16" s="184">
        <f t="shared" si="6"/>
        <v>38878.073700036897</v>
      </c>
      <c r="AB16" s="184">
        <f t="shared" si="17"/>
        <v>8534.211300008099</v>
      </c>
      <c r="AC16" s="184">
        <f t="shared" si="18"/>
        <v>0</v>
      </c>
      <c r="AD16" s="184">
        <f>+AA16*(1+'SCHG2-19'!$M$12)</f>
        <v>40821.977385038743</v>
      </c>
      <c r="AE16" s="184">
        <f>+AB16*(1+'SCHG2-19'!$M$12)</f>
        <v>8960.921865008504</v>
      </c>
      <c r="AF16" s="184">
        <f>+AC16*(1+'SCHG2-19'!$M$12)</f>
        <v>0</v>
      </c>
      <c r="AH16" s="260"/>
      <c r="AJ16" s="261">
        <f>($J16*(1+'SCHG2-19'!$M$12))*$N16</f>
        <v>0</v>
      </c>
      <c r="AK16" s="261">
        <f>($J16*(1+'SCHG2-19'!$M$12))*$M16*S16</f>
        <v>8960.9218650085058</v>
      </c>
      <c r="AL16" s="261">
        <f>($J16*(1+'SCHG2-19'!$M$12))*$M16*T16</f>
        <v>40821.977385038743</v>
      </c>
      <c r="AM16" s="185">
        <f t="shared" si="19"/>
        <v>49782.899250047252</v>
      </c>
      <c r="AN16" s="261">
        <f t="shared" si="20"/>
        <v>0</v>
      </c>
      <c r="AO16" s="261">
        <f t="shared" si="21"/>
        <v>113.78948400010799</v>
      </c>
      <c r="AP16" s="261">
        <f t="shared" si="22"/>
        <v>518.37431600049194</v>
      </c>
      <c r="AQ16" s="185">
        <f t="shared" si="23"/>
        <v>632.16380000059996</v>
      </c>
      <c r="AR16" s="261">
        <f t="shared" si="24"/>
        <v>0</v>
      </c>
      <c r="AS16" s="261">
        <f t="shared" si="25"/>
        <v>716.87374920068044</v>
      </c>
      <c r="AT16" s="261">
        <f t="shared" si="26"/>
        <v>3265.7581908030993</v>
      </c>
      <c r="AU16" s="185">
        <f t="shared" si="27"/>
        <v>3982.6319400037796</v>
      </c>
      <c r="AV16" s="261">
        <f>(+V16/$Y$98)*('SCHG2-19'!$I$448*'SCHG2-19'!$K$15)</f>
        <v>0</v>
      </c>
      <c r="AW16" s="261">
        <f>(+W16/$Y$98)*('SCHG2-19'!$I$448*'SCHG2-19'!$K$15)</f>
        <v>147.63451673529775</v>
      </c>
      <c r="AX16" s="261">
        <f>(+X16/$Y$98)*('SCHG2-19'!$I$448*'SCHG2-19'!$K$15)</f>
        <v>672.5572429052454</v>
      </c>
      <c r="AY16" s="185">
        <f t="shared" si="12"/>
        <v>820.19175964054318</v>
      </c>
      <c r="AZ16" s="261">
        <f>((+AJ16/($AM$98+$Y$178)*((('SCHG2-19'!$I$448*'SCHG2-19'!$K$15)+'SCHG2-19'!$I$448)*'SCHG2-19'!$M$15)))</f>
        <v>0</v>
      </c>
      <c r="BA16" s="261">
        <f>((+AK16/($AM$98+$Y$178)*((('SCHG2-19'!$I$448*'SCHG2-19'!$K$15)+'SCHG2-19'!$I$448)*'SCHG2-19'!$M$15)))</f>
        <v>163.23364117210781</v>
      </c>
      <c r="BB16" s="261">
        <f>((+AL16/($AM$98+$Y$178)*((('SCHG2-19'!$I$448*'SCHG2-19'!$K$15)+'SCHG2-19'!$I$448)*'SCHG2-19'!$M$15)))</f>
        <v>743.61992089515763</v>
      </c>
      <c r="BC16" s="185">
        <f t="shared" si="28"/>
        <v>906.85356206726544</v>
      </c>
      <c r="BD16" s="261">
        <f>(+V16/$Y$98)*('SCHG2-19'!$K$448-'SCHG2-19'!$I$448-'IRR 202 Detail '!$AY$98)</f>
        <v>0</v>
      </c>
      <c r="BE16" s="261">
        <f>(+W16/$Y$98)*('SCHG2-19'!$K$448-'SCHG2-19'!$I$448-'IRR 202 Detail '!$AY$98)</f>
        <v>350.72787885132044</v>
      </c>
      <c r="BF16" s="261">
        <f>(+X16/$Y$98)*('SCHG2-19'!$K$448-'SCHG2-19'!$I$448-'IRR 202 Detail '!$AY$98)</f>
        <v>1597.7603369893488</v>
      </c>
      <c r="BG16" s="185">
        <f t="shared" si="29"/>
        <v>1948.4882158406692</v>
      </c>
      <c r="BH16" s="261">
        <f>(+AJ16/($AM$98+$Y$178))*('SCHG2-19'!$M$448-'SCHG2-19'!$K$448-'IRR 202 Detail '!$BC$98-'IRR 202 Detail '!$AQ$178)</f>
        <v>0</v>
      </c>
      <c r="BI16" s="261">
        <f>(+AK16/($AM$98+$Y$178))*('SCHG2-19'!$M$448-'SCHG2-19'!$K$448-'IRR 202 Detail '!$BC$98-'IRR 202 Detail '!$AQ$178)</f>
        <v>629.94848438513657</v>
      </c>
      <c r="BJ16" s="261">
        <f>(+AL16/($AM$98+$Y$178))*('SCHG2-19'!$M$448-'SCHG2-19'!$K$448-'IRR 202 Detail '!$BC$98-'IRR 202 Detail '!$AQ$178)</f>
        <v>2869.7653177545103</v>
      </c>
      <c r="BK16" s="185">
        <f t="shared" si="30"/>
        <v>3499.7138021396468</v>
      </c>
      <c r="BL16" s="192"/>
      <c r="BM16" s="183"/>
      <c r="BN16" s="90"/>
      <c r="BO16" s="192"/>
      <c r="BP16" s="192"/>
      <c r="BQ16" s="192"/>
      <c r="BR16" s="192"/>
      <c r="BS16" s="192">
        <f t="shared" si="16"/>
        <v>5.4569682106375694E-12</v>
      </c>
      <c r="BT16" s="192">
        <f t="shared" si="31"/>
        <v>0</v>
      </c>
      <c r="BU16" s="192">
        <f t="shared" si="32"/>
        <v>0</v>
      </c>
      <c r="BV16" s="192"/>
      <c r="BW16" s="192"/>
      <c r="BX16" s="192"/>
      <c r="BY16" s="192"/>
    </row>
    <row r="17" spans="1:77" x14ac:dyDescent="0.25">
      <c r="A17" s="88"/>
      <c r="B17" s="88"/>
      <c r="C17" t="s">
        <v>309</v>
      </c>
      <c r="D17" s="83" t="s">
        <v>314</v>
      </c>
      <c r="E17" s="162" t="s">
        <v>286</v>
      </c>
      <c r="F17" s="182" t="s">
        <v>307</v>
      </c>
      <c r="G17" s="182"/>
      <c r="H17" s="191" t="s">
        <v>196</v>
      </c>
      <c r="I17" s="190" t="s">
        <v>270</v>
      </c>
      <c r="J17" s="185">
        <v>56786.255571465001</v>
      </c>
      <c r="K17" s="189">
        <v>1</v>
      </c>
      <c r="L17" s="188">
        <v>45231</v>
      </c>
      <c r="M17" s="150">
        <v>1</v>
      </c>
      <c r="N17" s="150">
        <v>0</v>
      </c>
      <c r="O17" s="150">
        <f t="shared" si="0"/>
        <v>1</v>
      </c>
      <c r="P17" s="187"/>
      <c r="Q17" s="186">
        <f t="shared" si="1"/>
        <v>0.16666666666666666</v>
      </c>
      <c r="R17" s="152">
        <v>3</v>
      </c>
      <c r="S17" s="150">
        <v>0.18</v>
      </c>
      <c r="T17" s="150">
        <v>0.82</v>
      </c>
      <c r="U17" s="150">
        <f t="shared" si="2"/>
        <v>1</v>
      </c>
      <c r="V17" s="261">
        <v>0</v>
      </c>
      <c r="W17" s="261">
        <f t="shared" si="3"/>
        <v>1703.5876671439498</v>
      </c>
      <c r="X17" s="193">
        <f t="shared" si="4"/>
        <v>7760.7882614335495</v>
      </c>
      <c r="Y17" s="185">
        <f t="shared" si="5"/>
        <v>9464.3759285774995</v>
      </c>
      <c r="Z17">
        <v>874</v>
      </c>
      <c r="AA17" s="184">
        <f t="shared" si="6"/>
        <v>46564.729568601295</v>
      </c>
      <c r="AB17" s="184">
        <f t="shared" si="17"/>
        <v>10221.5260028637</v>
      </c>
      <c r="AC17" s="184">
        <f t="shared" si="18"/>
        <v>0</v>
      </c>
      <c r="AD17" s="184">
        <f>+AA17*(1+'SCHG2-19'!$M$12)</f>
        <v>48892.966047031361</v>
      </c>
      <c r="AE17" s="184">
        <f>+AB17*(1+'SCHG2-19'!$M$12)</f>
        <v>10732.602303006886</v>
      </c>
      <c r="AF17" s="184">
        <f>+AC17*(1+'SCHG2-19'!$M$12)</f>
        <v>0</v>
      </c>
      <c r="AH17" s="260"/>
      <c r="AJ17" s="261">
        <f>($J17*(1+'SCHG2-19'!$M$12))*$N17</f>
        <v>0</v>
      </c>
      <c r="AK17" s="261">
        <f>($J17*(1+'SCHG2-19'!$M$12))*$M17*S17</f>
        <v>10732.602303006885</v>
      </c>
      <c r="AL17" s="261">
        <f>($J17*(1+'SCHG2-19'!$M$12))*$M17*T17</f>
        <v>48892.966047031361</v>
      </c>
      <c r="AM17" s="185">
        <f t="shared" si="19"/>
        <v>59625.568350038244</v>
      </c>
      <c r="AN17" s="261">
        <f t="shared" si="20"/>
        <v>0</v>
      </c>
      <c r="AO17" s="261">
        <f t="shared" si="21"/>
        <v>136.287013371516</v>
      </c>
      <c r="AP17" s="261">
        <f t="shared" si="22"/>
        <v>620.86306091468396</v>
      </c>
      <c r="AQ17" s="185">
        <f t="shared" si="23"/>
        <v>757.15007428619992</v>
      </c>
      <c r="AR17" s="261">
        <f t="shared" si="24"/>
        <v>0</v>
      </c>
      <c r="AS17" s="261">
        <f t="shared" si="25"/>
        <v>858.60818424055083</v>
      </c>
      <c r="AT17" s="261">
        <f t="shared" si="26"/>
        <v>3911.4372837625087</v>
      </c>
      <c r="AU17" s="185">
        <f t="shared" si="27"/>
        <v>4770.0454680030598</v>
      </c>
      <c r="AV17" s="261">
        <f>(+V17/$Y$98)*('SCHG2-19'!$I$448*'SCHG2-19'!$K$15)</f>
        <v>0</v>
      </c>
      <c r="AW17" s="261">
        <f>(+W17/$Y$98)*('SCHG2-19'!$I$448*'SCHG2-19'!$K$15)</f>
        <v>176.8236101359044</v>
      </c>
      <c r="AX17" s="261">
        <f>(+X17/$Y$98)*('SCHG2-19'!$I$448*'SCHG2-19'!$K$15)</f>
        <v>805.52977950800903</v>
      </c>
      <c r="AY17" s="185">
        <f t="shared" si="12"/>
        <v>982.35338964391349</v>
      </c>
      <c r="AZ17" s="261">
        <f>((+AJ17/($AM$98+$Y$178)*((('SCHG2-19'!$I$448*'SCHG2-19'!$K$15)+'SCHG2-19'!$I$448)*'SCHG2-19'!$M$15)))</f>
        <v>0</v>
      </c>
      <c r="BA17" s="261">
        <f>((+AK17/($AM$98+$Y$178)*((('SCHG2-19'!$I$448*'SCHG2-19'!$K$15)+'SCHG2-19'!$I$448)*'SCHG2-19'!$M$15)))</f>
        <v>195.50686632064509</v>
      </c>
      <c r="BB17" s="261">
        <f>((+AL17/($AM$98+$Y$178)*((('SCHG2-19'!$I$448*'SCHG2-19'!$K$15)+'SCHG2-19'!$I$448)*'SCHG2-19'!$M$15)))</f>
        <v>890.64239101627197</v>
      </c>
      <c r="BC17" s="185">
        <f t="shared" si="28"/>
        <v>1086.1492573369171</v>
      </c>
      <c r="BD17" s="261">
        <f>(+V17/$Y$98)*('SCHG2-19'!$K$448-'SCHG2-19'!$I$448-'IRR 202 Detail '!$AY$98)</f>
        <v>0</v>
      </c>
      <c r="BE17" s="261">
        <f>(+W17/$Y$98)*('SCHG2-19'!$K$448-'SCHG2-19'!$I$448-'IRR 202 Detail '!$AY$98)</f>
        <v>420.0709365614839</v>
      </c>
      <c r="BF17" s="261">
        <f>(+X17/$Y$98)*('SCHG2-19'!$K$448-'SCHG2-19'!$I$448-'IRR 202 Detail '!$AY$98)</f>
        <v>1913.6564887800937</v>
      </c>
      <c r="BG17" s="185">
        <f t="shared" si="29"/>
        <v>2333.7274253415776</v>
      </c>
      <c r="BH17" s="261">
        <f>(+AJ17/($AM$98+$Y$178))*('SCHG2-19'!$M$448-'SCHG2-19'!$K$448-'IRR 202 Detail '!$BC$98-'IRR 202 Detail '!$AQ$178)</f>
        <v>0</v>
      </c>
      <c r="BI17" s="261">
        <f>(+AK17/($AM$98+$Y$178))*('SCHG2-19'!$M$448-'SCHG2-19'!$K$448-'IRR 202 Detail '!$BC$98-'IRR 202 Detail '!$AQ$178)</f>
        <v>754.49676452247411</v>
      </c>
      <c r="BJ17" s="261">
        <f>(+AL17/($AM$98+$Y$178))*('SCHG2-19'!$M$448-'SCHG2-19'!$K$448-'IRR 202 Detail '!$BC$98-'IRR 202 Detail '!$AQ$178)</f>
        <v>3437.1519272690484</v>
      </c>
      <c r="BK17" s="185">
        <f t="shared" si="30"/>
        <v>4191.6486917915227</v>
      </c>
      <c r="BL17" s="192"/>
      <c r="BM17" s="183"/>
      <c r="BN17" s="90"/>
      <c r="BO17" s="192"/>
      <c r="BP17" s="192"/>
      <c r="BQ17" s="192"/>
      <c r="BR17" s="192"/>
      <c r="BS17" s="192">
        <f t="shared" si="16"/>
        <v>-3.637978807091713E-12</v>
      </c>
      <c r="BT17" s="192">
        <f t="shared" si="31"/>
        <v>0</v>
      </c>
      <c r="BU17" s="192">
        <f t="shared" si="32"/>
        <v>0</v>
      </c>
      <c r="BV17" s="192"/>
      <c r="BW17" s="192"/>
      <c r="BX17" s="192"/>
      <c r="BY17" s="192"/>
    </row>
    <row r="18" spans="1:77" x14ac:dyDescent="0.25">
      <c r="A18" s="88"/>
      <c r="B18" s="88"/>
      <c r="D18" s="83"/>
      <c r="E18" s="162" t="s">
        <v>286</v>
      </c>
      <c r="F18" s="182" t="s">
        <v>307</v>
      </c>
      <c r="G18" s="182"/>
      <c r="H18" s="191" t="s">
        <v>197</v>
      </c>
      <c r="I18" s="190" t="s">
        <v>270</v>
      </c>
      <c r="J18" s="185">
        <v>47412.285000044998</v>
      </c>
      <c r="K18" s="189">
        <v>1</v>
      </c>
      <c r="L18" s="188">
        <v>45231</v>
      </c>
      <c r="M18" s="150">
        <v>1</v>
      </c>
      <c r="N18" s="150">
        <v>0</v>
      </c>
      <c r="O18" s="150">
        <f t="shared" si="0"/>
        <v>1</v>
      </c>
      <c r="P18" s="187"/>
      <c r="Q18" s="186">
        <f t="shared" si="1"/>
        <v>0.16666666666666666</v>
      </c>
      <c r="R18" s="152">
        <v>2</v>
      </c>
      <c r="S18" s="150">
        <v>0.3</v>
      </c>
      <c r="T18" s="150">
        <v>0.7</v>
      </c>
      <c r="U18" s="150">
        <f t="shared" si="2"/>
        <v>1</v>
      </c>
      <c r="V18" s="261">
        <v>0</v>
      </c>
      <c r="W18" s="261">
        <f t="shared" si="3"/>
        <v>2370.6142500022497</v>
      </c>
      <c r="X18" s="193">
        <f t="shared" si="4"/>
        <v>5531.4332500052496</v>
      </c>
      <c r="Y18" s="185">
        <f t="shared" si="5"/>
        <v>7902.0475000074994</v>
      </c>
      <c r="Z18">
        <v>874</v>
      </c>
      <c r="AA18" s="184">
        <f t="shared" si="6"/>
        <v>33188.599500031494</v>
      </c>
      <c r="AB18" s="184">
        <f t="shared" si="17"/>
        <v>14223.685500013498</v>
      </c>
      <c r="AC18" s="184">
        <f t="shared" si="18"/>
        <v>0</v>
      </c>
      <c r="AD18" s="184">
        <f>+AA18*(1+'SCHG2-19'!$M$12)</f>
        <v>34848.029475033072</v>
      </c>
      <c r="AE18" s="184">
        <f>+AB18*(1+'SCHG2-19'!$M$12)</f>
        <v>14934.869775014175</v>
      </c>
      <c r="AF18" s="184">
        <f>+AC18*(1+'SCHG2-19'!$M$12)</f>
        <v>0</v>
      </c>
      <c r="AH18" s="260"/>
      <c r="AJ18" s="261">
        <f>($J18*(1+'SCHG2-19'!$M$12))*$N18</f>
        <v>0</v>
      </c>
      <c r="AK18" s="261">
        <f>($J18*(1+'SCHG2-19'!$M$12))*$M18*S18</f>
        <v>14934.869775014175</v>
      </c>
      <c r="AL18" s="261">
        <f>($J18*(1+'SCHG2-19'!$M$12))*$M18*T18</f>
        <v>34848.029475033072</v>
      </c>
      <c r="AM18" s="185">
        <f t="shared" si="19"/>
        <v>49782.899250047245</v>
      </c>
      <c r="AN18" s="261">
        <f t="shared" si="20"/>
        <v>0</v>
      </c>
      <c r="AO18" s="261">
        <f t="shared" si="21"/>
        <v>189.64914000017998</v>
      </c>
      <c r="AP18" s="261">
        <f t="shared" si="22"/>
        <v>442.51466000042001</v>
      </c>
      <c r="AQ18" s="185">
        <f t="shared" si="23"/>
        <v>632.16380000059996</v>
      </c>
      <c r="AR18" s="261">
        <f t="shared" si="24"/>
        <v>0</v>
      </c>
      <c r="AS18" s="261">
        <f t="shared" si="25"/>
        <v>1194.789582001134</v>
      </c>
      <c r="AT18" s="261">
        <f t="shared" si="26"/>
        <v>2787.8423580026461</v>
      </c>
      <c r="AU18" s="185">
        <f t="shared" si="27"/>
        <v>3982.6319400037801</v>
      </c>
      <c r="AV18" s="261">
        <f>(+V18/$Y$98)*('SCHG2-19'!$I$448*'SCHG2-19'!$K$15)</f>
        <v>0</v>
      </c>
      <c r="AW18" s="261">
        <f>(+W18/$Y$98)*('SCHG2-19'!$I$448*'SCHG2-19'!$K$15)</f>
        <v>246.05752789216294</v>
      </c>
      <c r="AX18" s="261">
        <f>(+X18/$Y$98)*('SCHG2-19'!$I$448*'SCHG2-19'!$K$15)</f>
        <v>574.13423174838022</v>
      </c>
      <c r="AY18" s="185">
        <f t="shared" si="12"/>
        <v>820.19175964054318</v>
      </c>
      <c r="AZ18" s="261">
        <f>((+AJ18/($AM$98+$Y$178)*((('SCHG2-19'!$I$448*'SCHG2-19'!$K$15)+'SCHG2-19'!$I$448)*'SCHG2-19'!$M$15)))</f>
        <v>0</v>
      </c>
      <c r="BA18" s="261">
        <f>((+AK18/($AM$98+$Y$178)*((('SCHG2-19'!$I$448*'SCHG2-19'!$K$15)+'SCHG2-19'!$I$448)*'SCHG2-19'!$M$15)))</f>
        <v>272.05606862017959</v>
      </c>
      <c r="BB18" s="261">
        <f>((+AL18/($AM$98+$Y$178)*((('SCHG2-19'!$I$448*'SCHG2-19'!$K$15)+'SCHG2-19'!$I$448)*'SCHG2-19'!$M$15)))</f>
        <v>634.7974934470858</v>
      </c>
      <c r="BC18" s="185">
        <f t="shared" si="28"/>
        <v>906.85356206726533</v>
      </c>
      <c r="BD18" s="261">
        <f>(+V18/$Y$98)*('SCHG2-19'!$K$448-'SCHG2-19'!$I$448-'IRR 202 Detail '!$AY$98)</f>
        <v>0</v>
      </c>
      <c r="BE18" s="261">
        <f>(+W18/$Y$98)*('SCHG2-19'!$K$448-'SCHG2-19'!$I$448-'IRR 202 Detail '!$AY$98)</f>
        <v>584.54646475220079</v>
      </c>
      <c r="BF18" s="261">
        <f>(+X18/$Y$98)*('SCHG2-19'!$K$448-'SCHG2-19'!$I$448-'IRR 202 Detail '!$AY$98)</f>
        <v>1363.9417510884687</v>
      </c>
      <c r="BG18" s="185">
        <f t="shared" si="29"/>
        <v>1948.4882158406695</v>
      </c>
      <c r="BH18" s="261">
        <f>(+AJ18/($AM$98+$Y$178))*('SCHG2-19'!$M$448-'SCHG2-19'!$K$448-'IRR 202 Detail '!$BC$98-'IRR 202 Detail '!$AQ$178)</f>
        <v>0</v>
      </c>
      <c r="BI18" s="261">
        <f>(+AK18/($AM$98+$Y$178))*('SCHG2-19'!$M$448-'SCHG2-19'!$K$448-'IRR 202 Detail '!$BC$98-'IRR 202 Detail '!$AQ$178)</f>
        <v>1049.9141406418939</v>
      </c>
      <c r="BJ18" s="261">
        <f>(+AL18/($AM$98+$Y$178))*('SCHG2-19'!$M$448-'SCHG2-19'!$K$448-'IRR 202 Detail '!$BC$98-'IRR 202 Detail '!$AQ$178)</f>
        <v>2449.7996614977528</v>
      </c>
      <c r="BK18" s="185">
        <f t="shared" si="30"/>
        <v>3499.7138021396468</v>
      </c>
      <c r="BL18" s="192"/>
      <c r="BM18" s="183"/>
      <c r="BN18" s="90"/>
      <c r="BO18" s="192"/>
      <c r="BP18" s="192"/>
      <c r="BQ18" s="192"/>
      <c r="BR18" s="192"/>
      <c r="BS18" s="192">
        <f t="shared" si="16"/>
        <v>-1.8189894035458565E-12</v>
      </c>
      <c r="BT18" s="192">
        <f t="shared" si="31"/>
        <v>0</v>
      </c>
      <c r="BU18" s="192">
        <f t="shared" si="32"/>
        <v>0</v>
      </c>
      <c r="BV18" s="192"/>
      <c r="BW18" s="192"/>
      <c r="BX18" s="192"/>
      <c r="BY18" s="192"/>
    </row>
    <row r="19" spans="1:77" x14ac:dyDescent="0.25">
      <c r="A19" s="88"/>
      <c r="B19" s="88"/>
      <c r="C19" t="s">
        <v>309</v>
      </c>
      <c r="D19" s="83" t="s">
        <v>311</v>
      </c>
      <c r="E19" s="162" t="s">
        <v>286</v>
      </c>
      <c r="F19" s="182" t="s">
        <v>307</v>
      </c>
      <c r="G19" s="182"/>
      <c r="H19" s="191" t="s">
        <v>198</v>
      </c>
      <c r="I19" s="190" t="s">
        <v>270</v>
      </c>
      <c r="J19" s="185">
        <v>47412.285000044998</v>
      </c>
      <c r="K19" s="189">
        <v>1</v>
      </c>
      <c r="L19" s="188">
        <v>45231</v>
      </c>
      <c r="M19" s="150">
        <v>1</v>
      </c>
      <c r="N19" s="150">
        <v>0</v>
      </c>
      <c r="O19" s="150">
        <f t="shared" si="0"/>
        <v>1</v>
      </c>
      <c r="P19" s="187"/>
      <c r="Q19" s="186">
        <f t="shared" si="1"/>
        <v>0.16666666666666666</v>
      </c>
      <c r="R19" s="152">
        <v>2</v>
      </c>
      <c r="S19" s="150">
        <v>0.35</v>
      </c>
      <c r="T19" s="150">
        <v>0.65</v>
      </c>
      <c r="U19" s="150">
        <f t="shared" si="2"/>
        <v>1</v>
      </c>
      <c r="V19" s="262">
        <v>0</v>
      </c>
      <c r="W19" s="262">
        <f t="shared" si="3"/>
        <v>2765.7166250026248</v>
      </c>
      <c r="X19" s="260">
        <f t="shared" si="4"/>
        <v>5136.3308750048745</v>
      </c>
      <c r="Y19" s="185">
        <f t="shared" si="5"/>
        <v>7902.0475000074994</v>
      </c>
      <c r="Z19">
        <v>874</v>
      </c>
      <c r="AA19" s="184">
        <f t="shared" si="6"/>
        <v>30817.985250029251</v>
      </c>
      <c r="AB19" s="184">
        <f t="shared" si="17"/>
        <v>16594.299750015747</v>
      </c>
      <c r="AC19" s="184">
        <f t="shared" si="18"/>
        <v>0</v>
      </c>
      <c r="AD19" s="184">
        <f>+AA19*(1+'SCHG2-19'!$M$12)</f>
        <v>32358.884512530716</v>
      </c>
      <c r="AE19" s="184">
        <f>+AB19*(1+'SCHG2-19'!$M$12)</f>
        <v>17424.014737516536</v>
      </c>
      <c r="AF19" s="184">
        <f>+AC19*(1+'SCHG2-19'!$M$12)</f>
        <v>0</v>
      </c>
      <c r="AH19" s="260"/>
      <c r="AJ19" s="261">
        <f>($J19*(1+'SCHG2-19'!$M$12))*$N19</f>
        <v>0</v>
      </c>
      <c r="AK19" s="261">
        <f>($J19*(1+'SCHG2-19'!$M$12))*$M19*S19</f>
        <v>17424.014737516536</v>
      </c>
      <c r="AL19" s="261">
        <f>($J19*(1+'SCHG2-19'!$M$12))*$M19*T19</f>
        <v>32358.884512530716</v>
      </c>
      <c r="AM19" s="185">
        <f t="shared" si="19"/>
        <v>49782.899250047252</v>
      </c>
      <c r="AN19" s="261">
        <f t="shared" si="20"/>
        <v>0</v>
      </c>
      <c r="AO19" s="261">
        <f t="shared" si="21"/>
        <v>221.25733000021</v>
      </c>
      <c r="AP19" s="261">
        <f t="shared" si="22"/>
        <v>410.90647000038996</v>
      </c>
      <c r="AQ19" s="185">
        <f t="shared" si="23"/>
        <v>632.16380000059996</v>
      </c>
      <c r="AR19" s="261">
        <f t="shared" si="24"/>
        <v>0</v>
      </c>
      <c r="AS19" s="261">
        <f t="shared" si="25"/>
        <v>1393.921179001323</v>
      </c>
      <c r="AT19" s="261">
        <f t="shared" si="26"/>
        <v>2588.7107610024573</v>
      </c>
      <c r="AU19" s="185">
        <f t="shared" si="27"/>
        <v>3982.6319400037801</v>
      </c>
      <c r="AV19" s="261">
        <f>(+V19/$Y$98)*('SCHG2-19'!$I$448*'SCHG2-19'!$K$15)</f>
        <v>0</v>
      </c>
      <c r="AW19" s="261">
        <f>(+W19/$Y$98)*('SCHG2-19'!$I$448*'SCHG2-19'!$K$15)</f>
        <v>287.06711587419011</v>
      </c>
      <c r="AX19" s="261">
        <f>(+X19/$Y$98)*('SCHG2-19'!$I$448*'SCHG2-19'!$K$15)</f>
        <v>533.12464376635307</v>
      </c>
      <c r="AY19" s="185">
        <f t="shared" si="12"/>
        <v>820.19175964054318</v>
      </c>
      <c r="AZ19" s="261">
        <f>((+AJ19/($AM$98+$Y$178)*((('SCHG2-19'!$I$448*'SCHG2-19'!$K$15)+'SCHG2-19'!$I$448)*'SCHG2-19'!$M$15)))</f>
        <v>0</v>
      </c>
      <c r="BA19" s="261">
        <f>((+AK19/($AM$98+$Y$178)*((('SCHG2-19'!$I$448*'SCHG2-19'!$K$15)+'SCHG2-19'!$I$448)*'SCHG2-19'!$M$15)))</f>
        <v>317.3987467235429</v>
      </c>
      <c r="BB19" s="261">
        <f>((+AL19/($AM$98+$Y$178)*((('SCHG2-19'!$I$448*'SCHG2-19'!$K$15)+'SCHG2-19'!$I$448)*'SCHG2-19'!$M$15)))</f>
        <v>589.45481534372254</v>
      </c>
      <c r="BC19" s="185">
        <f t="shared" si="28"/>
        <v>906.85356206726544</v>
      </c>
      <c r="BD19" s="261">
        <f>(+V19/$Y$98)*('SCHG2-19'!$K$448-'SCHG2-19'!$I$448-'IRR 202 Detail '!$AY$98)</f>
        <v>0</v>
      </c>
      <c r="BE19" s="261">
        <f>(+W19/$Y$98)*('SCHG2-19'!$K$448-'SCHG2-19'!$I$448-'IRR 202 Detail '!$AY$98)</f>
        <v>681.97087554423433</v>
      </c>
      <c r="BF19" s="261">
        <f>(+X19/$Y$98)*('SCHG2-19'!$K$448-'SCHG2-19'!$I$448-'IRR 202 Detail '!$AY$98)</f>
        <v>1266.5173402964351</v>
      </c>
      <c r="BG19" s="185">
        <f t="shared" si="29"/>
        <v>1948.4882158406695</v>
      </c>
      <c r="BH19" s="261">
        <f>(+AJ19/($AM$98+$Y$178))*('SCHG2-19'!$M$448-'SCHG2-19'!$K$448-'IRR 202 Detail '!$BC$98-'IRR 202 Detail '!$AQ$178)</f>
        <v>0</v>
      </c>
      <c r="BI19" s="261">
        <f>(+AK19/($AM$98+$Y$178))*('SCHG2-19'!$M$448-'SCHG2-19'!$K$448-'IRR 202 Detail '!$BC$98-'IRR 202 Detail '!$AQ$178)</f>
        <v>1224.8998307488764</v>
      </c>
      <c r="BJ19" s="261">
        <f>(+AL19/($AM$98+$Y$178))*('SCHG2-19'!$M$448-'SCHG2-19'!$K$448-'IRR 202 Detail '!$BC$98-'IRR 202 Detail '!$AQ$178)</f>
        <v>2274.8139713907703</v>
      </c>
      <c r="BK19" s="185">
        <f t="shared" si="30"/>
        <v>3499.7138021396468</v>
      </c>
      <c r="BL19" s="192"/>
      <c r="BM19" s="183"/>
      <c r="BN19" s="90"/>
      <c r="BO19" s="192"/>
      <c r="BP19" s="192"/>
      <c r="BQ19" s="192"/>
      <c r="BR19" s="192"/>
      <c r="BS19" s="192">
        <f t="shared" si="16"/>
        <v>0</v>
      </c>
      <c r="BT19" s="192">
        <f t="shared" si="31"/>
        <v>0</v>
      </c>
      <c r="BU19" s="192">
        <f t="shared" si="32"/>
        <v>0</v>
      </c>
      <c r="BV19" s="192"/>
      <c r="BW19" s="192"/>
      <c r="BX19" s="192"/>
      <c r="BY19" s="192"/>
    </row>
    <row r="20" spans="1:77" x14ac:dyDescent="0.25">
      <c r="A20" s="88"/>
      <c r="B20" s="88"/>
      <c r="C20" t="s">
        <v>309</v>
      </c>
      <c r="D20" s="83" t="s">
        <v>311</v>
      </c>
      <c r="E20" s="162" t="s">
        <v>286</v>
      </c>
      <c r="F20" s="182" t="s">
        <v>307</v>
      </c>
      <c r="G20" s="182"/>
      <c r="H20" s="191" t="s">
        <v>199</v>
      </c>
      <c r="I20" s="190" t="s">
        <v>270</v>
      </c>
      <c r="J20" s="185">
        <v>56786.255571465001</v>
      </c>
      <c r="K20" s="189">
        <v>1</v>
      </c>
      <c r="L20" s="188">
        <v>44927</v>
      </c>
      <c r="M20" s="150">
        <v>1</v>
      </c>
      <c r="N20" s="150">
        <v>0</v>
      </c>
      <c r="O20" s="150">
        <f t="shared" si="0"/>
        <v>1</v>
      </c>
      <c r="P20" s="187"/>
      <c r="Q20" s="186">
        <f t="shared" si="1"/>
        <v>1</v>
      </c>
      <c r="R20" s="152">
        <v>3</v>
      </c>
      <c r="S20" s="150">
        <v>0.28999999999999998</v>
      </c>
      <c r="T20" s="150">
        <v>0.71</v>
      </c>
      <c r="U20" s="150">
        <v>1</v>
      </c>
      <c r="V20" s="262">
        <v>0</v>
      </c>
      <c r="W20" s="262">
        <f t="shared" si="3"/>
        <v>16468.014115724851</v>
      </c>
      <c r="X20" s="260">
        <f t="shared" si="4"/>
        <v>40318.24145574015</v>
      </c>
      <c r="Y20" s="185">
        <f t="shared" si="5"/>
        <v>56786.255571465001</v>
      </c>
      <c r="Z20">
        <v>874</v>
      </c>
      <c r="AA20" s="184">
        <f t="shared" si="6"/>
        <v>40318.24145574015</v>
      </c>
      <c r="AB20" s="184">
        <f t="shared" si="17"/>
        <v>16468.014115724851</v>
      </c>
      <c r="AC20" s="184">
        <f t="shared" si="18"/>
        <v>0</v>
      </c>
      <c r="AD20" s="184">
        <f>+AA20*(1+'SCHG2-19'!$M$12)</f>
        <v>42334.15352852716</v>
      </c>
      <c r="AE20" s="184">
        <f>+AB20*(1+'SCHG2-19'!$M$12)</f>
        <v>17291.414821511094</v>
      </c>
      <c r="AF20" s="184">
        <f>+AC20*(1+'SCHG2-19'!$M$12)</f>
        <v>0</v>
      </c>
      <c r="AH20" s="260"/>
      <c r="AJ20" s="261">
        <f>($J20*(1+'SCHG2-19'!$M$12))*$N20</f>
        <v>0</v>
      </c>
      <c r="AK20" s="261">
        <f>($J20*(1+'SCHG2-19'!$M$12))*$M20*S20</f>
        <v>17291.414821511091</v>
      </c>
      <c r="AL20" s="261">
        <f>($J20*(1+'SCHG2-19'!$M$12))*$M20*T20</f>
        <v>42334.153528527153</v>
      </c>
      <c r="AM20" s="185">
        <f t="shared" si="19"/>
        <v>59625.568350038244</v>
      </c>
      <c r="AN20" s="261">
        <f t="shared" si="20"/>
        <v>0</v>
      </c>
      <c r="AO20" s="261">
        <f t="shared" si="21"/>
        <v>1317.441129257988</v>
      </c>
      <c r="AP20" s="261">
        <f t="shared" si="22"/>
        <v>3225.459316459212</v>
      </c>
      <c r="AQ20" s="185">
        <f t="shared" si="23"/>
        <v>4542.9004457171995</v>
      </c>
      <c r="AR20" s="261">
        <f t="shared" si="24"/>
        <v>0</v>
      </c>
      <c r="AS20" s="261">
        <f t="shared" si="25"/>
        <v>1383.3131857208873</v>
      </c>
      <c r="AT20" s="261">
        <f t="shared" si="26"/>
        <v>3386.7322822821725</v>
      </c>
      <c r="AU20" s="185">
        <f t="shared" si="27"/>
        <v>4770.0454680030598</v>
      </c>
      <c r="AV20" s="261">
        <f>(+V20/$Y$98)*('SCHG2-19'!$I$448*'SCHG2-19'!$K$15)</f>
        <v>0</v>
      </c>
      <c r="AW20" s="261">
        <f>(+W20/$Y$98)*('SCHG2-19'!$I$448*'SCHG2-19'!$K$15)</f>
        <v>1709.2948979804094</v>
      </c>
      <c r="AX20" s="261">
        <f>(+X20/$Y$98)*('SCHG2-19'!$I$448*'SCHG2-19'!$K$15)</f>
        <v>4184.8254398830713</v>
      </c>
      <c r="AY20" s="185">
        <f t="shared" si="12"/>
        <v>5894.1203378634809</v>
      </c>
      <c r="AZ20" s="261">
        <f>((+AJ20/($AM$98+$Y$178)*((('SCHG2-19'!$I$448*'SCHG2-19'!$K$15)+'SCHG2-19'!$I$448)*'SCHG2-19'!$M$15)))</f>
        <v>0</v>
      </c>
      <c r="BA20" s="261">
        <f>((+AK20/($AM$98+$Y$178)*((('SCHG2-19'!$I$448*'SCHG2-19'!$K$15)+'SCHG2-19'!$I$448)*'SCHG2-19'!$M$15)))</f>
        <v>314.98328462770593</v>
      </c>
      <c r="BB20" s="261">
        <f>((+AL20/($AM$98+$Y$178)*((('SCHG2-19'!$I$448*'SCHG2-19'!$K$15)+'SCHG2-19'!$I$448)*'SCHG2-19'!$M$15)))</f>
        <v>771.16597270921113</v>
      </c>
      <c r="BC20" s="185">
        <f t="shared" si="28"/>
        <v>1086.1492573369171</v>
      </c>
      <c r="BD20" s="261">
        <f>(+V20/$Y$98)*('SCHG2-19'!$K$448-'SCHG2-19'!$I$448-'IRR 202 Detail '!$AY$98)</f>
        <v>0</v>
      </c>
      <c r="BE20" s="261">
        <f>(+W20/$Y$98)*('SCHG2-19'!$K$448-'SCHG2-19'!$I$448-'IRR 202 Detail '!$AY$98)</f>
        <v>4060.685720094345</v>
      </c>
      <c r="BF20" s="261">
        <f>(+X20/$Y$98)*('SCHG2-19'!$K$448-'SCHG2-19'!$I$448-'IRR 202 Detail '!$AY$98)</f>
        <v>9941.6788319551197</v>
      </c>
      <c r="BG20" s="185">
        <f t="shared" si="29"/>
        <v>14002.364552049465</v>
      </c>
      <c r="BH20" s="261">
        <f>(+AJ20/($AM$98+$Y$178))*('SCHG2-19'!$M$448-'SCHG2-19'!$K$448-'IRR 202 Detail '!$BC$98-'IRR 202 Detail '!$AQ$178)</f>
        <v>0</v>
      </c>
      <c r="BI20" s="261">
        <f>(+AK20/($AM$98+$Y$178))*('SCHG2-19'!$M$448-'SCHG2-19'!$K$448-'IRR 202 Detail '!$BC$98-'IRR 202 Detail '!$AQ$178)</f>
        <v>1215.5781206195416</v>
      </c>
      <c r="BJ20" s="261">
        <f>(+AL20/($AM$98+$Y$178))*('SCHG2-19'!$M$448-'SCHG2-19'!$K$448-'IRR 202 Detail '!$BC$98-'IRR 202 Detail '!$AQ$178)</f>
        <v>2976.0705711719811</v>
      </c>
      <c r="BK20" s="185">
        <f t="shared" si="30"/>
        <v>4191.6486917915227</v>
      </c>
      <c r="BL20" s="192"/>
      <c r="BM20" s="183"/>
      <c r="BN20" s="90"/>
      <c r="BO20" s="192"/>
      <c r="BP20" s="192"/>
      <c r="BQ20" s="192"/>
      <c r="BR20" s="192"/>
      <c r="BS20" s="192">
        <f t="shared" si="16"/>
        <v>-1.0913936421275139E-11</v>
      </c>
      <c r="BT20" s="192">
        <f t="shared" si="31"/>
        <v>0</v>
      </c>
      <c r="BU20" s="192">
        <f t="shared" si="32"/>
        <v>0</v>
      </c>
      <c r="BV20" s="192"/>
      <c r="BW20" s="192"/>
      <c r="BX20" s="192"/>
      <c r="BY20" s="192"/>
    </row>
    <row r="21" spans="1:77" x14ac:dyDescent="0.25">
      <c r="A21" s="88"/>
      <c r="B21" s="88"/>
      <c r="D21" s="83"/>
      <c r="E21" s="162" t="s">
        <v>286</v>
      </c>
      <c r="F21" s="182" t="s">
        <v>307</v>
      </c>
      <c r="G21" s="182"/>
      <c r="H21" s="191" t="s">
        <v>200</v>
      </c>
      <c r="I21" s="190" t="s">
        <v>270</v>
      </c>
      <c r="J21" s="185">
        <v>47412.285000044998</v>
      </c>
      <c r="K21" s="189">
        <v>1</v>
      </c>
      <c r="L21" s="188">
        <v>45231</v>
      </c>
      <c r="M21" s="150">
        <v>1</v>
      </c>
      <c r="N21" s="150">
        <v>0</v>
      </c>
      <c r="O21" s="150">
        <f t="shared" si="0"/>
        <v>1</v>
      </c>
      <c r="P21" s="187"/>
      <c r="Q21" s="186">
        <f t="shared" si="1"/>
        <v>0.16666666666666666</v>
      </c>
      <c r="R21" s="152">
        <v>2</v>
      </c>
      <c r="S21" s="150">
        <v>0.28999999999999998</v>
      </c>
      <c r="T21" s="150">
        <v>0.71</v>
      </c>
      <c r="U21" s="150">
        <f t="shared" ref="U21:U31" si="33">+S21+T21</f>
        <v>1</v>
      </c>
      <c r="V21" s="193">
        <v>0</v>
      </c>
      <c r="W21" s="193">
        <f t="shared" si="3"/>
        <v>2291.5937750021749</v>
      </c>
      <c r="X21" s="193">
        <f t="shared" si="4"/>
        <v>5610.4537250053245</v>
      </c>
      <c r="Y21" s="185">
        <f t="shared" si="5"/>
        <v>7902.0475000074994</v>
      </c>
      <c r="Z21">
        <v>874</v>
      </c>
      <c r="AA21" s="184">
        <f t="shared" si="6"/>
        <v>33662.722350031945</v>
      </c>
      <c r="AB21" s="184">
        <f t="shared" si="17"/>
        <v>13749.562650013049</v>
      </c>
      <c r="AC21" s="184">
        <f t="shared" si="18"/>
        <v>0</v>
      </c>
      <c r="AD21" s="184">
        <f>+AA21*(1+'SCHG2-19'!$M$12)</f>
        <v>35345.858467533544</v>
      </c>
      <c r="AE21" s="184">
        <f>+AB21*(1+'SCHG2-19'!$M$12)</f>
        <v>14437.040782513703</v>
      </c>
      <c r="AF21" s="184">
        <f>+AC21*(1+'SCHG2-19'!$M$12)</f>
        <v>0</v>
      </c>
      <c r="AH21" s="260"/>
      <c r="AJ21" s="261">
        <f>($J21*(1+'SCHG2-19'!$M$12))*$N21</f>
        <v>0</v>
      </c>
      <c r="AK21" s="261">
        <f>($J21*(1+'SCHG2-19'!$M$12))*$M21*S21</f>
        <v>14437.040782513703</v>
      </c>
      <c r="AL21" s="261">
        <f>($J21*(1+'SCHG2-19'!$M$12))*$M21*T21</f>
        <v>35345.858467533544</v>
      </c>
      <c r="AM21" s="185">
        <f t="shared" si="19"/>
        <v>49782.899250047245</v>
      </c>
      <c r="AN21" s="261">
        <f t="shared" si="20"/>
        <v>0</v>
      </c>
      <c r="AO21" s="261">
        <f t="shared" si="21"/>
        <v>183.32750200017401</v>
      </c>
      <c r="AP21" s="261">
        <f t="shared" si="22"/>
        <v>448.83629800042598</v>
      </c>
      <c r="AQ21" s="185">
        <f t="shared" si="23"/>
        <v>632.16380000059996</v>
      </c>
      <c r="AR21" s="261">
        <f t="shared" si="24"/>
        <v>0</v>
      </c>
      <c r="AS21" s="261">
        <f t="shared" si="25"/>
        <v>1154.9632626010962</v>
      </c>
      <c r="AT21" s="261">
        <f t="shared" si="26"/>
        <v>2827.6686774026834</v>
      </c>
      <c r="AU21" s="185">
        <f t="shared" si="27"/>
        <v>3982.6319400037796</v>
      </c>
      <c r="AV21" s="261">
        <f>(+V21/$Y$98)*('SCHG2-19'!$I$448*'SCHG2-19'!$K$15)</f>
        <v>0</v>
      </c>
      <c r="AW21" s="261">
        <f>(+W21/$Y$98)*('SCHG2-19'!$I$448*'SCHG2-19'!$K$15)</f>
        <v>237.85561029575751</v>
      </c>
      <c r="AX21" s="261">
        <f>(+X21/$Y$98)*('SCHG2-19'!$I$448*'SCHG2-19'!$K$15)</f>
        <v>582.33614934478567</v>
      </c>
      <c r="AY21" s="185">
        <f t="shared" si="12"/>
        <v>820.19175964054318</v>
      </c>
      <c r="AZ21" s="261">
        <f>((+AJ21/($AM$98+$Y$178)*((('SCHG2-19'!$I$448*'SCHG2-19'!$K$15)+'SCHG2-19'!$I$448)*'SCHG2-19'!$M$15)))</f>
        <v>0</v>
      </c>
      <c r="BA21" s="261">
        <f>((+AK21/($AM$98+$Y$178)*((('SCHG2-19'!$I$448*'SCHG2-19'!$K$15)+'SCHG2-19'!$I$448)*'SCHG2-19'!$M$15)))</f>
        <v>262.98753299950698</v>
      </c>
      <c r="BB21" s="261">
        <f>((+AL21/($AM$98+$Y$178)*((('SCHG2-19'!$I$448*'SCHG2-19'!$K$15)+'SCHG2-19'!$I$448)*'SCHG2-19'!$M$15)))</f>
        <v>643.8660290677584</v>
      </c>
      <c r="BC21" s="185">
        <f t="shared" si="28"/>
        <v>906.85356206726533</v>
      </c>
      <c r="BD21" s="261">
        <f>(+V21/$Y$98)*('SCHG2-19'!$K$448-'SCHG2-19'!$I$448-'IRR 202 Detail '!$AY$98)</f>
        <v>0</v>
      </c>
      <c r="BE21" s="261">
        <f>(+W21/$Y$98)*('SCHG2-19'!$K$448-'SCHG2-19'!$I$448-'IRR 202 Detail '!$AY$98)</f>
        <v>565.06158259379413</v>
      </c>
      <c r="BF21" s="261">
        <f>(+X21/$Y$98)*('SCHG2-19'!$K$448-'SCHG2-19'!$I$448-'IRR 202 Detail '!$AY$98)</f>
        <v>1383.4266332468751</v>
      </c>
      <c r="BG21" s="185">
        <f t="shared" si="29"/>
        <v>1948.4882158406692</v>
      </c>
      <c r="BH21" s="261">
        <f>(+AJ21/($AM$98+$Y$178))*('SCHG2-19'!$M$448-'SCHG2-19'!$K$448-'IRR 202 Detail '!$BC$98-'IRR 202 Detail '!$AQ$178)</f>
        <v>0</v>
      </c>
      <c r="BI21" s="261">
        <f>(+AK21/($AM$98+$Y$178))*('SCHG2-19'!$M$448-'SCHG2-19'!$K$448-'IRR 202 Detail '!$BC$98-'IRR 202 Detail '!$AQ$178)</f>
        <v>1014.9170026204977</v>
      </c>
      <c r="BJ21" s="261">
        <f>(+AL21/($AM$98+$Y$178))*('SCHG2-19'!$M$448-'SCHG2-19'!$K$448-'IRR 202 Detail '!$BC$98-'IRR 202 Detail '!$AQ$178)</f>
        <v>2484.7967995191493</v>
      </c>
      <c r="BK21" s="185">
        <f t="shared" si="30"/>
        <v>3499.7138021396468</v>
      </c>
      <c r="BL21" s="192"/>
      <c r="BM21" s="183"/>
      <c r="BN21" s="90"/>
      <c r="BO21" s="192"/>
      <c r="BP21" s="192"/>
      <c r="BQ21" s="192"/>
      <c r="BR21" s="192"/>
      <c r="BS21" s="192">
        <f t="shared" si="16"/>
        <v>-1.8189894035458565E-12</v>
      </c>
      <c r="BT21" s="192">
        <f t="shared" si="31"/>
        <v>0</v>
      </c>
      <c r="BU21" s="192">
        <f t="shared" si="32"/>
        <v>0</v>
      </c>
      <c r="BV21" s="192"/>
      <c r="BW21" s="192"/>
      <c r="BX21" s="192"/>
      <c r="BY21" s="192"/>
    </row>
    <row r="22" spans="1:77" x14ac:dyDescent="0.25">
      <c r="A22" s="88"/>
      <c r="B22" s="88"/>
      <c r="D22" s="83"/>
      <c r="E22" s="162" t="s">
        <v>286</v>
      </c>
      <c r="F22" s="182" t="s">
        <v>307</v>
      </c>
      <c r="G22" s="182"/>
      <c r="H22" s="191" t="s">
        <v>201</v>
      </c>
      <c r="I22" s="190" t="s">
        <v>270</v>
      </c>
      <c r="J22" s="185">
        <v>47412.285000044998</v>
      </c>
      <c r="K22" s="189">
        <v>1</v>
      </c>
      <c r="L22" s="188">
        <v>45231</v>
      </c>
      <c r="M22" s="150">
        <v>1</v>
      </c>
      <c r="N22" s="150">
        <v>0</v>
      </c>
      <c r="O22" s="150">
        <f t="shared" si="0"/>
        <v>1</v>
      </c>
      <c r="P22" s="187"/>
      <c r="Q22" s="186">
        <f t="shared" si="1"/>
        <v>0.16666666666666666</v>
      </c>
      <c r="R22" s="152">
        <v>2</v>
      </c>
      <c r="S22" s="150">
        <v>0.28999999999999998</v>
      </c>
      <c r="T22" s="150">
        <v>0.71</v>
      </c>
      <c r="U22" s="150">
        <f t="shared" si="33"/>
        <v>1</v>
      </c>
      <c r="V22" s="193">
        <v>0</v>
      </c>
      <c r="W22" s="193">
        <f t="shared" si="3"/>
        <v>2291.5937750021749</v>
      </c>
      <c r="X22" s="193">
        <f t="shared" si="4"/>
        <v>5610.4537250053245</v>
      </c>
      <c r="Y22" s="185">
        <f t="shared" si="5"/>
        <v>7902.0475000074994</v>
      </c>
      <c r="Z22">
        <v>874</v>
      </c>
      <c r="AA22" s="184">
        <f t="shared" si="6"/>
        <v>33662.722350031945</v>
      </c>
      <c r="AB22" s="184">
        <f t="shared" si="17"/>
        <v>13749.562650013049</v>
      </c>
      <c r="AC22" s="184">
        <f t="shared" si="18"/>
        <v>0</v>
      </c>
      <c r="AD22" s="184">
        <f>+AA22*(1+'SCHG2-19'!$M$12)</f>
        <v>35345.858467533544</v>
      </c>
      <c r="AE22" s="184">
        <f>+AB22*(1+'SCHG2-19'!$M$12)</f>
        <v>14437.040782513703</v>
      </c>
      <c r="AF22" s="184">
        <f>+AC22*(1+'SCHG2-19'!$M$12)</f>
        <v>0</v>
      </c>
      <c r="AH22" s="260"/>
      <c r="AJ22" s="261">
        <f>($J22*(1+'SCHG2-19'!$M$12))*$N22</f>
        <v>0</v>
      </c>
      <c r="AK22" s="261">
        <f>($J22*(1+'SCHG2-19'!$M$12))*$M22*S22</f>
        <v>14437.040782513703</v>
      </c>
      <c r="AL22" s="261">
        <f>($J22*(1+'SCHG2-19'!$M$12))*$M22*T22</f>
        <v>35345.858467533544</v>
      </c>
      <c r="AM22" s="185">
        <f t="shared" si="19"/>
        <v>49782.899250047245</v>
      </c>
      <c r="AN22" s="261">
        <f t="shared" si="20"/>
        <v>0</v>
      </c>
      <c r="AO22" s="261">
        <f t="shared" si="21"/>
        <v>183.32750200017401</v>
      </c>
      <c r="AP22" s="261">
        <f t="shared" si="22"/>
        <v>448.83629800042598</v>
      </c>
      <c r="AQ22" s="185">
        <f t="shared" si="23"/>
        <v>632.16380000059996</v>
      </c>
      <c r="AR22" s="261">
        <f t="shared" si="24"/>
        <v>0</v>
      </c>
      <c r="AS22" s="261">
        <f t="shared" si="25"/>
        <v>1154.9632626010962</v>
      </c>
      <c r="AT22" s="261">
        <f t="shared" si="26"/>
        <v>2827.6686774026834</v>
      </c>
      <c r="AU22" s="185">
        <f t="shared" si="27"/>
        <v>3982.6319400037796</v>
      </c>
      <c r="AV22" s="261">
        <f>(+V22/$Y$98)*('SCHG2-19'!$I$448*'SCHG2-19'!$K$15)</f>
        <v>0</v>
      </c>
      <c r="AW22" s="261">
        <f>(+W22/$Y$98)*('SCHG2-19'!$I$448*'SCHG2-19'!$K$15)</f>
        <v>237.85561029575751</v>
      </c>
      <c r="AX22" s="261">
        <f>(+X22/$Y$98)*('SCHG2-19'!$I$448*'SCHG2-19'!$K$15)</f>
        <v>582.33614934478567</v>
      </c>
      <c r="AY22" s="185">
        <f t="shared" si="12"/>
        <v>820.19175964054318</v>
      </c>
      <c r="AZ22" s="261">
        <f>((+AJ22/($AM$98+$Y$178)*((('SCHG2-19'!$I$448*'SCHG2-19'!$K$15)+'SCHG2-19'!$I$448)*'SCHG2-19'!$M$15)))</f>
        <v>0</v>
      </c>
      <c r="BA22" s="261">
        <f>((+AK22/($AM$98+$Y$178)*((('SCHG2-19'!$I$448*'SCHG2-19'!$K$15)+'SCHG2-19'!$I$448)*'SCHG2-19'!$M$15)))</f>
        <v>262.98753299950698</v>
      </c>
      <c r="BB22" s="261">
        <f>((+AL22/($AM$98+$Y$178)*((('SCHG2-19'!$I$448*'SCHG2-19'!$K$15)+'SCHG2-19'!$I$448)*'SCHG2-19'!$M$15)))</f>
        <v>643.8660290677584</v>
      </c>
      <c r="BC22" s="185">
        <f t="shared" si="28"/>
        <v>906.85356206726533</v>
      </c>
      <c r="BD22" s="261">
        <f>(+V22/$Y$98)*('SCHG2-19'!$K$448-'SCHG2-19'!$I$448-'IRR 202 Detail '!$AY$98)</f>
        <v>0</v>
      </c>
      <c r="BE22" s="261">
        <f>(+W22/$Y$98)*('SCHG2-19'!$K$448-'SCHG2-19'!$I$448-'IRR 202 Detail '!$AY$98)</f>
        <v>565.06158259379413</v>
      </c>
      <c r="BF22" s="261">
        <f>(+X22/$Y$98)*('SCHG2-19'!$K$448-'SCHG2-19'!$I$448-'IRR 202 Detail '!$AY$98)</f>
        <v>1383.4266332468751</v>
      </c>
      <c r="BG22" s="185">
        <f t="shared" si="29"/>
        <v>1948.4882158406692</v>
      </c>
      <c r="BH22" s="261">
        <f>(+AJ22/($AM$98+$Y$178))*('SCHG2-19'!$M$448-'SCHG2-19'!$K$448-'IRR 202 Detail '!$BC$98-'IRR 202 Detail '!$AQ$178)</f>
        <v>0</v>
      </c>
      <c r="BI22" s="261">
        <f>(+AK22/($AM$98+$Y$178))*('SCHG2-19'!$M$448-'SCHG2-19'!$K$448-'IRR 202 Detail '!$BC$98-'IRR 202 Detail '!$AQ$178)</f>
        <v>1014.9170026204977</v>
      </c>
      <c r="BJ22" s="261">
        <f>(+AL22/($AM$98+$Y$178))*('SCHG2-19'!$M$448-'SCHG2-19'!$K$448-'IRR 202 Detail '!$BC$98-'IRR 202 Detail '!$AQ$178)</f>
        <v>2484.7967995191493</v>
      </c>
      <c r="BK22" s="185">
        <f t="shared" si="30"/>
        <v>3499.7138021396468</v>
      </c>
      <c r="BL22" s="192"/>
      <c r="BM22" s="183"/>
      <c r="BN22" s="90"/>
      <c r="BO22" s="192"/>
      <c r="BP22" s="192"/>
      <c r="BQ22" s="192"/>
      <c r="BR22" s="192"/>
      <c r="BS22" s="192">
        <f t="shared" si="16"/>
        <v>-1.8189894035458565E-12</v>
      </c>
      <c r="BT22" s="192">
        <f t="shared" si="31"/>
        <v>0</v>
      </c>
      <c r="BU22" s="192">
        <f t="shared" si="32"/>
        <v>0</v>
      </c>
      <c r="BV22" s="192"/>
      <c r="BW22" s="192"/>
      <c r="BX22" s="192"/>
      <c r="BY22" s="192"/>
    </row>
    <row r="23" spans="1:77" x14ac:dyDescent="0.25">
      <c r="A23" s="88"/>
      <c r="B23" s="88"/>
      <c r="C23" t="s">
        <v>309</v>
      </c>
      <c r="D23" s="83" t="s">
        <v>310</v>
      </c>
      <c r="E23" s="162" t="s">
        <v>286</v>
      </c>
      <c r="F23" s="182" t="s">
        <v>307</v>
      </c>
      <c r="G23" s="182"/>
      <c r="H23" s="191" t="s">
        <v>218</v>
      </c>
      <c r="I23" s="190" t="s">
        <v>270</v>
      </c>
      <c r="J23" s="185">
        <v>111772.76833957501</v>
      </c>
      <c r="K23" s="189">
        <v>1</v>
      </c>
      <c r="L23" s="188">
        <v>45232</v>
      </c>
      <c r="M23" s="150">
        <v>1</v>
      </c>
      <c r="N23" s="150">
        <v>0</v>
      </c>
      <c r="O23" s="150">
        <f t="shared" si="0"/>
        <v>1</v>
      </c>
      <c r="P23" s="187"/>
      <c r="Q23" s="186">
        <f t="shared" si="1"/>
        <v>0.16666666666666666</v>
      </c>
      <c r="R23" s="152">
        <v>7</v>
      </c>
      <c r="S23" s="150">
        <v>0.2</v>
      </c>
      <c r="T23" s="150">
        <v>0.8</v>
      </c>
      <c r="U23" s="150">
        <f t="shared" si="33"/>
        <v>1</v>
      </c>
      <c r="V23" s="193">
        <v>0</v>
      </c>
      <c r="W23" s="193">
        <f t="shared" si="3"/>
        <v>3725.7589446525003</v>
      </c>
      <c r="X23" s="193">
        <f t="shared" si="4"/>
        <v>14903.035778610001</v>
      </c>
      <c r="Y23" s="185">
        <f t="shared" si="5"/>
        <v>18628.794723262501</v>
      </c>
      <c r="Z23">
        <v>880</v>
      </c>
      <c r="AA23" s="184">
        <f t="shared" si="6"/>
        <v>89418.214671660011</v>
      </c>
      <c r="AB23" s="184">
        <f t="shared" si="17"/>
        <v>22354.553667915003</v>
      </c>
      <c r="AC23" s="184">
        <f t="shared" si="18"/>
        <v>0</v>
      </c>
      <c r="AD23" s="184">
        <f>+AA23*(1+'SCHG2-19'!$M$12)</f>
        <v>93889.125405243016</v>
      </c>
      <c r="AE23" s="184">
        <f>+AB23*(1+'SCHG2-19'!$M$12)</f>
        <v>23472.281351310754</v>
      </c>
      <c r="AF23" s="184">
        <f>+AC23*(1+'SCHG2-19'!$M$12)</f>
        <v>0</v>
      </c>
      <c r="AH23" s="260"/>
      <c r="AJ23" s="261">
        <f>($J23*(1+'SCHG2-19'!$M$12))*$N23</f>
        <v>0</v>
      </c>
      <c r="AK23" s="261">
        <f>($J23*(1+'SCHG2-19'!$M$12))*$M23*S23</f>
        <v>23472.281351310754</v>
      </c>
      <c r="AL23" s="261">
        <f>($J23*(1+'SCHG2-19'!$M$12))*$M23*T23</f>
        <v>93889.125405243016</v>
      </c>
      <c r="AM23" s="185">
        <f t="shared" si="19"/>
        <v>117361.40675655377</v>
      </c>
      <c r="AN23" s="261">
        <f t="shared" si="20"/>
        <v>0</v>
      </c>
      <c r="AO23" s="261">
        <f t="shared" si="21"/>
        <v>298.06071557220002</v>
      </c>
      <c r="AP23" s="261">
        <f t="shared" si="22"/>
        <v>1192.2428622888001</v>
      </c>
      <c r="AQ23" s="185">
        <f t="shared" si="23"/>
        <v>1490.3035778610001</v>
      </c>
      <c r="AR23" s="261">
        <f t="shared" si="24"/>
        <v>0</v>
      </c>
      <c r="AS23" s="261">
        <f t="shared" si="25"/>
        <v>1877.7825081048604</v>
      </c>
      <c r="AT23" s="261">
        <f t="shared" si="26"/>
        <v>7511.1300324194417</v>
      </c>
      <c r="AU23" s="185">
        <f t="shared" si="27"/>
        <v>9388.912540524303</v>
      </c>
      <c r="AV23" s="261">
        <f>(+V23/$Y$98)*('SCHG2-19'!$I$448*'SCHG2-19'!$K$15)</f>
        <v>0</v>
      </c>
      <c r="AW23" s="261">
        <f>(+W23/$Y$98)*('SCHG2-19'!$I$448*'SCHG2-19'!$K$15)</f>
        <v>386.71455528559238</v>
      </c>
      <c r="AX23" s="261">
        <f>(+X23/$Y$98)*('SCHG2-19'!$I$448*'SCHG2-19'!$K$15)</f>
        <v>1546.8582211423695</v>
      </c>
      <c r="AY23" s="185">
        <f t="shared" si="12"/>
        <v>1933.5727764279618</v>
      </c>
      <c r="AZ23" s="261">
        <f>((+AJ23/($AM$98+$Y$178)*((('SCHG2-19'!$I$448*'SCHG2-19'!$K$15)+'SCHG2-19'!$I$448)*'SCHG2-19'!$M$15)))</f>
        <v>0</v>
      </c>
      <c r="BA23" s="261">
        <f>((+AK23/($AM$98+$Y$178)*((('SCHG2-19'!$I$448*'SCHG2-19'!$K$15)+'SCHG2-19'!$I$448)*'SCHG2-19'!$M$15)))</f>
        <v>427.5749760247441</v>
      </c>
      <c r="BB23" s="261">
        <f>((+AL23/($AM$98+$Y$178)*((('SCHG2-19'!$I$448*'SCHG2-19'!$K$15)+'SCHG2-19'!$I$448)*'SCHG2-19'!$M$15)))</f>
        <v>1710.2999040989764</v>
      </c>
      <c r="BC23" s="185">
        <f t="shared" si="28"/>
        <v>2137.8748801237207</v>
      </c>
      <c r="BD23" s="261">
        <f>(+V23/$Y$98)*('SCHG2-19'!$K$448-'SCHG2-19'!$I$448-'IRR 202 Detail '!$AY$98)</f>
        <v>0</v>
      </c>
      <c r="BE23" s="261">
        <f>(+W23/$Y$98)*('SCHG2-19'!$K$448-'SCHG2-19'!$I$448-'IRR 202 Detail '!$AY$98)</f>
        <v>918.69827392349589</v>
      </c>
      <c r="BF23" s="261">
        <f>(+X23/$Y$98)*('SCHG2-19'!$K$448-'SCHG2-19'!$I$448-'IRR 202 Detail '!$AY$98)</f>
        <v>3674.7930956939836</v>
      </c>
      <c r="BG23" s="185">
        <f t="shared" si="29"/>
        <v>4593.491369617479</v>
      </c>
      <c r="BH23" s="261">
        <f>(+AJ23/($AM$98+$Y$178))*('SCHG2-19'!$M$448-'SCHG2-19'!$K$448-'IRR 202 Detail '!$BC$98-'IRR 202 Detail '!$AQ$178)</f>
        <v>0</v>
      </c>
      <c r="BI23" s="261">
        <f>(+AK23/($AM$98+$Y$178))*('SCHG2-19'!$M$448-'SCHG2-19'!$K$448-'IRR 202 Detail '!$BC$98-'IRR 202 Detail '!$AQ$178)</f>
        <v>1650.090056030823</v>
      </c>
      <c r="BJ23" s="261">
        <f>(+AL23/($AM$98+$Y$178))*('SCHG2-19'!$M$448-'SCHG2-19'!$K$448-'IRR 202 Detail '!$BC$98-'IRR 202 Detail '!$AQ$178)</f>
        <v>6600.360224123292</v>
      </c>
      <c r="BK23" s="185">
        <f t="shared" si="30"/>
        <v>8250.4502801541148</v>
      </c>
      <c r="BL23" s="192"/>
      <c r="BM23" s="183"/>
      <c r="BN23" s="90"/>
      <c r="BO23" s="192"/>
      <c r="BP23" s="192"/>
      <c r="BQ23" s="192"/>
      <c r="BR23" s="192"/>
      <c r="BS23" s="192">
        <f t="shared" si="16"/>
        <v>0</v>
      </c>
      <c r="BT23" s="192">
        <f t="shared" si="31"/>
        <v>0</v>
      </c>
      <c r="BU23" s="192">
        <f t="shared" si="32"/>
        <v>0</v>
      </c>
      <c r="BV23" s="192"/>
      <c r="BW23" s="192"/>
      <c r="BX23" s="192"/>
      <c r="BY23" s="192"/>
    </row>
    <row r="24" spans="1:77" x14ac:dyDescent="0.25">
      <c r="A24" s="88"/>
      <c r="B24" s="88"/>
      <c r="C24" t="s">
        <v>309</v>
      </c>
      <c r="D24" s="83" t="s">
        <v>310</v>
      </c>
      <c r="E24" s="162" t="s">
        <v>286</v>
      </c>
      <c r="F24" s="182" t="s">
        <v>307</v>
      </c>
      <c r="G24" s="182"/>
      <c r="H24" s="191" t="s">
        <v>199</v>
      </c>
      <c r="I24" s="190" t="s">
        <v>270</v>
      </c>
      <c r="J24" s="185">
        <v>397503.789000255</v>
      </c>
      <c r="K24" s="189">
        <v>7</v>
      </c>
      <c r="L24" s="188">
        <v>45231</v>
      </c>
      <c r="M24" s="150">
        <v>1</v>
      </c>
      <c r="N24" s="150">
        <v>0</v>
      </c>
      <c r="O24" s="150">
        <f t="shared" si="0"/>
        <v>1</v>
      </c>
      <c r="P24" s="187"/>
      <c r="Q24" s="186">
        <f t="shared" si="1"/>
        <v>0.16666666666666666</v>
      </c>
      <c r="R24" s="152">
        <v>3</v>
      </c>
      <c r="S24" s="150">
        <v>0.2</v>
      </c>
      <c r="T24" s="150">
        <v>0.8</v>
      </c>
      <c r="U24" s="150">
        <f t="shared" si="33"/>
        <v>1</v>
      </c>
      <c r="V24" s="193">
        <v>0</v>
      </c>
      <c r="W24" s="193">
        <f t="shared" si="3"/>
        <v>13250.1263000085</v>
      </c>
      <c r="X24" s="193">
        <f t="shared" si="4"/>
        <v>53000.505200034</v>
      </c>
      <c r="Y24" s="185">
        <f t="shared" si="5"/>
        <v>66250.631500042495</v>
      </c>
      <c r="Z24">
        <v>874</v>
      </c>
      <c r="AA24" s="184">
        <f t="shared" si="6"/>
        <v>318003.03120020404</v>
      </c>
      <c r="AB24" s="184">
        <f t="shared" si="17"/>
        <v>79500.757800051011</v>
      </c>
      <c r="AC24" s="184">
        <f t="shared" si="18"/>
        <v>0</v>
      </c>
      <c r="AD24" s="184">
        <f>+AA24*(1+'SCHG2-19'!$M$12)</f>
        <v>333903.18276021426</v>
      </c>
      <c r="AE24" s="184">
        <f>+AB24*(1+'SCHG2-19'!$M$12)</f>
        <v>83475.795690053565</v>
      </c>
      <c r="AF24" s="184">
        <f>+AC24*(1+'SCHG2-19'!$M$12)</f>
        <v>0</v>
      </c>
      <c r="AH24" s="260"/>
      <c r="AJ24" s="261">
        <f>($J24*(1+'SCHG2-19'!$M$12))*$N24</f>
        <v>0</v>
      </c>
      <c r="AK24" s="261">
        <f>($J24*(1+'SCHG2-19'!$M$12))*$M24*S24</f>
        <v>83475.79569005355</v>
      </c>
      <c r="AL24" s="261">
        <f>($J24*(1+'SCHG2-19'!$M$12))*$M24*T24</f>
        <v>333903.1827602142</v>
      </c>
      <c r="AM24" s="185">
        <f t="shared" si="19"/>
        <v>417378.97845026775</v>
      </c>
      <c r="AN24" s="261">
        <f t="shared" si="20"/>
        <v>0</v>
      </c>
      <c r="AO24" s="261">
        <f t="shared" si="21"/>
        <v>1060.01010400068</v>
      </c>
      <c r="AP24" s="261">
        <f t="shared" si="22"/>
        <v>4240.0404160027201</v>
      </c>
      <c r="AQ24" s="185">
        <f t="shared" si="23"/>
        <v>5300.0505200034004</v>
      </c>
      <c r="AR24" s="261">
        <f t="shared" si="24"/>
        <v>0</v>
      </c>
      <c r="AS24" s="261">
        <f t="shared" si="25"/>
        <v>6678.0636552042843</v>
      </c>
      <c r="AT24" s="261">
        <f t="shared" si="26"/>
        <v>26712.254620817137</v>
      </c>
      <c r="AU24" s="185">
        <f t="shared" si="27"/>
        <v>33390.318276021419</v>
      </c>
      <c r="AV24" s="261">
        <f>(+V24/$Y$98)*('SCHG2-19'!$I$448*'SCHG2-19'!$K$15)</f>
        <v>0</v>
      </c>
      <c r="AW24" s="261">
        <f>(+W24/$Y$98)*('SCHG2-19'!$I$448*'SCHG2-19'!$K$15)</f>
        <v>1375.2947455014789</v>
      </c>
      <c r="AX24" s="261">
        <f>(+X24/$Y$98)*('SCHG2-19'!$I$448*'SCHG2-19'!$K$15)</f>
        <v>5501.1789820059157</v>
      </c>
      <c r="AY24" s="185">
        <f t="shared" si="12"/>
        <v>6876.4737275073949</v>
      </c>
      <c r="AZ24" s="261">
        <f>((+AJ24/($AM$98+$Y$178)*((('SCHG2-19'!$I$448*'SCHG2-19'!$K$15)+'SCHG2-19'!$I$448)*'SCHG2-19'!$M$15)))</f>
        <v>0</v>
      </c>
      <c r="BA24" s="261">
        <f>((+AK24/($AM$98+$Y$178)*((('SCHG2-19'!$I$448*'SCHG2-19'!$K$15)+'SCHG2-19'!$I$448)*'SCHG2-19'!$M$15)))</f>
        <v>1520.6089602716841</v>
      </c>
      <c r="BB24" s="261">
        <f>((+AL24/($AM$98+$Y$178)*((('SCHG2-19'!$I$448*'SCHG2-19'!$K$15)+'SCHG2-19'!$I$448)*'SCHG2-19'!$M$15)))</f>
        <v>6082.4358410867362</v>
      </c>
      <c r="BC24" s="185">
        <f t="shared" si="28"/>
        <v>7603.04480135842</v>
      </c>
      <c r="BD24" s="261">
        <f>(+V24/$Y$98)*('SCHG2-19'!$K$448-'SCHG2-19'!$I$448-'IRR 202 Detail '!$AY$98)</f>
        <v>0</v>
      </c>
      <c r="BE24" s="261">
        <f>(+W24/$Y$98)*('SCHG2-19'!$K$448-'SCHG2-19'!$I$448-'IRR 202 Detail '!$AY$98)</f>
        <v>3267.218395478209</v>
      </c>
      <c r="BF24" s="261">
        <f>(+X24/$Y$98)*('SCHG2-19'!$K$448-'SCHG2-19'!$I$448-'IRR 202 Detail '!$AY$98)</f>
        <v>13068.873581912836</v>
      </c>
      <c r="BG24" s="185">
        <f t="shared" si="29"/>
        <v>16336.091977391045</v>
      </c>
      <c r="BH24" s="261">
        <f>(+AJ24/($AM$98+$Y$178))*('SCHG2-19'!$M$448-'SCHG2-19'!$K$448-'IRR 202 Detail '!$BC$98-'IRR 202 Detail '!$AQ$178)</f>
        <v>0</v>
      </c>
      <c r="BI24" s="261">
        <f>(+AK24/($AM$98+$Y$178))*('SCHG2-19'!$M$448-'SCHG2-19'!$K$448-'IRR 202 Detail '!$BC$98-'IRR 202 Detail '!$AQ$178)</f>
        <v>5868.3081685081324</v>
      </c>
      <c r="BJ24" s="261">
        <f>(+AL24/($AM$98+$Y$178))*('SCHG2-19'!$M$448-'SCHG2-19'!$K$448-'IRR 202 Detail '!$BC$98-'IRR 202 Detail '!$AQ$178)</f>
        <v>23473.23267403253</v>
      </c>
      <c r="BK24" s="185">
        <f t="shared" si="30"/>
        <v>29341.540842540664</v>
      </c>
      <c r="BL24" s="192"/>
      <c r="BM24" s="183"/>
      <c r="BN24" s="90"/>
      <c r="BO24" s="192"/>
      <c r="BP24" s="192"/>
      <c r="BQ24" s="192"/>
      <c r="BR24" s="192"/>
      <c r="BS24" s="192">
        <f t="shared" si="16"/>
        <v>-7.2759576141834259E-11</v>
      </c>
      <c r="BT24" s="192">
        <f t="shared" si="31"/>
        <v>0</v>
      </c>
      <c r="BU24" s="192">
        <f t="shared" si="32"/>
        <v>0</v>
      </c>
      <c r="BV24" s="192"/>
      <c r="BW24" s="192"/>
      <c r="BX24" s="192"/>
      <c r="BY24" s="192"/>
    </row>
    <row r="25" spans="1:77" x14ac:dyDescent="0.25">
      <c r="A25" s="88"/>
      <c r="B25" s="88"/>
      <c r="D25" s="83"/>
      <c r="E25" s="162" t="s">
        <v>286</v>
      </c>
      <c r="F25" s="182" t="s">
        <v>307</v>
      </c>
      <c r="G25" s="182"/>
      <c r="H25" s="191" t="s">
        <v>202</v>
      </c>
      <c r="I25" s="190" t="s">
        <v>270</v>
      </c>
      <c r="J25" s="185">
        <v>56786.255571465001</v>
      </c>
      <c r="K25" s="189">
        <v>1</v>
      </c>
      <c r="L25" s="188">
        <v>45231</v>
      </c>
      <c r="M25" s="150">
        <v>1</v>
      </c>
      <c r="N25" s="150">
        <v>0</v>
      </c>
      <c r="O25" s="150">
        <f t="shared" si="0"/>
        <v>1</v>
      </c>
      <c r="P25" s="187"/>
      <c r="Q25" s="186">
        <f t="shared" si="1"/>
        <v>0.16666666666666666</v>
      </c>
      <c r="R25" s="152">
        <v>3</v>
      </c>
      <c r="S25" s="150">
        <v>0.2</v>
      </c>
      <c r="T25" s="150">
        <v>0.8</v>
      </c>
      <c r="U25" s="150">
        <f t="shared" si="33"/>
        <v>1</v>
      </c>
      <c r="V25" s="193">
        <v>0</v>
      </c>
      <c r="W25" s="193">
        <f t="shared" si="3"/>
        <v>1892.8751857155</v>
      </c>
      <c r="X25" s="193">
        <f t="shared" si="4"/>
        <v>7571.5007428620002</v>
      </c>
      <c r="Y25" s="185">
        <f t="shared" si="5"/>
        <v>9464.3759285774995</v>
      </c>
      <c r="Z25">
        <v>874</v>
      </c>
      <c r="AA25" s="184">
        <f t="shared" si="6"/>
        <v>45429.004457172006</v>
      </c>
      <c r="AB25" s="184">
        <f t="shared" si="17"/>
        <v>11357.251114293002</v>
      </c>
      <c r="AC25" s="184">
        <f t="shared" si="18"/>
        <v>0</v>
      </c>
      <c r="AD25" s="184">
        <f>+AA25*(1+'SCHG2-19'!$M$12)</f>
        <v>47700.454680030605</v>
      </c>
      <c r="AE25" s="184">
        <f>+AB25*(1+'SCHG2-19'!$M$12)</f>
        <v>11925.113670007651</v>
      </c>
      <c r="AF25" s="184">
        <f>+AC25*(1+'SCHG2-19'!$M$12)</f>
        <v>0</v>
      </c>
      <c r="AH25" s="260"/>
      <c r="AJ25" s="261">
        <f>($J25*(1+'SCHG2-19'!$M$12))*$N25</f>
        <v>0</v>
      </c>
      <c r="AK25" s="261">
        <f>($J25*(1+'SCHG2-19'!$M$12))*$M25*S25</f>
        <v>11925.113670007651</v>
      </c>
      <c r="AL25" s="261">
        <f>($J25*(1+'SCHG2-19'!$M$12))*$M25*T25</f>
        <v>47700.454680030605</v>
      </c>
      <c r="AM25" s="185">
        <f t="shared" si="19"/>
        <v>59625.568350038258</v>
      </c>
      <c r="AN25" s="261">
        <f t="shared" si="20"/>
        <v>0</v>
      </c>
      <c r="AO25" s="261">
        <f t="shared" si="21"/>
        <v>151.43001485724</v>
      </c>
      <c r="AP25" s="261">
        <f t="shared" si="22"/>
        <v>605.72005942895998</v>
      </c>
      <c r="AQ25" s="185">
        <f t="shared" si="23"/>
        <v>757.15007428619992</v>
      </c>
      <c r="AR25" s="261">
        <f t="shared" si="24"/>
        <v>0</v>
      </c>
      <c r="AS25" s="261">
        <f t="shared" si="25"/>
        <v>954.00909360061212</v>
      </c>
      <c r="AT25" s="261">
        <f t="shared" si="26"/>
        <v>3816.0363744024485</v>
      </c>
      <c r="AU25" s="185">
        <f t="shared" si="27"/>
        <v>4770.0454680030607</v>
      </c>
      <c r="AV25" s="261">
        <f>(+V25/$Y$98)*('SCHG2-19'!$I$448*'SCHG2-19'!$K$15)</f>
        <v>0</v>
      </c>
      <c r="AW25" s="261">
        <f>(+W25/$Y$98)*('SCHG2-19'!$I$448*'SCHG2-19'!$K$15)</f>
        <v>196.47067792878269</v>
      </c>
      <c r="AX25" s="261">
        <f>(+X25/$Y$98)*('SCHG2-19'!$I$448*'SCHG2-19'!$K$15)</f>
        <v>785.88271171513077</v>
      </c>
      <c r="AY25" s="185">
        <f t="shared" si="12"/>
        <v>982.35338964391349</v>
      </c>
      <c r="AZ25" s="261">
        <f>((+AJ25/($AM$98+$Y$178)*((('SCHG2-19'!$I$448*'SCHG2-19'!$K$15)+'SCHG2-19'!$I$448)*'SCHG2-19'!$M$15)))</f>
        <v>0</v>
      </c>
      <c r="BA25" s="261">
        <f>((+AK25/($AM$98+$Y$178)*((('SCHG2-19'!$I$448*'SCHG2-19'!$K$15)+'SCHG2-19'!$I$448)*'SCHG2-19'!$M$15)))</f>
        <v>217.22985146738344</v>
      </c>
      <c r="BB25" s="261">
        <f>((+AL25/($AM$98+$Y$178)*((('SCHG2-19'!$I$448*'SCHG2-19'!$K$15)+'SCHG2-19'!$I$448)*'SCHG2-19'!$M$15)))</f>
        <v>868.91940586953376</v>
      </c>
      <c r="BC25" s="185">
        <f t="shared" si="28"/>
        <v>1086.1492573369171</v>
      </c>
      <c r="BD25" s="261">
        <f>(+V25/$Y$98)*('SCHG2-19'!$K$448-'SCHG2-19'!$I$448-'IRR 202 Detail '!$AY$98)</f>
        <v>0</v>
      </c>
      <c r="BE25" s="261">
        <f>(+W25/$Y$98)*('SCHG2-19'!$K$448-'SCHG2-19'!$I$448-'IRR 202 Detail '!$AY$98)</f>
        <v>466.74548506831553</v>
      </c>
      <c r="BF25" s="261">
        <f>(+X25/$Y$98)*('SCHG2-19'!$K$448-'SCHG2-19'!$I$448-'IRR 202 Detail '!$AY$98)</f>
        <v>1866.9819402732621</v>
      </c>
      <c r="BG25" s="185">
        <f t="shared" si="29"/>
        <v>2333.7274253415776</v>
      </c>
      <c r="BH25" s="261">
        <f>(+AJ25/($AM$98+$Y$178))*('SCHG2-19'!$M$448-'SCHG2-19'!$K$448-'IRR 202 Detail '!$BC$98-'IRR 202 Detail '!$AQ$178)</f>
        <v>0</v>
      </c>
      <c r="BI25" s="261">
        <f>(+AK25/($AM$98+$Y$178))*('SCHG2-19'!$M$448-'SCHG2-19'!$K$448-'IRR 202 Detail '!$BC$98-'IRR 202 Detail '!$AQ$178)</f>
        <v>838.32973835830467</v>
      </c>
      <c r="BJ25" s="261">
        <f>(+AL25/($AM$98+$Y$178))*('SCHG2-19'!$M$448-'SCHG2-19'!$K$448-'IRR 202 Detail '!$BC$98-'IRR 202 Detail '!$AQ$178)</f>
        <v>3353.3189534332187</v>
      </c>
      <c r="BK25" s="185">
        <f t="shared" si="30"/>
        <v>4191.6486917915236</v>
      </c>
      <c r="BL25" s="192"/>
      <c r="BM25" s="183"/>
      <c r="BN25" s="90"/>
      <c r="BO25" s="192"/>
      <c r="BP25" s="192"/>
      <c r="BQ25" s="192"/>
      <c r="BR25" s="192"/>
      <c r="BS25" s="192">
        <f t="shared" si="16"/>
        <v>1.8189894035458565E-12</v>
      </c>
      <c r="BT25" s="192">
        <f t="shared" si="31"/>
        <v>0</v>
      </c>
      <c r="BU25" s="192">
        <f t="shared" si="32"/>
        <v>0</v>
      </c>
      <c r="BV25" s="192"/>
      <c r="BW25" s="192"/>
      <c r="BX25" s="192"/>
      <c r="BY25" s="192"/>
    </row>
    <row r="26" spans="1:77" x14ac:dyDescent="0.25">
      <c r="A26" s="88"/>
      <c r="B26" s="88"/>
      <c r="C26" t="s">
        <v>309</v>
      </c>
      <c r="D26" s="83" t="s">
        <v>308</v>
      </c>
      <c r="E26" s="162" t="s">
        <v>286</v>
      </c>
      <c r="F26" s="182" t="s">
        <v>307</v>
      </c>
      <c r="G26" s="182"/>
      <c r="H26" s="191" t="s">
        <v>219</v>
      </c>
      <c r="I26" s="190" t="s">
        <v>270</v>
      </c>
      <c r="J26" s="185">
        <v>111772.76833957501</v>
      </c>
      <c r="K26" s="189">
        <v>1</v>
      </c>
      <c r="L26" s="188">
        <v>45231</v>
      </c>
      <c r="M26" s="150">
        <v>1</v>
      </c>
      <c r="N26" s="150">
        <v>0</v>
      </c>
      <c r="O26" s="150">
        <f t="shared" si="0"/>
        <v>1</v>
      </c>
      <c r="P26" s="187"/>
      <c r="Q26" s="186">
        <f t="shared" si="1"/>
        <v>0.16666666666666666</v>
      </c>
      <c r="R26" s="152">
        <v>7</v>
      </c>
      <c r="S26" s="150">
        <v>0.2</v>
      </c>
      <c r="T26" s="150">
        <v>0.8</v>
      </c>
      <c r="U26" s="150">
        <f t="shared" si="33"/>
        <v>1</v>
      </c>
      <c r="V26" s="193">
        <v>0</v>
      </c>
      <c r="W26" s="193">
        <f t="shared" si="3"/>
        <v>3725.7589446525003</v>
      </c>
      <c r="X26" s="193">
        <f t="shared" si="4"/>
        <v>14903.035778610001</v>
      </c>
      <c r="Y26" s="185">
        <f t="shared" si="5"/>
        <v>18628.794723262501</v>
      </c>
      <c r="Z26">
        <v>880</v>
      </c>
      <c r="AA26" s="184">
        <f t="shared" si="6"/>
        <v>89418.214671660011</v>
      </c>
      <c r="AB26" s="184">
        <f t="shared" si="17"/>
        <v>22354.553667915003</v>
      </c>
      <c r="AC26" s="184">
        <f t="shared" si="18"/>
        <v>0</v>
      </c>
      <c r="AD26" s="184">
        <f>+AA26*(1+'SCHG2-19'!$M$12)</f>
        <v>93889.125405243016</v>
      </c>
      <c r="AE26" s="184">
        <f>+AB26*(1+'SCHG2-19'!$M$12)</f>
        <v>23472.281351310754</v>
      </c>
      <c r="AF26" s="184">
        <f>+AC26*(1+'SCHG2-19'!$M$12)</f>
        <v>0</v>
      </c>
      <c r="AH26" s="260"/>
      <c r="AJ26" s="261">
        <f>($J26*(1+'SCHG2-19'!$M$12))*$N26</f>
        <v>0</v>
      </c>
      <c r="AK26" s="261">
        <f>($J26*(1+'SCHG2-19'!$M$12))*$M26*S26</f>
        <v>23472.281351310754</v>
      </c>
      <c r="AL26" s="261">
        <f>($J26*(1+'SCHG2-19'!$M$12))*$M26*T26</f>
        <v>93889.125405243016</v>
      </c>
      <c r="AM26" s="185">
        <f t="shared" si="19"/>
        <v>117361.40675655377</v>
      </c>
      <c r="AN26" s="261">
        <f t="shared" si="20"/>
        <v>0</v>
      </c>
      <c r="AO26" s="261">
        <f t="shared" si="21"/>
        <v>298.06071557220002</v>
      </c>
      <c r="AP26" s="261">
        <f t="shared" si="22"/>
        <v>1192.2428622888001</v>
      </c>
      <c r="AQ26" s="185">
        <f t="shared" si="23"/>
        <v>1490.3035778610001</v>
      </c>
      <c r="AR26" s="261">
        <f t="shared" si="24"/>
        <v>0</v>
      </c>
      <c r="AS26" s="261">
        <f t="shared" si="25"/>
        <v>1877.7825081048604</v>
      </c>
      <c r="AT26" s="261">
        <f t="shared" si="26"/>
        <v>7511.1300324194417</v>
      </c>
      <c r="AU26" s="185">
        <f t="shared" si="27"/>
        <v>9388.912540524303</v>
      </c>
      <c r="AV26" s="261">
        <f>(+V26/$Y$98)*('SCHG2-19'!$I$448*'SCHG2-19'!$K$15)</f>
        <v>0</v>
      </c>
      <c r="AW26" s="261">
        <f>(+W26/$Y$98)*('SCHG2-19'!$I$448*'SCHG2-19'!$K$15)</f>
        <v>386.71455528559238</v>
      </c>
      <c r="AX26" s="261">
        <f>(+X26/$Y$98)*('SCHG2-19'!$I$448*'SCHG2-19'!$K$15)</f>
        <v>1546.8582211423695</v>
      </c>
      <c r="AY26" s="185">
        <f t="shared" si="12"/>
        <v>1933.5727764279618</v>
      </c>
      <c r="AZ26" s="261">
        <f>((+AJ26/($AM$98+$Y$178)*((('SCHG2-19'!$I$448*'SCHG2-19'!$K$15)+'SCHG2-19'!$I$448)*'SCHG2-19'!$M$15)))</f>
        <v>0</v>
      </c>
      <c r="BA26" s="261">
        <f>((+AK26/($AM$98+$Y$178)*((('SCHG2-19'!$I$448*'SCHG2-19'!$K$15)+'SCHG2-19'!$I$448)*'SCHG2-19'!$M$15)))</f>
        <v>427.5749760247441</v>
      </c>
      <c r="BB26" s="261">
        <f>((+AL26/($AM$98+$Y$178)*((('SCHG2-19'!$I$448*'SCHG2-19'!$K$15)+'SCHG2-19'!$I$448)*'SCHG2-19'!$M$15)))</f>
        <v>1710.2999040989764</v>
      </c>
      <c r="BC26" s="185">
        <f t="shared" si="28"/>
        <v>2137.8748801237207</v>
      </c>
      <c r="BD26" s="261">
        <f>(+V26/$Y$98)*('SCHG2-19'!$K$448-'SCHG2-19'!$I$448-'IRR 202 Detail '!$AY$98)</f>
        <v>0</v>
      </c>
      <c r="BE26" s="261">
        <f>(+W26/$Y$98)*('SCHG2-19'!$K$448-'SCHG2-19'!$I$448-'IRR 202 Detail '!$AY$98)</f>
        <v>918.69827392349589</v>
      </c>
      <c r="BF26" s="261">
        <f>(+X26/$Y$98)*('SCHG2-19'!$K$448-'SCHG2-19'!$I$448-'IRR 202 Detail '!$AY$98)</f>
        <v>3674.7930956939836</v>
      </c>
      <c r="BG26" s="185">
        <f t="shared" si="29"/>
        <v>4593.491369617479</v>
      </c>
      <c r="BH26" s="261">
        <f>(+AJ26/($AM$98+$Y$178))*('SCHG2-19'!$M$448-'SCHG2-19'!$K$448-'IRR 202 Detail '!$BC$98-'IRR 202 Detail '!$AQ$178)</f>
        <v>0</v>
      </c>
      <c r="BI26" s="261">
        <f>(+AK26/($AM$98+$Y$178))*('SCHG2-19'!$M$448-'SCHG2-19'!$K$448-'IRR 202 Detail '!$BC$98-'IRR 202 Detail '!$AQ$178)</f>
        <v>1650.090056030823</v>
      </c>
      <c r="BJ26" s="261">
        <f>(+AL26/($AM$98+$Y$178))*('SCHG2-19'!$M$448-'SCHG2-19'!$K$448-'IRR 202 Detail '!$BC$98-'IRR 202 Detail '!$AQ$178)</f>
        <v>6600.360224123292</v>
      </c>
      <c r="BK26" s="185">
        <f t="shared" si="30"/>
        <v>8250.4502801541148</v>
      </c>
      <c r="BL26" s="192"/>
      <c r="BM26" s="183"/>
      <c r="BN26" s="90"/>
      <c r="BO26" s="192"/>
      <c r="BP26" s="192"/>
      <c r="BQ26" s="192"/>
      <c r="BR26" s="192"/>
      <c r="BS26" s="192">
        <f t="shared" si="16"/>
        <v>0</v>
      </c>
      <c r="BT26" s="192">
        <f t="shared" si="31"/>
        <v>0</v>
      </c>
      <c r="BU26" s="192">
        <f t="shared" si="32"/>
        <v>0</v>
      </c>
      <c r="BV26" s="192"/>
      <c r="BW26" s="192"/>
      <c r="BX26" s="192"/>
      <c r="BY26" s="192"/>
    </row>
    <row r="27" spans="1:77" x14ac:dyDescent="0.25">
      <c r="A27" s="88"/>
      <c r="B27" s="88"/>
      <c r="D27" s="83"/>
      <c r="E27" s="162" t="s">
        <v>286</v>
      </c>
      <c r="F27" s="182" t="s">
        <v>307</v>
      </c>
      <c r="G27" s="182"/>
      <c r="H27" s="191" t="s">
        <v>203</v>
      </c>
      <c r="I27" s="190" t="s">
        <v>270</v>
      </c>
      <c r="J27" s="185">
        <v>56786.255571465001</v>
      </c>
      <c r="K27" s="189">
        <v>1</v>
      </c>
      <c r="L27" s="188">
        <v>45232</v>
      </c>
      <c r="M27" s="150">
        <v>1</v>
      </c>
      <c r="N27" s="150">
        <v>0</v>
      </c>
      <c r="O27" s="150">
        <f t="shared" si="0"/>
        <v>1</v>
      </c>
      <c r="P27" s="187"/>
      <c r="Q27" s="186">
        <f t="shared" si="1"/>
        <v>0.16666666666666666</v>
      </c>
      <c r="R27" s="152">
        <v>3</v>
      </c>
      <c r="S27" s="150">
        <v>0.2</v>
      </c>
      <c r="T27" s="150">
        <v>0.8</v>
      </c>
      <c r="U27" s="150">
        <f t="shared" si="33"/>
        <v>1</v>
      </c>
      <c r="V27" s="193">
        <v>0</v>
      </c>
      <c r="W27" s="193">
        <f t="shared" si="3"/>
        <v>1892.8751857155</v>
      </c>
      <c r="X27" s="193">
        <f t="shared" si="4"/>
        <v>7571.5007428620002</v>
      </c>
      <c r="Y27" s="185">
        <f t="shared" si="5"/>
        <v>9464.3759285774995</v>
      </c>
      <c r="Z27">
        <v>874</v>
      </c>
      <c r="AA27" s="184">
        <f t="shared" si="6"/>
        <v>45429.004457172006</v>
      </c>
      <c r="AB27" s="184">
        <f t="shared" si="17"/>
        <v>11357.251114293002</v>
      </c>
      <c r="AC27" s="184">
        <f t="shared" si="18"/>
        <v>0</v>
      </c>
      <c r="AD27" s="184">
        <f>+AA27*(1+'SCHG2-19'!$M$12)</f>
        <v>47700.454680030605</v>
      </c>
      <c r="AE27" s="184">
        <f>+AB27*(1+'SCHG2-19'!$M$12)</f>
        <v>11925.113670007651</v>
      </c>
      <c r="AF27" s="184">
        <f>+AC27*(1+'SCHG2-19'!$M$12)</f>
        <v>0</v>
      </c>
      <c r="AH27" s="260"/>
      <c r="AJ27" s="261">
        <f>($J27*(1+'SCHG2-19'!$M$12))*$N27</f>
        <v>0</v>
      </c>
      <c r="AK27" s="261">
        <f>($J27*(1+'SCHG2-19'!$M$12))*$M27*S27</f>
        <v>11925.113670007651</v>
      </c>
      <c r="AL27" s="261">
        <f>($J27*(1+'SCHG2-19'!$M$12))*$M27*T27</f>
        <v>47700.454680030605</v>
      </c>
      <c r="AM27" s="185">
        <f t="shared" si="19"/>
        <v>59625.568350038258</v>
      </c>
      <c r="AN27" s="261">
        <f t="shared" si="20"/>
        <v>0</v>
      </c>
      <c r="AO27" s="261">
        <f t="shared" si="21"/>
        <v>151.43001485724</v>
      </c>
      <c r="AP27" s="261">
        <f t="shared" si="22"/>
        <v>605.72005942895998</v>
      </c>
      <c r="AQ27" s="185">
        <f t="shared" si="23"/>
        <v>757.15007428619992</v>
      </c>
      <c r="AR27" s="261">
        <f t="shared" si="24"/>
        <v>0</v>
      </c>
      <c r="AS27" s="261">
        <f t="shared" si="25"/>
        <v>954.00909360061212</v>
      </c>
      <c r="AT27" s="261">
        <f t="shared" si="26"/>
        <v>3816.0363744024485</v>
      </c>
      <c r="AU27" s="185">
        <f t="shared" si="27"/>
        <v>4770.0454680030607</v>
      </c>
      <c r="AV27" s="261">
        <f>(+V27/$Y$98)*('SCHG2-19'!$I$448*'SCHG2-19'!$K$15)</f>
        <v>0</v>
      </c>
      <c r="AW27" s="261">
        <f>(+W27/$Y$98)*('SCHG2-19'!$I$448*'SCHG2-19'!$K$15)</f>
        <v>196.47067792878269</v>
      </c>
      <c r="AX27" s="261">
        <f>(+X27/$Y$98)*('SCHG2-19'!$I$448*'SCHG2-19'!$K$15)</f>
        <v>785.88271171513077</v>
      </c>
      <c r="AY27" s="185">
        <f t="shared" si="12"/>
        <v>982.35338964391349</v>
      </c>
      <c r="AZ27" s="261">
        <f>((+AJ27/($AM$98+$Y$178)*((('SCHG2-19'!$I$448*'SCHG2-19'!$K$15)+'SCHG2-19'!$I$448)*'SCHG2-19'!$M$15)))</f>
        <v>0</v>
      </c>
      <c r="BA27" s="261">
        <f>((+AK27/($AM$98+$Y$178)*((('SCHG2-19'!$I$448*'SCHG2-19'!$K$15)+'SCHG2-19'!$I$448)*'SCHG2-19'!$M$15)))</f>
        <v>217.22985146738344</v>
      </c>
      <c r="BB27" s="261">
        <f>((+AL27/($AM$98+$Y$178)*((('SCHG2-19'!$I$448*'SCHG2-19'!$K$15)+'SCHG2-19'!$I$448)*'SCHG2-19'!$M$15)))</f>
        <v>868.91940586953376</v>
      </c>
      <c r="BC27" s="185">
        <f t="shared" si="28"/>
        <v>1086.1492573369171</v>
      </c>
      <c r="BD27" s="261">
        <f>(+V27/$Y$98)*('SCHG2-19'!$K$448-'SCHG2-19'!$I$448-'IRR 202 Detail '!$AY$98)</f>
        <v>0</v>
      </c>
      <c r="BE27" s="261">
        <f>(+W27/$Y$98)*('SCHG2-19'!$K$448-'SCHG2-19'!$I$448-'IRR 202 Detail '!$AY$98)</f>
        <v>466.74548506831553</v>
      </c>
      <c r="BF27" s="261">
        <f>(+X27/$Y$98)*('SCHG2-19'!$K$448-'SCHG2-19'!$I$448-'IRR 202 Detail '!$AY$98)</f>
        <v>1866.9819402732621</v>
      </c>
      <c r="BG27" s="185">
        <f t="shared" si="29"/>
        <v>2333.7274253415776</v>
      </c>
      <c r="BH27" s="261">
        <f>(+AJ27/($AM$98+$Y$178))*('SCHG2-19'!$M$448-'SCHG2-19'!$K$448-'IRR 202 Detail '!$BC$98-'IRR 202 Detail '!$AQ$178)</f>
        <v>0</v>
      </c>
      <c r="BI27" s="261">
        <f>(+AK27/($AM$98+$Y$178))*('SCHG2-19'!$M$448-'SCHG2-19'!$K$448-'IRR 202 Detail '!$BC$98-'IRR 202 Detail '!$AQ$178)</f>
        <v>838.32973835830467</v>
      </c>
      <c r="BJ27" s="261">
        <f>(+AL27/($AM$98+$Y$178))*('SCHG2-19'!$M$448-'SCHG2-19'!$K$448-'IRR 202 Detail '!$BC$98-'IRR 202 Detail '!$AQ$178)</f>
        <v>3353.3189534332187</v>
      </c>
      <c r="BK27" s="185">
        <f t="shared" si="30"/>
        <v>4191.6486917915236</v>
      </c>
      <c r="BL27" s="192"/>
      <c r="BM27" s="183"/>
      <c r="BN27" s="90"/>
      <c r="BO27" s="192"/>
      <c r="BP27" s="192"/>
      <c r="BQ27" s="192"/>
      <c r="BR27" s="192"/>
      <c r="BS27" s="192">
        <f t="shared" si="16"/>
        <v>1.8189894035458565E-12</v>
      </c>
      <c r="BT27" s="192">
        <f t="shared" si="31"/>
        <v>0</v>
      </c>
      <c r="BU27" s="192">
        <f t="shared" si="32"/>
        <v>0</v>
      </c>
      <c r="BV27" s="192"/>
      <c r="BW27" s="192"/>
      <c r="BX27" s="192"/>
      <c r="BY27" s="192"/>
    </row>
    <row r="28" spans="1:77" x14ac:dyDescent="0.25">
      <c r="A28" s="88"/>
      <c r="B28" s="88"/>
      <c r="D28" s="83"/>
      <c r="E28" s="162" t="s">
        <v>286</v>
      </c>
      <c r="F28" s="182" t="s">
        <v>307</v>
      </c>
      <c r="G28" s="182"/>
      <c r="H28" s="191" t="s">
        <v>228</v>
      </c>
      <c r="I28" s="190" t="s">
        <v>270</v>
      </c>
      <c r="J28" s="185">
        <v>170358.76671439499</v>
      </c>
      <c r="K28" s="189">
        <v>3</v>
      </c>
      <c r="L28" s="188">
        <v>45231</v>
      </c>
      <c r="M28" s="150">
        <v>1</v>
      </c>
      <c r="N28" s="150">
        <v>0</v>
      </c>
      <c r="O28" s="150">
        <f t="shared" si="0"/>
        <v>1</v>
      </c>
      <c r="P28" s="187"/>
      <c r="Q28" s="186">
        <f t="shared" si="1"/>
        <v>0.16666666666666666</v>
      </c>
      <c r="R28" s="152">
        <v>3</v>
      </c>
      <c r="S28" s="150">
        <v>0</v>
      </c>
      <c r="T28" s="150">
        <v>1</v>
      </c>
      <c r="U28" s="150">
        <f t="shared" si="33"/>
        <v>1</v>
      </c>
      <c r="V28" s="260">
        <v>0</v>
      </c>
      <c r="W28" s="260">
        <f t="shared" si="3"/>
        <v>0</v>
      </c>
      <c r="X28" s="260">
        <f t="shared" si="4"/>
        <v>28393.127785732497</v>
      </c>
      <c r="Y28" s="185">
        <f t="shared" si="5"/>
        <v>28393.127785732497</v>
      </c>
      <c r="Z28">
        <v>903</v>
      </c>
      <c r="AA28" s="184">
        <f t="shared" si="6"/>
        <v>170358.76671439499</v>
      </c>
      <c r="AB28" s="184">
        <f t="shared" si="17"/>
        <v>0</v>
      </c>
      <c r="AC28" s="184">
        <f t="shared" si="18"/>
        <v>0</v>
      </c>
      <c r="AD28" s="184">
        <f>+AA28*(1+'SCHG2-19'!$M$12)</f>
        <v>178876.70505011475</v>
      </c>
      <c r="AE28" s="184">
        <f>+AB28*(1+'SCHG2-19'!$M$12)</f>
        <v>0</v>
      </c>
      <c r="AF28" s="184">
        <f>+AC28*(1+'SCHG2-19'!$M$12)</f>
        <v>0</v>
      </c>
      <c r="AH28" s="260"/>
      <c r="AJ28" s="261">
        <f>($J28*(1+'SCHG2-19'!$M$12))*$N28</f>
        <v>0</v>
      </c>
      <c r="AK28" s="261">
        <f>($J28*(1+'SCHG2-19'!$M$12))*$M28*S28</f>
        <v>0</v>
      </c>
      <c r="AL28" s="261">
        <f>($J28*(1+'SCHG2-19'!$M$12))*$M28*T28</f>
        <v>178876.70505011475</v>
      </c>
      <c r="AM28" s="185">
        <f t="shared" si="19"/>
        <v>178876.70505011475</v>
      </c>
      <c r="AN28" s="261">
        <f t="shared" si="20"/>
        <v>0</v>
      </c>
      <c r="AO28" s="261">
        <f t="shared" si="21"/>
        <v>0</v>
      </c>
      <c r="AP28" s="261">
        <f t="shared" si="22"/>
        <v>2271.4502228585998</v>
      </c>
      <c r="AQ28" s="185">
        <f t="shared" si="23"/>
        <v>2271.4502228585998</v>
      </c>
      <c r="AR28" s="261">
        <f t="shared" si="24"/>
        <v>0</v>
      </c>
      <c r="AS28" s="261">
        <f t="shared" si="25"/>
        <v>0</v>
      </c>
      <c r="AT28" s="261">
        <f t="shared" si="26"/>
        <v>14310.136404009179</v>
      </c>
      <c r="AU28" s="185">
        <f t="shared" si="27"/>
        <v>14310.136404009179</v>
      </c>
      <c r="AV28" s="261">
        <f>(+V28/$Y$98)*('SCHG2-19'!$I$448*'SCHG2-19'!$K$15)</f>
        <v>0</v>
      </c>
      <c r="AW28" s="261">
        <f>(+W28/$Y$98)*('SCHG2-19'!$I$448*'SCHG2-19'!$K$15)</f>
        <v>0</v>
      </c>
      <c r="AX28" s="261">
        <f>(+X28/$Y$98)*('SCHG2-19'!$I$448*'SCHG2-19'!$K$15)</f>
        <v>2947.06016893174</v>
      </c>
      <c r="AY28" s="185">
        <f t="shared" si="12"/>
        <v>2947.06016893174</v>
      </c>
      <c r="AZ28" s="261">
        <f>((+AJ28/($AM$98+$Y$178)*((('SCHG2-19'!$I$448*'SCHG2-19'!$K$15)+'SCHG2-19'!$I$448)*'SCHG2-19'!$M$15)))</f>
        <v>0</v>
      </c>
      <c r="BA28" s="261">
        <f>((+AK28/($AM$98+$Y$178)*((('SCHG2-19'!$I$448*'SCHG2-19'!$K$15)+'SCHG2-19'!$I$448)*'SCHG2-19'!$M$15)))</f>
        <v>0</v>
      </c>
      <c r="BB28" s="261">
        <f>((+AL28/($AM$98+$Y$178)*((('SCHG2-19'!$I$448*'SCHG2-19'!$K$15)+'SCHG2-19'!$I$448)*'SCHG2-19'!$M$15)))</f>
        <v>3258.4477720107516</v>
      </c>
      <c r="BC28" s="185">
        <f t="shared" si="28"/>
        <v>3258.4477720107516</v>
      </c>
      <c r="BD28" s="261">
        <f>(+V28/$Y$98)*('SCHG2-19'!$K$448-'SCHG2-19'!$I$448-'IRR 202 Detail '!$AY$98)</f>
        <v>0</v>
      </c>
      <c r="BE28" s="261">
        <f>(+W28/$Y$98)*('SCHG2-19'!$K$448-'SCHG2-19'!$I$448-'IRR 202 Detail '!$AY$98)</f>
        <v>0</v>
      </c>
      <c r="BF28" s="261">
        <f>(+X28/$Y$98)*('SCHG2-19'!$K$448-'SCHG2-19'!$I$448-'IRR 202 Detail '!$AY$98)</f>
        <v>7001.1822760247323</v>
      </c>
      <c r="BG28" s="185">
        <f t="shared" si="29"/>
        <v>7001.1822760247323</v>
      </c>
      <c r="BH28" s="261">
        <f>(+AJ28/($AM$98+$Y$178))*('SCHG2-19'!$M$448-'SCHG2-19'!$K$448-'IRR 202 Detail '!$BC$98-'IRR 202 Detail '!$AQ$178)</f>
        <v>0</v>
      </c>
      <c r="BI28" s="261">
        <f>(+AK28/($AM$98+$Y$178))*('SCHG2-19'!$M$448-'SCHG2-19'!$K$448-'IRR 202 Detail '!$BC$98-'IRR 202 Detail '!$AQ$178)</f>
        <v>0</v>
      </c>
      <c r="BJ28" s="261">
        <f>(+AL28/($AM$98+$Y$178))*('SCHG2-19'!$M$448-'SCHG2-19'!$K$448-'IRR 202 Detail '!$BC$98-'IRR 202 Detail '!$AQ$178)</f>
        <v>12574.946075374568</v>
      </c>
      <c r="BK28" s="185">
        <f t="shared" si="30"/>
        <v>12574.946075374568</v>
      </c>
      <c r="BL28" s="192"/>
      <c r="BM28" s="183"/>
      <c r="BN28" s="90"/>
      <c r="BO28" s="192"/>
      <c r="BP28" s="192"/>
      <c r="BQ28" s="192"/>
      <c r="BR28" s="192"/>
      <c r="BS28" s="192">
        <f t="shared" si="16"/>
        <v>0</v>
      </c>
      <c r="BT28" s="192">
        <f t="shared" si="31"/>
        <v>0</v>
      </c>
      <c r="BU28" s="192">
        <f t="shared" si="32"/>
        <v>0</v>
      </c>
      <c r="BV28" s="192"/>
      <c r="BW28" s="192"/>
      <c r="BX28" s="192"/>
      <c r="BY28" s="192"/>
    </row>
    <row r="29" spans="1:77" x14ac:dyDescent="0.25">
      <c r="A29" s="88"/>
      <c r="B29" s="88"/>
      <c r="D29" s="83"/>
      <c r="E29" s="162"/>
      <c r="F29" s="182"/>
      <c r="G29" s="182"/>
      <c r="H29" s="191" t="s">
        <v>229</v>
      </c>
      <c r="I29" s="190" t="s">
        <v>270</v>
      </c>
      <c r="J29" s="185">
        <v>67435.215188460003</v>
      </c>
      <c r="K29" s="189">
        <v>1</v>
      </c>
      <c r="L29" s="188">
        <v>45232</v>
      </c>
      <c r="M29" s="150">
        <v>1</v>
      </c>
      <c r="N29" s="150">
        <v>0</v>
      </c>
      <c r="O29" s="150">
        <f t="shared" si="0"/>
        <v>1</v>
      </c>
      <c r="P29" s="187"/>
      <c r="Q29" s="186">
        <f t="shared" si="1"/>
        <v>0.16666666666666666</v>
      </c>
      <c r="R29" s="152">
        <v>4</v>
      </c>
      <c r="S29" s="150">
        <v>0</v>
      </c>
      <c r="T29" s="150">
        <v>1</v>
      </c>
      <c r="U29" s="150">
        <f t="shared" si="33"/>
        <v>1</v>
      </c>
      <c r="V29" s="260">
        <v>0</v>
      </c>
      <c r="W29" s="260">
        <f t="shared" si="3"/>
        <v>0</v>
      </c>
      <c r="X29" s="260">
        <f t="shared" si="4"/>
        <v>11239.202531409999</v>
      </c>
      <c r="Y29" s="185">
        <f t="shared" si="5"/>
        <v>11239.202531409999</v>
      </c>
      <c r="Z29">
        <v>903</v>
      </c>
      <c r="AA29" s="184">
        <f t="shared" si="6"/>
        <v>67435.215188460003</v>
      </c>
      <c r="AB29" s="184">
        <f t="shared" si="17"/>
        <v>0</v>
      </c>
      <c r="AC29" s="184">
        <f t="shared" si="18"/>
        <v>0</v>
      </c>
      <c r="AD29" s="184">
        <f>+AA29*(1+'SCHG2-19'!$M$12)</f>
        <v>70806.975947883009</v>
      </c>
      <c r="AE29" s="184">
        <f>+AB29*(1+'SCHG2-19'!$M$12)</f>
        <v>0</v>
      </c>
      <c r="AF29" s="184">
        <f>+AC29*(1+'SCHG2-19'!$M$12)</f>
        <v>0</v>
      </c>
      <c r="AH29" s="260"/>
      <c r="AJ29" s="261">
        <f>($J29*(1+'SCHG2-19'!$M$12))*$N29</f>
        <v>0</v>
      </c>
      <c r="AK29" s="261">
        <f>($J29*(1+'SCHG2-19'!$M$12))*$M29*S29</f>
        <v>0</v>
      </c>
      <c r="AL29" s="261">
        <f>($J29*(1+'SCHG2-19'!$M$12))*$M29*T29</f>
        <v>70806.975947883009</v>
      </c>
      <c r="AM29" s="185">
        <f t="shared" si="19"/>
        <v>70806.975947883009</v>
      </c>
      <c r="AN29" s="261">
        <f t="shared" si="20"/>
        <v>0</v>
      </c>
      <c r="AO29" s="261">
        <f t="shared" si="21"/>
        <v>0</v>
      </c>
      <c r="AP29" s="261">
        <f t="shared" si="22"/>
        <v>899.13620251279997</v>
      </c>
      <c r="AQ29" s="185">
        <f t="shared" si="23"/>
        <v>899.13620251279997</v>
      </c>
      <c r="AR29" s="261">
        <f t="shared" si="24"/>
        <v>0</v>
      </c>
      <c r="AS29" s="261">
        <f t="shared" si="25"/>
        <v>0</v>
      </c>
      <c r="AT29" s="261">
        <f t="shared" si="26"/>
        <v>5664.5580758306405</v>
      </c>
      <c r="AU29" s="185">
        <f t="shared" si="27"/>
        <v>5664.5580758306405</v>
      </c>
      <c r="AV29" s="261">
        <f>(+V29/$Y$98)*('SCHG2-19'!$I$448*'SCHG2-19'!$K$15)</f>
        <v>0</v>
      </c>
      <c r="AW29" s="261">
        <f>(+W29/$Y$98)*('SCHG2-19'!$I$448*'SCHG2-19'!$K$15)</f>
        <v>0</v>
      </c>
      <c r="AX29" s="261">
        <f>(+X29/$Y$98)*('SCHG2-19'!$I$448*'SCHG2-19'!$K$15)</f>
        <v>1166.5712337447812</v>
      </c>
      <c r="AY29" s="185">
        <f t="shared" si="12"/>
        <v>1166.5712337447812</v>
      </c>
      <c r="AZ29" s="261">
        <f>((+AJ29/($AM$98+$Y$178)*((('SCHG2-19'!$I$448*'SCHG2-19'!$K$15)+'SCHG2-19'!$I$448)*'SCHG2-19'!$M$15)))</f>
        <v>0</v>
      </c>
      <c r="BA29" s="261">
        <f>((+AK29/($AM$98+$Y$178)*((('SCHG2-19'!$I$448*'SCHG2-19'!$K$15)+'SCHG2-19'!$I$448)*'SCHG2-19'!$M$15)))</f>
        <v>0</v>
      </c>
      <c r="BB29" s="261">
        <f>((+AL29/($AM$98+$Y$178)*((('SCHG2-19'!$I$448*'SCHG2-19'!$K$15)+'SCHG2-19'!$I$448)*'SCHG2-19'!$M$15)))</f>
        <v>1289.831635458394</v>
      </c>
      <c r="BC29" s="185">
        <f t="shared" si="28"/>
        <v>1289.831635458394</v>
      </c>
      <c r="BD29" s="261">
        <f>(+V29/$Y$98)*('SCHG2-19'!$K$448-'SCHG2-19'!$I$448-'IRR 202 Detail '!$AY$98)</f>
        <v>0</v>
      </c>
      <c r="BE29" s="261">
        <f>(+W29/$Y$98)*('SCHG2-19'!$K$448-'SCHG2-19'!$I$448-'IRR 202 Detail '!$AY$98)</f>
        <v>0</v>
      </c>
      <c r="BF29" s="261">
        <f>(+X29/$Y$98)*('SCHG2-19'!$K$448-'SCHG2-19'!$I$448-'IRR 202 Detail '!$AY$98)</f>
        <v>2771.3644707752287</v>
      </c>
      <c r="BG29" s="185">
        <f t="shared" si="29"/>
        <v>2771.3644707752287</v>
      </c>
      <c r="BH29" s="261">
        <f>(+AJ29/($AM$98+$Y$178))*('SCHG2-19'!$M$448-'SCHG2-19'!$K$448-'IRR 202 Detail '!$BC$98-'IRR 202 Detail '!$AQ$178)</f>
        <v>0</v>
      </c>
      <c r="BI29" s="261">
        <f>(+AK29/($AM$98+$Y$178))*('SCHG2-19'!$M$448-'SCHG2-19'!$K$448-'IRR 202 Detail '!$BC$98-'IRR 202 Detail '!$AQ$178)</f>
        <v>0</v>
      </c>
      <c r="BJ29" s="261">
        <f>(+AL29/($AM$98+$Y$178))*('SCHG2-19'!$M$448-'SCHG2-19'!$K$448-'IRR 202 Detail '!$BC$98-'IRR 202 Detail '!$AQ$178)</f>
        <v>4977.6962520386151</v>
      </c>
      <c r="BK29" s="185">
        <f t="shared" si="30"/>
        <v>4977.6962520386151</v>
      </c>
      <c r="BL29" s="192"/>
      <c r="BM29" s="183"/>
      <c r="BN29" s="90"/>
      <c r="BO29" s="192"/>
      <c r="BP29" s="192"/>
      <c r="BQ29" s="192"/>
      <c r="BR29" s="192"/>
      <c r="BS29" s="192">
        <f t="shared" si="16"/>
        <v>0</v>
      </c>
      <c r="BT29" s="192">
        <f t="shared" si="31"/>
        <v>0</v>
      </c>
      <c r="BU29" s="192">
        <f t="shared" si="32"/>
        <v>0</v>
      </c>
      <c r="BV29" s="192"/>
      <c r="BW29" s="192"/>
      <c r="BX29" s="192"/>
      <c r="BY29" s="192"/>
    </row>
    <row r="30" spans="1:77" x14ac:dyDescent="0.25">
      <c r="C30" t="s">
        <v>306</v>
      </c>
      <c r="E30"/>
      <c r="F30" s="182"/>
      <c r="G30" s="182"/>
      <c r="H30" s="191" t="s">
        <v>229</v>
      </c>
      <c r="I30" s="190" t="s">
        <v>270</v>
      </c>
      <c r="J30" s="185">
        <v>77867.235382545012</v>
      </c>
      <c r="K30" s="189">
        <v>1</v>
      </c>
      <c r="L30" s="188">
        <v>44927</v>
      </c>
      <c r="M30" s="150">
        <v>1</v>
      </c>
      <c r="N30" s="150">
        <v>0</v>
      </c>
      <c r="O30" s="150">
        <f t="shared" si="0"/>
        <v>1</v>
      </c>
      <c r="P30" s="187"/>
      <c r="Q30" s="186">
        <f t="shared" si="1"/>
        <v>1</v>
      </c>
      <c r="R30" s="152">
        <v>5</v>
      </c>
      <c r="S30" s="150">
        <v>0</v>
      </c>
      <c r="T30" s="150">
        <v>1</v>
      </c>
      <c r="U30" s="150">
        <f t="shared" si="33"/>
        <v>1</v>
      </c>
      <c r="V30" s="260">
        <v>0</v>
      </c>
      <c r="W30" s="260">
        <f t="shared" si="3"/>
        <v>0</v>
      </c>
      <c r="X30" s="260">
        <f t="shared" si="4"/>
        <v>77867.235382545012</v>
      </c>
      <c r="Y30" s="185">
        <f t="shared" si="5"/>
        <v>77867.235382545012</v>
      </c>
      <c r="Z30">
        <v>903</v>
      </c>
      <c r="AA30" s="184">
        <f t="shared" si="6"/>
        <v>77867.235382545012</v>
      </c>
      <c r="AB30" s="184">
        <f t="shared" si="17"/>
        <v>0</v>
      </c>
      <c r="AC30" s="184">
        <f t="shared" si="18"/>
        <v>0</v>
      </c>
      <c r="AD30" s="184">
        <f>+AA30*(1+'SCHG2-19'!$M$12)</f>
        <v>81760.597151672264</v>
      </c>
      <c r="AE30" s="184">
        <f>+AB30*(1+'SCHG2-19'!$M$12)</f>
        <v>0</v>
      </c>
      <c r="AF30" s="184">
        <f>+AC30*(1+'SCHG2-19'!$M$12)</f>
        <v>0</v>
      </c>
      <c r="AH30" s="156"/>
      <c r="AJ30" s="261">
        <f>($J30*(1+'SCHG2-19'!$M$12))*$N30</f>
        <v>0</v>
      </c>
      <c r="AK30" s="261">
        <f>($J30*(1+'SCHG2-19'!$M$12))*$M30*S30</f>
        <v>0</v>
      </c>
      <c r="AL30" s="261">
        <f>($J30*(1+'SCHG2-19'!$M$12))*$M30*T30</f>
        <v>81760.597151672264</v>
      </c>
      <c r="AM30" s="185">
        <f t="shared" si="19"/>
        <v>81760.597151672264</v>
      </c>
      <c r="AN30" s="261">
        <f t="shared" si="20"/>
        <v>0</v>
      </c>
      <c r="AO30" s="261">
        <f t="shared" si="21"/>
        <v>0</v>
      </c>
      <c r="AP30" s="261">
        <f t="shared" si="22"/>
        <v>6229.3788306036013</v>
      </c>
      <c r="AQ30" s="185">
        <f t="shared" si="23"/>
        <v>6229.3788306036013</v>
      </c>
      <c r="AR30" s="261">
        <f t="shared" si="24"/>
        <v>0</v>
      </c>
      <c r="AS30" s="261">
        <f t="shared" si="25"/>
        <v>0</v>
      </c>
      <c r="AT30" s="261">
        <f t="shared" si="26"/>
        <v>6540.8477721337813</v>
      </c>
      <c r="AU30" s="185">
        <f t="shared" si="27"/>
        <v>6540.8477721337813</v>
      </c>
      <c r="AV30" s="261">
        <f>(+V30/$Y$98)*('SCHG2-19'!$I$448*'SCHG2-19'!$K$15)</f>
        <v>0</v>
      </c>
      <c r="AW30" s="261">
        <f>(+W30/$Y$98)*('SCHG2-19'!$I$448*'SCHG2-19'!$K$15)</f>
        <v>0</v>
      </c>
      <c r="AX30" s="261">
        <f>(+X30/$Y$98)*('SCHG2-19'!$I$448*'SCHG2-19'!$K$15)</f>
        <v>8082.217274281551</v>
      </c>
      <c r="AY30" s="185">
        <f t="shared" si="12"/>
        <v>8082.217274281551</v>
      </c>
      <c r="AZ30" s="261">
        <f>((+AJ30/($AM$98+$Y$178)*((('SCHG2-19'!$I$448*'SCHG2-19'!$K$15)+'SCHG2-19'!$I$448)*'SCHG2-19'!$M$15)))</f>
        <v>0</v>
      </c>
      <c r="BA30" s="261">
        <f>((+AK30/($AM$98+$Y$178)*((('SCHG2-19'!$I$448*'SCHG2-19'!$K$15)+'SCHG2-19'!$I$448)*'SCHG2-19'!$M$15)))</f>
        <v>0</v>
      </c>
      <c r="BB30" s="261">
        <f>((+AL30/($AM$98+$Y$178)*((('SCHG2-19'!$I$448*'SCHG2-19'!$K$15)+'SCHG2-19'!$I$448)*'SCHG2-19'!$M$15)))</f>
        <v>1489.3646187886563</v>
      </c>
      <c r="BC30" s="185">
        <f t="shared" si="28"/>
        <v>1489.3646187886563</v>
      </c>
      <c r="BD30" s="261">
        <f>(+V30/$Y$98)*('SCHG2-19'!$K$448-'SCHG2-19'!$I$448-'IRR 202 Detail '!$AY$98)</f>
        <v>0</v>
      </c>
      <c r="BE30" s="261">
        <f>(+W30/$Y$98)*('SCHG2-19'!$K$448-'SCHG2-19'!$I$448-'IRR 202 Detail '!$AY$98)</f>
        <v>0</v>
      </c>
      <c r="BF30" s="261">
        <f>(+X30/$Y$98)*('SCHG2-19'!$K$448-'SCHG2-19'!$I$448-'IRR 202 Detail '!$AY$98)</f>
        <v>19200.516137474064</v>
      </c>
      <c r="BG30" s="185">
        <f t="shared" si="29"/>
        <v>19200.516137474064</v>
      </c>
      <c r="BH30" s="261">
        <f>(+AJ30/($AM$98+$Y$178))*('SCHG2-19'!$M$448-'SCHG2-19'!$K$448-'IRR 202 Detail '!$BC$98-'IRR 202 Detail '!$AQ$178)</f>
        <v>0</v>
      </c>
      <c r="BI30" s="261">
        <f>(+AK30/($AM$98+$Y$178))*('SCHG2-19'!$M$448-'SCHG2-19'!$K$448-'IRR 202 Detail '!$BC$98-'IRR 202 Detail '!$AQ$178)</f>
        <v>0</v>
      </c>
      <c r="BJ30" s="261">
        <f>(+AL30/($AM$98+$Y$178))*('SCHG2-19'!$M$448-'SCHG2-19'!$K$448-'IRR 202 Detail '!$BC$98-'IRR 202 Detail '!$AQ$178)</f>
        <v>5747.7305386671578</v>
      </c>
      <c r="BK30" s="185">
        <f t="shared" si="30"/>
        <v>5747.7305386671578</v>
      </c>
      <c r="BL30" s="159"/>
      <c r="BM30" s="156"/>
      <c r="BN30" s="156"/>
      <c r="BO30" s="159"/>
      <c r="BP30" s="156"/>
      <c r="BQ30" s="156"/>
      <c r="BR30" s="156"/>
      <c r="BS30" s="192">
        <f t="shared" si="16"/>
        <v>0</v>
      </c>
      <c r="BT30" s="192">
        <f t="shared" si="31"/>
        <v>0</v>
      </c>
      <c r="BU30" s="192">
        <f t="shared" si="32"/>
        <v>0</v>
      </c>
      <c r="BV30" s="192"/>
      <c r="BW30" s="192"/>
      <c r="BX30" s="192"/>
      <c r="BY30" s="192"/>
    </row>
    <row r="31" spans="1:77" x14ac:dyDescent="0.25">
      <c r="E31"/>
      <c r="F31" s="182"/>
      <c r="G31" s="182"/>
      <c r="H31" s="191" t="s">
        <v>230</v>
      </c>
      <c r="I31" s="190" t="s">
        <v>270</v>
      </c>
      <c r="J31" s="185">
        <v>127680.63578256001</v>
      </c>
      <c r="K31" s="189">
        <v>1</v>
      </c>
      <c r="L31" s="188">
        <v>45200</v>
      </c>
      <c r="M31" s="150">
        <v>1</v>
      </c>
      <c r="N31" s="150">
        <v>0</v>
      </c>
      <c r="O31" s="150">
        <f t="shared" si="0"/>
        <v>1</v>
      </c>
      <c r="P31" s="187"/>
      <c r="Q31" s="186">
        <f t="shared" si="1"/>
        <v>0.25</v>
      </c>
      <c r="R31" s="152">
        <v>8</v>
      </c>
      <c r="S31" s="150">
        <v>0</v>
      </c>
      <c r="T31" s="150">
        <v>1</v>
      </c>
      <c r="U31" s="150">
        <f t="shared" si="33"/>
        <v>1</v>
      </c>
      <c r="V31" s="260">
        <v>0</v>
      </c>
      <c r="W31" s="260">
        <f t="shared" si="3"/>
        <v>0</v>
      </c>
      <c r="X31" s="260">
        <f t="shared" si="4"/>
        <v>31920.158945640003</v>
      </c>
      <c r="Y31" s="185">
        <f t="shared" si="5"/>
        <v>31920.158945640003</v>
      </c>
      <c r="Z31">
        <v>903</v>
      </c>
      <c r="AA31" s="184">
        <f t="shared" si="6"/>
        <v>127680.63578256001</v>
      </c>
      <c r="AB31" s="184">
        <f t="shared" si="17"/>
        <v>0</v>
      </c>
      <c r="AC31" s="184">
        <f t="shared" si="18"/>
        <v>0</v>
      </c>
      <c r="AD31" s="184">
        <f>+AA31*(1+'SCHG2-19'!$M$12)</f>
        <v>134064.66757168801</v>
      </c>
      <c r="AE31" s="184">
        <f>+AB31*(1+'SCHG2-19'!$M$12)</f>
        <v>0</v>
      </c>
      <c r="AF31" s="184">
        <f>+AC31*(1+'SCHG2-19'!$M$12)</f>
        <v>0</v>
      </c>
      <c r="AH31" s="153"/>
      <c r="AI31" s="153"/>
      <c r="AJ31" s="261">
        <f>($J31*(1+'SCHG2-19'!$M$12))*$N31</f>
        <v>0</v>
      </c>
      <c r="AK31" s="261">
        <f>($J31*(1+'SCHG2-19'!$M$12))*$M31*S31</f>
        <v>0</v>
      </c>
      <c r="AL31" s="261">
        <f>($J31*(1+'SCHG2-19'!$M$12))*$M31*T31</f>
        <v>134064.66757168801</v>
      </c>
      <c r="AM31" s="185">
        <f t="shared" si="19"/>
        <v>134064.66757168801</v>
      </c>
      <c r="AN31" s="261">
        <f t="shared" si="20"/>
        <v>0</v>
      </c>
      <c r="AO31" s="261">
        <f t="shared" si="21"/>
        <v>0</v>
      </c>
      <c r="AP31" s="261">
        <f t="shared" si="22"/>
        <v>2553.6127156512002</v>
      </c>
      <c r="AQ31" s="185">
        <f t="shared" si="23"/>
        <v>2553.6127156512002</v>
      </c>
      <c r="AR31" s="261">
        <f t="shared" si="24"/>
        <v>0</v>
      </c>
      <c r="AS31" s="261">
        <f t="shared" si="25"/>
        <v>0</v>
      </c>
      <c r="AT31" s="261">
        <f t="shared" si="26"/>
        <v>10725.17340573504</v>
      </c>
      <c r="AU31" s="185">
        <f t="shared" si="27"/>
        <v>10725.17340573504</v>
      </c>
      <c r="AV31" s="261">
        <f>(+V31/$Y$98)*('SCHG2-19'!$I$448*'SCHG2-19'!$K$15)</f>
        <v>0</v>
      </c>
      <c r="AW31" s="261">
        <f>(+W31/$Y$98)*('SCHG2-19'!$I$448*'SCHG2-19'!$K$15)</f>
        <v>0</v>
      </c>
      <c r="AX31" s="261">
        <f>(+X31/$Y$98)*('SCHG2-19'!$I$448*'SCHG2-19'!$K$15)</f>
        <v>3313.1478055029984</v>
      </c>
      <c r="AY31" s="185">
        <f t="shared" si="12"/>
        <v>3313.1478055029984</v>
      </c>
      <c r="AZ31" s="261">
        <f>((+AJ31/($AM$98+$Y$178)*((('SCHG2-19'!$I$448*'SCHG2-19'!$K$15)+'SCHG2-19'!$I$448)*'SCHG2-19'!$M$15)))</f>
        <v>0</v>
      </c>
      <c r="BA31" s="261">
        <f>((+AK31/($AM$98+$Y$178)*((('SCHG2-19'!$I$448*'SCHG2-19'!$K$15)+'SCHG2-19'!$I$448)*'SCHG2-19'!$M$15)))</f>
        <v>0</v>
      </c>
      <c r="BB31" s="261">
        <f>((+AL31/($AM$98+$Y$178)*((('SCHG2-19'!$I$448*'SCHG2-19'!$K$15)+'SCHG2-19'!$I$448)*'SCHG2-19'!$M$15)))</f>
        <v>2442.1442536742916</v>
      </c>
      <c r="BC31" s="185">
        <f t="shared" si="28"/>
        <v>2442.1442536742916</v>
      </c>
      <c r="BD31" s="261">
        <f>(+V31/$Y$98)*('SCHG2-19'!$K$448-'SCHG2-19'!$I$448-'IRR 202 Detail '!$AY$98)</f>
        <v>0</v>
      </c>
      <c r="BE31" s="261">
        <f>(+W31/$Y$98)*('SCHG2-19'!$K$448-'SCHG2-19'!$I$448-'IRR 202 Detail '!$AY$98)</f>
        <v>0</v>
      </c>
      <c r="BF31" s="261">
        <f>(+X31/$Y$98)*('SCHG2-19'!$K$448-'SCHG2-19'!$I$448-'IRR 202 Detail '!$AY$98)</f>
        <v>7870.8782190035745</v>
      </c>
      <c r="BG31" s="185">
        <f t="shared" si="29"/>
        <v>7870.8782190035745</v>
      </c>
      <c r="BH31" s="261">
        <f>(+AJ31/($AM$98+$Y$178))*('SCHG2-19'!$M$448-'SCHG2-19'!$K$448-'IRR 202 Detail '!$BC$98-'IRR 202 Detail '!$AQ$178)</f>
        <v>0</v>
      </c>
      <c r="BI31" s="261">
        <f>(+AK31/($AM$98+$Y$178))*('SCHG2-19'!$M$448-'SCHG2-19'!$K$448-'IRR 202 Detail '!$BC$98-'IRR 202 Detail '!$AQ$178)</f>
        <v>0</v>
      </c>
      <c r="BJ31" s="261">
        <f>(+AL31/($AM$98+$Y$178))*('SCHG2-19'!$M$448-'SCHG2-19'!$K$448-'IRR 202 Detail '!$BC$98-'IRR 202 Detail '!$AQ$178)</f>
        <v>9424.6814578492995</v>
      </c>
      <c r="BK31" s="185">
        <f t="shared" si="30"/>
        <v>9424.6814578492995</v>
      </c>
      <c r="BL31" s="153"/>
      <c r="BM31" s="153"/>
      <c r="BN31" s="153"/>
      <c r="BO31" s="153"/>
      <c r="BP31" s="153"/>
      <c r="BQ31" s="153"/>
      <c r="BR31" s="153"/>
      <c r="BS31" s="192">
        <f t="shared" si="16"/>
        <v>0</v>
      </c>
      <c r="BT31" s="192">
        <f t="shared" si="31"/>
        <v>0</v>
      </c>
      <c r="BU31" s="192">
        <f t="shared" si="32"/>
        <v>0</v>
      </c>
      <c r="BV31" s="192"/>
      <c r="BW31" s="192"/>
      <c r="BX31" s="192"/>
      <c r="BY31" s="192"/>
    </row>
    <row r="32" spans="1:77" x14ac:dyDescent="0.25">
      <c r="C32" t="s">
        <v>305</v>
      </c>
      <c r="D32" t="s">
        <v>352</v>
      </c>
      <c r="E32" s="162" t="s">
        <v>303</v>
      </c>
      <c r="F32" s="182" t="s">
        <v>302</v>
      </c>
      <c r="G32" s="182"/>
      <c r="H32" s="258" t="s">
        <v>367</v>
      </c>
      <c r="I32" s="257"/>
      <c r="J32" s="252">
        <f>SUM(J7:J31)</f>
        <v>2361171.2674634699</v>
      </c>
      <c r="K32" s="256">
        <f>SUM(K7:K31)</f>
        <v>38</v>
      </c>
      <c r="L32" s="255"/>
      <c r="M32" s="254"/>
      <c r="N32" s="254"/>
      <c r="O32" s="254"/>
      <c r="P32" s="254"/>
      <c r="Q32" s="254"/>
      <c r="R32" s="254"/>
      <c r="S32" s="253"/>
      <c r="T32" s="253"/>
      <c r="U32" s="253"/>
      <c r="V32" s="252">
        <f>SUM(V7:V31)</f>
        <v>0</v>
      </c>
      <c r="W32" s="252">
        <f>SUM(W7:W31)</f>
        <v>145303.86383071807</v>
      </c>
      <c r="X32" s="252">
        <f>SUM(X7:X31)</f>
        <v>507535.56663076935</v>
      </c>
      <c r="Y32" s="252">
        <f>SUM(Y7:Y31)</f>
        <v>652839.4304614875</v>
      </c>
      <c r="AA32" s="252">
        <f t="shared" ref="AA32:AF32" si="34">SUM(AA7:AA31)</f>
        <v>1851954.8218849821</v>
      </c>
      <c r="AB32" s="252">
        <f t="shared" si="34"/>
        <v>509216.44557848829</v>
      </c>
      <c r="AC32" s="252">
        <f t="shared" si="34"/>
        <v>0</v>
      </c>
      <c r="AD32" s="252">
        <f t="shared" si="34"/>
        <v>1944552.5629792311</v>
      </c>
      <c r="AE32" s="252">
        <f t="shared" si="34"/>
        <v>534677.26785741257</v>
      </c>
      <c r="AF32" s="252">
        <f t="shared" si="34"/>
        <v>0</v>
      </c>
      <c r="AH32" s="260"/>
      <c r="AJ32" s="252">
        <f t="shared" ref="AJ32:BK32" si="35">SUM(AJ7:AJ31)</f>
        <v>0</v>
      </c>
      <c r="AK32" s="252">
        <f t="shared" si="35"/>
        <v>534677.26785741257</v>
      </c>
      <c r="AL32" s="252">
        <f t="shared" si="35"/>
        <v>1944552.5629792311</v>
      </c>
      <c r="AM32" s="252">
        <f t="shared" si="35"/>
        <v>2479229.8308366439</v>
      </c>
      <c r="AN32" s="252">
        <f t="shared" si="35"/>
        <v>0</v>
      </c>
      <c r="AO32" s="252">
        <f t="shared" si="35"/>
        <v>11624.309106457447</v>
      </c>
      <c r="AP32" s="252">
        <f t="shared" si="35"/>
        <v>40602.845330461561</v>
      </c>
      <c r="AQ32" s="252">
        <f t="shared" si="35"/>
        <v>52227.154436918987</v>
      </c>
      <c r="AR32" s="252">
        <f t="shared" si="35"/>
        <v>0</v>
      </c>
      <c r="AS32" s="252">
        <f t="shared" si="35"/>
        <v>42774.181428593001</v>
      </c>
      <c r="AT32" s="252">
        <f t="shared" si="35"/>
        <v>155564.20503833849</v>
      </c>
      <c r="AU32" s="252">
        <f t="shared" si="35"/>
        <v>198338.38646693144</v>
      </c>
      <c r="AV32" s="252">
        <f t="shared" si="35"/>
        <v>0</v>
      </c>
      <c r="AW32" s="252">
        <f t="shared" si="35"/>
        <v>15081.7913658167</v>
      </c>
      <c r="AX32" s="252">
        <f t="shared" si="35"/>
        <v>52679.573170707445</v>
      </c>
      <c r="AY32" s="252">
        <f t="shared" si="35"/>
        <v>67761.364536524139</v>
      </c>
      <c r="AZ32" s="252">
        <f t="shared" si="35"/>
        <v>0</v>
      </c>
      <c r="BA32" s="252">
        <f t="shared" si="35"/>
        <v>9739.7699253610244</v>
      </c>
      <c r="BB32" s="252">
        <f t="shared" si="35"/>
        <v>35422.292492598695</v>
      </c>
      <c r="BC32" s="252">
        <f t="shared" si="35"/>
        <v>45162.062417959729</v>
      </c>
      <c r="BD32" s="252">
        <f t="shared" si="35"/>
        <v>0</v>
      </c>
      <c r="BE32" s="252">
        <f t="shared" si="35"/>
        <v>35829.051443945733</v>
      </c>
      <c r="BF32" s="252">
        <f t="shared" si="35"/>
        <v>125148.2062970556</v>
      </c>
      <c r="BG32" s="252">
        <f t="shared" si="35"/>
        <v>160977.25774100138</v>
      </c>
      <c r="BH32" s="252">
        <f t="shared" si="35"/>
        <v>0</v>
      </c>
      <c r="BI32" s="252">
        <f t="shared" si="35"/>
        <v>37587.554003478981</v>
      </c>
      <c r="BJ32" s="252">
        <f t="shared" si="35"/>
        <v>136701.10713043658</v>
      </c>
      <c r="BK32" s="252">
        <f t="shared" si="35"/>
        <v>174288.66113391556</v>
      </c>
      <c r="BL32" s="192"/>
      <c r="BM32" s="183"/>
      <c r="BN32" s="90"/>
      <c r="BO32" s="192"/>
      <c r="BP32" s="192"/>
      <c r="BQ32" s="192"/>
      <c r="BR32" s="192"/>
      <c r="BS32" s="192">
        <f t="shared" si="16"/>
        <v>2.3283064365386963E-10</v>
      </c>
      <c r="BT32" s="192">
        <f t="shared" si="31"/>
        <v>0</v>
      </c>
      <c r="BU32" s="192">
        <f t="shared" si="32"/>
        <v>0</v>
      </c>
      <c r="BV32" s="192"/>
      <c r="BW32" s="192"/>
      <c r="BX32" s="192"/>
      <c r="BY32" s="192"/>
    </row>
    <row r="33" spans="1:77" x14ac:dyDescent="0.25">
      <c r="C33" t="s">
        <v>305</v>
      </c>
      <c r="D33" t="s">
        <v>352</v>
      </c>
      <c r="E33" s="162" t="s">
        <v>303</v>
      </c>
      <c r="F33" s="182" t="s">
        <v>302</v>
      </c>
      <c r="G33" s="143"/>
      <c r="H33" s="143"/>
      <c r="I33" s="212"/>
      <c r="J33" s="147"/>
      <c r="K33" s="154"/>
      <c r="L33" s="188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AH33" s="260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92"/>
      <c r="BM33" s="183"/>
      <c r="BN33" s="90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</row>
    <row r="34" spans="1:77" x14ac:dyDescent="0.25">
      <c r="A34" s="88"/>
      <c r="B34" s="88"/>
      <c r="C34" t="s">
        <v>305</v>
      </c>
      <c r="D34" t="s">
        <v>304</v>
      </c>
      <c r="E34" s="162" t="s">
        <v>303</v>
      </c>
      <c r="F34" s="182" t="s">
        <v>302</v>
      </c>
      <c r="G34" s="182"/>
      <c r="H34" s="191" t="s">
        <v>401</v>
      </c>
      <c r="I34" s="190">
        <v>38872</v>
      </c>
      <c r="J34" s="185">
        <v>67435.215188460003</v>
      </c>
      <c r="K34" s="189">
        <v>1</v>
      </c>
      <c r="L34" s="188">
        <v>45231</v>
      </c>
      <c r="M34" s="150">
        <v>1</v>
      </c>
      <c r="N34" s="150">
        <v>0</v>
      </c>
      <c r="O34" s="150">
        <f t="shared" ref="O34:O60" si="36">M34+N34</f>
        <v>1</v>
      </c>
      <c r="P34" s="187"/>
      <c r="Q34" s="186">
        <f t="shared" ref="Q34:Q60" si="37">((13-MONTH(L34)-$AI$5))/12</f>
        <v>0.16666666666666666</v>
      </c>
      <c r="R34" s="152">
        <v>4</v>
      </c>
      <c r="S34" s="150">
        <v>0.9</v>
      </c>
      <c r="T34" s="150">
        <v>0.1</v>
      </c>
      <c r="U34" s="150">
        <f t="shared" ref="U34:U60" si="38">+S34+T34</f>
        <v>1</v>
      </c>
      <c r="V34" s="147">
        <f>J34*N34*Q34</f>
        <v>0</v>
      </c>
      <c r="W34" s="147">
        <f t="shared" ref="W34:W60" si="39">J34*M34*Q34*S34</f>
        <v>10115.282278269</v>
      </c>
      <c r="X34" s="147">
        <f t="shared" ref="X34:X60" si="40">J34*M34*Q34*T34</f>
        <v>1123.9202531409999</v>
      </c>
      <c r="Y34" s="185">
        <f t="shared" ref="Y34:Y60" si="41">V34+W34+X34</f>
        <v>11239.202531409999</v>
      </c>
      <c r="Z34">
        <v>870</v>
      </c>
      <c r="AA34" s="184">
        <f t="shared" ref="AA34:AA60" si="42">+J34*M34*T34</f>
        <v>6743.5215188460006</v>
      </c>
      <c r="AB34" s="184">
        <f t="shared" ref="AB34:AB60" si="43">+J34*M34*S34</f>
        <v>60691.693669614004</v>
      </c>
      <c r="AC34" s="184">
        <f t="shared" ref="AC34:AC60" si="44">+J34*N34</f>
        <v>0</v>
      </c>
      <c r="AD34" s="184">
        <f>+AA34*(1+'SCHG2-19'!$M$12)</f>
        <v>7080.6975947883011</v>
      </c>
      <c r="AE34" s="184">
        <f>+AB34*(1+'SCHG2-19'!$M$12)</f>
        <v>63726.278353094705</v>
      </c>
      <c r="AF34" s="184">
        <f>+AC34*(1+'SCHG2-19'!$M$12)</f>
        <v>0</v>
      </c>
      <c r="AH34" s="260"/>
      <c r="AJ34" s="261">
        <f>($J34*(1+'SCHG2-19'!$M$12))*$N34</f>
        <v>0</v>
      </c>
      <c r="AK34" s="261">
        <f>($J34*(1+'SCHG2-19'!$M$12))*$M34*S34</f>
        <v>63726.278353094713</v>
      </c>
      <c r="AL34" s="261">
        <f>($J34*(1+'SCHG2-19'!$M$12))*$M34*T34</f>
        <v>7080.6975947883011</v>
      </c>
      <c r="AM34" s="185">
        <f t="shared" ref="AM34:AM60" si="45">AJ34+AK34+AL34</f>
        <v>70806.975947883009</v>
      </c>
      <c r="AN34" s="261">
        <f t="shared" ref="AN34:AN60" si="46">+V34*0.08</f>
        <v>0</v>
      </c>
      <c r="AO34" s="261">
        <f t="shared" ref="AO34:AO60" si="47">+W34*0.08</f>
        <v>809.22258226152007</v>
      </c>
      <c r="AP34" s="261">
        <f t="shared" ref="AP34:AP60" si="48">+X34*0.08</f>
        <v>89.913620251279994</v>
      </c>
      <c r="AQ34" s="185">
        <f t="shared" ref="AQ34:AQ60" si="49">AN34+AO34+AP34</f>
        <v>899.13620251280008</v>
      </c>
      <c r="AR34" s="261">
        <f t="shared" ref="AR34:AR60" si="50">+AJ34*0.08</f>
        <v>0</v>
      </c>
      <c r="AS34" s="261">
        <f t="shared" ref="AS34:AS60" si="51">+AK34*0.08</f>
        <v>5098.1022682475768</v>
      </c>
      <c r="AT34" s="261">
        <f t="shared" ref="AT34:AT60" si="52">+AL34*0.08</f>
        <v>566.45580758306414</v>
      </c>
      <c r="AU34" s="185">
        <f t="shared" ref="AU34:AU60" si="53">AR34+AS34+AT34</f>
        <v>5664.5580758306405</v>
      </c>
      <c r="AV34" s="261">
        <f>(+V34/$Y$98)*('SCHG2-19'!$I$448*'SCHG2-19'!$K$15)</f>
        <v>0</v>
      </c>
      <c r="AW34" s="261">
        <f>(+W34/$Y$98)*('SCHG2-19'!$I$448*'SCHG2-19'!$K$15)</f>
        <v>1049.9141103703034</v>
      </c>
      <c r="AX34" s="261">
        <f>(+X34/$Y$98)*('SCHG2-19'!$I$448*'SCHG2-19'!$K$15)</f>
        <v>116.65712337447815</v>
      </c>
      <c r="AY34" s="185">
        <f t="shared" ref="AY34:AY60" si="54">AV34+AW34+AX34</f>
        <v>1166.5712337447817</v>
      </c>
      <c r="AZ34" s="261">
        <f>((+AJ34/($AM$98+$Y$178)*((('SCHG2-19'!$I$448*'SCHG2-19'!$K$15)+'SCHG2-19'!$I$448)*'SCHG2-19'!$M$15)))</f>
        <v>0</v>
      </c>
      <c r="BA34" s="261">
        <f>((+AK34/($AM$98+$Y$178)*((('SCHG2-19'!$I$448*'SCHG2-19'!$K$15)+'SCHG2-19'!$I$448)*'SCHG2-19'!$M$15)))</f>
        <v>1160.8484719125547</v>
      </c>
      <c r="BB34" s="261">
        <f>((+AL34/($AM$98+$Y$178)*((('SCHG2-19'!$I$448*'SCHG2-19'!$K$15)+'SCHG2-19'!$I$448)*'SCHG2-19'!$M$15)))</f>
        <v>128.9831635458394</v>
      </c>
      <c r="BC34" s="185">
        <f t="shared" ref="BC34:BC60" si="55">AZ34+BA34+BB34</f>
        <v>1289.8316354583942</v>
      </c>
      <c r="BD34" s="261">
        <f>(+V34/$Y$98)*('SCHG2-19'!$K$448-'SCHG2-19'!$I$448-'IRR 202 Detail '!$AY$98)</f>
        <v>0</v>
      </c>
      <c r="BE34" s="261">
        <f>(+W34/$Y$98)*('SCHG2-19'!$K$448-'SCHG2-19'!$I$448-'IRR 202 Detail '!$AY$98)</f>
        <v>2494.2280236977062</v>
      </c>
      <c r="BF34" s="261">
        <f>(+X34/$Y$98)*('SCHG2-19'!$K$448-'SCHG2-19'!$I$448-'IRR 202 Detail '!$AY$98)</f>
        <v>277.13644707752292</v>
      </c>
      <c r="BG34" s="185">
        <f t="shared" ref="BG34:BG60" si="56">BD34+BE34+BF34</f>
        <v>2771.3644707752292</v>
      </c>
      <c r="BH34" s="261">
        <f>(+AJ34/($AM$98+$Y$178))*('SCHG2-19'!$M$448-'SCHG2-19'!$K$448-'IRR 202 Detail '!$BC$98-'IRR 202 Detail '!$AQ$178)</f>
        <v>0</v>
      </c>
      <c r="BI34" s="261">
        <f>(+AK34/($AM$98+$Y$178))*('SCHG2-19'!$M$448-'SCHG2-19'!$K$448-'IRR 202 Detail '!$BC$98-'IRR 202 Detail '!$AQ$178)</f>
        <v>4479.9266268347537</v>
      </c>
      <c r="BJ34" s="261">
        <f>(+AL34/($AM$98+$Y$178))*('SCHG2-19'!$M$448-'SCHG2-19'!$K$448-'IRR 202 Detail '!$BC$98-'IRR 202 Detail '!$AQ$178)</f>
        <v>497.76962520386155</v>
      </c>
      <c r="BK34" s="185">
        <f t="shared" ref="BK34:BK60" si="57">BH34+BI34+BJ34</f>
        <v>4977.6962520386151</v>
      </c>
      <c r="BL34" s="192"/>
      <c r="BM34" s="183"/>
      <c r="BN34" s="90"/>
      <c r="BO34" s="192"/>
      <c r="BP34" s="192"/>
      <c r="BQ34" s="192"/>
      <c r="BR34" s="192"/>
      <c r="BS34" s="192">
        <f t="shared" ref="BS34:BS61" si="58">+AM34-AD34-AE34-AF34</f>
        <v>0</v>
      </c>
      <c r="BT34" s="192">
        <f t="shared" ref="BT34:BT61" si="59">+Y34*0.08-AQ34</f>
        <v>0</v>
      </c>
      <c r="BU34" s="192">
        <f t="shared" ref="BU34:BU61" si="60">+AM34*0.08-AU34</f>
        <v>0</v>
      </c>
      <c r="BV34" s="192"/>
      <c r="BW34" s="192"/>
      <c r="BX34" s="192"/>
      <c r="BY34" s="192"/>
    </row>
    <row r="35" spans="1:77" x14ac:dyDescent="0.25">
      <c r="C35" t="s">
        <v>305</v>
      </c>
      <c r="D35" t="s">
        <v>352</v>
      </c>
      <c r="E35" s="162" t="s">
        <v>303</v>
      </c>
      <c r="F35" s="182" t="s">
        <v>302</v>
      </c>
      <c r="G35" s="182"/>
      <c r="H35" s="191" t="s">
        <v>169</v>
      </c>
      <c r="I35" s="190">
        <v>37754</v>
      </c>
      <c r="J35" s="185">
        <v>56786.255571465001</v>
      </c>
      <c r="K35" s="189">
        <v>1</v>
      </c>
      <c r="L35" s="188">
        <v>45231</v>
      </c>
      <c r="M35" s="150">
        <v>1</v>
      </c>
      <c r="N35" s="150">
        <v>0</v>
      </c>
      <c r="O35" s="150">
        <f t="shared" si="36"/>
        <v>1</v>
      </c>
      <c r="P35" s="187"/>
      <c r="Q35" s="186">
        <f t="shared" si="37"/>
        <v>0.16666666666666666</v>
      </c>
      <c r="R35" s="152">
        <v>3</v>
      </c>
      <c r="S35" s="150">
        <v>0.9</v>
      </c>
      <c r="T35" s="150">
        <v>0.1</v>
      </c>
      <c r="U35" s="150">
        <f t="shared" si="38"/>
        <v>1</v>
      </c>
      <c r="V35" s="147">
        <f>J35*N35*Q35</f>
        <v>0</v>
      </c>
      <c r="W35" s="147">
        <f t="shared" si="39"/>
        <v>8517.9383357197494</v>
      </c>
      <c r="X35" s="147">
        <f t="shared" si="40"/>
        <v>946.43759285775002</v>
      </c>
      <c r="Y35" s="185">
        <f t="shared" si="41"/>
        <v>9464.3759285774995</v>
      </c>
      <c r="Z35">
        <v>870</v>
      </c>
      <c r="AA35" s="184">
        <f t="shared" si="42"/>
        <v>5678.6255571465008</v>
      </c>
      <c r="AB35" s="184">
        <f t="shared" si="43"/>
        <v>51107.6300143185</v>
      </c>
      <c r="AC35" s="184">
        <f t="shared" si="44"/>
        <v>0</v>
      </c>
      <c r="AD35" s="184">
        <f>+AA35*(1+'SCHG2-19'!$M$12)</f>
        <v>5962.5568350038257</v>
      </c>
      <c r="AE35" s="184">
        <f>+AB35*(1+'SCHG2-19'!$M$12)</f>
        <v>53663.011515034428</v>
      </c>
      <c r="AF35" s="184">
        <f>+AC35*(1+'SCHG2-19'!$M$12)</f>
        <v>0</v>
      </c>
      <c r="AH35" s="260"/>
      <c r="AJ35" s="261">
        <f>($J35*(1+'SCHG2-19'!$M$12))*$N35</f>
        <v>0</v>
      </c>
      <c r="AK35" s="261">
        <f>($J35*(1+'SCHG2-19'!$M$12))*$M35*S35</f>
        <v>53663.011515034428</v>
      </c>
      <c r="AL35" s="261">
        <f>($J35*(1+'SCHG2-19'!$M$12))*$M35*T35</f>
        <v>5962.5568350038257</v>
      </c>
      <c r="AM35" s="185">
        <f t="shared" si="45"/>
        <v>59625.568350038251</v>
      </c>
      <c r="AN35" s="261">
        <f t="shared" si="46"/>
        <v>0</v>
      </c>
      <c r="AO35" s="261">
        <f t="shared" si="47"/>
        <v>681.43506685757995</v>
      </c>
      <c r="AP35" s="261">
        <f t="shared" si="48"/>
        <v>75.715007428619998</v>
      </c>
      <c r="AQ35" s="185">
        <f t="shared" si="49"/>
        <v>757.15007428619992</v>
      </c>
      <c r="AR35" s="261">
        <f t="shared" si="50"/>
        <v>0</v>
      </c>
      <c r="AS35" s="261">
        <f t="shared" si="51"/>
        <v>4293.0409212027544</v>
      </c>
      <c r="AT35" s="261">
        <f t="shared" si="52"/>
        <v>477.00454680030606</v>
      </c>
      <c r="AU35" s="185">
        <f t="shared" si="53"/>
        <v>4770.0454680030607</v>
      </c>
      <c r="AV35" s="261">
        <f>(+V35/$Y$98)*('SCHG2-19'!$I$448*'SCHG2-19'!$K$15)</f>
        <v>0</v>
      </c>
      <c r="AW35" s="261">
        <f>(+W35/$Y$98)*('SCHG2-19'!$I$448*'SCHG2-19'!$K$15)</f>
        <v>884.11805067952196</v>
      </c>
      <c r="AX35" s="261">
        <f>(+X35/$Y$98)*('SCHG2-19'!$I$448*'SCHG2-19'!$K$15)</f>
        <v>98.235338964391346</v>
      </c>
      <c r="AY35" s="185">
        <f t="shared" si="54"/>
        <v>982.35338964391326</v>
      </c>
      <c r="AZ35" s="261">
        <f>((+AJ35/($AM$98+$Y$178)*((('SCHG2-19'!$I$448*'SCHG2-19'!$K$15)+'SCHG2-19'!$I$448)*'SCHG2-19'!$M$15)))</f>
        <v>0</v>
      </c>
      <c r="BA35" s="261">
        <f>((+AK35/($AM$98+$Y$178)*((('SCHG2-19'!$I$448*'SCHG2-19'!$K$15)+'SCHG2-19'!$I$448)*'SCHG2-19'!$M$15)))</f>
        <v>977.5343316032255</v>
      </c>
      <c r="BB35" s="261">
        <f>((+AL35/($AM$98+$Y$178)*((('SCHG2-19'!$I$448*'SCHG2-19'!$K$15)+'SCHG2-19'!$I$448)*'SCHG2-19'!$M$15)))</f>
        <v>108.61492573369172</v>
      </c>
      <c r="BC35" s="185">
        <f t="shared" si="55"/>
        <v>1086.1492573369171</v>
      </c>
      <c r="BD35" s="261">
        <f>(+V35/$Y$98)*('SCHG2-19'!$K$448-'SCHG2-19'!$I$448-'IRR 202 Detail '!$AY$98)</f>
        <v>0</v>
      </c>
      <c r="BE35" s="261">
        <f>(+W35/$Y$98)*('SCHG2-19'!$K$448-'SCHG2-19'!$I$448-'IRR 202 Detail '!$AY$98)</f>
        <v>2100.3546828074195</v>
      </c>
      <c r="BF35" s="261">
        <f>(+X35/$Y$98)*('SCHG2-19'!$K$448-'SCHG2-19'!$I$448-'IRR 202 Detail '!$AY$98)</f>
        <v>233.37274253415777</v>
      </c>
      <c r="BG35" s="185">
        <f t="shared" si="56"/>
        <v>2333.7274253415771</v>
      </c>
      <c r="BH35" s="261">
        <f>(+AJ35/($AM$98+$Y$178))*('SCHG2-19'!$M$448-'SCHG2-19'!$K$448-'IRR 202 Detail '!$BC$98-'IRR 202 Detail '!$AQ$178)</f>
        <v>0</v>
      </c>
      <c r="BI35" s="261">
        <f>(+AK35/($AM$98+$Y$178))*('SCHG2-19'!$M$448-'SCHG2-19'!$K$448-'IRR 202 Detail '!$BC$98-'IRR 202 Detail '!$AQ$178)</f>
        <v>3772.4838226123711</v>
      </c>
      <c r="BJ35" s="261">
        <f>(+AL35/($AM$98+$Y$178))*('SCHG2-19'!$M$448-'SCHG2-19'!$K$448-'IRR 202 Detail '!$BC$98-'IRR 202 Detail '!$AQ$178)</f>
        <v>419.16486917915233</v>
      </c>
      <c r="BK35" s="185">
        <f t="shared" si="57"/>
        <v>4191.6486917915236</v>
      </c>
      <c r="BL35" s="192"/>
      <c r="BM35" s="183"/>
      <c r="BN35" s="90"/>
      <c r="BO35" s="192"/>
      <c r="BP35" s="192"/>
      <c r="BQ35" s="192"/>
      <c r="BR35" s="192"/>
      <c r="BS35" s="192">
        <f t="shared" si="58"/>
        <v>0</v>
      </c>
      <c r="BT35" s="192">
        <f t="shared" si="59"/>
        <v>0</v>
      </c>
      <c r="BU35" s="192">
        <f t="shared" si="60"/>
        <v>0</v>
      </c>
      <c r="BV35" s="192"/>
      <c r="BW35" s="192"/>
      <c r="BX35" s="192"/>
      <c r="BY35" s="192"/>
    </row>
    <row r="36" spans="1:77" ht="30" x14ac:dyDescent="0.25">
      <c r="C36" t="s">
        <v>305</v>
      </c>
      <c r="D36" t="s">
        <v>352</v>
      </c>
      <c r="E36" s="162" t="s">
        <v>303</v>
      </c>
      <c r="F36" s="182" t="s">
        <v>302</v>
      </c>
      <c r="G36" s="182"/>
      <c r="H36" s="191" t="s">
        <v>170</v>
      </c>
      <c r="I36" s="190">
        <v>36093</v>
      </c>
      <c r="J36" s="185">
        <v>77867.235382545012</v>
      </c>
      <c r="K36" s="189">
        <v>1</v>
      </c>
      <c r="L36" s="188">
        <v>44927</v>
      </c>
      <c r="M36" s="150">
        <v>1</v>
      </c>
      <c r="N36" s="150">
        <v>0</v>
      </c>
      <c r="O36" s="150">
        <f t="shared" si="36"/>
        <v>1</v>
      </c>
      <c r="P36" s="187"/>
      <c r="Q36" s="186">
        <f t="shared" si="37"/>
        <v>1</v>
      </c>
      <c r="R36" s="152">
        <v>5</v>
      </c>
      <c r="S36" s="150">
        <v>0.9</v>
      </c>
      <c r="T36" s="150">
        <v>0.1</v>
      </c>
      <c r="U36" s="150">
        <f t="shared" si="38"/>
        <v>1</v>
      </c>
      <c r="V36" s="147">
        <v>0</v>
      </c>
      <c r="W36" s="147">
        <f t="shared" si="39"/>
        <v>70080.511844290508</v>
      </c>
      <c r="X36" s="147">
        <f t="shared" si="40"/>
        <v>7786.7235382545014</v>
      </c>
      <c r="Y36" s="185">
        <f t="shared" si="41"/>
        <v>77867.235382545012</v>
      </c>
      <c r="Z36">
        <v>870</v>
      </c>
      <c r="AA36" s="184">
        <f t="shared" si="42"/>
        <v>7786.7235382545014</v>
      </c>
      <c r="AB36" s="184">
        <f t="shared" si="43"/>
        <v>70080.511844290508</v>
      </c>
      <c r="AC36" s="184">
        <f t="shared" si="44"/>
        <v>0</v>
      </c>
      <c r="AD36" s="184">
        <f>+AA36*(1+'SCHG2-19'!$M$12)</f>
        <v>8176.0597151672264</v>
      </c>
      <c r="AE36" s="184">
        <f>+AB36*(1+'SCHG2-19'!$M$12)</f>
        <v>73584.537436505037</v>
      </c>
      <c r="AF36" s="184">
        <f>+AC36*(1+'SCHG2-19'!$M$12)</f>
        <v>0</v>
      </c>
      <c r="AH36" s="260"/>
      <c r="AJ36" s="261">
        <f>($J36*(1+'SCHG2-19'!$M$12))*$N36</f>
        <v>0</v>
      </c>
      <c r="AK36" s="261">
        <f>($J36*(1+'SCHG2-19'!$M$12))*$M36*S36</f>
        <v>73584.537436505037</v>
      </c>
      <c r="AL36" s="261">
        <f>($J36*(1+'SCHG2-19'!$M$12))*$M36*T36</f>
        <v>8176.0597151672264</v>
      </c>
      <c r="AM36" s="185">
        <f t="shared" si="45"/>
        <v>81760.597151672264</v>
      </c>
      <c r="AN36" s="261">
        <f t="shared" si="46"/>
        <v>0</v>
      </c>
      <c r="AO36" s="261">
        <f t="shared" si="47"/>
        <v>5606.4409475432403</v>
      </c>
      <c r="AP36" s="261">
        <f t="shared" si="48"/>
        <v>622.93788306036015</v>
      </c>
      <c r="AQ36" s="185">
        <f t="shared" si="49"/>
        <v>6229.3788306036004</v>
      </c>
      <c r="AR36" s="261">
        <f t="shared" si="50"/>
        <v>0</v>
      </c>
      <c r="AS36" s="261">
        <f t="shared" si="51"/>
        <v>5886.7629949204029</v>
      </c>
      <c r="AT36" s="261">
        <f t="shared" si="52"/>
        <v>654.08477721337817</v>
      </c>
      <c r="AU36" s="185">
        <f t="shared" si="53"/>
        <v>6540.8477721337813</v>
      </c>
      <c r="AV36" s="261">
        <f>(+V36/$Y$98)*('SCHG2-19'!$I$448*'SCHG2-19'!$K$15)</f>
        <v>0</v>
      </c>
      <c r="AW36" s="261">
        <f>(+W36/$Y$98)*('SCHG2-19'!$I$448*'SCHG2-19'!$K$15)</f>
        <v>7273.9955468533954</v>
      </c>
      <c r="AX36" s="261">
        <f>(+X36/$Y$98)*('SCHG2-19'!$I$448*'SCHG2-19'!$K$15)</f>
        <v>808.22172742815519</v>
      </c>
      <c r="AY36" s="185">
        <f t="shared" si="54"/>
        <v>8082.217274281551</v>
      </c>
      <c r="AZ36" s="261">
        <f>((+AJ36/($AM$98+$Y$178)*((('SCHG2-19'!$I$448*'SCHG2-19'!$K$15)+'SCHG2-19'!$I$448)*'SCHG2-19'!$M$15)))</f>
        <v>0</v>
      </c>
      <c r="BA36" s="261">
        <f>((+AK36/($AM$98+$Y$178)*((('SCHG2-19'!$I$448*'SCHG2-19'!$K$15)+'SCHG2-19'!$I$448)*'SCHG2-19'!$M$15)))</f>
        <v>1340.4281569097907</v>
      </c>
      <c r="BB36" s="261">
        <f>((+AL36/($AM$98+$Y$178)*((('SCHG2-19'!$I$448*'SCHG2-19'!$K$15)+'SCHG2-19'!$I$448)*'SCHG2-19'!$M$15)))</f>
        <v>148.93646187886563</v>
      </c>
      <c r="BC36" s="185">
        <f t="shared" si="55"/>
        <v>1489.3646187886563</v>
      </c>
      <c r="BD36" s="261">
        <f>(+V36/$Y$98)*('SCHG2-19'!$K$448-'SCHG2-19'!$I$448-'IRR 202 Detail '!$AY$98)</f>
        <v>0</v>
      </c>
      <c r="BE36" s="261">
        <f>(+W36/$Y$98)*('SCHG2-19'!$K$448-'SCHG2-19'!$I$448-'IRR 202 Detail '!$AY$98)</f>
        <v>17280.464523726656</v>
      </c>
      <c r="BF36" s="261">
        <f>(+X36/$Y$98)*('SCHG2-19'!$K$448-'SCHG2-19'!$I$448-'IRR 202 Detail '!$AY$98)</f>
        <v>1920.0516137474065</v>
      </c>
      <c r="BG36" s="185">
        <f t="shared" si="56"/>
        <v>19200.516137474064</v>
      </c>
      <c r="BH36" s="261">
        <f>(+AJ36/($AM$98+$Y$178))*('SCHG2-19'!$M$448-'SCHG2-19'!$K$448-'IRR 202 Detail '!$BC$98-'IRR 202 Detail '!$AQ$178)</f>
        <v>0</v>
      </c>
      <c r="BI36" s="261">
        <f>(+AK36/($AM$98+$Y$178))*('SCHG2-19'!$M$448-'SCHG2-19'!$K$448-'IRR 202 Detail '!$BC$98-'IRR 202 Detail '!$AQ$178)</f>
        <v>5172.9574848004413</v>
      </c>
      <c r="BJ36" s="261">
        <f>(+AL36/($AM$98+$Y$178))*('SCHG2-19'!$M$448-'SCHG2-19'!$K$448-'IRR 202 Detail '!$BC$98-'IRR 202 Detail '!$AQ$178)</f>
        <v>574.77305386671571</v>
      </c>
      <c r="BK36" s="185">
        <f t="shared" si="57"/>
        <v>5747.7305386671569</v>
      </c>
      <c r="BL36" s="192"/>
      <c r="BM36" s="183"/>
      <c r="BN36" s="90"/>
      <c r="BO36" s="192"/>
      <c r="BP36" s="192"/>
      <c r="BQ36" s="192"/>
      <c r="BR36" s="192"/>
      <c r="BS36" s="192">
        <f t="shared" si="58"/>
        <v>0</v>
      </c>
      <c r="BT36" s="192">
        <f t="shared" si="59"/>
        <v>0</v>
      </c>
      <c r="BU36" s="192">
        <f t="shared" si="60"/>
        <v>0</v>
      </c>
      <c r="BV36" s="192"/>
      <c r="BW36" s="192"/>
      <c r="BX36" s="192"/>
      <c r="BY36" s="192"/>
    </row>
    <row r="37" spans="1:77" x14ac:dyDescent="0.25">
      <c r="A37" s="88"/>
      <c r="B37" s="88"/>
      <c r="C37" t="s">
        <v>305</v>
      </c>
      <c r="D37" t="s">
        <v>304</v>
      </c>
      <c r="E37" s="162" t="s">
        <v>303</v>
      </c>
      <c r="F37" s="182" t="s">
        <v>302</v>
      </c>
      <c r="G37" s="182"/>
      <c r="H37" s="191" t="s">
        <v>171</v>
      </c>
      <c r="I37" s="190" t="s">
        <v>270</v>
      </c>
      <c r="J37" s="185">
        <v>111772.76833957501</v>
      </c>
      <c r="K37" s="189">
        <v>1</v>
      </c>
      <c r="L37" s="188">
        <v>45231</v>
      </c>
      <c r="M37" s="150">
        <v>1</v>
      </c>
      <c r="N37" s="150">
        <v>0</v>
      </c>
      <c r="O37" s="150">
        <f t="shared" si="36"/>
        <v>1</v>
      </c>
      <c r="P37" s="187"/>
      <c r="Q37" s="186">
        <f t="shared" si="37"/>
        <v>0.16666666666666666</v>
      </c>
      <c r="R37" s="152">
        <v>7</v>
      </c>
      <c r="S37" s="150">
        <v>0.9</v>
      </c>
      <c r="T37" s="150">
        <v>0.1</v>
      </c>
      <c r="U37" s="150">
        <f t="shared" si="38"/>
        <v>1</v>
      </c>
      <c r="V37" s="147">
        <f>J37*N37*Q37</f>
        <v>0</v>
      </c>
      <c r="W37" s="147">
        <f t="shared" si="39"/>
        <v>16765.91525093625</v>
      </c>
      <c r="X37" s="147">
        <f t="shared" si="40"/>
        <v>1862.8794723262502</v>
      </c>
      <c r="Y37" s="185">
        <f t="shared" si="41"/>
        <v>18628.794723262501</v>
      </c>
      <c r="Z37">
        <v>870</v>
      </c>
      <c r="AA37" s="184">
        <f t="shared" si="42"/>
        <v>11177.276833957501</v>
      </c>
      <c r="AB37" s="184">
        <f t="shared" si="43"/>
        <v>100595.49150561751</v>
      </c>
      <c r="AC37" s="184">
        <f t="shared" si="44"/>
        <v>0</v>
      </c>
      <c r="AD37" s="184">
        <f>+AA37*(1+'SCHG2-19'!$M$12)</f>
        <v>11736.140675655377</v>
      </c>
      <c r="AE37" s="184">
        <f>+AB37*(1+'SCHG2-19'!$M$12)</f>
        <v>105625.26608089839</v>
      </c>
      <c r="AF37" s="184">
        <f>+AC37*(1+'SCHG2-19'!$M$12)</f>
        <v>0</v>
      </c>
      <c r="AH37" s="260"/>
      <c r="AJ37" s="261">
        <f>($J37*(1+'SCHG2-19'!$M$12))*$N37</f>
        <v>0</v>
      </c>
      <c r="AK37" s="261">
        <f>($J37*(1+'SCHG2-19'!$M$12))*$M37*S37</f>
        <v>105625.26608089838</v>
      </c>
      <c r="AL37" s="261">
        <f>($J37*(1+'SCHG2-19'!$M$12))*$M37*T37</f>
        <v>11736.140675655377</v>
      </c>
      <c r="AM37" s="185">
        <f t="shared" si="45"/>
        <v>117361.40675655376</v>
      </c>
      <c r="AN37" s="261">
        <f t="shared" si="46"/>
        <v>0</v>
      </c>
      <c r="AO37" s="261">
        <f t="shared" si="47"/>
        <v>1341.2732200749001</v>
      </c>
      <c r="AP37" s="261">
        <f t="shared" si="48"/>
        <v>149.03035778610001</v>
      </c>
      <c r="AQ37" s="185">
        <f t="shared" si="49"/>
        <v>1490.3035778610001</v>
      </c>
      <c r="AR37" s="261">
        <f t="shared" si="50"/>
        <v>0</v>
      </c>
      <c r="AS37" s="261">
        <f t="shared" si="51"/>
        <v>8450.0212864718706</v>
      </c>
      <c r="AT37" s="261">
        <f t="shared" si="52"/>
        <v>938.89125405243021</v>
      </c>
      <c r="AU37" s="185">
        <f t="shared" si="53"/>
        <v>9388.9125405243012</v>
      </c>
      <c r="AV37" s="261">
        <f>(+V37/$Y$98)*('SCHG2-19'!$I$448*'SCHG2-19'!$K$15)</f>
        <v>0</v>
      </c>
      <c r="AW37" s="261">
        <f>(+W37/$Y$98)*('SCHG2-19'!$I$448*'SCHG2-19'!$K$15)</f>
        <v>1740.2154987851657</v>
      </c>
      <c r="AX37" s="261">
        <f>(+X37/$Y$98)*('SCHG2-19'!$I$448*'SCHG2-19'!$K$15)</f>
        <v>193.35727764279619</v>
      </c>
      <c r="AY37" s="185">
        <f t="shared" si="54"/>
        <v>1933.5727764279618</v>
      </c>
      <c r="AZ37" s="261">
        <f>((+AJ37/($AM$98+$Y$178)*((('SCHG2-19'!$I$448*'SCHG2-19'!$K$15)+'SCHG2-19'!$I$448)*'SCHG2-19'!$M$15)))</f>
        <v>0</v>
      </c>
      <c r="BA37" s="261">
        <f>((+AK37/($AM$98+$Y$178)*((('SCHG2-19'!$I$448*'SCHG2-19'!$K$15)+'SCHG2-19'!$I$448)*'SCHG2-19'!$M$15)))</f>
        <v>1924.0873921113484</v>
      </c>
      <c r="BB37" s="261">
        <f>((+AL37/($AM$98+$Y$178)*((('SCHG2-19'!$I$448*'SCHG2-19'!$K$15)+'SCHG2-19'!$I$448)*'SCHG2-19'!$M$15)))</f>
        <v>213.78748801237205</v>
      </c>
      <c r="BC37" s="185">
        <f t="shared" si="55"/>
        <v>2137.8748801237207</v>
      </c>
      <c r="BD37" s="261">
        <f>(+V37/$Y$98)*('SCHG2-19'!$K$448-'SCHG2-19'!$I$448-'IRR 202 Detail '!$AY$98)</f>
        <v>0</v>
      </c>
      <c r="BE37" s="261">
        <f>(+W37/$Y$98)*('SCHG2-19'!$K$448-'SCHG2-19'!$I$448-'IRR 202 Detail '!$AY$98)</f>
        <v>4134.1422326557313</v>
      </c>
      <c r="BF37" s="261">
        <f>(+X37/$Y$98)*('SCHG2-19'!$K$448-'SCHG2-19'!$I$448-'IRR 202 Detail '!$AY$98)</f>
        <v>459.34913696174794</v>
      </c>
      <c r="BG37" s="185">
        <f t="shared" si="56"/>
        <v>4593.491369617479</v>
      </c>
      <c r="BH37" s="261">
        <f>(+AJ37/($AM$98+$Y$178))*('SCHG2-19'!$M$448-'SCHG2-19'!$K$448-'IRR 202 Detail '!$BC$98-'IRR 202 Detail '!$AQ$178)</f>
        <v>0</v>
      </c>
      <c r="BI37" s="261">
        <f>(+AK37/($AM$98+$Y$178))*('SCHG2-19'!$M$448-'SCHG2-19'!$K$448-'IRR 202 Detail '!$BC$98-'IRR 202 Detail '!$AQ$178)</f>
        <v>7425.405252138703</v>
      </c>
      <c r="BJ37" s="261">
        <f>(+AL37/($AM$98+$Y$178))*('SCHG2-19'!$M$448-'SCHG2-19'!$K$448-'IRR 202 Detail '!$BC$98-'IRR 202 Detail '!$AQ$178)</f>
        <v>825.0450280154115</v>
      </c>
      <c r="BK37" s="185">
        <f t="shared" si="57"/>
        <v>8250.4502801541148</v>
      </c>
      <c r="BL37" s="192"/>
      <c r="BM37" s="183"/>
      <c r="BN37" s="90"/>
      <c r="BO37" s="192"/>
      <c r="BP37" s="192"/>
      <c r="BQ37" s="192"/>
      <c r="BR37" s="192"/>
      <c r="BS37" s="192">
        <f t="shared" si="58"/>
        <v>-1.4551915228366852E-11</v>
      </c>
      <c r="BT37" s="192">
        <f t="shared" si="59"/>
        <v>0</v>
      </c>
      <c r="BU37" s="192">
        <f t="shared" si="60"/>
        <v>0</v>
      </c>
      <c r="BV37" s="192"/>
      <c r="BW37" s="192"/>
      <c r="BX37" s="192"/>
      <c r="BY37" s="192"/>
    </row>
    <row r="38" spans="1:77" x14ac:dyDescent="0.25">
      <c r="C38" t="s">
        <v>305</v>
      </c>
      <c r="D38" t="s">
        <v>350</v>
      </c>
      <c r="E38" s="162" t="s">
        <v>303</v>
      </c>
      <c r="F38" s="182" t="s">
        <v>302</v>
      </c>
      <c r="G38" s="182"/>
      <c r="H38" s="191" t="s">
        <v>172</v>
      </c>
      <c r="I38" s="190" t="s">
        <v>351</v>
      </c>
      <c r="J38" s="185">
        <v>85884.27314628</v>
      </c>
      <c r="K38" s="189">
        <v>2</v>
      </c>
      <c r="L38" s="188">
        <v>45231</v>
      </c>
      <c r="M38" s="150">
        <v>1</v>
      </c>
      <c r="N38" s="150">
        <v>0</v>
      </c>
      <c r="O38" s="150">
        <f t="shared" si="36"/>
        <v>1</v>
      </c>
      <c r="P38" s="187"/>
      <c r="Q38" s="186">
        <f t="shared" si="37"/>
        <v>0.16666666666666666</v>
      </c>
      <c r="R38" s="152">
        <v>1</v>
      </c>
      <c r="S38" s="150">
        <v>0.9</v>
      </c>
      <c r="T38" s="150">
        <v>0.1</v>
      </c>
      <c r="U38" s="150">
        <f t="shared" si="38"/>
        <v>1</v>
      </c>
      <c r="V38" s="147">
        <f>J38*N38*Q38</f>
        <v>0</v>
      </c>
      <c r="W38" s="147">
        <f t="shared" si="39"/>
        <v>12882.640971941999</v>
      </c>
      <c r="X38" s="147">
        <f t="shared" si="40"/>
        <v>1431.4045524379999</v>
      </c>
      <c r="Y38" s="185">
        <f t="shared" si="41"/>
        <v>14314.045524379999</v>
      </c>
      <c r="Z38">
        <v>870</v>
      </c>
      <c r="AA38" s="184">
        <f t="shared" si="42"/>
        <v>8588.4273146280011</v>
      </c>
      <c r="AB38" s="184">
        <f t="shared" si="43"/>
        <v>77295.845831651997</v>
      </c>
      <c r="AC38" s="184">
        <f t="shared" si="44"/>
        <v>0</v>
      </c>
      <c r="AD38" s="184">
        <f>+AA38*(1+'SCHG2-19'!$M$12)</f>
        <v>9017.8486803594024</v>
      </c>
      <c r="AE38" s="184">
        <f>+AB38*(1+'SCHG2-19'!$M$12)</f>
        <v>81160.638123234603</v>
      </c>
      <c r="AF38" s="184">
        <f>+AC38*(1+'SCHG2-19'!$M$12)</f>
        <v>0</v>
      </c>
      <c r="AH38" s="260"/>
      <c r="AJ38" s="261">
        <f>($J38*(1+'SCHG2-19'!$M$12))*$N38</f>
        <v>0</v>
      </c>
      <c r="AK38" s="261">
        <f>($J38*(1+'SCHG2-19'!$M$12))*$M38*S38</f>
        <v>81160.638123234603</v>
      </c>
      <c r="AL38" s="261">
        <f>($J38*(1+'SCHG2-19'!$M$12))*$M38*T38</f>
        <v>9017.8486803594005</v>
      </c>
      <c r="AM38" s="185">
        <f t="shared" si="45"/>
        <v>90178.486803594002</v>
      </c>
      <c r="AN38" s="261">
        <f t="shared" si="46"/>
        <v>0</v>
      </c>
      <c r="AO38" s="261">
        <f t="shared" si="47"/>
        <v>1030.6112777553599</v>
      </c>
      <c r="AP38" s="261">
        <f t="shared" si="48"/>
        <v>114.51236419503999</v>
      </c>
      <c r="AQ38" s="185">
        <f t="shared" si="49"/>
        <v>1145.1236419503998</v>
      </c>
      <c r="AR38" s="261">
        <f t="shared" si="50"/>
        <v>0</v>
      </c>
      <c r="AS38" s="261">
        <f t="shared" si="51"/>
        <v>6492.8510498587684</v>
      </c>
      <c r="AT38" s="261">
        <f t="shared" si="52"/>
        <v>721.4278944287521</v>
      </c>
      <c r="AU38" s="185">
        <f t="shared" si="53"/>
        <v>7214.2789442875201</v>
      </c>
      <c r="AV38" s="261">
        <f>(+V38/$Y$98)*('SCHG2-19'!$I$448*'SCHG2-19'!$K$15)</f>
        <v>0</v>
      </c>
      <c r="AW38" s="261">
        <f>(+W38/$Y$98)*('SCHG2-19'!$I$448*'SCHG2-19'!$K$15)</f>
        <v>1337.1516645001739</v>
      </c>
      <c r="AX38" s="261">
        <f>(+X38/$Y$98)*('SCHG2-19'!$I$448*'SCHG2-19'!$K$15)</f>
        <v>148.57240716668596</v>
      </c>
      <c r="AY38" s="185">
        <f t="shared" si="54"/>
        <v>1485.7240716668598</v>
      </c>
      <c r="AZ38" s="261">
        <f>((+AJ38/($AM$98+$Y$178)*((('SCHG2-19'!$I$448*'SCHG2-19'!$K$15)+'SCHG2-19'!$I$448)*'SCHG2-19'!$M$15)))</f>
        <v>0</v>
      </c>
      <c r="BA38" s="261">
        <f>((+AK38/($AM$98+$Y$178)*((('SCHG2-19'!$I$448*'SCHG2-19'!$K$15)+'SCHG2-19'!$I$448)*'SCHG2-19'!$M$15)))</f>
        <v>1478.4356654687551</v>
      </c>
      <c r="BB38" s="261">
        <f>((+AL38/($AM$98+$Y$178)*((('SCHG2-19'!$I$448*'SCHG2-19'!$K$15)+'SCHG2-19'!$I$448)*'SCHG2-19'!$M$15)))</f>
        <v>164.27062949652836</v>
      </c>
      <c r="BC38" s="185">
        <f t="shared" si="55"/>
        <v>1642.7062949652834</v>
      </c>
      <c r="BD38" s="261">
        <f>(+V38/$Y$98)*('SCHG2-19'!$K$448-'SCHG2-19'!$I$448-'IRR 202 Detail '!$AY$98)</f>
        <v>0</v>
      </c>
      <c r="BE38" s="261">
        <f>(+W38/$Y$98)*('SCHG2-19'!$K$448-'SCHG2-19'!$I$448-'IRR 202 Detail '!$AY$98)</f>
        <v>3176.6038008138207</v>
      </c>
      <c r="BF38" s="261">
        <f>(+X38/$Y$98)*('SCHG2-19'!$K$448-'SCHG2-19'!$I$448-'IRR 202 Detail '!$AY$98)</f>
        <v>352.9559778682023</v>
      </c>
      <c r="BG38" s="185">
        <f t="shared" si="56"/>
        <v>3529.5597786820231</v>
      </c>
      <c r="BH38" s="261">
        <f>(+AJ38/($AM$98+$Y$178))*('SCHG2-19'!$M$448-'SCHG2-19'!$K$448-'IRR 202 Detail '!$BC$98-'IRR 202 Detail '!$AQ$178)</f>
        <v>0</v>
      </c>
      <c r="BI38" s="261">
        <f>(+AK38/($AM$98+$Y$178))*('SCHG2-19'!$M$448-'SCHG2-19'!$K$448-'IRR 202 Detail '!$BC$98-'IRR 202 Detail '!$AQ$178)</f>
        <v>5705.5537083866357</v>
      </c>
      <c r="BJ38" s="261">
        <f>(+AL38/($AM$98+$Y$178))*('SCHG2-19'!$M$448-'SCHG2-19'!$K$448-'IRR 202 Detail '!$BC$98-'IRR 202 Detail '!$AQ$178)</f>
        <v>633.95041204295956</v>
      </c>
      <c r="BK38" s="185">
        <f t="shared" si="57"/>
        <v>6339.5041204295949</v>
      </c>
      <c r="BL38" s="192"/>
      <c r="BM38" s="183"/>
      <c r="BN38" s="90"/>
      <c r="BO38" s="192"/>
      <c r="BP38" s="192"/>
      <c r="BQ38" s="192"/>
      <c r="BR38" s="192"/>
      <c r="BS38" s="192">
        <f t="shared" si="58"/>
        <v>0</v>
      </c>
      <c r="BT38" s="192">
        <f t="shared" si="59"/>
        <v>0</v>
      </c>
      <c r="BU38" s="192">
        <f t="shared" si="60"/>
        <v>0</v>
      </c>
      <c r="BV38" s="192"/>
      <c r="BW38" s="192"/>
      <c r="BX38" s="192"/>
      <c r="BY38" s="192"/>
    </row>
    <row r="39" spans="1:77" x14ac:dyDescent="0.25">
      <c r="C39" t="s">
        <v>305</v>
      </c>
      <c r="D39" t="s">
        <v>350</v>
      </c>
      <c r="E39" s="162" t="s">
        <v>303</v>
      </c>
      <c r="F39" s="182" t="s">
        <v>302</v>
      </c>
      <c r="G39" s="182"/>
      <c r="H39" s="191" t="s">
        <v>403</v>
      </c>
      <c r="I39" s="190">
        <v>36093</v>
      </c>
      <c r="J39" s="185">
        <v>77867.235382545012</v>
      </c>
      <c r="K39" s="189">
        <v>1</v>
      </c>
      <c r="L39" s="188">
        <v>45231</v>
      </c>
      <c r="M39" s="150">
        <v>1</v>
      </c>
      <c r="N39" s="150">
        <v>0</v>
      </c>
      <c r="O39" s="150">
        <f t="shared" si="36"/>
        <v>1</v>
      </c>
      <c r="P39" s="187"/>
      <c r="Q39" s="186">
        <f t="shared" si="37"/>
        <v>0.16666666666666666</v>
      </c>
      <c r="R39" s="152">
        <v>5</v>
      </c>
      <c r="S39" s="150">
        <v>0.9</v>
      </c>
      <c r="T39" s="150">
        <v>0.1</v>
      </c>
      <c r="U39" s="150">
        <f t="shared" si="38"/>
        <v>1</v>
      </c>
      <c r="V39" s="147">
        <v>0</v>
      </c>
      <c r="W39" s="147">
        <f t="shared" si="39"/>
        <v>11680.085307381751</v>
      </c>
      <c r="X39" s="147">
        <f t="shared" si="40"/>
        <v>1297.7872563757501</v>
      </c>
      <c r="Y39" s="185">
        <f t="shared" si="41"/>
        <v>12977.872563757501</v>
      </c>
      <c r="Z39">
        <v>870</v>
      </c>
      <c r="AA39" s="184">
        <f t="shared" si="42"/>
        <v>7786.7235382545014</v>
      </c>
      <c r="AB39" s="184">
        <f t="shared" si="43"/>
        <v>70080.511844290508</v>
      </c>
      <c r="AC39" s="184">
        <f t="shared" si="44"/>
        <v>0</v>
      </c>
      <c r="AD39" s="184">
        <f>+AA39*(1+'SCHG2-19'!$M$12)</f>
        <v>8176.0597151672264</v>
      </c>
      <c r="AE39" s="184">
        <f>+AB39*(1+'SCHG2-19'!$M$12)</f>
        <v>73584.537436505037</v>
      </c>
      <c r="AF39" s="184">
        <f>+AC39*(1+'SCHG2-19'!$M$12)</f>
        <v>0</v>
      </c>
      <c r="AH39" s="260"/>
      <c r="AJ39" s="261">
        <f>($J39*(1+'SCHG2-19'!$M$12))*$N39</f>
        <v>0</v>
      </c>
      <c r="AK39" s="261">
        <f>($J39*(1+'SCHG2-19'!$M$12))*$M39*S39</f>
        <v>73584.537436505037</v>
      </c>
      <c r="AL39" s="261">
        <f>($J39*(1+'SCHG2-19'!$M$12))*$M39*T39</f>
        <v>8176.0597151672264</v>
      </c>
      <c r="AM39" s="185">
        <f t="shared" si="45"/>
        <v>81760.597151672264</v>
      </c>
      <c r="AN39" s="261">
        <f t="shared" si="46"/>
        <v>0</v>
      </c>
      <c r="AO39" s="261">
        <f t="shared" si="47"/>
        <v>934.40682459054005</v>
      </c>
      <c r="AP39" s="261">
        <f t="shared" si="48"/>
        <v>103.82298051006001</v>
      </c>
      <c r="AQ39" s="185">
        <f t="shared" si="49"/>
        <v>1038.2298051006001</v>
      </c>
      <c r="AR39" s="261">
        <f t="shared" si="50"/>
        <v>0</v>
      </c>
      <c r="AS39" s="261">
        <f t="shared" si="51"/>
        <v>5886.7629949204029</v>
      </c>
      <c r="AT39" s="261">
        <f t="shared" si="52"/>
        <v>654.08477721337817</v>
      </c>
      <c r="AU39" s="185">
        <f t="shared" si="53"/>
        <v>6540.8477721337813</v>
      </c>
      <c r="AV39" s="261">
        <f>(+V39/$Y$98)*('SCHG2-19'!$I$448*'SCHG2-19'!$K$15)</f>
        <v>0</v>
      </c>
      <c r="AW39" s="261">
        <f>(+W39/$Y$98)*('SCHG2-19'!$I$448*'SCHG2-19'!$K$15)</f>
        <v>1212.3325911422326</v>
      </c>
      <c r="AX39" s="261">
        <f>(+X39/$Y$98)*('SCHG2-19'!$I$448*'SCHG2-19'!$K$15)</f>
        <v>134.70362123802585</v>
      </c>
      <c r="AY39" s="185">
        <f t="shared" si="54"/>
        <v>1347.0362123802583</v>
      </c>
      <c r="AZ39" s="261">
        <f>((+AJ39/($AM$98+$Y$178)*((('SCHG2-19'!$I$448*'SCHG2-19'!$K$15)+'SCHG2-19'!$I$448)*'SCHG2-19'!$M$15)))</f>
        <v>0</v>
      </c>
      <c r="BA39" s="261">
        <f>((+AK39/($AM$98+$Y$178)*((('SCHG2-19'!$I$448*'SCHG2-19'!$K$15)+'SCHG2-19'!$I$448)*'SCHG2-19'!$M$15)))</f>
        <v>1340.4281569097907</v>
      </c>
      <c r="BB39" s="261">
        <f>((+AL39/($AM$98+$Y$178)*((('SCHG2-19'!$I$448*'SCHG2-19'!$K$15)+'SCHG2-19'!$I$448)*'SCHG2-19'!$M$15)))</f>
        <v>148.93646187886563</v>
      </c>
      <c r="BC39" s="185">
        <f t="shared" si="55"/>
        <v>1489.3646187886563</v>
      </c>
      <c r="BD39" s="261">
        <f>(+V39/$Y$98)*('SCHG2-19'!$K$448-'SCHG2-19'!$I$448-'IRR 202 Detail '!$AY$98)</f>
        <v>0</v>
      </c>
      <c r="BE39" s="261">
        <f>(+W39/$Y$98)*('SCHG2-19'!$K$448-'SCHG2-19'!$I$448-'IRR 202 Detail '!$AY$98)</f>
        <v>2880.0774206211095</v>
      </c>
      <c r="BF39" s="261">
        <f>(+X39/$Y$98)*('SCHG2-19'!$K$448-'SCHG2-19'!$I$448-'IRR 202 Detail '!$AY$98)</f>
        <v>320.00860229123435</v>
      </c>
      <c r="BG39" s="185">
        <f t="shared" si="56"/>
        <v>3200.0860229123437</v>
      </c>
      <c r="BH39" s="261">
        <f>(+AJ39/($AM$98+$Y$178))*('SCHG2-19'!$M$448-'SCHG2-19'!$K$448-'IRR 202 Detail '!$BC$98-'IRR 202 Detail '!$AQ$178)</f>
        <v>0</v>
      </c>
      <c r="BI39" s="261">
        <f>(+AK39/($AM$98+$Y$178))*('SCHG2-19'!$M$448-'SCHG2-19'!$K$448-'IRR 202 Detail '!$BC$98-'IRR 202 Detail '!$AQ$178)</f>
        <v>5172.9574848004413</v>
      </c>
      <c r="BJ39" s="261">
        <f>(+AL39/($AM$98+$Y$178))*('SCHG2-19'!$M$448-'SCHG2-19'!$K$448-'IRR 202 Detail '!$BC$98-'IRR 202 Detail '!$AQ$178)</f>
        <v>574.77305386671571</v>
      </c>
      <c r="BK39" s="185">
        <f t="shared" si="57"/>
        <v>5747.7305386671569</v>
      </c>
      <c r="BL39" s="192"/>
      <c r="BM39" s="183"/>
      <c r="BN39" s="90"/>
      <c r="BO39" s="192"/>
      <c r="BP39" s="192"/>
      <c r="BQ39" s="192"/>
      <c r="BR39" s="192"/>
      <c r="BS39" s="192">
        <f t="shared" si="58"/>
        <v>0</v>
      </c>
      <c r="BT39" s="192">
        <f t="shared" si="59"/>
        <v>0</v>
      </c>
      <c r="BU39" s="192">
        <f t="shared" si="60"/>
        <v>0</v>
      </c>
      <c r="BV39" s="192"/>
      <c r="BW39" s="192"/>
      <c r="BX39" s="192"/>
      <c r="BY39" s="192"/>
    </row>
    <row r="40" spans="1:77" ht="30" x14ac:dyDescent="0.25">
      <c r="C40" t="s">
        <v>305</v>
      </c>
      <c r="D40" t="s">
        <v>350</v>
      </c>
      <c r="E40" s="162" t="s">
        <v>303</v>
      </c>
      <c r="F40" s="182" t="s">
        <v>302</v>
      </c>
      <c r="G40" s="182"/>
      <c r="H40" s="191" t="s">
        <v>404</v>
      </c>
      <c r="I40" s="190">
        <v>39454</v>
      </c>
      <c r="J40" s="185">
        <v>202305.64556537999</v>
      </c>
      <c r="K40" s="189">
        <v>3</v>
      </c>
      <c r="L40" s="188">
        <v>45231</v>
      </c>
      <c r="M40" s="150">
        <v>1</v>
      </c>
      <c r="N40" s="150">
        <v>0</v>
      </c>
      <c r="O40" s="150">
        <f t="shared" si="36"/>
        <v>1</v>
      </c>
      <c r="P40" s="187"/>
      <c r="Q40" s="186">
        <f t="shared" si="37"/>
        <v>0.16666666666666666</v>
      </c>
      <c r="R40" s="152">
        <v>4</v>
      </c>
      <c r="S40" s="150">
        <v>0.9</v>
      </c>
      <c r="T40" s="150">
        <v>0.1</v>
      </c>
      <c r="U40" s="150">
        <f t="shared" si="38"/>
        <v>1</v>
      </c>
      <c r="V40" s="147">
        <f>J40*N40*Q40</f>
        <v>0</v>
      </c>
      <c r="W40" s="147">
        <f t="shared" si="39"/>
        <v>30345.846834806995</v>
      </c>
      <c r="X40" s="147">
        <f t="shared" si="40"/>
        <v>3371.7607594229994</v>
      </c>
      <c r="Y40" s="185">
        <f t="shared" si="41"/>
        <v>33717.607594229994</v>
      </c>
      <c r="Z40">
        <v>870</v>
      </c>
      <c r="AA40" s="184">
        <f t="shared" si="42"/>
        <v>20230.564556538</v>
      </c>
      <c r="AB40" s="184">
        <f t="shared" si="43"/>
        <v>182075.08100884201</v>
      </c>
      <c r="AC40" s="184">
        <f t="shared" si="44"/>
        <v>0</v>
      </c>
      <c r="AD40" s="184">
        <f>+AA40*(1+'SCHG2-19'!$M$12)</f>
        <v>21242.092784364901</v>
      </c>
      <c r="AE40" s="184">
        <f>+AB40*(1+'SCHG2-19'!$M$12)</f>
        <v>191178.83505928412</v>
      </c>
      <c r="AF40" s="184">
        <f>+AC40*(1+'SCHG2-19'!$M$12)</f>
        <v>0</v>
      </c>
      <c r="AH40" s="260"/>
      <c r="AJ40" s="261">
        <f>($J40*(1+'SCHG2-19'!$M$12))*$N40</f>
        <v>0</v>
      </c>
      <c r="AK40" s="261">
        <f>($J40*(1+'SCHG2-19'!$M$12))*$M40*S40</f>
        <v>191178.83505928412</v>
      </c>
      <c r="AL40" s="261">
        <f>($J40*(1+'SCHG2-19'!$M$12))*$M40*T40</f>
        <v>21242.092784364901</v>
      </c>
      <c r="AM40" s="185">
        <f t="shared" si="45"/>
        <v>212420.92784364903</v>
      </c>
      <c r="AN40" s="261">
        <f t="shared" si="46"/>
        <v>0</v>
      </c>
      <c r="AO40" s="261">
        <f t="shared" si="47"/>
        <v>2427.6677467845598</v>
      </c>
      <c r="AP40" s="261">
        <f t="shared" si="48"/>
        <v>269.74086075383997</v>
      </c>
      <c r="AQ40" s="185">
        <f t="shared" si="49"/>
        <v>2697.4086075383998</v>
      </c>
      <c r="AR40" s="261">
        <f t="shared" si="50"/>
        <v>0</v>
      </c>
      <c r="AS40" s="261">
        <f t="shared" si="51"/>
        <v>15294.30680474273</v>
      </c>
      <c r="AT40" s="261">
        <f t="shared" si="52"/>
        <v>1699.367422749192</v>
      </c>
      <c r="AU40" s="185">
        <f t="shared" si="53"/>
        <v>16993.674227491923</v>
      </c>
      <c r="AV40" s="261">
        <f>(+V40/$Y$98)*('SCHG2-19'!$I$448*'SCHG2-19'!$K$15)</f>
        <v>0</v>
      </c>
      <c r="AW40" s="261">
        <f>(+W40/$Y$98)*('SCHG2-19'!$I$448*'SCHG2-19'!$K$15)</f>
        <v>3149.7423311109096</v>
      </c>
      <c r="AX40" s="261">
        <f>(+X40/$Y$98)*('SCHG2-19'!$I$448*'SCHG2-19'!$K$15)</f>
        <v>349.97137012343438</v>
      </c>
      <c r="AY40" s="185">
        <f t="shared" si="54"/>
        <v>3499.7137012343442</v>
      </c>
      <c r="AZ40" s="261">
        <f>((+AJ40/($AM$98+$Y$178)*((('SCHG2-19'!$I$448*'SCHG2-19'!$K$15)+'SCHG2-19'!$I$448)*'SCHG2-19'!$M$15)))</f>
        <v>0</v>
      </c>
      <c r="BA40" s="261">
        <f>((+AK40/($AM$98+$Y$178)*((('SCHG2-19'!$I$448*'SCHG2-19'!$K$15)+'SCHG2-19'!$I$448)*'SCHG2-19'!$M$15)))</f>
        <v>3482.5454157376639</v>
      </c>
      <c r="BB40" s="261">
        <f>((+AL40/($AM$98+$Y$178)*((('SCHG2-19'!$I$448*'SCHG2-19'!$K$15)+'SCHG2-19'!$I$448)*'SCHG2-19'!$M$15)))</f>
        <v>386.94949063751812</v>
      </c>
      <c r="BC40" s="185">
        <f t="shared" si="55"/>
        <v>3869.4949063751819</v>
      </c>
      <c r="BD40" s="261">
        <f>(+V40/$Y$98)*('SCHG2-19'!$K$448-'SCHG2-19'!$I$448-'IRR 202 Detail '!$AY$98)</f>
        <v>0</v>
      </c>
      <c r="BE40" s="261">
        <f>(+W40/$Y$98)*('SCHG2-19'!$K$448-'SCHG2-19'!$I$448-'IRR 202 Detail '!$AY$98)</f>
        <v>7482.6840710931165</v>
      </c>
      <c r="BF40" s="261">
        <f>(+X40/$Y$98)*('SCHG2-19'!$K$448-'SCHG2-19'!$I$448-'IRR 202 Detail '!$AY$98)</f>
        <v>831.40934123256852</v>
      </c>
      <c r="BG40" s="185">
        <f t="shared" si="56"/>
        <v>8314.0934123256848</v>
      </c>
      <c r="BH40" s="261">
        <f>(+AJ40/($AM$98+$Y$178))*('SCHG2-19'!$M$448-'SCHG2-19'!$K$448-'IRR 202 Detail '!$BC$98-'IRR 202 Detail '!$AQ$178)</f>
        <v>0</v>
      </c>
      <c r="BI40" s="261">
        <f>(+AK40/($AM$98+$Y$178))*('SCHG2-19'!$M$448-'SCHG2-19'!$K$448-'IRR 202 Detail '!$BC$98-'IRR 202 Detail '!$AQ$178)</f>
        <v>13439.77988050426</v>
      </c>
      <c r="BJ40" s="261">
        <f>(+AL40/($AM$98+$Y$178))*('SCHG2-19'!$M$448-'SCHG2-19'!$K$448-'IRR 202 Detail '!$BC$98-'IRR 202 Detail '!$AQ$178)</f>
        <v>1493.3088756115842</v>
      </c>
      <c r="BK40" s="185">
        <f t="shared" si="57"/>
        <v>14933.088756115845</v>
      </c>
      <c r="BL40" s="192"/>
      <c r="BM40" s="183"/>
      <c r="BN40" s="90"/>
      <c r="BO40" s="192"/>
      <c r="BP40" s="192"/>
      <c r="BQ40" s="192"/>
      <c r="BR40" s="192"/>
      <c r="BS40" s="192">
        <f t="shared" si="58"/>
        <v>0</v>
      </c>
      <c r="BT40" s="192">
        <f t="shared" si="59"/>
        <v>0</v>
      </c>
      <c r="BU40" s="192">
        <f t="shared" si="60"/>
        <v>0</v>
      </c>
      <c r="BV40" s="192"/>
      <c r="BW40" s="192"/>
      <c r="BX40" s="192"/>
      <c r="BY40" s="192"/>
    </row>
    <row r="41" spans="1:77" ht="30" x14ac:dyDescent="0.25">
      <c r="C41" t="s">
        <v>305</v>
      </c>
      <c r="D41" t="s">
        <v>350</v>
      </c>
      <c r="E41" s="162" t="s">
        <v>303</v>
      </c>
      <c r="F41" s="182" t="s">
        <v>302</v>
      </c>
      <c r="G41" s="182"/>
      <c r="H41" s="191" t="s">
        <v>173</v>
      </c>
      <c r="I41" s="190">
        <v>39834</v>
      </c>
      <c r="J41" s="185">
        <v>47412.285000044998</v>
      </c>
      <c r="K41" s="189">
        <v>1</v>
      </c>
      <c r="L41" s="188">
        <v>45231</v>
      </c>
      <c r="M41" s="150">
        <v>1</v>
      </c>
      <c r="N41" s="150">
        <v>0</v>
      </c>
      <c r="O41" s="150">
        <f t="shared" si="36"/>
        <v>1</v>
      </c>
      <c r="P41" s="187"/>
      <c r="Q41" s="186">
        <f t="shared" si="37"/>
        <v>0.16666666666666666</v>
      </c>
      <c r="R41" s="152">
        <v>2</v>
      </c>
      <c r="S41" s="150">
        <v>0.9</v>
      </c>
      <c r="T41" s="150">
        <v>0.1</v>
      </c>
      <c r="U41" s="150">
        <f t="shared" si="38"/>
        <v>1</v>
      </c>
      <c r="V41" s="147">
        <f>J41*N41*Q41</f>
        <v>0</v>
      </c>
      <c r="W41" s="147">
        <f t="shared" si="39"/>
        <v>7111.8427500067492</v>
      </c>
      <c r="X41" s="147">
        <f t="shared" si="40"/>
        <v>790.20475000074998</v>
      </c>
      <c r="Y41" s="185">
        <f t="shared" si="41"/>
        <v>7902.0475000074994</v>
      </c>
      <c r="Z41">
        <v>870</v>
      </c>
      <c r="AA41" s="184">
        <f t="shared" si="42"/>
        <v>4741.2285000045003</v>
      </c>
      <c r="AB41" s="184">
        <f t="shared" si="43"/>
        <v>42671.056500040497</v>
      </c>
      <c r="AC41" s="184">
        <f t="shared" si="44"/>
        <v>0</v>
      </c>
      <c r="AD41" s="184">
        <f>+AA41*(1+'SCHG2-19'!$M$12)</f>
        <v>4978.2899250047258</v>
      </c>
      <c r="AE41" s="184">
        <f>+AB41*(1+'SCHG2-19'!$M$12)</f>
        <v>44804.609325042526</v>
      </c>
      <c r="AF41" s="184">
        <f>+AC41*(1+'SCHG2-19'!$M$12)</f>
        <v>0</v>
      </c>
      <c r="AH41" s="260"/>
      <c r="AJ41" s="261">
        <f>($J41*(1+'SCHG2-19'!$M$12))*$N41</f>
        <v>0</v>
      </c>
      <c r="AK41" s="261">
        <f>($J41*(1+'SCHG2-19'!$M$12))*$M41*S41</f>
        <v>44804.609325042526</v>
      </c>
      <c r="AL41" s="261">
        <f>($J41*(1+'SCHG2-19'!$M$12))*$M41*T41</f>
        <v>4978.2899250047258</v>
      </c>
      <c r="AM41" s="185">
        <f t="shared" si="45"/>
        <v>49782.899250047252</v>
      </c>
      <c r="AN41" s="261">
        <f t="shared" si="46"/>
        <v>0</v>
      </c>
      <c r="AO41" s="261">
        <f t="shared" si="47"/>
        <v>568.94742000053998</v>
      </c>
      <c r="AP41" s="261">
        <f t="shared" si="48"/>
        <v>63.216380000059999</v>
      </c>
      <c r="AQ41" s="185">
        <f t="shared" si="49"/>
        <v>632.16380000059996</v>
      </c>
      <c r="AR41" s="261">
        <f t="shared" si="50"/>
        <v>0</v>
      </c>
      <c r="AS41" s="261">
        <f t="shared" si="51"/>
        <v>3584.3687460034021</v>
      </c>
      <c r="AT41" s="261">
        <f t="shared" si="52"/>
        <v>398.26319400037806</v>
      </c>
      <c r="AU41" s="185">
        <f t="shared" si="53"/>
        <v>3982.6319400037801</v>
      </c>
      <c r="AV41" s="261">
        <f>(+V41/$Y$98)*('SCHG2-19'!$I$448*'SCHG2-19'!$K$15)</f>
        <v>0</v>
      </c>
      <c r="AW41" s="261">
        <f>(+W41/$Y$98)*('SCHG2-19'!$I$448*'SCHG2-19'!$K$15)</f>
        <v>738.17258367648878</v>
      </c>
      <c r="AX41" s="261">
        <f>(+X41/$Y$98)*('SCHG2-19'!$I$448*'SCHG2-19'!$K$15)</f>
        <v>82.019175964054313</v>
      </c>
      <c r="AY41" s="185">
        <f t="shared" si="54"/>
        <v>820.19175964054307</v>
      </c>
      <c r="AZ41" s="261">
        <f>((+AJ41/($AM$98+$Y$178)*((('SCHG2-19'!$I$448*'SCHG2-19'!$K$15)+'SCHG2-19'!$I$448)*'SCHG2-19'!$M$15)))</f>
        <v>0</v>
      </c>
      <c r="BA41" s="261">
        <f>((+AK41/($AM$98+$Y$178)*((('SCHG2-19'!$I$448*'SCHG2-19'!$K$15)+'SCHG2-19'!$I$448)*'SCHG2-19'!$M$15)))</f>
        <v>816.16820586053893</v>
      </c>
      <c r="BB41" s="261">
        <f>((+AL41/($AM$98+$Y$178)*((('SCHG2-19'!$I$448*'SCHG2-19'!$K$15)+'SCHG2-19'!$I$448)*'SCHG2-19'!$M$15)))</f>
        <v>90.685356206726567</v>
      </c>
      <c r="BC41" s="185">
        <f t="shared" si="55"/>
        <v>906.85356206726556</v>
      </c>
      <c r="BD41" s="261">
        <f>(+V41/$Y$98)*('SCHG2-19'!$K$448-'SCHG2-19'!$I$448-'IRR 202 Detail '!$AY$98)</f>
        <v>0</v>
      </c>
      <c r="BE41" s="261">
        <f>(+W41/$Y$98)*('SCHG2-19'!$K$448-'SCHG2-19'!$I$448-'IRR 202 Detail '!$AY$98)</f>
        <v>1753.6393942566024</v>
      </c>
      <c r="BF41" s="261">
        <f>(+X41/$Y$98)*('SCHG2-19'!$K$448-'SCHG2-19'!$I$448-'IRR 202 Detail '!$AY$98)</f>
        <v>194.84882158406694</v>
      </c>
      <c r="BG41" s="185">
        <f t="shared" si="56"/>
        <v>1948.4882158406692</v>
      </c>
      <c r="BH41" s="261">
        <f>(+AJ41/($AM$98+$Y$178))*('SCHG2-19'!$M$448-'SCHG2-19'!$K$448-'IRR 202 Detail '!$BC$98-'IRR 202 Detail '!$AQ$178)</f>
        <v>0</v>
      </c>
      <c r="BI41" s="261">
        <f>(+AK41/($AM$98+$Y$178))*('SCHG2-19'!$M$448-'SCHG2-19'!$K$448-'IRR 202 Detail '!$BC$98-'IRR 202 Detail '!$AQ$178)</f>
        <v>3149.7424219256823</v>
      </c>
      <c r="BJ41" s="261">
        <f>(+AL41/($AM$98+$Y$178))*('SCHG2-19'!$M$448-'SCHG2-19'!$K$448-'IRR 202 Detail '!$BC$98-'IRR 202 Detail '!$AQ$178)</f>
        <v>349.97138021396478</v>
      </c>
      <c r="BK41" s="185">
        <f t="shared" si="57"/>
        <v>3499.7138021396472</v>
      </c>
      <c r="BL41" s="192"/>
      <c r="BM41" s="183"/>
      <c r="BN41" s="90"/>
      <c r="BO41" s="192"/>
      <c r="BP41" s="192"/>
      <c r="BQ41" s="192"/>
      <c r="BR41" s="192"/>
      <c r="BS41" s="192">
        <f t="shared" si="58"/>
        <v>0</v>
      </c>
      <c r="BT41" s="192">
        <f t="shared" si="59"/>
        <v>0</v>
      </c>
      <c r="BU41" s="192">
        <f t="shared" si="60"/>
        <v>0</v>
      </c>
      <c r="BV41" s="192"/>
      <c r="BW41" s="192"/>
      <c r="BX41" s="192"/>
      <c r="BY41" s="192"/>
    </row>
    <row r="42" spans="1:77" ht="30" x14ac:dyDescent="0.25">
      <c r="A42" s="88"/>
      <c r="B42" s="88"/>
      <c r="C42" t="s">
        <v>305</v>
      </c>
      <c r="D42" t="s">
        <v>304</v>
      </c>
      <c r="E42" s="162" t="s">
        <v>303</v>
      </c>
      <c r="F42" s="182" t="s">
        <v>302</v>
      </c>
      <c r="G42" s="182"/>
      <c r="H42" s="191" t="s">
        <v>402</v>
      </c>
      <c r="I42" s="190" t="s">
        <v>349</v>
      </c>
      <c r="J42" s="185">
        <v>278801.61670840502</v>
      </c>
      <c r="K42" s="189">
        <v>3</v>
      </c>
      <c r="L42" s="188">
        <v>44958</v>
      </c>
      <c r="M42" s="150">
        <v>1</v>
      </c>
      <c r="N42" s="150">
        <v>0</v>
      </c>
      <c r="O42" s="150">
        <f t="shared" si="36"/>
        <v>1</v>
      </c>
      <c r="P42" s="187"/>
      <c r="Q42" s="186">
        <f t="shared" si="37"/>
        <v>0.91666666666666663</v>
      </c>
      <c r="R42" s="152">
        <v>6</v>
      </c>
      <c r="S42" s="150">
        <v>0.9</v>
      </c>
      <c r="T42" s="150">
        <v>0.1</v>
      </c>
      <c r="U42" s="150">
        <f t="shared" si="38"/>
        <v>1</v>
      </c>
      <c r="V42" s="147">
        <f>J42*N42*Q42</f>
        <v>0</v>
      </c>
      <c r="W42" s="147">
        <f t="shared" si="39"/>
        <v>230011.33378443413</v>
      </c>
      <c r="X42" s="147">
        <f t="shared" si="40"/>
        <v>25556.814864937129</v>
      </c>
      <c r="Y42" s="185">
        <f t="shared" si="41"/>
        <v>255568.14864937126</v>
      </c>
      <c r="Z42">
        <v>870</v>
      </c>
      <c r="AA42" s="184">
        <f t="shared" si="42"/>
        <v>27880.161670840505</v>
      </c>
      <c r="AB42" s="184">
        <f t="shared" si="43"/>
        <v>250921.45503756453</v>
      </c>
      <c r="AC42" s="184">
        <f t="shared" si="44"/>
        <v>0</v>
      </c>
      <c r="AD42" s="184">
        <f>+AA42*(1+'SCHG2-19'!$M$12)</f>
        <v>29274.169754382532</v>
      </c>
      <c r="AE42" s="184">
        <f>+AB42*(1+'SCHG2-19'!$M$12)</f>
        <v>263467.5277894428</v>
      </c>
      <c r="AF42" s="184">
        <f>+AC42*(1+'SCHG2-19'!$M$12)</f>
        <v>0</v>
      </c>
      <c r="AH42" s="260"/>
      <c r="AJ42" s="261">
        <f>($J42*(1+'SCHG2-19'!$M$12))*$N42</f>
        <v>0</v>
      </c>
      <c r="AK42" s="261">
        <f>($J42*(1+'SCHG2-19'!$M$12))*$M42*S42</f>
        <v>263467.5277894428</v>
      </c>
      <c r="AL42" s="261">
        <f>($J42*(1+'SCHG2-19'!$M$12))*$M42*T42</f>
        <v>29274.169754382532</v>
      </c>
      <c r="AM42" s="185">
        <f t="shared" si="45"/>
        <v>292741.69754382531</v>
      </c>
      <c r="AN42" s="261">
        <f t="shared" si="46"/>
        <v>0</v>
      </c>
      <c r="AO42" s="261">
        <f t="shared" si="47"/>
        <v>18400.906702754732</v>
      </c>
      <c r="AP42" s="261">
        <f t="shared" si="48"/>
        <v>2044.5451891949704</v>
      </c>
      <c r="AQ42" s="185">
        <f t="shared" si="49"/>
        <v>20445.451891949702</v>
      </c>
      <c r="AR42" s="261">
        <f t="shared" si="50"/>
        <v>0</v>
      </c>
      <c r="AS42" s="261">
        <f t="shared" si="51"/>
        <v>21077.402223155423</v>
      </c>
      <c r="AT42" s="261">
        <f t="shared" si="52"/>
        <v>2341.9335803506028</v>
      </c>
      <c r="AU42" s="185">
        <f t="shared" si="53"/>
        <v>23419.335803506026</v>
      </c>
      <c r="AV42" s="261">
        <f>(+V42/$Y$98)*('SCHG2-19'!$I$448*'SCHG2-19'!$K$15)</f>
        <v>0</v>
      </c>
      <c r="AW42" s="261">
        <f>(+W42/$Y$98)*('SCHG2-19'!$I$448*'SCHG2-19'!$K$15)</f>
        <v>23873.989696182452</v>
      </c>
      <c r="AX42" s="261">
        <f>(+X42/$Y$98)*('SCHG2-19'!$I$448*'SCHG2-19'!$K$15)</f>
        <v>2652.6655217980506</v>
      </c>
      <c r="AY42" s="185">
        <f t="shared" si="54"/>
        <v>26526.655217980504</v>
      </c>
      <c r="AZ42" s="261">
        <f>((+AJ42/($AM$98+$Y$178)*((('SCHG2-19'!$I$448*'SCHG2-19'!$K$15)+'SCHG2-19'!$I$448)*'SCHG2-19'!$M$15)))</f>
        <v>0</v>
      </c>
      <c r="BA42" s="261">
        <f>((+AK42/($AM$98+$Y$178)*((('SCHG2-19'!$I$448*'SCHG2-19'!$K$15)+'SCHG2-19'!$I$448)*'SCHG2-19'!$M$15)))</f>
        <v>4799.368250226722</v>
      </c>
      <c r="BB42" s="261">
        <f>((+AL42/($AM$98+$Y$178)*((('SCHG2-19'!$I$448*'SCHG2-19'!$K$15)+'SCHG2-19'!$I$448)*'SCHG2-19'!$M$15)))</f>
        <v>533.26313891408029</v>
      </c>
      <c r="BC42" s="185">
        <f t="shared" si="55"/>
        <v>5332.6313891408026</v>
      </c>
      <c r="BD42" s="261">
        <f>(+V42/$Y$98)*('SCHG2-19'!$K$448-'SCHG2-19'!$I$448-'IRR 202 Detail '!$AY$98)</f>
        <v>0</v>
      </c>
      <c r="BE42" s="261">
        <f>(+W42/$Y$98)*('SCHG2-19'!$K$448-'SCHG2-19'!$I$448-'IRR 202 Detail '!$AY$98)</f>
        <v>56716.233784767726</v>
      </c>
      <c r="BF42" s="261">
        <f>(+X42/$Y$98)*('SCHG2-19'!$K$448-'SCHG2-19'!$I$448-'IRR 202 Detail '!$AY$98)</f>
        <v>6301.8037538630824</v>
      </c>
      <c r="BG42" s="185">
        <f t="shared" si="56"/>
        <v>63018.037538630808</v>
      </c>
      <c r="BH42" s="261">
        <f>(+AJ42/($AM$98+$Y$178))*('SCHG2-19'!$M$448-'SCHG2-19'!$K$448-'IRR 202 Detail '!$BC$98-'IRR 202 Detail '!$AQ$178)</f>
        <v>0</v>
      </c>
      <c r="BI42" s="261">
        <f>(+AK42/($AM$98+$Y$178))*('SCHG2-19'!$M$448-'SCHG2-19'!$K$448-'IRR 202 Detail '!$BC$98-'IRR 202 Detail '!$AQ$178)</f>
        <v>18521.640107560605</v>
      </c>
      <c r="BJ42" s="261">
        <f>(+AL42/($AM$98+$Y$178))*('SCHG2-19'!$M$448-'SCHG2-19'!$K$448-'IRR 202 Detail '!$BC$98-'IRR 202 Detail '!$AQ$178)</f>
        <v>2057.9600119511783</v>
      </c>
      <c r="BK42" s="185">
        <f t="shared" si="57"/>
        <v>20579.600119511782</v>
      </c>
      <c r="BL42" s="192"/>
      <c r="BM42" s="183"/>
      <c r="BN42" s="90"/>
      <c r="BO42" s="192"/>
      <c r="BP42" s="192"/>
      <c r="BQ42" s="192"/>
      <c r="BR42" s="192"/>
      <c r="BS42" s="192">
        <f t="shared" si="58"/>
        <v>0</v>
      </c>
      <c r="BT42" s="192">
        <f t="shared" si="59"/>
        <v>0</v>
      </c>
      <c r="BU42" s="192">
        <f t="shared" si="60"/>
        <v>0</v>
      </c>
      <c r="BV42" s="192"/>
      <c r="BW42" s="192"/>
      <c r="BX42" s="192"/>
      <c r="BY42" s="192"/>
    </row>
    <row r="43" spans="1:77" ht="30" x14ac:dyDescent="0.25">
      <c r="A43" s="88"/>
      <c r="B43" s="88"/>
      <c r="C43" t="s">
        <v>305</v>
      </c>
      <c r="D43" t="s">
        <v>304</v>
      </c>
      <c r="E43" s="162" t="s">
        <v>303</v>
      </c>
      <c r="F43" s="182" t="s">
        <v>302</v>
      </c>
      <c r="G43" s="182"/>
      <c r="H43" s="191" t="s">
        <v>174</v>
      </c>
      <c r="I43" s="190">
        <v>39712</v>
      </c>
      <c r="J43" s="185">
        <v>111772.76833957501</v>
      </c>
      <c r="K43" s="189">
        <v>1</v>
      </c>
      <c r="L43" s="188">
        <v>44927</v>
      </c>
      <c r="M43" s="150">
        <v>1</v>
      </c>
      <c r="N43" s="150">
        <v>0</v>
      </c>
      <c r="O43" s="150">
        <f t="shared" si="36"/>
        <v>1</v>
      </c>
      <c r="P43" s="187"/>
      <c r="Q43" s="186">
        <f t="shared" si="37"/>
        <v>1</v>
      </c>
      <c r="R43" s="152">
        <v>7</v>
      </c>
      <c r="S43" s="150">
        <v>0.9</v>
      </c>
      <c r="T43" s="150">
        <v>0.1</v>
      </c>
      <c r="U43" s="150">
        <f t="shared" si="38"/>
        <v>1</v>
      </c>
      <c r="V43" s="147">
        <f>J43*N43*Q43</f>
        <v>0</v>
      </c>
      <c r="W43" s="147">
        <f t="shared" si="39"/>
        <v>100595.49150561751</v>
      </c>
      <c r="X43" s="147">
        <f t="shared" si="40"/>
        <v>11177.276833957501</v>
      </c>
      <c r="Y43" s="185">
        <f t="shared" si="41"/>
        <v>111772.76833957501</v>
      </c>
      <c r="Z43">
        <v>870</v>
      </c>
      <c r="AA43" s="184">
        <f t="shared" si="42"/>
        <v>11177.276833957501</v>
      </c>
      <c r="AB43" s="184">
        <f t="shared" si="43"/>
        <v>100595.49150561751</v>
      </c>
      <c r="AC43" s="184">
        <f t="shared" si="44"/>
        <v>0</v>
      </c>
      <c r="AD43" s="184">
        <f>+AA43*(1+'SCHG2-19'!$M$12)</f>
        <v>11736.140675655377</v>
      </c>
      <c r="AE43" s="184">
        <f>+AB43*(1+'SCHG2-19'!$M$12)</f>
        <v>105625.26608089839</v>
      </c>
      <c r="AF43" s="184">
        <f>+AC43*(1+'SCHG2-19'!$M$12)</f>
        <v>0</v>
      </c>
      <c r="AH43" s="260"/>
      <c r="AJ43" s="261">
        <f>($J43*(1+'SCHG2-19'!$M$12))*$N43</f>
        <v>0</v>
      </c>
      <c r="AK43" s="261">
        <f>($J43*(1+'SCHG2-19'!$M$12))*$M43*S43</f>
        <v>105625.26608089838</v>
      </c>
      <c r="AL43" s="261">
        <f>($J43*(1+'SCHG2-19'!$M$12))*$M43*T43</f>
        <v>11736.140675655377</v>
      </c>
      <c r="AM43" s="185">
        <f t="shared" si="45"/>
        <v>117361.40675655376</v>
      </c>
      <c r="AN43" s="261">
        <f t="shared" si="46"/>
        <v>0</v>
      </c>
      <c r="AO43" s="261">
        <f t="shared" si="47"/>
        <v>8047.6393204494007</v>
      </c>
      <c r="AP43" s="261">
        <f t="shared" si="48"/>
        <v>894.18214671660007</v>
      </c>
      <c r="AQ43" s="185">
        <f t="shared" si="49"/>
        <v>8941.8214671660007</v>
      </c>
      <c r="AR43" s="261">
        <f t="shared" si="50"/>
        <v>0</v>
      </c>
      <c r="AS43" s="261">
        <f t="shared" si="51"/>
        <v>8450.0212864718706</v>
      </c>
      <c r="AT43" s="261">
        <f t="shared" si="52"/>
        <v>938.89125405243021</v>
      </c>
      <c r="AU43" s="185">
        <f t="shared" si="53"/>
        <v>9388.9125405243012</v>
      </c>
      <c r="AV43" s="261">
        <f>(+V43/$Y$98)*('SCHG2-19'!$I$448*'SCHG2-19'!$K$15)</f>
        <v>0</v>
      </c>
      <c r="AW43" s="261">
        <f>(+W43/$Y$98)*('SCHG2-19'!$I$448*'SCHG2-19'!$K$15)</f>
        <v>10441.292992710994</v>
      </c>
      <c r="AX43" s="261">
        <f>(+X43/$Y$98)*('SCHG2-19'!$I$448*'SCHG2-19'!$K$15)</f>
        <v>1160.143665856777</v>
      </c>
      <c r="AY43" s="185">
        <f t="shared" si="54"/>
        <v>11601.436658567771</v>
      </c>
      <c r="AZ43" s="261">
        <f>((+AJ43/($AM$98+$Y$178)*((('SCHG2-19'!$I$448*'SCHG2-19'!$K$15)+'SCHG2-19'!$I$448)*'SCHG2-19'!$M$15)))</f>
        <v>0</v>
      </c>
      <c r="BA43" s="261">
        <f>((+AK43/($AM$98+$Y$178)*((('SCHG2-19'!$I$448*'SCHG2-19'!$K$15)+'SCHG2-19'!$I$448)*'SCHG2-19'!$M$15)))</f>
        <v>1924.0873921113484</v>
      </c>
      <c r="BB43" s="261">
        <f>((+AL43/($AM$98+$Y$178)*((('SCHG2-19'!$I$448*'SCHG2-19'!$K$15)+'SCHG2-19'!$I$448)*'SCHG2-19'!$M$15)))</f>
        <v>213.78748801237205</v>
      </c>
      <c r="BC43" s="185">
        <f t="shared" si="55"/>
        <v>2137.8748801237207</v>
      </c>
      <c r="BD43" s="261">
        <f>(+V43/$Y$98)*('SCHG2-19'!$K$448-'SCHG2-19'!$I$448-'IRR 202 Detail '!$AY$98)</f>
        <v>0</v>
      </c>
      <c r="BE43" s="261">
        <f>(+W43/$Y$98)*('SCHG2-19'!$K$448-'SCHG2-19'!$I$448-'IRR 202 Detail '!$AY$98)</f>
        <v>24804.853395934388</v>
      </c>
      <c r="BF43" s="261">
        <f>(+X43/$Y$98)*('SCHG2-19'!$K$448-'SCHG2-19'!$I$448-'IRR 202 Detail '!$AY$98)</f>
        <v>2756.0948217704877</v>
      </c>
      <c r="BG43" s="185">
        <f t="shared" si="56"/>
        <v>27560.948217704874</v>
      </c>
      <c r="BH43" s="261">
        <f>(+AJ43/($AM$98+$Y$178))*('SCHG2-19'!$M$448-'SCHG2-19'!$K$448-'IRR 202 Detail '!$BC$98-'IRR 202 Detail '!$AQ$178)</f>
        <v>0</v>
      </c>
      <c r="BI43" s="261">
        <f>(+AK43/($AM$98+$Y$178))*('SCHG2-19'!$M$448-'SCHG2-19'!$K$448-'IRR 202 Detail '!$BC$98-'IRR 202 Detail '!$AQ$178)</f>
        <v>7425.405252138703</v>
      </c>
      <c r="BJ43" s="261">
        <f>(+AL43/($AM$98+$Y$178))*('SCHG2-19'!$M$448-'SCHG2-19'!$K$448-'IRR 202 Detail '!$BC$98-'IRR 202 Detail '!$AQ$178)</f>
        <v>825.0450280154115</v>
      </c>
      <c r="BK43" s="185">
        <f t="shared" si="57"/>
        <v>8250.4502801541148</v>
      </c>
      <c r="BL43" s="192"/>
      <c r="BM43" s="183"/>
      <c r="BN43" s="90"/>
      <c r="BO43" s="192"/>
      <c r="BP43" s="192"/>
      <c r="BQ43" s="192"/>
      <c r="BR43" s="192"/>
      <c r="BS43" s="192">
        <f t="shared" si="58"/>
        <v>-1.4551915228366852E-11</v>
      </c>
      <c r="BT43" s="192">
        <f t="shared" si="59"/>
        <v>0</v>
      </c>
      <c r="BU43" s="192">
        <f t="shared" si="60"/>
        <v>0</v>
      </c>
      <c r="BV43" s="192"/>
      <c r="BW43" s="192"/>
      <c r="BX43" s="192"/>
      <c r="BY43" s="192"/>
    </row>
    <row r="44" spans="1:77" ht="30" x14ac:dyDescent="0.25">
      <c r="C44" t="s">
        <v>305</v>
      </c>
      <c r="D44" t="s">
        <v>348</v>
      </c>
      <c r="E44" s="162" t="s">
        <v>303</v>
      </c>
      <c r="F44" s="182" t="s">
        <v>302</v>
      </c>
      <c r="G44" s="182"/>
      <c r="H44" s="191" t="s">
        <v>175</v>
      </c>
      <c r="I44" s="190">
        <v>39812</v>
      </c>
      <c r="J44" s="185">
        <v>92933.872236135008</v>
      </c>
      <c r="K44" s="189">
        <v>1</v>
      </c>
      <c r="L44" s="188">
        <v>45231</v>
      </c>
      <c r="M44" s="150">
        <v>1</v>
      </c>
      <c r="N44" s="150">
        <v>0</v>
      </c>
      <c r="O44" s="150">
        <f t="shared" si="36"/>
        <v>1</v>
      </c>
      <c r="P44" s="187"/>
      <c r="Q44" s="186">
        <f t="shared" si="37"/>
        <v>0.16666666666666666</v>
      </c>
      <c r="R44" s="152">
        <v>6</v>
      </c>
      <c r="S44" s="150">
        <v>0.9</v>
      </c>
      <c r="T44" s="150">
        <v>0.1</v>
      </c>
      <c r="U44" s="150">
        <f t="shared" si="38"/>
        <v>1</v>
      </c>
      <c r="V44" s="147">
        <v>0</v>
      </c>
      <c r="W44" s="147">
        <f t="shared" si="39"/>
        <v>13940.080835420251</v>
      </c>
      <c r="X44" s="147">
        <f t="shared" si="40"/>
        <v>1548.8978706022501</v>
      </c>
      <c r="Y44" s="185">
        <f t="shared" si="41"/>
        <v>15488.978706022501</v>
      </c>
      <c r="Z44">
        <v>870</v>
      </c>
      <c r="AA44" s="184">
        <f t="shared" si="42"/>
        <v>9293.3872236135012</v>
      </c>
      <c r="AB44" s="184">
        <f t="shared" si="43"/>
        <v>83640.485012521516</v>
      </c>
      <c r="AC44" s="184">
        <f t="shared" si="44"/>
        <v>0</v>
      </c>
      <c r="AD44" s="184">
        <f>+AA44*(1+'SCHG2-19'!$M$12)</f>
        <v>9758.0565847941762</v>
      </c>
      <c r="AE44" s="184">
        <f>+AB44*(1+'SCHG2-19'!$M$12)</f>
        <v>87822.5092631476</v>
      </c>
      <c r="AF44" s="184">
        <f>+AC44*(1+'SCHG2-19'!$M$12)</f>
        <v>0</v>
      </c>
      <c r="AH44" s="260"/>
      <c r="AJ44" s="261">
        <f>($J44*(1+'SCHG2-19'!$M$12))*$N44</f>
        <v>0</v>
      </c>
      <c r="AK44" s="261">
        <f>($J44*(1+'SCHG2-19'!$M$12))*$M44*S44</f>
        <v>87822.509263147585</v>
      </c>
      <c r="AL44" s="261">
        <f>($J44*(1+'SCHG2-19'!$M$12))*$M44*T44</f>
        <v>9758.0565847941762</v>
      </c>
      <c r="AM44" s="185">
        <f t="shared" si="45"/>
        <v>97580.565847941762</v>
      </c>
      <c r="AN44" s="261">
        <f t="shared" si="46"/>
        <v>0</v>
      </c>
      <c r="AO44" s="261">
        <f t="shared" si="47"/>
        <v>1115.2064668336202</v>
      </c>
      <c r="AP44" s="261">
        <f t="shared" si="48"/>
        <v>123.91182964818002</v>
      </c>
      <c r="AQ44" s="185">
        <f t="shared" si="49"/>
        <v>1239.1182964818001</v>
      </c>
      <c r="AR44" s="261">
        <f t="shared" si="50"/>
        <v>0</v>
      </c>
      <c r="AS44" s="261">
        <f t="shared" si="51"/>
        <v>7025.8007410518067</v>
      </c>
      <c r="AT44" s="261">
        <f t="shared" si="52"/>
        <v>780.64452678353416</v>
      </c>
      <c r="AU44" s="185">
        <f t="shared" si="53"/>
        <v>7806.4452678353409</v>
      </c>
      <c r="AV44" s="261">
        <f>(+V44/$Y$98)*('SCHG2-19'!$I$448*'SCHG2-19'!$K$15)</f>
        <v>0</v>
      </c>
      <c r="AW44" s="261">
        <f>(+W44/$Y$98)*('SCHG2-19'!$I$448*'SCHG2-19'!$K$15)</f>
        <v>1446.9084664353002</v>
      </c>
      <c r="AX44" s="261">
        <f>(+X44/$Y$98)*('SCHG2-19'!$I$448*'SCHG2-19'!$K$15)</f>
        <v>160.7676073817</v>
      </c>
      <c r="AY44" s="185">
        <f t="shared" si="54"/>
        <v>1607.6760738170001</v>
      </c>
      <c r="AZ44" s="261">
        <f>((+AJ44/($AM$98+$Y$178)*((('SCHG2-19'!$I$448*'SCHG2-19'!$K$15)+'SCHG2-19'!$I$448)*'SCHG2-19'!$M$15)))</f>
        <v>0</v>
      </c>
      <c r="BA44" s="261">
        <f>((+AK44/($AM$98+$Y$178)*((('SCHG2-19'!$I$448*'SCHG2-19'!$K$15)+'SCHG2-19'!$I$448)*'SCHG2-19'!$M$15)))</f>
        <v>1599.7894167422403</v>
      </c>
      <c r="BB44" s="261">
        <f>((+AL44/($AM$98+$Y$178)*((('SCHG2-19'!$I$448*'SCHG2-19'!$K$15)+'SCHG2-19'!$I$448)*'SCHG2-19'!$M$15)))</f>
        <v>177.75437963802673</v>
      </c>
      <c r="BC44" s="185">
        <f t="shared" si="55"/>
        <v>1777.5437963802669</v>
      </c>
      <c r="BD44" s="261">
        <f>(+V44/$Y$98)*('SCHG2-19'!$K$448-'SCHG2-19'!$I$448-'IRR 202 Detail '!$AY$98)</f>
        <v>0</v>
      </c>
      <c r="BE44" s="261">
        <f>(+W44/$Y$98)*('SCHG2-19'!$K$448-'SCHG2-19'!$I$448-'IRR 202 Detail '!$AY$98)</f>
        <v>3437.3475021071354</v>
      </c>
      <c r="BF44" s="261">
        <f>(+X44/$Y$98)*('SCHG2-19'!$K$448-'SCHG2-19'!$I$448-'IRR 202 Detail '!$AY$98)</f>
        <v>381.92750023412617</v>
      </c>
      <c r="BG44" s="185">
        <f t="shared" si="56"/>
        <v>3819.2750023412614</v>
      </c>
      <c r="BH44" s="261">
        <f>(+AJ44/($AM$98+$Y$178))*('SCHG2-19'!$M$448-'SCHG2-19'!$K$448-'IRR 202 Detail '!$BC$98-'IRR 202 Detail '!$AQ$178)</f>
        <v>0</v>
      </c>
      <c r="BI44" s="261">
        <f>(+AK44/($AM$98+$Y$178))*('SCHG2-19'!$M$448-'SCHG2-19'!$K$448-'IRR 202 Detail '!$BC$98-'IRR 202 Detail '!$AQ$178)</f>
        <v>6173.8800358535336</v>
      </c>
      <c r="BJ44" s="261">
        <f>(+AL44/($AM$98+$Y$178))*('SCHG2-19'!$M$448-'SCHG2-19'!$K$448-'IRR 202 Detail '!$BC$98-'IRR 202 Detail '!$AQ$178)</f>
        <v>685.98667065039274</v>
      </c>
      <c r="BK44" s="185">
        <f t="shared" si="57"/>
        <v>6859.8667065039263</v>
      </c>
      <c r="BL44" s="192"/>
      <c r="BM44" s="183"/>
      <c r="BN44" s="90"/>
      <c r="BO44" s="192"/>
      <c r="BP44" s="192"/>
      <c r="BQ44" s="192"/>
      <c r="BR44" s="192"/>
      <c r="BS44" s="192">
        <f t="shared" si="58"/>
        <v>-1.4551915228366852E-11</v>
      </c>
      <c r="BT44" s="192">
        <f t="shared" si="59"/>
        <v>0</v>
      </c>
      <c r="BU44" s="192">
        <f t="shared" si="60"/>
        <v>0</v>
      </c>
      <c r="BV44" s="192"/>
      <c r="BW44" s="192"/>
      <c r="BX44" s="192"/>
      <c r="BY44" s="192"/>
    </row>
    <row r="45" spans="1:77" ht="30" x14ac:dyDescent="0.25">
      <c r="C45" t="s">
        <v>305</v>
      </c>
      <c r="D45" t="s">
        <v>348</v>
      </c>
      <c r="E45" s="162" t="s">
        <v>303</v>
      </c>
      <c r="F45" s="182" t="s">
        <v>302</v>
      </c>
      <c r="G45" s="182"/>
      <c r="H45" s="191" t="s">
        <v>176</v>
      </c>
      <c r="I45" s="190">
        <v>38873</v>
      </c>
      <c r="J45" s="185">
        <v>77867.235382545012</v>
      </c>
      <c r="K45" s="189">
        <v>1</v>
      </c>
      <c r="L45" s="188">
        <v>45231</v>
      </c>
      <c r="M45" s="150">
        <v>1</v>
      </c>
      <c r="N45" s="150">
        <v>0</v>
      </c>
      <c r="O45" s="150">
        <f t="shared" si="36"/>
        <v>1</v>
      </c>
      <c r="P45" s="187"/>
      <c r="Q45" s="186">
        <f t="shared" si="37"/>
        <v>0.16666666666666666</v>
      </c>
      <c r="R45" s="152">
        <v>5</v>
      </c>
      <c r="S45" s="150">
        <v>0.9</v>
      </c>
      <c r="T45" s="150">
        <v>0.1</v>
      </c>
      <c r="U45" s="150">
        <f t="shared" si="38"/>
        <v>1</v>
      </c>
      <c r="V45" s="147">
        <v>0</v>
      </c>
      <c r="W45" s="147">
        <f t="shared" si="39"/>
        <v>11680.085307381751</v>
      </c>
      <c r="X45" s="147">
        <f t="shared" si="40"/>
        <v>1297.7872563757501</v>
      </c>
      <c r="Y45" s="185">
        <f t="shared" si="41"/>
        <v>12977.872563757501</v>
      </c>
      <c r="Z45">
        <v>870</v>
      </c>
      <c r="AA45" s="184">
        <f t="shared" si="42"/>
        <v>7786.7235382545014</v>
      </c>
      <c r="AB45" s="184">
        <f t="shared" si="43"/>
        <v>70080.511844290508</v>
      </c>
      <c r="AC45" s="184">
        <f t="shared" si="44"/>
        <v>0</v>
      </c>
      <c r="AD45" s="184">
        <f>+AA45*(1+'SCHG2-19'!$M$12)</f>
        <v>8176.0597151672264</v>
      </c>
      <c r="AE45" s="184">
        <f>+AB45*(1+'SCHG2-19'!$M$12)</f>
        <v>73584.537436505037</v>
      </c>
      <c r="AF45" s="184">
        <f>+AC45*(1+'SCHG2-19'!$M$12)</f>
        <v>0</v>
      </c>
      <c r="AH45" s="260"/>
      <c r="AJ45" s="261">
        <f>($J45*(1+'SCHG2-19'!$M$12))*$N45</f>
        <v>0</v>
      </c>
      <c r="AK45" s="261">
        <f>($J45*(1+'SCHG2-19'!$M$12))*$M45*S45</f>
        <v>73584.537436505037</v>
      </c>
      <c r="AL45" s="261">
        <f>($J45*(1+'SCHG2-19'!$M$12))*$M45*T45</f>
        <v>8176.0597151672264</v>
      </c>
      <c r="AM45" s="185">
        <f t="shared" si="45"/>
        <v>81760.597151672264</v>
      </c>
      <c r="AN45" s="261">
        <f t="shared" si="46"/>
        <v>0</v>
      </c>
      <c r="AO45" s="261">
        <f t="shared" si="47"/>
        <v>934.40682459054005</v>
      </c>
      <c r="AP45" s="261">
        <f t="shared" si="48"/>
        <v>103.82298051006001</v>
      </c>
      <c r="AQ45" s="185">
        <f t="shared" si="49"/>
        <v>1038.2298051006001</v>
      </c>
      <c r="AR45" s="261">
        <f t="shared" si="50"/>
        <v>0</v>
      </c>
      <c r="AS45" s="261">
        <f t="shared" si="51"/>
        <v>5886.7629949204029</v>
      </c>
      <c r="AT45" s="261">
        <f t="shared" si="52"/>
        <v>654.08477721337817</v>
      </c>
      <c r="AU45" s="185">
        <f t="shared" si="53"/>
        <v>6540.8477721337813</v>
      </c>
      <c r="AV45" s="261">
        <f>(+V45/$Y$98)*('SCHG2-19'!$I$448*'SCHG2-19'!$K$15)</f>
        <v>0</v>
      </c>
      <c r="AW45" s="261">
        <f>(+W45/$Y$98)*('SCHG2-19'!$I$448*'SCHG2-19'!$K$15)</f>
        <v>1212.3325911422326</v>
      </c>
      <c r="AX45" s="261">
        <f>(+X45/$Y$98)*('SCHG2-19'!$I$448*'SCHG2-19'!$K$15)</f>
        <v>134.70362123802585</v>
      </c>
      <c r="AY45" s="185">
        <f t="shared" si="54"/>
        <v>1347.0362123802583</v>
      </c>
      <c r="AZ45" s="261">
        <f>((+AJ45/($AM$98+$Y$178)*((('SCHG2-19'!$I$448*'SCHG2-19'!$K$15)+'SCHG2-19'!$I$448)*'SCHG2-19'!$M$15)))</f>
        <v>0</v>
      </c>
      <c r="BA45" s="261">
        <f>((+AK45/($AM$98+$Y$178)*((('SCHG2-19'!$I$448*'SCHG2-19'!$K$15)+'SCHG2-19'!$I$448)*'SCHG2-19'!$M$15)))</f>
        <v>1340.4281569097907</v>
      </c>
      <c r="BB45" s="261">
        <f>((+AL45/($AM$98+$Y$178)*((('SCHG2-19'!$I$448*'SCHG2-19'!$K$15)+'SCHG2-19'!$I$448)*'SCHG2-19'!$M$15)))</f>
        <v>148.93646187886563</v>
      </c>
      <c r="BC45" s="185">
        <f t="shared" si="55"/>
        <v>1489.3646187886563</v>
      </c>
      <c r="BD45" s="261">
        <f>(+V45/$Y$98)*('SCHG2-19'!$K$448-'SCHG2-19'!$I$448-'IRR 202 Detail '!$AY$98)</f>
        <v>0</v>
      </c>
      <c r="BE45" s="261">
        <f>(+W45/$Y$98)*('SCHG2-19'!$K$448-'SCHG2-19'!$I$448-'IRR 202 Detail '!$AY$98)</f>
        <v>2880.0774206211095</v>
      </c>
      <c r="BF45" s="261">
        <f>(+X45/$Y$98)*('SCHG2-19'!$K$448-'SCHG2-19'!$I$448-'IRR 202 Detail '!$AY$98)</f>
        <v>320.00860229123435</v>
      </c>
      <c r="BG45" s="185">
        <f t="shared" si="56"/>
        <v>3200.0860229123437</v>
      </c>
      <c r="BH45" s="261">
        <f>(+AJ45/($AM$98+$Y$178))*('SCHG2-19'!$M$448-'SCHG2-19'!$K$448-'IRR 202 Detail '!$BC$98-'IRR 202 Detail '!$AQ$178)</f>
        <v>0</v>
      </c>
      <c r="BI45" s="261">
        <f>(+AK45/($AM$98+$Y$178))*('SCHG2-19'!$M$448-'SCHG2-19'!$K$448-'IRR 202 Detail '!$BC$98-'IRR 202 Detail '!$AQ$178)</f>
        <v>5172.9574848004413</v>
      </c>
      <c r="BJ45" s="261">
        <f>(+AL45/($AM$98+$Y$178))*('SCHG2-19'!$M$448-'SCHG2-19'!$K$448-'IRR 202 Detail '!$BC$98-'IRR 202 Detail '!$AQ$178)</f>
        <v>574.77305386671571</v>
      </c>
      <c r="BK45" s="185">
        <f t="shared" si="57"/>
        <v>5747.7305386671569</v>
      </c>
      <c r="BL45" s="192"/>
      <c r="BM45" s="183"/>
      <c r="BN45" s="90"/>
      <c r="BO45" s="192"/>
      <c r="BP45" s="192"/>
      <c r="BQ45" s="192"/>
      <c r="BR45" s="192"/>
      <c r="BS45" s="192">
        <f t="shared" si="58"/>
        <v>0</v>
      </c>
      <c r="BT45" s="192">
        <f t="shared" si="59"/>
        <v>0</v>
      </c>
      <c r="BU45" s="192">
        <f t="shared" si="60"/>
        <v>0</v>
      </c>
      <c r="BV45" s="192"/>
      <c r="BW45" s="192"/>
      <c r="BX45" s="192"/>
      <c r="BY45" s="192"/>
    </row>
    <row r="46" spans="1:77" x14ac:dyDescent="0.25">
      <c r="C46" t="s">
        <v>305</v>
      </c>
      <c r="D46" t="s">
        <v>348</v>
      </c>
      <c r="E46" s="162" t="s">
        <v>303</v>
      </c>
      <c r="F46" s="182" t="s">
        <v>302</v>
      </c>
      <c r="G46" s="182"/>
      <c r="H46" s="191" t="s">
        <v>177</v>
      </c>
      <c r="I46" s="190" t="s">
        <v>270</v>
      </c>
      <c r="J46" s="185">
        <v>111772.76833957501</v>
      </c>
      <c r="K46" s="189">
        <v>1</v>
      </c>
      <c r="L46" s="188">
        <v>45231</v>
      </c>
      <c r="M46" s="150">
        <v>1</v>
      </c>
      <c r="N46" s="150">
        <v>0</v>
      </c>
      <c r="O46" s="150">
        <f t="shared" si="36"/>
        <v>1</v>
      </c>
      <c r="P46" s="187"/>
      <c r="Q46" s="186">
        <f t="shared" si="37"/>
        <v>0.16666666666666666</v>
      </c>
      <c r="R46" s="152">
        <v>7</v>
      </c>
      <c r="S46" s="150">
        <v>0.9</v>
      </c>
      <c r="T46" s="150">
        <v>0.1</v>
      </c>
      <c r="U46" s="150">
        <f t="shared" si="38"/>
        <v>1</v>
      </c>
      <c r="V46" s="147">
        <f t="shared" ref="V46:V55" si="61">J46*N46*Q46</f>
        <v>0</v>
      </c>
      <c r="W46" s="147">
        <f t="shared" si="39"/>
        <v>16765.91525093625</v>
      </c>
      <c r="X46" s="147">
        <f t="shared" si="40"/>
        <v>1862.8794723262502</v>
      </c>
      <c r="Y46" s="185">
        <f t="shared" si="41"/>
        <v>18628.794723262501</v>
      </c>
      <c r="Z46">
        <v>870</v>
      </c>
      <c r="AA46" s="184">
        <f t="shared" si="42"/>
        <v>11177.276833957501</v>
      </c>
      <c r="AB46" s="184">
        <f t="shared" si="43"/>
        <v>100595.49150561751</v>
      </c>
      <c r="AC46" s="184">
        <f t="shared" si="44"/>
        <v>0</v>
      </c>
      <c r="AD46" s="184">
        <f>+AA46*(1+'SCHG2-19'!$M$12)</f>
        <v>11736.140675655377</v>
      </c>
      <c r="AE46" s="184">
        <f>+AB46*(1+'SCHG2-19'!$M$12)</f>
        <v>105625.26608089839</v>
      </c>
      <c r="AF46" s="184">
        <f>+AC46*(1+'SCHG2-19'!$M$12)</f>
        <v>0</v>
      </c>
      <c r="AH46" s="260"/>
      <c r="AJ46" s="261">
        <f>($J46*(1+'SCHG2-19'!$M$12))*$N46</f>
        <v>0</v>
      </c>
      <c r="AK46" s="261">
        <f>($J46*(1+'SCHG2-19'!$M$12))*$M46*S46</f>
        <v>105625.26608089838</v>
      </c>
      <c r="AL46" s="261">
        <f>($J46*(1+'SCHG2-19'!$M$12))*$M46*T46</f>
        <v>11736.140675655377</v>
      </c>
      <c r="AM46" s="185">
        <f t="shared" si="45"/>
        <v>117361.40675655376</v>
      </c>
      <c r="AN46" s="261">
        <f t="shared" si="46"/>
        <v>0</v>
      </c>
      <c r="AO46" s="261">
        <f t="shared" si="47"/>
        <v>1341.2732200749001</v>
      </c>
      <c r="AP46" s="261">
        <f t="shared" si="48"/>
        <v>149.03035778610001</v>
      </c>
      <c r="AQ46" s="185">
        <f t="shared" si="49"/>
        <v>1490.3035778610001</v>
      </c>
      <c r="AR46" s="261">
        <f t="shared" si="50"/>
        <v>0</v>
      </c>
      <c r="AS46" s="261">
        <f t="shared" si="51"/>
        <v>8450.0212864718706</v>
      </c>
      <c r="AT46" s="261">
        <f t="shared" si="52"/>
        <v>938.89125405243021</v>
      </c>
      <c r="AU46" s="185">
        <f t="shared" si="53"/>
        <v>9388.9125405243012</v>
      </c>
      <c r="AV46" s="261">
        <f>(+V46/$Y$98)*('SCHG2-19'!$I$448*'SCHG2-19'!$K$15)</f>
        <v>0</v>
      </c>
      <c r="AW46" s="261">
        <f>(+W46/$Y$98)*('SCHG2-19'!$I$448*'SCHG2-19'!$K$15)</f>
        <v>1740.2154987851657</v>
      </c>
      <c r="AX46" s="261">
        <f>(+X46/$Y$98)*('SCHG2-19'!$I$448*'SCHG2-19'!$K$15)</f>
        <v>193.35727764279619</v>
      </c>
      <c r="AY46" s="185">
        <f t="shared" si="54"/>
        <v>1933.5727764279618</v>
      </c>
      <c r="AZ46" s="261">
        <f>((+AJ46/($AM$98+$Y$178)*((('SCHG2-19'!$I$448*'SCHG2-19'!$K$15)+'SCHG2-19'!$I$448)*'SCHG2-19'!$M$15)))</f>
        <v>0</v>
      </c>
      <c r="BA46" s="261">
        <f>((+AK46/($AM$98+$Y$178)*((('SCHG2-19'!$I$448*'SCHG2-19'!$K$15)+'SCHG2-19'!$I$448)*'SCHG2-19'!$M$15)))</f>
        <v>1924.0873921113484</v>
      </c>
      <c r="BB46" s="261">
        <f>((+AL46/($AM$98+$Y$178)*((('SCHG2-19'!$I$448*'SCHG2-19'!$K$15)+'SCHG2-19'!$I$448)*'SCHG2-19'!$M$15)))</f>
        <v>213.78748801237205</v>
      </c>
      <c r="BC46" s="185">
        <f t="shared" si="55"/>
        <v>2137.8748801237207</v>
      </c>
      <c r="BD46" s="261">
        <f>(+V46/$Y$98)*('SCHG2-19'!$K$448-'SCHG2-19'!$I$448-'IRR 202 Detail '!$AY$98)</f>
        <v>0</v>
      </c>
      <c r="BE46" s="261">
        <f>(+W46/$Y$98)*('SCHG2-19'!$K$448-'SCHG2-19'!$I$448-'IRR 202 Detail '!$AY$98)</f>
        <v>4134.1422326557313</v>
      </c>
      <c r="BF46" s="261">
        <f>(+X46/$Y$98)*('SCHG2-19'!$K$448-'SCHG2-19'!$I$448-'IRR 202 Detail '!$AY$98)</f>
        <v>459.34913696174794</v>
      </c>
      <c r="BG46" s="185">
        <f t="shared" si="56"/>
        <v>4593.491369617479</v>
      </c>
      <c r="BH46" s="261">
        <f>(+AJ46/($AM$98+$Y$178))*('SCHG2-19'!$M$448-'SCHG2-19'!$K$448-'IRR 202 Detail '!$BC$98-'IRR 202 Detail '!$AQ$178)</f>
        <v>0</v>
      </c>
      <c r="BI46" s="261">
        <f>(+AK46/($AM$98+$Y$178))*('SCHG2-19'!$M$448-'SCHG2-19'!$K$448-'IRR 202 Detail '!$BC$98-'IRR 202 Detail '!$AQ$178)</f>
        <v>7425.405252138703</v>
      </c>
      <c r="BJ46" s="261">
        <f>(+AL46/($AM$98+$Y$178))*('SCHG2-19'!$M$448-'SCHG2-19'!$K$448-'IRR 202 Detail '!$BC$98-'IRR 202 Detail '!$AQ$178)</f>
        <v>825.0450280154115</v>
      </c>
      <c r="BK46" s="185">
        <f t="shared" si="57"/>
        <v>8250.4502801541148</v>
      </c>
      <c r="BL46" s="192"/>
      <c r="BM46" s="183"/>
      <c r="BN46" s="90"/>
      <c r="BO46" s="192"/>
      <c r="BP46" s="192"/>
      <c r="BQ46" s="192"/>
      <c r="BR46" s="192"/>
      <c r="BS46" s="192">
        <f t="shared" si="58"/>
        <v>-1.4551915228366852E-11</v>
      </c>
      <c r="BT46" s="192">
        <f t="shared" si="59"/>
        <v>0</v>
      </c>
      <c r="BU46" s="192">
        <f t="shared" si="60"/>
        <v>0</v>
      </c>
      <c r="BV46" s="192"/>
      <c r="BW46" s="192"/>
      <c r="BX46" s="192"/>
      <c r="BY46" s="192"/>
    </row>
    <row r="47" spans="1:77" x14ac:dyDescent="0.25">
      <c r="C47" t="s">
        <v>305</v>
      </c>
      <c r="D47" t="s">
        <v>347</v>
      </c>
      <c r="E47" s="162" t="s">
        <v>303</v>
      </c>
      <c r="F47" s="182" t="s">
        <v>302</v>
      </c>
      <c r="G47" s="182"/>
      <c r="H47" s="191" t="s">
        <v>178</v>
      </c>
      <c r="I47" s="190" t="s">
        <v>270</v>
      </c>
      <c r="J47" s="185">
        <v>127680.63578256001</v>
      </c>
      <c r="K47" s="189">
        <v>1</v>
      </c>
      <c r="L47" s="188">
        <v>44986</v>
      </c>
      <c r="M47" s="150">
        <v>1</v>
      </c>
      <c r="N47" s="150">
        <v>0</v>
      </c>
      <c r="O47" s="150">
        <f t="shared" si="36"/>
        <v>1</v>
      </c>
      <c r="P47" s="187"/>
      <c r="Q47" s="186">
        <f t="shared" si="37"/>
        <v>0.83333333333333337</v>
      </c>
      <c r="R47" s="152">
        <v>8</v>
      </c>
      <c r="S47" s="150">
        <v>0.9</v>
      </c>
      <c r="T47" s="150">
        <v>0.1</v>
      </c>
      <c r="U47" s="150">
        <f t="shared" si="38"/>
        <v>1</v>
      </c>
      <c r="V47" s="147">
        <f t="shared" si="61"/>
        <v>0</v>
      </c>
      <c r="W47" s="147">
        <f t="shared" si="39"/>
        <v>95760.476836920017</v>
      </c>
      <c r="X47" s="147">
        <f t="shared" si="40"/>
        <v>10640.052981880002</v>
      </c>
      <c r="Y47" s="185">
        <f t="shared" si="41"/>
        <v>106400.52981880002</v>
      </c>
      <c r="Z47">
        <v>870</v>
      </c>
      <c r="AA47" s="184">
        <f t="shared" si="42"/>
        <v>12768.063578256002</v>
      </c>
      <c r="AB47" s="184">
        <f t="shared" si="43"/>
        <v>114912.57220430402</v>
      </c>
      <c r="AC47" s="184">
        <f t="shared" si="44"/>
        <v>0</v>
      </c>
      <c r="AD47" s="184">
        <f>+AA47*(1+'SCHG2-19'!$M$12)</f>
        <v>13406.466757168802</v>
      </c>
      <c r="AE47" s="184">
        <f>+AB47*(1+'SCHG2-19'!$M$12)</f>
        <v>120658.20081451922</v>
      </c>
      <c r="AF47" s="184">
        <f>+AC47*(1+'SCHG2-19'!$M$12)</f>
        <v>0</v>
      </c>
      <c r="AH47" s="260"/>
      <c r="AJ47" s="261">
        <f>($J47*(1+'SCHG2-19'!$M$12))*$N47</f>
        <v>0</v>
      </c>
      <c r="AK47" s="261">
        <f>($J47*(1+'SCHG2-19'!$M$12))*$M47*S47</f>
        <v>120658.20081451921</v>
      </c>
      <c r="AL47" s="261">
        <f>($J47*(1+'SCHG2-19'!$M$12))*$M47*T47</f>
        <v>13406.466757168802</v>
      </c>
      <c r="AM47" s="185">
        <f t="shared" si="45"/>
        <v>134064.66757168801</v>
      </c>
      <c r="AN47" s="261">
        <f t="shared" si="46"/>
        <v>0</v>
      </c>
      <c r="AO47" s="261">
        <f t="shared" si="47"/>
        <v>7660.8381469536016</v>
      </c>
      <c r="AP47" s="261">
        <f t="shared" si="48"/>
        <v>851.20423855040019</v>
      </c>
      <c r="AQ47" s="185">
        <f t="shared" si="49"/>
        <v>8512.0423855040026</v>
      </c>
      <c r="AR47" s="261">
        <f t="shared" si="50"/>
        <v>0</v>
      </c>
      <c r="AS47" s="261">
        <f t="shared" si="51"/>
        <v>9652.6560651615364</v>
      </c>
      <c r="AT47" s="261">
        <f t="shared" si="52"/>
        <v>1072.5173405735043</v>
      </c>
      <c r="AU47" s="185">
        <f t="shared" si="53"/>
        <v>10725.17340573504</v>
      </c>
      <c r="AV47" s="261">
        <f>(+V47/$Y$98)*('SCHG2-19'!$I$448*'SCHG2-19'!$K$15)</f>
        <v>0</v>
      </c>
      <c r="AW47" s="261">
        <f>(+W47/$Y$98)*('SCHG2-19'!$I$448*'SCHG2-19'!$K$15)</f>
        <v>9939.4434165089951</v>
      </c>
      <c r="AX47" s="261">
        <f>(+X47/$Y$98)*('SCHG2-19'!$I$448*'SCHG2-19'!$K$15)</f>
        <v>1104.3826018343327</v>
      </c>
      <c r="AY47" s="185">
        <f t="shared" si="54"/>
        <v>11043.826018343329</v>
      </c>
      <c r="AZ47" s="261">
        <f>((+AJ47/($AM$98+$Y$178)*((('SCHG2-19'!$I$448*'SCHG2-19'!$K$15)+'SCHG2-19'!$I$448)*'SCHG2-19'!$M$15)))</f>
        <v>0</v>
      </c>
      <c r="BA47" s="261">
        <f>((+AK47/($AM$98+$Y$178)*((('SCHG2-19'!$I$448*'SCHG2-19'!$K$15)+'SCHG2-19'!$I$448)*'SCHG2-19'!$M$15)))</f>
        <v>2197.9298283068624</v>
      </c>
      <c r="BB47" s="261">
        <f>((+AL47/($AM$98+$Y$178)*((('SCHG2-19'!$I$448*'SCHG2-19'!$K$15)+'SCHG2-19'!$I$448)*'SCHG2-19'!$M$15)))</f>
        <v>244.21442536742916</v>
      </c>
      <c r="BC47" s="185">
        <f t="shared" si="55"/>
        <v>2442.1442536742916</v>
      </c>
      <c r="BD47" s="261">
        <f>(+V47/$Y$98)*('SCHG2-19'!$K$448-'SCHG2-19'!$I$448-'IRR 202 Detail '!$AY$98)</f>
        <v>0</v>
      </c>
      <c r="BE47" s="261">
        <f>(+W47/$Y$98)*('SCHG2-19'!$K$448-'SCHG2-19'!$I$448-'IRR 202 Detail '!$AY$98)</f>
        <v>23612.634657010723</v>
      </c>
      <c r="BF47" s="261">
        <f>(+X47/$Y$98)*('SCHG2-19'!$K$448-'SCHG2-19'!$I$448-'IRR 202 Detail '!$AY$98)</f>
        <v>2623.6260730011913</v>
      </c>
      <c r="BG47" s="185">
        <f t="shared" si="56"/>
        <v>26236.260730011916</v>
      </c>
      <c r="BH47" s="261">
        <f>(+AJ47/($AM$98+$Y$178))*('SCHG2-19'!$M$448-'SCHG2-19'!$K$448-'IRR 202 Detail '!$BC$98-'IRR 202 Detail '!$AQ$178)</f>
        <v>0</v>
      </c>
      <c r="BI47" s="261">
        <f>(+AK47/($AM$98+$Y$178))*('SCHG2-19'!$M$448-'SCHG2-19'!$K$448-'IRR 202 Detail '!$BC$98-'IRR 202 Detail '!$AQ$178)</f>
        <v>8482.2133120643684</v>
      </c>
      <c r="BJ47" s="261">
        <f>(+AL47/($AM$98+$Y$178))*('SCHG2-19'!$M$448-'SCHG2-19'!$K$448-'IRR 202 Detail '!$BC$98-'IRR 202 Detail '!$AQ$178)</f>
        <v>942.4681457849299</v>
      </c>
      <c r="BK47" s="185">
        <f t="shared" si="57"/>
        <v>9424.6814578492977</v>
      </c>
      <c r="BL47" s="192"/>
      <c r="BM47" s="183"/>
      <c r="BN47" s="90"/>
      <c r="BO47" s="192"/>
      <c r="BP47" s="192"/>
      <c r="BQ47" s="192"/>
      <c r="BR47" s="192"/>
      <c r="BS47" s="192">
        <f t="shared" si="58"/>
        <v>-1.4551915228366852E-11</v>
      </c>
      <c r="BT47" s="192">
        <f t="shared" si="59"/>
        <v>0</v>
      </c>
      <c r="BU47" s="192">
        <f t="shared" si="60"/>
        <v>0</v>
      </c>
      <c r="BV47" s="192"/>
      <c r="BW47" s="192"/>
      <c r="BX47" s="192"/>
      <c r="BY47" s="192"/>
    </row>
    <row r="48" spans="1:77" x14ac:dyDescent="0.25">
      <c r="C48" t="s">
        <v>305</v>
      </c>
      <c r="D48" t="s">
        <v>347</v>
      </c>
      <c r="E48" s="162" t="s">
        <v>303</v>
      </c>
      <c r="F48" s="182" t="s">
        <v>302</v>
      </c>
      <c r="G48" s="182"/>
      <c r="H48" s="191" t="s">
        <v>405</v>
      </c>
      <c r="I48" s="190" t="s">
        <v>270</v>
      </c>
      <c r="J48" s="185">
        <v>67435.215188460003</v>
      </c>
      <c r="K48" s="189">
        <v>1</v>
      </c>
      <c r="L48" s="188">
        <v>44927</v>
      </c>
      <c r="M48" s="150">
        <v>1</v>
      </c>
      <c r="N48" s="150">
        <v>0</v>
      </c>
      <c r="O48" s="150">
        <f t="shared" si="36"/>
        <v>1</v>
      </c>
      <c r="P48" s="187"/>
      <c r="Q48" s="186">
        <f t="shared" si="37"/>
        <v>1</v>
      </c>
      <c r="R48" s="152">
        <v>4</v>
      </c>
      <c r="S48" s="150">
        <v>0.9</v>
      </c>
      <c r="T48" s="150">
        <v>0.1</v>
      </c>
      <c r="U48" s="150">
        <f t="shared" si="38"/>
        <v>1</v>
      </c>
      <c r="V48" s="147">
        <f t="shared" si="61"/>
        <v>0</v>
      </c>
      <c r="W48" s="147">
        <f t="shared" si="39"/>
        <v>60691.693669614004</v>
      </c>
      <c r="X48" s="147">
        <f t="shared" si="40"/>
        <v>6743.5215188460006</v>
      </c>
      <c r="Y48" s="185">
        <f t="shared" si="41"/>
        <v>67435.215188460003</v>
      </c>
      <c r="Z48">
        <v>870</v>
      </c>
      <c r="AA48" s="184">
        <f t="shared" si="42"/>
        <v>6743.5215188460006</v>
      </c>
      <c r="AB48" s="184">
        <f t="shared" si="43"/>
        <v>60691.693669614004</v>
      </c>
      <c r="AC48" s="184">
        <f t="shared" si="44"/>
        <v>0</v>
      </c>
      <c r="AD48" s="184">
        <f>+AA48*(1+'SCHG2-19'!$M$12)</f>
        <v>7080.6975947883011</v>
      </c>
      <c r="AE48" s="184">
        <f>+AB48*(1+'SCHG2-19'!$M$12)</f>
        <v>63726.278353094705</v>
      </c>
      <c r="AF48" s="184">
        <f>+AC48*(1+'SCHG2-19'!$M$12)</f>
        <v>0</v>
      </c>
      <c r="AH48" s="260"/>
      <c r="AJ48" s="261">
        <f>($J48*(1+'SCHG2-19'!$M$12))*$N48</f>
        <v>0</v>
      </c>
      <c r="AK48" s="261">
        <f>($J48*(1+'SCHG2-19'!$M$12))*$M48*S48</f>
        <v>63726.278353094713</v>
      </c>
      <c r="AL48" s="261">
        <f>($J48*(1+'SCHG2-19'!$M$12))*$M48*T48</f>
        <v>7080.6975947883011</v>
      </c>
      <c r="AM48" s="185">
        <f t="shared" si="45"/>
        <v>70806.975947883009</v>
      </c>
      <c r="AN48" s="261">
        <f t="shared" si="46"/>
        <v>0</v>
      </c>
      <c r="AO48" s="261">
        <f t="shared" si="47"/>
        <v>4855.3354935691204</v>
      </c>
      <c r="AP48" s="261">
        <f t="shared" si="48"/>
        <v>539.48172150768005</v>
      </c>
      <c r="AQ48" s="185">
        <f t="shared" si="49"/>
        <v>5394.8172150768005</v>
      </c>
      <c r="AR48" s="261">
        <f t="shared" si="50"/>
        <v>0</v>
      </c>
      <c r="AS48" s="261">
        <f t="shared" si="51"/>
        <v>5098.1022682475768</v>
      </c>
      <c r="AT48" s="261">
        <f t="shared" si="52"/>
        <v>566.45580758306414</v>
      </c>
      <c r="AU48" s="185">
        <f t="shared" si="53"/>
        <v>5664.5580758306405</v>
      </c>
      <c r="AV48" s="261">
        <f>(+V48/$Y$98)*('SCHG2-19'!$I$448*'SCHG2-19'!$K$15)</f>
        <v>0</v>
      </c>
      <c r="AW48" s="261">
        <f>(+W48/$Y$98)*('SCHG2-19'!$I$448*'SCHG2-19'!$K$15)</f>
        <v>6299.4846622218211</v>
      </c>
      <c r="AX48" s="261">
        <f>(+X48/$Y$98)*('SCHG2-19'!$I$448*'SCHG2-19'!$K$15)</f>
        <v>699.94274024686899</v>
      </c>
      <c r="AY48" s="185">
        <f t="shared" si="54"/>
        <v>6999.4274024686902</v>
      </c>
      <c r="AZ48" s="261">
        <f>((+AJ48/($AM$98+$Y$178)*((('SCHG2-19'!$I$448*'SCHG2-19'!$K$15)+'SCHG2-19'!$I$448)*'SCHG2-19'!$M$15)))</f>
        <v>0</v>
      </c>
      <c r="BA48" s="261">
        <f>((+AK48/($AM$98+$Y$178)*((('SCHG2-19'!$I$448*'SCHG2-19'!$K$15)+'SCHG2-19'!$I$448)*'SCHG2-19'!$M$15)))</f>
        <v>1160.8484719125547</v>
      </c>
      <c r="BB48" s="261">
        <f>((+AL48/($AM$98+$Y$178)*((('SCHG2-19'!$I$448*'SCHG2-19'!$K$15)+'SCHG2-19'!$I$448)*'SCHG2-19'!$M$15)))</f>
        <v>128.9831635458394</v>
      </c>
      <c r="BC48" s="185">
        <f t="shared" si="55"/>
        <v>1289.8316354583942</v>
      </c>
      <c r="BD48" s="261">
        <f>(+V48/$Y$98)*('SCHG2-19'!$K$448-'SCHG2-19'!$I$448-'IRR 202 Detail '!$AY$98)</f>
        <v>0</v>
      </c>
      <c r="BE48" s="261">
        <f>(+W48/$Y$98)*('SCHG2-19'!$K$448-'SCHG2-19'!$I$448-'IRR 202 Detail '!$AY$98)</f>
        <v>14965.368142186238</v>
      </c>
      <c r="BF48" s="261">
        <f>(+X48/$Y$98)*('SCHG2-19'!$K$448-'SCHG2-19'!$I$448-'IRR 202 Detail '!$AY$98)</f>
        <v>1662.8186824651377</v>
      </c>
      <c r="BG48" s="185">
        <f t="shared" si="56"/>
        <v>16628.186824651377</v>
      </c>
      <c r="BH48" s="261">
        <f>(+AJ48/($AM$98+$Y$178))*('SCHG2-19'!$M$448-'SCHG2-19'!$K$448-'IRR 202 Detail '!$BC$98-'IRR 202 Detail '!$AQ$178)</f>
        <v>0</v>
      </c>
      <c r="BI48" s="261">
        <f>(+AK48/($AM$98+$Y$178))*('SCHG2-19'!$M$448-'SCHG2-19'!$K$448-'IRR 202 Detail '!$BC$98-'IRR 202 Detail '!$AQ$178)</f>
        <v>4479.9266268347537</v>
      </c>
      <c r="BJ48" s="261">
        <f>(+AL48/($AM$98+$Y$178))*('SCHG2-19'!$M$448-'SCHG2-19'!$K$448-'IRR 202 Detail '!$BC$98-'IRR 202 Detail '!$AQ$178)</f>
        <v>497.76962520386155</v>
      </c>
      <c r="BK48" s="185">
        <f t="shared" si="57"/>
        <v>4977.6962520386151</v>
      </c>
      <c r="BL48" s="192"/>
      <c r="BM48" s="183"/>
      <c r="BN48" s="90"/>
      <c r="BO48" s="192"/>
      <c r="BP48" s="192"/>
      <c r="BQ48" s="192"/>
      <c r="BR48" s="192"/>
      <c r="BS48" s="192">
        <f t="shared" si="58"/>
        <v>0</v>
      </c>
      <c r="BT48" s="192">
        <f t="shared" si="59"/>
        <v>0</v>
      </c>
      <c r="BU48" s="192">
        <f t="shared" si="60"/>
        <v>0</v>
      </c>
      <c r="BV48" s="192"/>
      <c r="BW48" s="192"/>
      <c r="BX48" s="192"/>
      <c r="BY48" s="192"/>
    </row>
    <row r="49" spans="1:77" x14ac:dyDescent="0.25">
      <c r="C49" t="s">
        <v>305</v>
      </c>
      <c r="D49" t="s">
        <v>347</v>
      </c>
      <c r="E49" s="162" t="s">
        <v>303</v>
      </c>
      <c r="F49" s="182" t="s">
        <v>302</v>
      </c>
      <c r="G49" s="182"/>
      <c r="H49" s="191" t="s">
        <v>179</v>
      </c>
      <c r="I49" s="190" t="s">
        <v>270</v>
      </c>
      <c r="J49" s="185">
        <v>77867.235382545012</v>
      </c>
      <c r="K49" s="189">
        <v>1</v>
      </c>
      <c r="L49" s="188">
        <v>45231</v>
      </c>
      <c r="M49" s="150">
        <v>1</v>
      </c>
      <c r="N49" s="150">
        <v>0</v>
      </c>
      <c r="O49" s="150">
        <f t="shared" si="36"/>
        <v>1</v>
      </c>
      <c r="P49" s="187"/>
      <c r="Q49" s="186">
        <f t="shared" si="37"/>
        <v>0.16666666666666666</v>
      </c>
      <c r="R49" s="152">
        <v>5</v>
      </c>
      <c r="S49" s="150">
        <v>0.9</v>
      </c>
      <c r="T49" s="150">
        <v>0.1</v>
      </c>
      <c r="U49" s="150">
        <f t="shared" si="38"/>
        <v>1</v>
      </c>
      <c r="V49" s="147">
        <f t="shared" si="61"/>
        <v>0</v>
      </c>
      <c r="W49" s="147">
        <f t="shared" si="39"/>
        <v>11680.085307381751</v>
      </c>
      <c r="X49" s="147">
        <f t="shared" si="40"/>
        <v>1297.7872563757501</v>
      </c>
      <c r="Y49" s="185">
        <f t="shared" si="41"/>
        <v>12977.872563757501</v>
      </c>
      <c r="Z49">
        <v>870</v>
      </c>
      <c r="AA49" s="184">
        <f t="shared" si="42"/>
        <v>7786.7235382545014</v>
      </c>
      <c r="AB49" s="184">
        <f t="shared" si="43"/>
        <v>70080.511844290508</v>
      </c>
      <c r="AC49" s="184">
        <f t="shared" si="44"/>
        <v>0</v>
      </c>
      <c r="AD49" s="184">
        <f>+AA49*(1+'SCHG2-19'!$M$12)</f>
        <v>8176.0597151672264</v>
      </c>
      <c r="AE49" s="184">
        <f>+AB49*(1+'SCHG2-19'!$M$12)</f>
        <v>73584.537436505037</v>
      </c>
      <c r="AF49" s="184">
        <f>+AC49*(1+'SCHG2-19'!$M$12)</f>
        <v>0</v>
      </c>
      <c r="AH49" s="260"/>
      <c r="AJ49" s="261">
        <f>($J49*(1+'SCHG2-19'!$M$12))*$N49</f>
        <v>0</v>
      </c>
      <c r="AK49" s="261">
        <f>($J49*(1+'SCHG2-19'!$M$12))*$M49*S49</f>
        <v>73584.537436505037</v>
      </c>
      <c r="AL49" s="261">
        <f>($J49*(1+'SCHG2-19'!$M$12))*$M49*T49</f>
        <v>8176.0597151672264</v>
      </c>
      <c r="AM49" s="185">
        <f t="shared" si="45"/>
        <v>81760.597151672264</v>
      </c>
      <c r="AN49" s="261">
        <f t="shared" si="46"/>
        <v>0</v>
      </c>
      <c r="AO49" s="261">
        <f t="shared" si="47"/>
        <v>934.40682459054005</v>
      </c>
      <c r="AP49" s="261">
        <f t="shared" si="48"/>
        <v>103.82298051006001</v>
      </c>
      <c r="AQ49" s="185">
        <f t="shared" si="49"/>
        <v>1038.2298051006001</v>
      </c>
      <c r="AR49" s="261">
        <f t="shared" si="50"/>
        <v>0</v>
      </c>
      <c r="AS49" s="261">
        <f t="shared" si="51"/>
        <v>5886.7629949204029</v>
      </c>
      <c r="AT49" s="261">
        <f t="shared" si="52"/>
        <v>654.08477721337817</v>
      </c>
      <c r="AU49" s="185">
        <f t="shared" si="53"/>
        <v>6540.8477721337813</v>
      </c>
      <c r="AV49" s="261">
        <f>(+V49/$Y$98)*('SCHG2-19'!$I$448*'SCHG2-19'!$K$15)</f>
        <v>0</v>
      </c>
      <c r="AW49" s="261">
        <f>(+W49/$Y$98)*('SCHG2-19'!$I$448*'SCHG2-19'!$K$15)</f>
        <v>1212.3325911422326</v>
      </c>
      <c r="AX49" s="261">
        <f>(+X49/$Y$98)*('SCHG2-19'!$I$448*'SCHG2-19'!$K$15)</f>
        <v>134.70362123802585</v>
      </c>
      <c r="AY49" s="185">
        <f t="shared" si="54"/>
        <v>1347.0362123802583</v>
      </c>
      <c r="AZ49" s="261">
        <f>((+AJ49/($AM$98+$Y$178)*((('SCHG2-19'!$I$448*'SCHG2-19'!$K$15)+'SCHG2-19'!$I$448)*'SCHG2-19'!$M$15)))</f>
        <v>0</v>
      </c>
      <c r="BA49" s="261">
        <f>((+AK49/($AM$98+$Y$178)*((('SCHG2-19'!$I$448*'SCHG2-19'!$K$15)+'SCHG2-19'!$I$448)*'SCHG2-19'!$M$15)))</f>
        <v>1340.4281569097907</v>
      </c>
      <c r="BB49" s="261">
        <f>((+AL49/($AM$98+$Y$178)*((('SCHG2-19'!$I$448*'SCHG2-19'!$K$15)+'SCHG2-19'!$I$448)*'SCHG2-19'!$M$15)))</f>
        <v>148.93646187886563</v>
      </c>
      <c r="BC49" s="185">
        <f t="shared" si="55"/>
        <v>1489.3646187886563</v>
      </c>
      <c r="BD49" s="261">
        <f>(+V49/$Y$98)*('SCHG2-19'!$K$448-'SCHG2-19'!$I$448-'IRR 202 Detail '!$AY$98)</f>
        <v>0</v>
      </c>
      <c r="BE49" s="261">
        <f>(+W49/$Y$98)*('SCHG2-19'!$K$448-'SCHG2-19'!$I$448-'IRR 202 Detail '!$AY$98)</f>
        <v>2880.0774206211095</v>
      </c>
      <c r="BF49" s="261">
        <f>(+X49/$Y$98)*('SCHG2-19'!$K$448-'SCHG2-19'!$I$448-'IRR 202 Detail '!$AY$98)</f>
        <v>320.00860229123435</v>
      </c>
      <c r="BG49" s="185">
        <f t="shared" si="56"/>
        <v>3200.0860229123437</v>
      </c>
      <c r="BH49" s="261">
        <f>(+AJ49/($AM$98+$Y$178))*('SCHG2-19'!$M$448-'SCHG2-19'!$K$448-'IRR 202 Detail '!$BC$98-'IRR 202 Detail '!$AQ$178)</f>
        <v>0</v>
      </c>
      <c r="BI49" s="261">
        <f>(+AK49/($AM$98+$Y$178))*('SCHG2-19'!$M$448-'SCHG2-19'!$K$448-'IRR 202 Detail '!$BC$98-'IRR 202 Detail '!$AQ$178)</f>
        <v>5172.9574848004413</v>
      </c>
      <c r="BJ49" s="261">
        <f>(+AL49/($AM$98+$Y$178))*('SCHG2-19'!$M$448-'SCHG2-19'!$K$448-'IRR 202 Detail '!$BC$98-'IRR 202 Detail '!$AQ$178)</f>
        <v>574.77305386671571</v>
      </c>
      <c r="BK49" s="185">
        <f t="shared" si="57"/>
        <v>5747.7305386671569</v>
      </c>
      <c r="BL49" s="192"/>
      <c r="BM49" s="183"/>
      <c r="BN49" s="90"/>
      <c r="BO49" s="192"/>
      <c r="BP49" s="192"/>
      <c r="BQ49" s="192"/>
      <c r="BR49" s="192"/>
      <c r="BS49" s="192">
        <f t="shared" si="58"/>
        <v>0</v>
      </c>
      <c r="BT49" s="192">
        <f t="shared" si="59"/>
        <v>0</v>
      </c>
      <c r="BU49" s="192">
        <f t="shared" si="60"/>
        <v>0</v>
      </c>
      <c r="BV49" s="192"/>
      <c r="BW49" s="192"/>
      <c r="BX49" s="192"/>
      <c r="BY49" s="192"/>
    </row>
    <row r="50" spans="1:77" ht="30" x14ac:dyDescent="0.25">
      <c r="C50" t="s">
        <v>305</v>
      </c>
      <c r="D50" t="s">
        <v>347</v>
      </c>
      <c r="E50" s="162" t="s">
        <v>303</v>
      </c>
      <c r="F50" s="182" t="s">
        <v>302</v>
      </c>
      <c r="G50" s="182"/>
      <c r="H50" s="191" t="s">
        <v>180</v>
      </c>
      <c r="I50" s="190" t="s">
        <v>270</v>
      </c>
      <c r="J50" s="185">
        <v>169720.80416665503</v>
      </c>
      <c r="K50" s="189">
        <v>1</v>
      </c>
      <c r="L50" s="188">
        <v>44958</v>
      </c>
      <c r="M50" s="150">
        <v>1</v>
      </c>
      <c r="N50" s="150">
        <v>0</v>
      </c>
      <c r="O50" s="150">
        <f t="shared" si="36"/>
        <v>1</v>
      </c>
      <c r="P50" s="187"/>
      <c r="Q50" s="186">
        <f t="shared" si="37"/>
        <v>0.91666666666666663</v>
      </c>
      <c r="R50" s="152">
        <v>10</v>
      </c>
      <c r="S50" s="150">
        <v>0.9</v>
      </c>
      <c r="T50" s="150">
        <v>0.1</v>
      </c>
      <c r="U50" s="150">
        <f t="shared" si="38"/>
        <v>1</v>
      </c>
      <c r="V50" s="147">
        <f t="shared" si="61"/>
        <v>0</v>
      </c>
      <c r="W50" s="147">
        <f t="shared" si="39"/>
        <v>140019.66343749038</v>
      </c>
      <c r="X50" s="147">
        <f t="shared" si="40"/>
        <v>15557.740381943377</v>
      </c>
      <c r="Y50" s="185">
        <f t="shared" si="41"/>
        <v>155577.40381943376</v>
      </c>
      <c r="Z50">
        <v>870</v>
      </c>
      <c r="AA50" s="184">
        <f t="shared" si="42"/>
        <v>16972.080416665503</v>
      </c>
      <c r="AB50" s="184">
        <f t="shared" si="43"/>
        <v>152748.72374998953</v>
      </c>
      <c r="AC50" s="184">
        <f t="shared" si="44"/>
        <v>0</v>
      </c>
      <c r="AD50" s="184">
        <f>+AA50*(1+'SCHG2-19'!$M$12)</f>
        <v>17820.684437498778</v>
      </c>
      <c r="AE50" s="184">
        <f>+AB50*(1+'SCHG2-19'!$M$12)</f>
        <v>160386.15993748902</v>
      </c>
      <c r="AF50" s="184">
        <f>+AC50*(1+'SCHG2-19'!$M$12)</f>
        <v>0</v>
      </c>
      <c r="AH50" s="260"/>
      <c r="AJ50" s="261">
        <f>($J50*(1+'SCHG2-19'!$M$12))*$N50</f>
        <v>0</v>
      </c>
      <c r="AK50" s="261">
        <f>($J50*(1+'SCHG2-19'!$M$12))*$M50*S50</f>
        <v>160386.15993748902</v>
      </c>
      <c r="AL50" s="261">
        <f>($J50*(1+'SCHG2-19'!$M$12))*$M50*T50</f>
        <v>17820.684437498781</v>
      </c>
      <c r="AM50" s="185">
        <f t="shared" si="45"/>
        <v>178206.84437498779</v>
      </c>
      <c r="AN50" s="261">
        <f t="shared" si="46"/>
        <v>0</v>
      </c>
      <c r="AO50" s="261">
        <f t="shared" si="47"/>
        <v>11201.573074999231</v>
      </c>
      <c r="AP50" s="261">
        <f t="shared" si="48"/>
        <v>1244.6192305554703</v>
      </c>
      <c r="AQ50" s="185">
        <f t="shared" si="49"/>
        <v>12446.192305554701</v>
      </c>
      <c r="AR50" s="261">
        <f t="shared" si="50"/>
        <v>0</v>
      </c>
      <c r="AS50" s="261">
        <f t="shared" si="51"/>
        <v>12830.892794999121</v>
      </c>
      <c r="AT50" s="261">
        <f t="shared" si="52"/>
        <v>1425.6547549999025</v>
      </c>
      <c r="AU50" s="185">
        <f t="shared" si="53"/>
        <v>14256.547549999024</v>
      </c>
      <c r="AV50" s="261">
        <f>(+V50/$Y$98)*('SCHG2-19'!$I$448*'SCHG2-19'!$K$15)</f>
        <v>0</v>
      </c>
      <c r="AW50" s="261">
        <f>(+W50/$Y$98)*('SCHG2-19'!$I$448*'SCHG2-19'!$K$15)</f>
        <v>14533.318628996203</v>
      </c>
      <c r="AX50" s="261">
        <f>(+X50/$Y$98)*('SCHG2-19'!$I$448*'SCHG2-19'!$K$15)</f>
        <v>1614.8131809995782</v>
      </c>
      <c r="AY50" s="185">
        <f t="shared" si="54"/>
        <v>16148.131809995781</v>
      </c>
      <c r="AZ50" s="261">
        <f>((+AJ50/($AM$98+$Y$178)*((('SCHG2-19'!$I$448*'SCHG2-19'!$K$15)+'SCHG2-19'!$I$448)*'SCHG2-19'!$M$15)))</f>
        <v>0</v>
      </c>
      <c r="BA50" s="261">
        <f>((+AK50/($AM$98+$Y$178)*((('SCHG2-19'!$I$448*'SCHG2-19'!$K$15)+'SCHG2-19'!$I$448)*'SCHG2-19'!$M$15)))</f>
        <v>2921.6209308151938</v>
      </c>
      <c r="BB50" s="261">
        <f>((+AL50/($AM$98+$Y$178)*((('SCHG2-19'!$I$448*'SCHG2-19'!$K$15)+'SCHG2-19'!$I$448)*'SCHG2-19'!$M$15)))</f>
        <v>324.62454786835491</v>
      </c>
      <c r="BC50" s="185">
        <f t="shared" si="55"/>
        <v>3246.2454786835488</v>
      </c>
      <c r="BD50" s="261">
        <f>(+V50/$Y$98)*('SCHG2-19'!$K$448-'SCHG2-19'!$I$448-'IRR 202 Detail '!$AY$98)</f>
        <v>0</v>
      </c>
      <c r="BE50" s="261">
        <f>(+W50/$Y$98)*('SCHG2-19'!$K$448-'SCHG2-19'!$I$448-'IRR 202 Detail '!$AY$98)</f>
        <v>34526.072412709203</v>
      </c>
      <c r="BF50" s="261">
        <f>(+X50/$Y$98)*('SCHG2-19'!$K$448-'SCHG2-19'!$I$448-'IRR 202 Detail '!$AY$98)</f>
        <v>3836.2302680788002</v>
      </c>
      <c r="BG50" s="185">
        <f t="shared" si="56"/>
        <v>38362.302680788001</v>
      </c>
      <c r="BH50" s="261">
        <f>(+AJ50/($AM$98+$Y$178))*('SCHG2-19'!$M$448-'SCHG2-19'!$K$448-'IRR 202 Detail '!$BC$98-'IRR 202 Detail '!$AQ$178)</f>
        <v>0</v>
      </c>
      <c r="BI50" s="261">
        <f>(+AK50/($AM$98+$Y$178))*('SCHG2-19'!$M$448-'SCHG2-19'!$K$448-'IRR 202 Detail '!$BC$98-'IRR 202 Detail '!$AQ$178)</f>
        <v>11275.069673746942</v>
      </c>
      <c r="BJ50" s="261">
        <f>(+AL50/($AM$98+$Y$178))*('SCHG2-19'!$M$448-'SCHG2-19'!$K$448-'IRR 202 Detail '!$BC$98-'IRR 202 Detail '!$AQ$178)</f>
        <v>1252.785519305216</v>
      </c>
      <c r="BK50" s="185">
        <f t="shared" si="57"/>
        <v>12527.855193052159</v>
      </c>
      <c r="BL50" s="192"/>
      <c r="BM50" s="183"/>
      <c r="BN50" s="90"/>
      <c r="BO50" s="192"/>
      <c r="BP50" s="192"/>
      <c r="BQ50" s="192"/>
      <c r="BR50" s="192"/>
      <c r="BS50" s="192">
        <f t="shared" si="58"/>
        <v>0</v>
      </c>
      <c r="BT50" s="192">
        <f t="shared" si="59"/>
        <v>0</v>
      </c>
      <c r="BU50" s="192">
        <f t="shared" si="60"/>
        <v>0</v>
      </c>
      <c r="BV50" s="192"/>
      <c r="BW50" s="192"/>
      <c r="BX50" s="192"/>
      <c r="BY50" s="192"/>
    </row>
    <row r="51" spans="1:77" x14ac:dyDescent="0.25">
      <c r="C51" t="s">
        <v>305</v>
      </c>
      <c r="D51" t="s">
        <v>347</v>
      </c>
      <c r="E51" s="162" t="s">
        <v>303</v>
      </c>
      <c r="F51" s="182" t="s">
        <v>302</v>
      </c>
      <c r="G51" s="182"/>
      <c r="H51" s="191" t="s">
        <v>231</v>
      </c>
      <c r="I51" s="190">
        <v>38452</v>
      </c>
      <c r="J51" s="185">
        <v>77867.235382545012</v>
      </c>
      <c r="K51" s="189">
        <v>1</v>
      </c>
      <c r="L51" s="188">
        <v>45231</v>
      </c>
      <c r="M51" s="150">
        <v>1</v>
      </c>
      <c r="N51" s="150">
        <v>0</v>
      </c>
      <c r="O51" s="150">
        <f t="shared" si="36"/>
        <v>1</v>
      </c>
      <c r="P51" s="187"/>
      <c r="Q51" s="186">
        <f t="shared" si="37"/>
        <v>0.16666666666666666</v>
      </c>
      <c r="R51" s="152">
        <v>5</v>
      </c>
      <c r="S51" s="150">
        <v>0</v>
      </c>
      <c r="T51" s="150">
        <v>1</v>
      </c>
      <c r="U51" s="150">
        <f t="shared" si="38"/>
        <v>1</v>
      </c>
      <c r="V51" s="147">
        <f t="shared" si="61"/>
        <v>0</v>
      </c>
      <c r="W51" s="147">
        <f t="shared" si="39"/>
        <v>0</v>
      </c>
      <c r="X51" s="147">
        <f t="shared" si="40"/>
        <v>12977.872563757501</v>
      </c>
      <c r="Y51" s="185">
        <f t="shared" si="41"/>
        <v>12977.872563757501</v>
      </c>
      <c r="Z51">
        <v>920</v>
      </c>
      <c r="AA51" s="184">
        <f t="shared" si="42"/>
        <v>77867.235382545012</v>
      </c>
      <c r="AB51" s="184">
        <f t="shared" si="43"/>
        <v>0</v>
      </c>
      <c r="AC51" s="184">
        <f t="shared" si="44"/>
        <v>0</v>
      </c>
      <c r="AD51" s="184">
        <f>+AA51*(1+'SCHG2-19'!$M$12)</f>
        <v>81760.597151672264</v>
      </c>
      <c r="AE51" s="184">
        <f>+AB51*(1+'SCHG2-19'!$M$12)</f>
        <v>0</v>
      </c>
      <c r="AF51" s="184">
        <f>+AC51*(1+'SCHG2-19'!$M$12)</f>
        <v>0</v>
      </c>
      <c r="AH51" s="260"/>
      <c r="AJ51" s="261">
        <f>($J51*(1+'SCHG2-19'!$M$12))*$N51</f>
        <v>0</v>
      </c>
      <c r="AK51" s="261">
        <f>($J51*(1+'SCHG2-19'!$M$12))*$M51*S51</f>
        <v>0</v>
      </c>
      <c r="AL51" s="261">
        <f>($J51*(1+'SCHG2-19'!$M$12))*$M51*T51</f>
        <v>81760.597151672264</v>
      </c>
      <c r="AM51" s="185">
        <f t="shared" si="45"/>
        <v>81760.597151672264</v>
      </c>
      <c r="AN51" s="261">
        <f t="shared" si="46"/>
        <v>0</v>
      </c>
      <c r="AO51" s="261">
        <f t="shared" si="47"/>
        <v>0</v>
      </c>
      <c r="AP51" s="261">
        <f t="shared" si="48"/>
        <v>1038.2298051006001</v>
      </c>
      <c r="AQ51" s="185">
        <f t="shared" si="49"/>
        <v>1038.2298051006001</v>
      </c>
      <c r="AR51" s="261">
        <f t="shared" si="50"/>
        <v>0</v>
      </c>
      <c r="AS51" s="261">
        <f t="shared" si="51"/>
        <v>0</v>
      </c>
      <c r="AT51" s="261">
        <f t="shared" si="52"/>
        <v>6540.8477721337813</v>
      </c>
      <c r="AU51" s="185">
        <f t="shared" si="53"/>
        <v>6540.8477721337813</v>
      </c>
      <c r="AV51" s="261">
        <f>(+V51/$Y$98)*('SCHG2-19'!$I$448*'SCHG2-19'!$K$15)</f>
        <v>0</v>
      </c>
      <c r="AW51" s="261">
        <f>(+W51/$Y$98)*('SCHG2-19'!$I$448*'SCHG2-19'!$K$15)</f>
        <v>0</v>
      </c>
      <c r="AX51" s="261">
        <f>(+X51/$Y$98)*('SCHG2-19'!$I$448*'SCHG2-19'!$K$15)</f>
        <v>1347.0362123802583</v>
      </c>
      <c r="AY51" s="185">
        <f t="shared" si="54"/>
        <v>1347.0362123802583</v>
      </c>
      <c r="AZ51" s="261">
        <f>((+AJ51/($AM$98+$Y$178)*((('SCHG2-19'!$I$448*'SCHG2-19'!$K$15)+'SCHG2-19'!$I$448)*'SCHG2-19'!$M$15)))</f>
        <v>0</v>
      </c>
      <c r="BA51" s="261">
        <f>((+AK51/($AM$98+$Y$178)*((('SCHG2-19'!$I$448*'SCHG2-19'!$K$15)+'SCHG2-19'!$I$448)*'SCHG2-19'!$M$15)))</f>
        <v>0</v>
      </c>
      <c r="BB51" s="261">
        <f>((+AL51/($AM$98+$Y$178)*((('SCHG2-19'!$I$448*'SCHG2-19'!$K$15)+'SCHG2-19'!$I$448)*'SCHG2-19'!$M$15)))</f>
        <v>1489.3646187886563</v>
      </c>
      <c r="BC51" s="185">
        <f t="shared" si="55"/>
        <v>1489.3646187886563</v>
      </c>
      <c r="BD51" s="261">
        <f>(+V51/$Y$98)*('SCHG2-19'!$K$448-'SCHG2-19'!$I$448-'IRR 202 Detail '!$AY$98)</f>
        <v>0</v>
      </c>
      <c r="BE51" s="261">
        <f>(+W51/$Y$98)*('SCHG2-19'!$K$448-'SCHG2-19'!$I$448-'IRR 202 Detail '!$AY$98)</f>
        <v>0</v>
      </c>
      <c r="BF51" s="261">
        <f>(+X51/$Y$98)*('SCHG2-19'!$K$448-'SCHG2-19'!$I$448-'IRR 202 Detail '!$AY$98)</f>
        <v>3200.0860229123432</v>
      </c>
      <c r="BG51" s="185">
        <f t="shared" si="56"/>
        <v>3200.0860229123432</v>
      </c>
      <c r="BH51" s="261">
        <f>(+AJ51/($AM$98+$Y$178))*('SCHG2-19'!$M$448-'SCHG2-19'!$K$448-'IRR 202 Detail '!$BC$98-'IRR 202 Detail '!$AQ$178)</f>
        <v>0</v>
      </c>
      <c r="BI51" s="261">
        <f>(+AK51/($AM$98+$Y$178))*('SCHG2-19'!$M$448-'SCHG2-19'!$K$448-'IRR 202 Detail '!$BC$98-'IRR 202 Detail '!$AQ$178)</f>
        <v>0</v>
      </c>
      <c r="BJ51" s="261">
        <f>(+AL51/($AM$98+$Y$178))*('SCHG2-19'!$M$448-'SCHG2-19'!$K$448-'IRR 202 Detail '!$BC$98-'IRR 202 Detail '!$AQ$178)</f>
        <v>5747.7305386671578</v>
      </c>
      <c r="BK51" s="185">
        <f t="shared" si="57"/>
        <v>5747.7305386671578</v>
      </c>
      <c r="BL51" s="192"/>
      <c r="BM51" s="183"/>
      <c r="BN51" s="90"/>
      <c r="BO51" s="192"/>
      <c r="BP51" s="192"/>
      <c r="BQ51" s="192"/>
      <c r="BR51" s="192"/>
      <c r="BS51" s="192">
        <f t="shared" si="58"/>
        <v>0</v>
      </c>
      <c r="BT51" s="192">
        <f t="shared" si="59"/>
        <v>0</v>
      </c>
      <c r="BU51" s="192">
        <f t="shared" si="60"/>
        <v>0</v>
      </c>
      <c r="BV51" s="192"/>
      <c r="BW51" s="192"/>
      <c r="BX51" s="192"/>
      <c r="BY51" s="192"/>
    </row>
    <row r="52" spans="1:77" x14ac:dyDescent="0.25">
      <c r="C52" t="s">
        <v>305</v>
      </c>
      <c r="D52" t="s">
        <v>347</v>
      </c>
      <c r="E52" s="162" t="s">
        <v>303</v>
      </c>
      <c r="F52" s="182" t="s">
        <v>302</v>
      </c>
      <c r="G52" s="182"/>
      <c r="H52" s="191" t="s">
        <v>232</v>
      </c>
      <c r="I52" s="190">
        <v>39232</v>
      </c>
      <c r="J52" s="185">
        <v>77867.235382545012</v>
      </c>
      <c r="K52" s="189">
        <v>1</v>
      </c>
      <c r="L52" s="188">
        <v>45231</v>
      </c>
      <c r="M52" s="150">
        <v>1</v>
      </c>
      <c r="N52" s="150">
        <v>0</v>
      </c>
      <c r="O52" s="150">
        <f t="shared" si="36"/>
        <v>1</v>
      </c>
      <c r="P52" s="187"/>
      <c r="Q52" s="186">
        <f t="shared" si="37"/>
        <v>0.16666666666666666</v>
      </c>
      <c r="R52" s="152">
        <v>5</v>
      </c>
      <c r="S52" s="150">
        <v>0</v>
      </c>
      <c r="T52" s="150">
        <v>1</v>
      </c>
      <c r="U52" s="150">
        <f t="shared" si="38"/>
        <v>1</v>
      </c>
      <c r="V52" s="147">
        <f t="shared" si="61"/>
        <v>0</v>
      </c>
      <c r="W52" s="147">
        <f t="shared" si="39"/>
        <v>0</v>
      </c>
      <c r="X52" s="147">
        <f t="shared" si="40"/>
        <v>12977.872563757501</v>
      </c>
      <c r="Y52" s="185">
        <f t="shared" si="41"/>
        <v>12977.872563757501</v>
      </c>
      <c r="Z52">
        <v>920</v>
      </c>
      <c r="AA52" s="184">
        <f t="shared" si="42"/>
        <v>77867.235382545012</v>
      </c>
      <c r="AB52" s="184">
        <f t="shared" si="43"/>
        <v>0</v>
      </c>
      <c r="AC52" s="184">
        <f t="shared" si="44"/>
        <v>0</v>
      </c>
      <c r="AD52" s="184">
        <f>+AA52*(1+'SCHG2-19'!$M$12)</f>
        <v>81760.597151672264</v>
      </c>
      <c r="AE52" s="184">
        <f>+AB52*(1+'SCHG2-19'!$M$12)</f>
        <v>0</v>
      </c>
      <c r="AF52" s="184">
        <f>+AC52*(1+'SCHG2-19'!$M$12)</f>
        <v>0</v>
      </c>
      <c r="AH52" s="260"/>
      <c r="AJ52" s="261">
        <f>($J52*(1+'SCHG2-19'!$M$12))*$N52</f>
        <v>0</v>
      </c>
      <c r="AK52" s="261">
        <f>($J52*(1+'SCHG2-19'!$M$12))*$M52*S52</f>
        <v>0</v>
      </c>
      <c r="AL52" s="261">
        <f>($J52*(1+'SCHG2-19'!$M$12))*$M52*T52</f>
        <v>81760.597151672264</v>
      </c>
      <c r="AM52" s="185">
        <f t="shared" si="45"/>
        <v>81760.597151672264</v>
      </c>
      <c r="AN52" s="261">
        <f t="shared" si="46"/>
        <v>0</v>
      </c>
      <c r="AO52" s="261">
        <f t="shared" si="47"/>
        <v>0</v>
      </c>
      <c r="AP52" s="261">
        <f t="shared" si="48"/>
        <v>1038.2298051006001</v>
      </c>
      <c r="AQ52" s="185">
        <f t="shared" si="49"/>
        <v>1038.2298051006001</v>
      </c>
      <c r="AR52" s="261">
        <f t="shared" si="50"/>
        <v>0</v>
      </c>
      <c r="AS52" s="261">
        <f t="shared" si="51"/>
        <v>0</v>
      </c>
      <c r="AT52" s="261">
        <f t="shared" si="52"/>
        <v>6540.8477721337813</v>
      </c>
      <c r="AU52" s="185">
        <f t="shared" si="53"/>
        <v>6540.8477721337813</v>
      </c>
      <c r="AV52" s="261">
        <f>(+V52/$Y$98)*('SCHG2-19'!$I$448*'SCHG2-19'!$K$15)</f>
        <v>0</v>
      </c>
      <c r="AW52" s="261">
        <f>(+W52/$Y$98)*('SCHG2-19'!$I$448*'SCHG2-19'!$K$15)</f>
        <v>0</v>
      </c>
      <c r="AX52" s="261">
        <f>(+X52/$Y$98)*('SCHG2-19'!$I$448*'SCHG2-19'!$K$15)</f>
        <v>1347.0362123802583</v>
      </c>
      <c r="AY52" s="185">
        <f t="shared" si="54"/>
        <v>1347.0362123802583</v>
      </c>
      <c r="AZ52" s="261">
        <f>((+AJ52/($AM$98+$Y$178)*((('SCHG2-19'!$I$448*'SCHG2-19'!$K$15)+'SCHG2-19'!$I$448)*'SCHG2-19'!$M$15)))</f>
        <v>0</v>
      </c>
      <c r="BA52" s="261">
        <f>((+AK52/($AM$98+$Y$178)*((('SCHG2-19'!$I$448*'SCHG2-19'!$K$15)+'SCHG2-19'!$I$448)*'SCHG2-19'!$M$15)))</f>
        <v>0</v>
      </c>
      <c r="BB52" s="261">
        <f>((+AL52/($AM$98+$Y$178)*((('SCHG2-19'!$I$448*'SCHG2-19'!$K$15)+'SCHG2-19'!$I$448)*'SCHG2-19'!$M$15)))</f>
        <v>1489.3646187886563</v>
      </c>
      <c r="BC52" s="185">
        <f t="shared" si="55"/>
        <v>1489.3646187886563</v>
      </c>
      <c r="BD52" s="261">
        <f>(+V52/$Y$98)*('SCHG2-19'!$K$448-'SCHG2-19'!$I$448-'IRR 202 Detail '!$AY$98)</f>
        <v>0</v>
      </c>
      <c r="BE52" s="261">
        <f>(+W52/$Y$98)*('SCHG2-19'!$K$448-'SCHG2-19'!$I$448-'IRR 202 Detail '!$AY$98)</f>
        <v>0</v>
      </c>
      <c r="BF52" s="261">
        <f>(+X52/$Y$98)*('SCHG2-19'!$K$448-'SCHG2-19'!$I$448-'IRR 202 Detail '!$AY$98)</f>
        <v>3200.0860229123432</v>
      </c>
      <c r="BG52" s="185">
        <f t="shared" si="56"/>
        <v>3200.0860229123432</v>
      </c>
      <c r="BH52" s="261">
        <f>(+AJ52/($AM$98+$Y$178))*('SCHG2-19'!$M$448-'SCHG2-19'!$K$448-'IRR 202 Detail '!$BC$98-'IRR 202 Detail '!$AQ$178)</f>
        <v>0</v>
      </c>
      <c r="BI52" s="261">
        <f>(+AK52/($AM$98+$Y$178))*('SCHG2-19'!$M$448-'SCHG2-19'!$K$448-'IRR 202 Detail '!$BC$98-'IRR 202 Detail '!$AQ$178)</f>
        <v>0</v>
      </c>
      <c r="BJ52" s="261">
        <f>(+AL52/($AM$98+$Y$178))*('SCHG2-19'!$M$448-'SCHG2-19'!$K$448-'IRR 202 Detail '!$BC$98-'IRR 202 Detail '!$AQ$178)</f>
        <v>5747.7305386671578</v>
      </c>
      <c r="BK52" s="185">
        <f t="shared" si="57"/>
        <v>5747.7305386671578</v>
      </c>
      <c r="BL52" s="192"/>
      <c r="BM52" s="183"/>
      <c r="BN52" s="90"/>
      <c r="BO52" s="192"/>
      <c r="BP52" s="192"/>
      <c r="BQ52" s="192"/>
      <c r="BR52" s="192"/>
      <c r="BS52" s="192">
        <f t="shared" si="58"/>
        <v>0</v>
      </c>
      <c r="BT52" s="192">
        <f t="shared" si="59"/>
        <v>0</v>
      </c>
      <c r="BU52" s="192">
        <f t="shared" si="60"/>
        <v>0</v>
      </c>
      <c r="BV52" s="192"/>
      <c r="BW52" s="192"/>
      <c r="BX52" s="192"/>
      <c r="BY52" s="192"/>
    </row>
    <row r="53" spans="1:77" x14ac:dyDescent="0.25">
      <c r="C53" t="s">
        <v>305</v>
      </c>
      <c r="D53" t="s">
        <v>347</v>
      </c>
      <c r="E53" s="162" t="s">
        <v>303</v>
      </c>
      <c r="F53" s="182" t="s">
        <v>302</v>
      </c>
      <c r="G53" s="182"/>
      <c r="H53" s="191" t="s">
        <v>233</v>
      </c>
      <c r="I53" s="190">
        <v>39494</v>
      </c>
      <c r="J53" s="185">
        <v>143071.22688368999</v>
      </c>
      <c r="K53" s="189">
        <v>1</v>
      </c>
      <c r="L53" s="188">
        <v>45231</v>
      </c>
      <c r="M53" s="150">
        <v>1</v>
      </c>
      <c r="N53" s="150">
        <v>0</v>
      </c>
      <c r="O53" s="150">
        <f t="shared" si="36"/>
        <v>1</v>
      </c>
      <c r="P53" s="187"/>
      <c r="Q53" s="186">
        <f t="shared" si="37"/>
        <v>0.16666666666666666</v>
      </c>
      <c r="R53" s="152">
        <v>9</v>
      </c>
      <c r="S53" s="150">
        <v>0</v>
      </c>
      <c r="T53" s="150">
        <v>1</v>
      </c>
      <c r="U53" s="150">
        <f t="shared" si="38"/>
        <v>1</v>
      </c>
      <c r="V53" s="147">
        <f t="shared" si="61"/>
        <v>0</v>
      </c>
      <c r="W53" s="147">
        <f t="shared" si="39"/>
        <v>0</v>
      </c>
      <c r="X53" s="147">
        <f t="shared" si="40"/>
        <v>23845.204480614997</v>
      </c>
      <c r="Y53" s="185">
        <f t="shared" si="41"/>
        <v>23845.204480614997</v>
      </c>
      <c r="Z53">
        <v>920</v>
      </c>
      <c r="AA53" s="184">
        <f t="shared" si="42"/>
        <v>143071.22688368999</v>
      </c>
      <c r="AB53" s="184">
        <f t="shared" si="43"/>
        <v>0</v>
      </c>
      <c r="AC53" s="184">
        <f t="shared" si="44"/>
        <v>0</v>
      </c>
      <c r="AD53" s="184">
        <f>+AA53*(1+'SCHG2-19'!$M$12)</f>
        <v>150224.78822787449</v>
      </c>
      <c r="AE53" s="184">
        <f>+AB53*(1+'SCHG2-19'!$M$12)</f>
        <v>0</v>
      </c>
      <c r="AF53" s="184">
        <f>+AC53*(1+'SCHG2-19'!$M$12)</f>
        <v>0</v>
      </c>
      <c r="AH53" s="260"/>
      <c r="AJ53" s="261">
        <f>($J53*(1+'SCHG2-19'!$M$12))*$N53</f>
        <v>0</v>
      </c>
      <c r="AK53" s="261">
        <f>($J53*(1+'SCHG2-19'!$M$12))*$M53*S53</f>
        <v>0</v>
      </c>
      <c r="AL53" s="261">
        <f>($J53*(1+'SCHG2-19'!$M$12))*$M53*T53</f>
        <v>150224.78822787449</v>
      </c>
      <c r="AM53" s="185">
        <f t="shared" si="45"/>
        <v>150224.78822787449</v>
      </c>
      <c r="AN53" s="261">
        <f t="shared" si="46"/>
        <v>0</v>
      </c>
      <c r="AO53" s="261">
        <f t="shared" si="47"/>
        <v>0</v>
      </c>
      <c r="AP53" s="261">
        <f t="shared" si="48"/>
        <v>1907.6163584491999</v>
      </c>
      <c r="AQ53" s="185">
        <f t="shared" si="49"/>
        <v>1907.6163584491999</v>
      </c>
      <c r="AR53" s="261">
        <f t="shared" si="50"/>
        <v>0</v>
      </c>
      <c r="AS53" s="261">
        <f t="shared" si="51"/>
        <v>0</v>
      </c>
      <c r="AT53" s="261">
        <f t="shared" si="52"/>
        <v>12017.98305822996</v>
      </c>
      <c r="AU53" s="185">
        <f t="shared" si="53"/>
        <v>12017.98305822996</v>
      </c>
      <c r="AV53" s="261">
        <f>(+V53/$Y$98)*('SCHG2-19'!$I$448*'SCHG2-19'!$K$15)</f>
        <v>0</v>
      </c>
      <c r="AW53" s="261">
        <f>(+W53/$Y$98)*('SCHG2-19'!$I$448*'SCHG2-19'!$K$15)</f>
        <v>0</v>
      </c>
      <c r="AX53" s="261">
        <f>(+X53/$Y$98)*('SCHG2-19'!$I$448*'SCHG2-19'!$K$15)</f>
        <v>2475.0091950125102</v>
      </c>
      <c r="AY53" s="185">
        <f t="shared" si="54"/>
        <v>2475.0091950125102</v>
      </c>
      <c r="AZ53" s="261">
        <f>((+AJ53/($AM$98+$Y$178)*((('SCHG2-19'!$I$448*'SCHG2-19'!$K$15)+'SCHG2-19'!$I$448)*'SCHG2-19'!$M$15)))</f>
        <v>0</v>
      </c>
      <c r="BA53" s="261">
        <f>((+AK53/($AM$98+$Y$178)*((('SCHG2-19'!$I$448*'SCHG2-19'!$K$15)+'SCHG2-19'!$I$448)*'SCHG2-19'!$M$15)))</f>
        <v>0</v>
      </c>
      <c r="BB53" s="261">
        <f>((+AL53/($AM$98+$Y$178)*((('SCHG2-19'!$I$448*'SCHG2-19'!$K$15)+'SCHG2-19'!$I$448)*'SCHG2-19'!$M$15)))</f>
        <v>2736.5196958696474</v>
      </c>
      <c r="BC53" s="185">
        <f t="shared" si="55"/>
        <v>2736.5196958696474</v>
      </c>
      <c r="BD53" s="261">
        <f>(+V53/$Y$98)*('SCHG2-19'!$K$448-'SCHG2-19'!$I$448-'IRR 202 Detail '!$AY$98)</f>
        <v>0</v>
      </c>
      <c r="BE53" s="261">
        <f>(+W53/$Y$98)*('SCHG2-19'!$K$448-'SCHG2-19'!$I$448-'IRR 202 Detail '!$AY$98)</f>
        <v>0</v>
      </c>
      <c r="BF53" s="261">
        <f>(+X53/$Y$98)*('SCHG2-19'!$K$448-'SCHG2-19'!$I$448-'IRR 202 Detail '!$AY$98)</f>
        <v>5879.7545743360006</v>
      </c>
      <c r="BG53" s="185">
        <f t="shared" si="56"/>
        <v>5879.7545743360006</v>
      </c>
      <c r="BH53" s="261">
        <f>(+AJ53/($AM$98+$Y$178))*('SCHG2-19'!$M$448-'SCHG2-19'!$K$448-'IRR 202 Detail '!$BC$98-'IRR 202 Detail '!$AQ$178)</f>
        <v>0</v>
      </c>
      <c r="BI53" s="261">
        <f>(+AK53/($AM$98+$Y$178))*('SCHG2-19'!$M$448-'SCHG2-19'!$K$448-'IRR 202 Detail '!$BC$98-'IRR 202 Detail '!$AQ$178)</f>
        <v>0</v>
      </c>
      <c r="BJ53" s="261">
        <f>(+AL53/($AM$98+$Y$178))*('SCHG2-19'!$M$448-'SCHG2-19'!$K$448-'IRR 202 Detail '!$BC$98-'IRR 202 Detail '!$AQ$178)</f>
        <v>10560.730144379828</v>
      </c>
      <c r="BK53" s="185">
        <f t="shared" si="57"/>
        <v>10560.730144379828</v>
      </c>
      <c r="BL53" s="192"/>
      <c r="BM53" s="183"/>
      <c r="BN53" s="90"/>
      <c r="BO53" s="192"/>
      <c r="BP53" s="192"/>
      <c r="BQ53" s="192"/>
      <c r="BR53" s="192"/>
      <c r="BS53" s="192">
        <f t="shared" si="58"/>
        <v>0</v>
      </c>
      <c r="BT53" s="192">
        <f t="shared" si="59"/>
        <v>0</v>
      </c>
      <c r="BU53" s="192">
        <f t="shared" si="60"/>
        <v>0</v>
      </c>
      <c r="BV53" s="192"/>
      <c r="BW53" s="192"/>
      <c r="BX53" s="192"/>
      <c r="BY53" s="192"/>
    </row>
    <row r="54" spans="1:77" x14ac:dyDescent="0.25">
      <c r="A54" s="88"/>
      <c r="B54" s="88"/>
      <c r="C54" t="s">
        <v>305</v>
      </c>
      <c r="D54" t="s">
        <v>346</v>
      </c>
      <c r="E54" s="162" t="s">
        <v>303</v>
      </c>
      <c r="F54" s="182" t="s">
        <v>302</v>
      </c>
      <c r="G54" s="182"/>
      <c r="H54" s="191" t="s">
        <v>234</v>
      </c>
      <c r="I54" s="190">
        <v>38454</v>
      </c>
      <c r="J54" s="185">
        <v>77867.235382545012</v>
      </c>
      <c r="K54" s="189">
        <v>1</v>
      </c>
      <c r="L54" s="188">
        <v>44958</v>
      </c>
      <c r="M54" s="150">
        <v>1</v>
      </c>
      <c r="N54" s="150">
        <v>0</v>
      </c>
      <c r="O54" s="150">
        <f t="shared" si="36"/>
        <v>1</v>
      </c>
      <c r="P54" s="187"/>
      <c r="Q54" s="186">
        <f t="shared" si="37"/>
        <v>0.91666666666666663</v>
      </c>
      <c r="R54" s="152">
        <v>5</v>
      </c>
      <c r="S54" s="150">
        <v>0</v>
      </c>
      <c r="T54" s="150">
        <v>1</v>
      </c>
      <c r="U54" s="150">
        <f t="shared" si="38"/>
        <v>1</v>
      </c>
      <c r="V54" s="147">
        <f t="shared" si="61"/>
        <v>0</v>
      </c>
      <c r="W54" s="147">
        <f t="shared" si="39"/>
        <v>0</v>
      </c>
      <c r="X54" s="147">
        <f t="shared" si="40"/>
        <v>71378.299100666263</v>
      </c>
      <c r="Y54" s="185">
        <f t="shared" si="41"/>
        <v>71378.299100666263</v>
      </c>
      <c r="Z54">
        <v>920</v>
      </c>
      <c r="AA54" s="184">
        <f t="shared" si="42"/>
        <v>77867.235382545012</v>
      </c>
      <c r="AB54" s="184">
        <f t="shared" si="43"/>
        <v>0</v>
      </c>
      <c r="AC54" s="184">
        <f t="shared" si="44"/>
        <v>0</v>
      </c>
      <c r="AD54" s="184">
        <f>+AA54*(1+'SCHG2-19'!$M$12)</f>
        <v>81760.597151672264</v>
      </c>
      <c r="AE54" s="184">
        <f>+AB54*(1+'SCHG2-19'!$M$12)</f>
        <v>0</v>
      </c>
      <c r="AF54" s="184">
        <f>+AC54*(1+'SCHG2-19'!$M$12)</f>
        <v>0</v>
      </c>
      <c r="AH54" s="260"/>
      <c r="AJ54" s="261">
        <f>($J54*(1+'SCHG2-19'!$M$12))*$N54</f>
        <v>0</v>
      </c>
      <c r="AK54" s="261">
        <f>($J54*(1+'SCHG2-19'!$M$12))*$M54*S54</f>
        <v>0</v>
      </c>
      <c r="AL54" s="261">
        <f>($J54*(1+'SCHG2-19'!$M$12))*$M54*T54</f>
        <v>81760.597151672264</v>
      </c>
      <c r="AM54" s="185">
        <f t="shared" si="45"/>
        <v>81760.597151672264</v>
      </c>
      <c r="AN54" s="261">
        <f t="shared" si="46"/>
        <v>0</v>
      </c>
      <c r="AO54" s="261">
        <f t="shared" si="47"/>
        <v>0</v>
      </c>
      <c r="AP54" s="261">
        <f t="shared" si="48"/>
        <v>5710.2639280533012</v>
      </c>
      <c r="AQ54" s="185">
        <f t="shared" si="49"/>
        <v>5710.2639280533012</v>
      </c>
      <c r="AR54" s="261">
        <f t="shared" si="50"/>
        <v>0</v>
      </c>
      <c r="AS54" s="261">
        <f t="shared" si="51"/>
        <v>0</v>
      </c>
      <c r="AT54" s="261">
        <f t="shared" si="52"/>
        <v>6540.8477721337813</v>
      </c>
      <c r="AU54" s="185">
        <f t="shared" si="53"/>
        <v>6540.8477721337813</v>
      </c>
      <c r="AV54" s="261">
        <f>(+V54/$Y$98)*('SCHG2-19'!$I$448*'SCHG2-19'!$K$15)</f>
        <v>0</v>
      </c>
      <c r="AW54" s="261">
        <f>(+W54/$Y$98)*('SCHG2-19'!$I$448*'SCHG2-19'!$K$15)</f>
        <v>0</v>
      </c>
      <c r="AX54" s="261">
        <f>(+X54/$Y$98)*('SCHG2-19'!$I$448*'SCHG2-19'!$K$15)</f>
        <v>7408.6991680914216</v>
      </c>
      <c r="AY54" s="185">
        <f t="shared" si="54"/>
        <v>7408.6991680914216</v>
      </c>
      <c r="AZ54" s="261">
        <f>((+AJ54/($AM$98+$Y$178)*((('SCHG2-19'!$I$448*'SCHG2-19'!$K$15)+'SCHG2-19'!$I$448)*'SCHG2-19'!$M$15)))</f>
        <v>0</v>
      </c>
      <c r="BA54" s="261">
        <f>((+AK54/($AM$98+$Y$178)*((('SCHG2-19'!$I$448*'SCHG2-19'!$K$15)+'SCHG2-19'!$I$448)*'SCHG2-19'!$M$15)))</f>
        <v>0</v>
      </c>
      <c r="BB54" s="261">
        <f>((+AL54/($AM$98+$Y$178)*((('SCHG2-19'!$I$448*'SCHG2-19'!$K$15)+'SCHG2-19'!$I$448)*'SCHG2-19'!$M$15)))</f>
        <v>1489.3646187886563</v>
      </c>
      <c r="BC54" s="185">
        <f t="shared" si="55"/>
        <v>1489.3646187886563</v>
      </c>
      <c r="BD54" s="261">
        <f>(+V54/$Y$98)*('SCHG2-19'!$K$448-'SCHG2-19'!$I$448-'IRR 202 Detail '!$AY$98)</f>
        <v>0</v>
      </c>
      <c r="BE54" s="261">
        <f>(+W54/$Y$98)*('SCHG2-19'!$K$448-'SCHG2-19'!$I$448-'IRR 202 Detail '!$AY$98)</f>
        <v>0</v>
      </c>
      <c r="BF54" s="261">
        <f>(+X54/$Y$98)*('SCHG2-19'!$K$448-'SCHG2-19'!$I$448-'IRR 202 Detail '!$AY$98)</f>
        <v>17600.473126017892</v>
      </c>
      <c r="BG54" s="185">
        <f t="shared" si="56"/>
        <v>17600.473126017892</v>
      </c>
      <c r="BH54" s="261">
        <f>(+AJ54/($AM$98+$Y$178))*('SCHG2-19'!$M$448-'SCHG2-19'!$K$448-'IRR 202 Detail '!$BC$98-'IRR 202 Detail '!$AQ$178)</f>
        <v>0</v>
      </c>
      <c r="BI54" s="261">
        <f>(+AK54/($AM$98+$Y$178))*('SCHG2-19'!$M$448-'SCHG2-19'!$K$448-'IRR 202 Detail '!$BC$98-'IRR 202 Detail '!$AQ$178)</f>
        <v>0</v>
      </c>
      <c r="BJ54" s="261">
        <f>(+AL54/($AM$98+$Y$178))*('SCHG2-19'!$M$448-'SCHG2-19'!$K$448-'IRR 202 Detail '!$BC$98-'IRR 202 Detail '!$AQ$178)</f>
        <v>5747.7305386671578</v>
      </c>
      <c r="BK54" s="185">
        <f t="shared" si="57"/>
        <v>5747.7305386671578</v>
      </c>
      <c r="BL54" s="192"/>
      <c r="BM54" s="183"/>
      <c r="BN54" s="90"/>
      <c r="BO54" s="192"/>
      <c r="BP54" s="192"/>
      <c r="BQ54" s="192"/>
      <c r="BR54" s="192"/>
      <c r="BS54" s="192">
        <f t="shared" si="58"/>
        <v>0</v>
      </c>
      <c r="BT54" s="192">
        <f t="shared" si="59"/>
        <v>0</v>
      </c>
      <c r="BU54" s="192">
        <f t="shared" si="60"/>
        <v>0</v>
      </c>
      <c r="BV54" s="192"/>
      <c r="BW54" s="192"/>
      <c r="BX54" s="192"/>
      <c r="BY54" s="192"/>
    </row>
    <row r="55" spans="1:77" x14ac:dyDescent="0.25">
      <c r="A55" s="88"/>
      <c r="B55" s="88"/>
      <c r="C55" t="s">
        <v>305</v>
      </c>
      <c r="D55" t="s">
        <v>304</v>
      </c>
      <c r="E55" s="162" t="s">
        <v>303</v>
      </c>
      <c r="F55" s="182" t="s">
        <v>302</v>
      </c>
      <c r="G55" s="182"/>
      <c r="H55" s="191" t="s">
        <v>235</v>
      </c>
      <c r="I55" s="190">
        <v>38814</v>
      </c>
      <c r="J55" s="185">
        <v>77867.235382545012</v>
      </c>
      <c r="K55" s="189">
        <v>1</v>
      </c>
      <c r="L55" s="188">
        <v>45231</v>
      </c>
      <c r="M55" s="150">
        <v>1</v>
      </c>
      <c r="N55" s="150">
        <v>0</v>
      </c>
      <c r="O55" s="150">
        <f t="shared" si="36"/>
        <v>1</v>
      </c>
      <c r="P55" s="187"/>
      <c r="Q55" s="186">
        <f t="shared" si="37"/>
        <v>0.16666666666666666</v>
      </c>
      <c r="R55" s="152">
        <v>5</v>
      </c>
      <c r="S55" s="150">
        <v>0</v>
      </c>
      <c r="T55" s="150">
        <v>1</v>
      </c>
      <c r="U55" s="150">
        <f t="shared" si="38"/>
        <v>1</v>
      </c>
      <c r="V55" s="147">
        <f t="shared" si="61"/>
        <v>0</v>
      </c>
      <c r="W55" s="147">
        <f t="shared" si="39"/>
        <v>0</v>
      </c>
      <c r="X55" s="147">
        <f t="shared" si="40"/>
        <v>12977.872563757501</v>
      </c>
      <c r="Y55" s="185">
        <f t="shared" si="41"/>
        <v>12977.872563757501</v>
      </c>
      <c r="Z55">
        <v>920</v>
      </c>
      <c r="AA55" s="184">
        <f t="shared" si="42"/>
        <v>77867.235382545012</v>
      </c>
      <c r="AB55" s="184">
        <f t="shared" si="43"/>
        <v>0</v>
      </c>
      <c r="AC55" s="184">
        <f t="shared" si="44"/>
        <v>0</v>
      </c>
      <c r="AD55" s="184">
        <f>+AA55*(1+'SCHG2-19'!$M$12)</f>
        <v>81760.597151672264</v>
      </c>
      <c r="AE55" s="184">
        <f>+AB55*(1+'SCHG2-19'!$M$12)</f>
        <v>0</v>
      </c>
      <c r="AF55" s="184">
        <f>+AC55*(1+'SCHG2-19'!$M$12)</f>
        <v>0</v>
      </c>
      <c r="AH55" s="260"/>
      <c r="AJ55" s="261">
        <f>($J55*(1+'SCHG2-19'!$M$12))*$N55</f>
        <v>0</v>
      </c>
      <c r="AK55" s="261">
        <f>($J55*(1+'SCHG2-19'!$M$12))*$M55*S55</f>
        <v>0</v>
      </c>
      <c r="AL55" s="261">
        <f>($J55*(1+'SCHG2-19'!$M$12))*$M55*T55</f>
        <v>81760.597151672264</v>
      </c>
      <c r="AM55" s="185">
        <f t="shared" si="45"/>
        <v>81760.597151672264</v>
      </c>
      <c r="AN55" s="261">
        <f t="shared" si="46"/>
        <v>0</v>
      </c>
      <c r="AO55" s="261">
        <f t="shared" si="47"/>
        <v>0</v>
      </c>
      <c r="AP55" s="261">
        <f t="shared" si="48"/>
        <v>1038.2298051006001</v>
      </c>
      <c r="AQ55" s="185">
        <f t="shared" si="49"/>
        <v>1038.2298051006001</v>
      </c>
      <c r="AR55" s="261">
        <f t="shared" si="50"/>
        <v>0</v>
      </c>
      <c r="AS55" s="261">
        <f t="shared" si="51"/>
        <v>0</v>
      </c>
      <c r="AT55" s="261">
        <f t="shared" si="52"/>
        <v>6540.8477721337813</v>
      </c>
      <c r="AU55" s="185">
        <f t="shared" si="53"/>
        <v>6540.8477721337813</v>
      </c>
      <c r="AV55" s="261">
        <f>(+V55/$Y$98)*('SCHG2-19'!$I$448*'SCHG2-19'!$K$15)</f>
        <v>0</v>
      </c>
      <c r="AW55" s="261">
        <f>(+W55/$Y$98)*('SCHG2-19'!$I$448*'SCHG2-19'!$K$15)</f>
        <v>0</v>
      </c>
      <c r="AX55" s="261">
        <f>(+X55/$Y$98)*('SCHG2-19'!$I$448*'SCHG2-19'!$K$15)</f>
        <v>1347.0362123802583</v>
      </c>
      <c r="AY55" s="185">
        <f t="shared" si="54"/>
        <v>1347.0362123802583</v>
      </c>
      <c r="AZ55" s="261">
        <f>((+AJ55/($AM$98+$Y$178)*((('SCHG2-19'!$I$448*'SCHG2-19'!$K$15)+'SCHG2-19'!$I$448)*'SCHG2-19'!$M$15)))</f>
        <v>0</v>
      </c>
      <c r="BA55" s="261">
        <f>((+AK55/($AM$98+$Y$178)*((('SCHG2-19'!$I$448*'SCHG2-19'!$K$15)+'SCHG2-19'!$I$448)*'SCHG2-19'!$M$15)))</f>
        <v>0</v>
      </c>
      <c r="BB55" s="261">
        <f>((+AL55/($AM$98+$Y$178)*((('SCHG2-19'!$I$448*'SCHG2-19'!$K$15)+'SCHG2-19'!$I$448)*'SCHG2-19'!$M$15)))</f>
        <v>1489.3646187886563</v>
      </c>
      <c r="BC55" s="185">
        <f t="shared" si="55"/>
        <v>1489.3646187886563</v>
      </c>
      <c r="BD55" s="261">
        <f>(+V55/$Y$98)*('SCHG2-19'!$K$448-'SCHG2-19'!$I$448-'IRR 202 Detail '!$AY$98)</f>
        <v>0</v>
      </c>
      <c r="BE55" s="261">
        <f>(+W55/$Y$98)*('SCHG2-19'!$K$448-'SCHG2-19'!$I$448-'IRR 202 Detail '!$AY$98)</f>
        <v>0</v>
      </c>
      <c r="BF55" s="261">
        <f>(+X55/$Y$98)*('SCHG2-19'!$K$448-'SCHG2-19'!$I$448-'IRR 202 Detail '!$AY$98)</f>
        <v>3200.0860229123432</v>
      </c>
      <c r="BG55" s="185">
        <f t="shared" si="56"/>
        <v>3200.0860229123432</v>
      </c>
      <c r="BH55" s="261">
        <f>(+AJ55/($AM$98+$Y$178))*('SCHG2-19'!$M$448-'SCHG2-19'!$K$448-'IRR 202 Detail '!$BC$98-'IRR 202 Detail '!$AQ$178)</f>
        <v>0</v>
      </c>
      <c r="BI55" s="261">
        <f>(+AK55/($AM$98+$Y$178))*('SCHG2-19'!$M$448-'SCHG2-19'!$K$448-'IRR 202 Detail '!$BC$98-'IRR 202 Detail '!$AQ$178)</f>
        <v>0</v>
      </c>
      <c r="BJ55" s="261">
        <f>(+AL55/($AM$98+$Y$178))*('SCHG2-19'!$M$448-'SCHG2-19'!$K$448-'IRR 202 Detail '!$BC$98-'IRR 202 Detail '!$AQ$178)</f>
        <v>5747.7305386671578</v>
      </c>
      <c r="BK55" s="185">
        <f t="shared" si="57"/>
        <v>5747.7305386671578</v>
      </c>
      <c r="BL55" s="192"/>
      <c r="BM55" s="183"/>
      <c r="BN55" s="90"/>
      <c r="BO55" s="192"/>
      <c r="BP55" s="192"/>
      <c r="BQ55" s="192"/>
      <c r="BR55" s="192"/>
      <c r="BS55" s="192">
        <f t="shared" si="58"/>
        <v>0</v>
      </c>
      <c r="BT55" s="192">
        <f t="shared" si="59"/>
        <v>0</v>
      </c>
      <c r="BU55" s="192">
        <f t="shared" si="60"/>
        <v>0</v>
      </c>
      <c r="BV55" s="192"/>
      <c r="BW55" s="192"/>
      <c r="BX55" s="192"/>
      <c r="BY55" s="192"/>
    </row>
    <row r="56" spans="1:77" x14ac:dyDescent="0.25">
      <c r="A56" s="88"/>
      <c r="B56" s="88"/>
      <c r="C56" t="s">
        <v>305</v>
      </c>
      <c r="D56" t="s">
        <v>304</v>
      </c>
      <c r="E56" s="162" t="s">
        <v>303</v>
      </c>
      <c r="F56" s="182" t="s">
        <v>302</v>
      </c>
      <c r="G56" s="182"/>
      <c r="H56" s="191" t="s">
        <v>398</v>
      </c>
      <c r="I56" s="190">
        <v>41173</v>
      </c>
      <c r="J56" s="185">
        <v>77867.235382545012</v>
      </c>
      <c r="K56" s="189">
        <v>1</v>
      </c>
      <c r="L56" s="188">
        <v>44958</v>
      </c>
      <c r="M56" s="150">
        <v>1</v>
      </c>
      <c r="N56" s="150">
        <v>0</v>
      </c>
      <c r="O56" s="150">
        <f t="shared" si="36"/>
        <v>1</v>
      </c>
      <c r="P56" s="187"/>
      <c r="Q56" s="186">
        <f t="shared" si="37"/>
        <v>0.91666666666666663</v>
      </c>
      <c r="R56" s="152">
        <v>5</v>
      </c>
      <c r="S56" s="150">
        <v>0.24</v>
      </c>
      <c r="T56" s="150">
        <v>0.76</v>
      </c>
      <c r="U56" s="150">
        <f t="shared" si="38"/>
        <v>1</v>
      </c>
      <c r="V56" s="147">
        <v>0</v>
      </c>
      <c r="W56" s="147">
        <f t="shared" si="39"/>
        <v>17130.791784159901</v>
      </c>
      <c r="X56" s="147">
        <f t="shared" si="40"/>
        <v>54247.507316506359</v>
      </c>
      <c r="Y56" s="185">
        <f t="shared" si="41"/>
        <v>71378.299100666263</v>
      </c>
      <c r="Z56">
        <v>880</v>
      </c>
      <c r="AA56" s="184">
        <f t="shared" si="42"/>
        <v>59179.098890734211</v>
      </c>
      <c r="AB56" s="184">
        <f t="shared" si="43"/>
        <v>18688.136491810801</v>
      </c>
      <c r="AC56" s="184">
        <f t="shared" si="44"/>
        <v>0</v>
      </c>
      <c r="AD56" s="184">
        <f>+AA56*(1+'SCHG2-19'!$M$12)</f>
        <v>62138.053835270926</v>
      </c>
      <c r="AE56" s="184">
        <f>+AB56*(1+'SCHG2-19'!$M$12)</f>
        <v>19622.543316401341</v>
      </c>
      <c r="AF56" s="184">
        <f>+AC56*(1+'SCHG2-19'!$M$12)</f>
        <v>0</v>
      </c>
      <c r="AH56" s="260"/>
      <c r="AJ56" s="261">
        <f>($J56*(1+'SCHG2-19'!$M$12))*$N56</f>
        <v>0</v>
      </c>
      <c r="AK56" s="261">
        <f>($J56*(1+'SCHG2-19'!$M$12))*$M56*S56</f>
        <v>19622.543316401341</v>
      </c>
      <c r="AL56" s="261">
        <f>($J56*(1+'SCHG2-19'!$M$12))*$M56*T56</f>
        <v>62138.053835270919</v>
      </c>
      <c r="AM56" s="185">
        <f t="shared" si="45"/>
        <v>81760.597151672264</v>
      </c>
      <c r="AN56" s="261">
        <f t="shared" si="46"/>
        <v>0</v>
      </c>
      <c r="AO56" s="261">
        <f t="shared" si="47"/>
        <v>1370.4633427327922</v>
      </c>
      <c r="AP56" s="261">
        <f t="shared" si="48"/>
        <v>4339.8005853205086</v>
      </c>
      <c r="AQ56" s="185">
        <f t="shared" si="49"/>
        <v>5710.2639280533003</v>
      </c>
      <c r="AR56" s="261">
        <f t="shared" si="50"/>
        <v>0</v>
      </c>
      <c r="AS56" s="261">
        <f t="shared" si="51"/>
        <v>1569.8034653121074</v>
      </c>
      <c r="AT56" s="261">
        <f t="shared" si="52"/>
        <v>4971.0443068216737</v>
      </c>
      <c r="AU56" s="185">
        <f t="shared" si="53"/>
        <v>6540.8477721337813</v>
      </c>
      <c r="AV56" s="261">
        <f>(+V56/$Y$98)*('SCHG2-19'!$I$448*'SCHG2-19'!$K$15)</f>
        <v>0</v>
      </c>
      <c r="AW56" s="261">
        <f>(+W56/$Y$98)*('SCHG2-19'!$I$448*'SCHG2-19'!$K$15)</f>
        <v>1778.0878003419409</v>
      </c>
      <c r="AX56" s="261">
        <f>(+X56/$Y$98)*('SCHG2-19'!$I$448*'SCHG2-19'!$K$15)</f>
        <v>5630.6113677494814</v>
      </c>
      <c r="AY56" s="185">
        <f t="shared" si="54"/>
        <v>7408.6991680914225</v>
      </c>
      <c r="AZ56" s="261">
        <f>((+AJ56/($AM$98+$Y$178)*((('SCHG2-19'!$I$448*'SCHG2-19'!$K$15)+'SCHG2-19'!$I$448)*'SCHG2-19'!$M$15)))</f>
        <v>0</v>
      </c>
      <c r="BA56" s="261">
        <f>((+AK56/($AM$98+$Y$178)*((('SCHG2-19'!$I$448*'SCHG2-19'!$K$15)+'SCHG2-19'!$I$448)*'SCHG2-19'!$M$15)))</f>
        <v>357.4475085092775</v>
      </c>
      <c r="BB56" s="261">
        <f>((+AL56/($AM$98+$Y$178)*((('SCHG2-19'!$I$448*'SCHG2-19'!$K$15)+'SCHG2-19'!$I$448)*'SCHG2-19'!$M$15)))</f>
        <v>1131.9171102793789</v>
      </c>
      <c r="BC56" s="185">
        <f t="shared" si="55"/>
        <v>1489.3646187886563</v>
      </c>
      <c r="BD56" s="261">
        <f>(+V56/$Y$98)*('SCHG2-19'!$K$448-'SCHG2-19'!$I$448-'IRR 202 Detail '!$AY$98)</f>
        <v>0</v>
      </c>
      <c r="BE56" s="261">
        <f>(+W56/$Y$98)*('SCHG2-19'!$K$448-'SCHG2-19'!$I$448-'IRR 202 Detail '!$AY$98)</f>
        <v>4224.113550244293</v>
      </c>
      <c r="BF56" s="261">
        <f>(+X56/$Y$98)*('SCHG2-19'!$K$448-'SCHG2-19'!$I$448-'IRR 202 Detail '!$AY$98)</f>
        <v>13376.359575773598</v>
      </c>
      <c r="BG56" s="185">
        <f t="shared" si="56"/>
        <v>17600.473126017892</v>
      </c>
      <c r="BH56" s="261">
        <f>(+AJ56/($AM$98+$Y$178))*('SCHG2-19'!$M$448-'SCHG2-19'!$K$448-'IRR 202 Detail '!$BC$98-'IRR 202 Detail '!$AQ$178)</f>
        <v>0</v>
      </c>
      <c r="BI56" s="261">
        <f>(+AK56/($AM$98+$Y$178))*('SCHG2-19'!$M$448-'SCHG2-19'!$K$448-'IRR 202 Detail '!$BC$98-'IRR 202 Detail '!$AQ$178)</f>
        <v>1379.4553292801177</v>
      </c>
      <c r="BJ56" s="261">
        <f>(+AL56/($AM$98+$Y$178))*('SCHG2-19'!$M$448-'SCHG2-19'!$K$448-'IRR 202 Detail '!$BC$98-'IRR 202 Detail '!$AQ$178)</f>
        <v>4368.2752093870395</v>
      </c>
      <c r="BK56" s="185">
        <f t="shared" si="57"/>
        <v>5747.7305386671569</v>
      </c>
      <c r="BL56" s="192"/>
      <c r="BM56" s="183"/>
      <c r="BN56" s="90"/>
      <c r="BO56" s="192"/>
      <c r="BP56" s="192"/>
      <c r="BQ56" s="192"/>
      <c r="BR56" s="192"/>
      <c r="BS56" s="192">
        <f t="shared" si="58"/>
        <v>-3.637978807091713E-12</v>
      </c>
      <c r="BT56" s="192">
        <f t="shared" si="59"/>
        <v>0</v>
      </c>
      <c r="BU56" s="192">
        <f t="shared" si="60"/>
        <v>0</v>
      </c>
      <c r="BV56" s="192"/>
      <c r="BW56" s="192"/>
      <c r="BX56" s="192"/>
      <c r="BY56" s="192"/>
    </row>
    <row r="57" spans="1:77" x14ac:dyDescent="0.25">
      <c r="A57" s="88"/>
      <c r="B57" s="88"/>
      <c r="C57" t="s">
        <v>305</v>
      </c>
      <c r="D57" t="s">
        <v>304</v>
      </c>
      <c r="E57" s="162" t="s">
        <v>303</v>
      </c>
      <c r="F57" s="182" t="s">
        <v>302</v>
      </c>
      <c r="G57" s="182"/>
      <c r="H57" s="191" t="s">
        <v>399</v>
      </c>
      <c r="I57" s="190">
        <v>40832</v>
      </c>
      <c r="J57" s="185">
        <v>77867.235382545012</v>
      </c>
      <c r="K57" s="189">
        <v>1</v>
      </c>
      <c r="L57" s="188">
        <v>44927</v>
      </c>
      <c r="M57" s="150">
        <v>1</v>
      </c>
      <c r="N57" s="150">
        <v>0</v>
      </c>
      <c r="O57" s="150">
        <f t="shared" si="36"/>
        <v>1</v>
      </c>
      <c r="P57" s="187"/>
      <c r="Q57" s="186">
        <f t="shared" si="37"/>
        <v>1</v>
      </c>
      <c r="R57" s="152">
        <v>5</v>
      </c>
      <c r="S57" s="150">
        <v>0.2</v>
      </c>
      <c r="T57" s="150">
        <v>0.8</v>
      </c>
      <c r="U57" s="150">
        <f t="shared" si="38"/>
        <v>1</v>
      </c>
      <c r="V57" s="147">
        <v>0</v>
      </c>
      <c r="W57" s="147">
        <f t="shared" si="39"/>
        <v>15573.447076509003</v>
      </c>
      <c r="X57" s="147">
        <f t="shared" si="40"/>
        <v>62293.788306036011</v>
      </c>
      <c r="Y57" s="185">
        <f t="shared" si="41"/>
        <v>77867.235382545012</v>
      </c>
      <c r="Z57">
        <v>880</v>
      </c>
      <c r="AA57" s="184">
        <f t="shared" si="42"/>
        <v>62293.788306036011</v>
      </c>
      <c r="AB57" s="184">
        <f t="shared" si="43"/>
        <v>15573.447076509003</v>
      </c>
      <c r="AC57" s="184">
        <f t="shared" si="44"/>
        <v>0</v>
      </c>
      <c r="AD57" s="184">
        <f>+AA57*(1+'SCHG2-19'!$M$12)</f>
        <v>65408.477721337811</v>
      </c>
      <c r="AE57" s="184">
        <f>+AB57*(1+'SCHG2-19'!$M$12)</f>
        <v>16352.119430334453</v>
      </c>
      <c r="AF57" s="184">
        <f>+AC57*(1+'SCHG2-19'!$M$12)</f>
        <v>0</v>
      </c>
      <c r="AH57" s="260"/>
      <c r="AJ57" s="261">
        <f>($J57*(1+'SCHG2-19'!$M$12))*$N57</f>
        <v>0</v>
      </c>
      <c r="AK57" s="261">
        <f>($J57*(1+'SCHG2-19'!$M$12))*$M57*S57</f>
        <v>16352.119430334453</v>
      </c>
      <c r="AL57" s="261">
        <f>($J57*(1+'SCHG2-19'!$M$12))*$M57*T57</f>
        <v>65408.477721337811</v>
      </c>
      <c r="AM57" s="185">
        <f t="shared" si="45"/>
        <v>81760.597151672264</v>
      </c>
      <c r="AN57" s="261">
        <f t="shared" si="46"/>
        <v>0</v>
      </c>
      <c r="AO57" s="261">
        <f t="shared" si="47"/>
        <v>1245.8757661207203</v>
      </c>
      <c r="AP57" s="261">
        <f t="shared" si="48"/>
        <v>4983.5030644828812</v>
      </c>
      <c r="AQ57" s="185">
        <f t="shared" si="49"/>
        <v>6229.3788306036013</v>
      </c>
      <c r="AR57" s="261">
        <f t="shared" si="50"/>
        <v>0</v>
      </c>
      <c r="AS57" s="261">
        <f t="shared" si="51"/>
        <v>1308.1695544267563</v>
      </c>
      <c r="AT57" s="261">
        <f t="shared" si="52"/>
        <v>5232.6782177070254</v>
      </c>
      <c r="AU57" s="185">
        <f t="shared" si="53"/>
        <v>6540.8477721337822</v>
      </c>
      <c r="AV57" s="261">
        <f>(+V57/$Y$98)*('SCHG2-19'!$I$448*'SCHG2-19'!$K$15)</f>
        <v>0</v>
      </c>
      <c r="AW57" s="261">
        <f>(+W57/$Y$98)*('SCHG2-19'!$I$448*'SCHG2-19'!$K$15)</f>
        <v>1616.4434548563104</v>
      </c>
      <c r="AX57" s="261">
        <f>(+X57/$Y$98)*('SCHG2-19'!$I$448*'SCHG2-19'!$K$15)</f>
        <v>6465.7738194252415</v>
      </c>
      <c r="AY57" s="185">
        <f t="shared" si="54"/>
        <v>8082.2172742815519</v>
      </c>
      <c r="AZ57" s="261">
        <f>((+AJ57/($AM$98+$Y$178)*((('SCHG2-19'!$I$448*'SCHG2-19'!$K$15)+'SCHG2-19'!$I$448)*'SCHG2-19'!$M$15)))</f>
        <v>0</v>
      </c>
      <c r="BA57" s="261">
        <f>((+AK57/($AM$98+$Y$178)*((('SCHG2-19'!$I$448*'SCHG2-19'!$K$15)+'SCHG2-19'!$I$448)*'SCHG2-19'!$M$15)))</f>
        <v>297.87292375773126</v>
      </c>
      <c r="BB57" s="261">
        <f>((+AL57/($AM$98+$Y$178)*((('SCHG2-19'!$I$448*'SCHG2-19'!$K$15)+'SCHG2-19'!$I$448)*'SCHG2-19'!$M$15)))</f>
        <v>1191.491695030925</v>
      </c>
      <c r="BC57" s="185">
        <f t="shared" si="55"/>
        <v>1489.3646187886563</v>
      </c>
      <c r="BD57" s="261">
        <f>(+V57/$Y$98)*('SCHG2-19'!$K$448-'SCHG2-19'!$I$448-'IRR 202 Detail '!$AY$98)</f>
        <v>0</v>
      </c>
      <c r="BE57" s="261">
        <f>(+W57/$Y$98)*('SCHG2-19'!$K$448-'SCHG2-19'!$I$448-'IRR 202 Detail '!$AY$98)</f>
        <v>3840.1032274948129</v>
      </c>
      <c r="BF57" s="261">
        <f>(+X57/$Y$98)*('SCHG2-19'!$K$448-'SCHG2-19'!$I$448-'IRR 202 Detail '!$AY$98)</f>
        <v>15360.412909979252</v>
      </c>
      <c r="BG57" s="185">
        <f t="shared" si="56"/>
        <v>19200.516137474064</v>
      </c>
      <c r="BH57" s="261">
        <f>(+AJ57/($AM$98+$Y$178))*('SCHG2-19'!$M$448-'SCHG2-19'!$K$448-'IRR 202 Detail '!$BC$98-'IRR 202 Detail '!$AQ$178)</f>
        <v>0</v>
      </c>
      <c r="BI57" s="261">
        <f>(+AK57/($AM$98+$Y$178))*('SCHG2-19'!$M$448-'SCHG2-19'!$K$448-'IRR 202 Detail '!$BC$98-'IRR 202 Detail '!$AQ$178)</f>
        <v>1149.5461077334314</v>
      </c>
      <c r="BJ57" s="261">
        <f>(+AL57/($AM$98+$Y$178))*('SCHG2-19'!$M$448-'SCHG2-19'!$K$448-'IRR 202 Detail '!$BC$98-'IRR 202 Detail '!$AQ$178)</f>
        <v>4598.1844309337257</v>
      </c>
      <c r="BK57" s="185">
        <f t="shared" si="57"/>
        <v>5747.7305386671569</v>
      </c>
      <c r="BL57" s="192"/>
      <c r="BM57" s="183"/>
      <c r="BN57" s="90"/>
      <c r="BO57" s="192"/>
      <c r="BP57" s="192"/>
      <c r="BQ57" s="192"/>
      <c r="BR57" s="192"/>
      <c r="BS57" s="192">
        <f t="shared" si="58"/>
        <v>0</v>
      </c>
      <c r="BT57" s="192">
        <f t="shared" si="59"/>
        <v>0</v>
      </c>
      <c r="BU57" s="192">
        <f t="shared" si="60"/>
        <v>0</v>
      </c>
      <c r="BV57" s="192"/>
      <c r="BW57" s="192"/>
      <c r="BX57" s="192"/>
      <c r="BY57" s="192"/>
    </row>
    <row r="58" spans="1:77" x14ac:dyDescent="0.25">
      <c r="A58" s="88"/>
      <c r="B58" s="88"/>
      <c r="C58" t="s">
        <v>305</v>
      </c>
      <c r="D58" t="s">
        <v>304</v>
      </c>
      <c r="E58" s="162" t="s">
        <v>303</v>
      </c>
      <c r="F58" s="182" t="s">
        <v>302</v>
      </c>
      <c r="G58" s="182"/>
      <c r="H58" s="191" t="s">
        <v>400</v>
      </c>
      <c r="I58" s="190" t="s">
        <v>270</v>
      </c>
      <c r="J58" s="185">
        <v>155734.47076509002</v>
      </c>
      <c r="K58" s="189">
        <v>2</v>
      </c>
      <c r="L58" s="188">
        <v>45231</v>
      </c>
      <c r="M58" s="150">
        <v>1</v>
      </c>
      <c r="N58" s="150">
        <v>0</v>
      </c>
      <c r="O58" s="150">
        <f t="shared" si="36"/>
        <v>1</v>
      </c>
      <c r="P58" s="187"/>
      <c r="Q58" s="186">
        <f t="shared" si="37"/>
        <v>0.16666666666666666</v>
      </c>
      <c r="R58" s="152">
        <v>5</v>
      </c>
      <c r="S58" s="150">
        <v>0.2</v>
      </c>
      <c r="T58" s="150">
        <v>0.8</v>
      </c>
      <c r="U58" s="150">
        <f t="shared" si="38"/>
        <v>1</v>
      </c>
      <c r="V58" s="147">
        <v>0</v>
      </c>
      <c r="W58" s="147">
        <f t="shared" si="39"/>
        <v>5191.1490255030003</v>
      </c>
      <c r="X58" s="147">
        <f t="shared" si="40"/>
        <v>20764.596102012001</v>
      </c>
      <c r="Y58" s="185">
        <f t="shared" si="41"/>
        <v>25955.745127515002</v>
      </c>
      <c r="Z58">
        <v>880</v>
      </c>
      <c r="AA58" s="184">
        <f t="shared" si="42"/>
        <v>124587.57661207202</v>
      </c>
      <c r="AB58" s="184">
        <f t="shared" si="43"/>
        <v>31146.894153018005</v>
      </c>
      <c r="AC58" s="184">
        <f t="shared" si="44"/>
        <v>0</v>
      </c>
      <c r="AD58" s="184">
        <f>+AA58*(1+'SCHG2-19'!$M$12)</f>
        <v>130816.95544267562</v>
      </c>
      <c r="AE58" s="184">
        <f>+AB58*(1+'SCHG2-19'!$M$12)</f>
        <v>32704.238860668906</v>
      </c>
      <c r="AF58" s="184">
        <f>+AC58*(1+'SCHG2-19'!$M$12)</f>
        <v>0</v>
      </c>
      <c r="AH58" s="260"/>
      <c r="AJ58" s="261">
        <f>($J58*(1+'SCHG2-19'!$M$12))*$N58</f>
        <v>0</v>
      </c>
      <c r="AK58" s="261">
        <f>($J58*(1+'SCHG2-19'!$M$12))*$M58*S58</f>
        <v>32704.238860668906</v>
      </c>
      <c r="AL58" s="261">
        <f>($J58*(1+'SCHG2-19'!$M$12))*$M58*T58</f>
        <v>130816.95544267562</v>
      </c>
      <c r="AM58" s="185">
        <f t="shared" si="45"/>
        <v>163521.19430334453</v>
      </c>
      <c r="AN58" s="261">
        <f t="shared" si="46"/>
        <v>0</v>
      </c>
      <c r="AO58" s="261">
        <f t="shared" si="47"/>
        <v>415.29192204024002</v>
      </c>
      <c r="AP58" s="261">
        <f t="shared" si="48"/>
        <v>1661.1676881609601</v>
      </c>
      <c r="AQ58" s="185">
        <f t="shared" si="49"/>
        <v>2076.4596102012001</v>
      </c>
      <c r="AR58" s="261">
        <f t="shared" si="50"/>
        <v>0</v>
      </c>
      <c r="AS58" s="261">
        <f t="shared" si="51"/>
        <v>2616.3391088535127</v>
      </c>
      <c r="AT58" s="261">
        <f t="shared" si="52"/>
        <v>10465.356435414051</v>
      </c>
      <c r="AU58" s="185">
        <f t="shared" si="53"/>
        <v>13081.695544267564</v>
      </c>
      <c r="AV58" s="261">
        <f>(+V58/$Y$98)*('SCHG2-19'!$I$448*'SCHG2-19'!$K$15)</f>
        <v>0</v>
      </c>
      <c r="AW58" s="261">
        <f>(+W58/$Y$98)*('SCHG2-19'!$I$448*'SCHG2-19'!$K$15)</f>
        <v>538.81448495210338</v>
      </c>
      <c r="AX58" s="261">
        <f>(+X58/$Y$98)*('SCHG2-19'!$I$448*'SCHG2-19'!$K$15)</f>
        <v>2155.2579398084135</v>
      </c>
      <c r="AY58" s="185">
        <f t="shared" si="54"/>
        <v>2694.0724247605167</v>
      </c>
      <c r="AZ58" s="261">
        <f>((+AJ58/($AM$98+$Y$178)*((('SCHG2-19'!$I$448*'SCHG2-19'!$K$15)+'SCHG2-19'!$I$448)*'SCHG2-19'!$M$15)))</f>
        <v>0</v>
      </c>
      <c r="BA58" s="261">
        <f>((+AK58/($AM$98+$Y$178)*((('SCHG2-19'!$I$448*'SCHG2-19'!$K$15)+'SCHG2-19'!$I$448)*'SCHG2-19'!$M$15)))</f>
        <v>595.74584751546251</v>
      </c>
      <c r="BB58" s="261">
        <f>((+AL58/($AM$98+$Y$178)*((('SCHG2-19'!$I$448*'SCHG2-19'!$K$15)+'SCHG2-19'!$I$448)*'SCHG2-19'!$M$15)))</f>
        <v>2382.9833900618501</v>
      </c>
      <c r="BC58" s="185">
        <f t="shared" si="55"/>
        <v>2978.7292375773127</v>
      </c>
      <c r="BD58" s="261">
        <f>(+V58/$Y$98)*('SCHG2-19'!$K$448-'SCHG2-19'!$I$448-'IRR 202 Detail '!$AY$98)</f>
        <v>0</v>
      </c>
      <c r="BE58" s="261">
        <f>(+W58/$Y$98)*('SCHG2-19'!$K$448-'SCHG2-19'!$I$448-'IRR 202 Detail '!$AY$98)</f>
        <v>1280.0344091649374</v>
      </c>
      <c r="BF58" s="261">
        <f>(+X58/$Y$98)*('SCHG2-19'!$K$448-'SCHG2-19'!$I$448-'IRR 202 Detail '!$AY$98)</f>
        <v>5120.1376366597497</v>
      </c>
      <c r="BG58" s="185">
        <f t="shared" si="56"/>
        <v>6400.1720458246873</v>
      </c>
      <c r="BH58" s="261">
        <f>(+AJ58/($AM$98+$Y$178))*('SCHG2-19'!$M$448-'SCHG2-19'!$K$448-'IRR 202 Detail '!$BC$98-'IRR 202 Detail '!$AQ$178)</f>
        <v>0</v>
      </c>
      <c r="BI58" s="261">
        <f>(+AK58/($AM$98+$Y$178))*('SCHG2-19'!$M$448-'SCHG2-19'!$K$448-'IRR 202 Detail '!$BC$98-'IRR 202 Detail '!$AQ$178)</f>
        <v>2299.0922154668629</v>
      </c>
      <c r="BJ58" s="261">
        <f>(+AL58/($AM$98+$Y$178))*('SCHG2-19'!$M$448-'SCHG2-19'!$K$448-'IRR 202 Detail '!$BC$98-'IRR 202 Detail '!$AQ$178)</f>
        <v>9196.3688618674514</v>
      </c>
      <c r="BK58" s="185">
        <f t="shared" si="57"/>
        <v>11495.461077334314</v>
      </c>
      <c r="BL58" s="192"/>
      <c r="BM58" s="183"/>
      <c r="BN58" s="90"/>
      <c r="BO58" s="192"/>
      <c r="BP58" s="192"/>
      <c r="BQ58" s="192"/>
      <c r="BR58" s="192"/>
      <c r="BS58" s="192">
        <f t="shared" si="58"/>
        <v>0</v>
      </c>
      <c r="BT58" s="192">
        <f t="shared" si="59"/>
        <v>0</v>
      </c>
      <c r="BU58" s="192">
        <f t="shared" si="60"/>
        <v>0</v>
      </c>
      <c r="BV58" s="192"/>
      <c r="BW58" s="192"/>
      <c r="BX58" s="192"/>
      <c r="BY58" s="192"/>
    </row>
    <row r="59" spans="1:77" x14ac:dyDescent="0.25">
      <c r="C59" t="s">
        <v>301</v>
      </c>
      <c r="E59" s="162"/>
      <c r="F59" s="182"/>
      <c r="G59" s="182"/>
      <c r="H59" s="191" t="s">
        <v>378</v>
      </c>
      <c r="I59" s="190" t="s">
        <v>270</v>
      </c>
      <c r="J59" s="185">
        <v>92933.872236135008</v>
      </c>
      <c r="K59" s="189">
        <v>1</v>
      </c>
      <c r="L59" s="188">
        <v>45231</v>
      </c>
      <c r="M59" s="150">
        <v>1</v>
      </c>
      <c r="N59" s="150">
        <v>0</v>
      </c>
      <c r="O59" s="150">
        <f t="shared" si="36"/>
        <v>1</v>
      </c>
      <c r="P59" s="187"/>
      <c r="Q59" s="186">
        <f t="shared" si="37"/>
        <v>0.16666666666666666</v>
      </c>
      <c r="R59" s="152">
        <v>6</v>
      </c>
      <c r="S59" s="150">
        <v>0.2</v>
      </c>
      <c r="T59" s="150">
        <v>0.8</v>
      </c>
      <c r="U59" s="150">
        <f t="shared" si="38"/>
        <v>1</v>
      </c>
      <c r="V59" s="147">
        <v>0</v>
      </c>
      <c r="W59" s="147">
        <f t="shared" si="39"/>
        <v>3097.7957412045002</v>
      </c>
      <c r="X59" s="147">
        <f t="shared" si="40"/>
        <v>12391.182964818001</v>
      </c>
      <c r="Y59" s="185">
        <f t="shared" si="41"/>
        <v>15488.978706022501</v>
      </c>
      <c r="Z59">
        <v>880</v>
      </c>
      <c r="AA59" s="184">
        <f t="shared" si="42"/>
        <v>74347.09778890801</v>
      </c>
      <c r="AB59" s="184">
        <f t="shared" si="43"/>
        <v>18586.774447227002</v>
      </c>
      <c r="AC59" s="184">
        <f t="shared" si="44"/>
        <v>0</v>
      </c>
      <c r="AD59" s="184">
        <f>+AA59*(1+'SCHG2-19'!$M$12)</f>
        <v>78064.452678353409</v>
      </c>
      <c r="AE59" s="184">
        <f>+AB59*(1+'SCHG2-19'!$M$12)</f>
        <v>19516.113169588352</v>
      </c>
      <c r="AF59" s="184">
        <f>+AC59*(1+'SCHG2-19'!$M$12)</f>
        <v>0</v>
      </c>
      <c r="AH59" s="156"/>
      <c r="AJ59" s="261">
        <f>($J59*(1+'SCHG2-19'!$M$12))*$N59</f>
        <v>0</v>
      </c>
      <c r="AK59" s="261">
        <f>($J59*(1+'SCHG2-19'!$M$12))*$M59*S59</f>
        <v>19516.113169588352</v>
      </c>
      <c r="AL59" s="261">
        <f>($J59*(1+'SCHG2-19'!$M$12))*$M59*T59</f>
        <v>78064.452678353409</v>
      </c>
      <c r="AM59" s="185">
        <f t="shared" si="45"/>
        <v>97580.565847941762</v>
      </c>
      <c r="AN59" s="261">
        <f t="shared" si="46"/>
        <v>0</v>
      </c>
      <c r="AO59" s="261">
        <f t="shared" si="47"/>
        <v>247.82365929636003</v>
      </c>
      <c r="AP59" s="261">
        <f t="shared" si="48"/>
        <v>991.29463718544014</v>
      </c>
      <c r="AQ59" s="185">
        <f t="shared" si="49"/>
        <v>1239.1182964818001</v>
      </c>
      <c r="AR59" s="261">
        <f t="shared" si="50"/>
        <v>0</v>
      </c>
      <c r="AS59" s="261">
        <f t="shared" si="51"/>
        <v>1561.2890535670683</v>
      </c>
      <c r="AT59" s="261">
        <f t="shared" si="52"/>
        <v>6245.1562142682733</v>
      </c>
      <c r="AU59" s="185">
        <f t="shared" si="53"/>
        <v>7806.4452678353418</v>
      </c>
      <c r="AV59" s="261">
        <f>(+V59/$Y$98)*('SCHG2-19'!$I$448*'SCHG2-19'!$K$15)</f>
        <v>0</v>
      </c>
      <c r="AW59" s="261">
        <f>(+W59/$Y$98)*('SCHG2-19'!$I$448*'SCHG2-19'!$K$15)</f>
        <v>321.53521476340001</v>
      </c>
      <c r="AX59" s="261">
        <f>(+X59/$Y$98)*('SCHG2-19'!$I$448*'SCHG2-19'!$K$15)</f>
        <v>1286.1408590536</v>
      </c>
      <c r="AY59" s="185">
        <f t="shared" si="54"/>
        <v>1607.6760738170001</v>
      </c>
      <c r="AZ59" s="261">
        <f>((+AJ59/($AM$98+$Y$178)*((('SCHG2-19'!$I$448*'SCHG2-19'!$K$15)+'SCHG2-19'!$I$448)*'SCHG2-19'!$M$15)))</f>
        <v>0</v>
      </c>
      <c r="BA59" s="261">
        <f>((+AK59/($AM$98+$Y$178)*((('SCHG2-19'!$I$448*'SCHG2-19'!$K$15)+'SCHG2-19'!$I$448)*'SCHG2-19'!$M$15)))</f>
        <v>355.50875927605347</v>
      </c>
      <c r="BB59" s="261">
        <f>((+AL59/($AM$98+$Y$178)*((('SCHG2-19'!$I$448*'SCHG2-19'!$K$15)+'SCHG2-19'!$I$448)*'SCHG2-19'!$M$15)))</f>
        <v>1422.0350371042139</v>
      </c>
      <c r="BC59" s="185">
        <f t="shared" si="55"/>
        <v>1777.5437963802674</v>
      </c>
      <c r="BD59" s="261">
        <f>(+V59/$Y$98)*('SCHG2-19'!$K$448-'SCHG2-19'!$I$448-'IRR 202 Detail '!$AY$98)</f>
        <v>0</v>
      </c>
      <c r="BE59" s="261">
        <f>(+W59/$Y$98)*('SCHG2-19'!$K$448-'SCHG2-19'!$I$448-'IRR 202 Detail '!$AY$98)</f>
        <v>763.85500046825234</v>
      </c>
      <c r="BF59" s="261">
        <f>(+X59/$Y$98)*('SCHG2-19'!$K$448-'SCHG2-19'!$I$448-'IRR 202 Detail '!$AY$98)</f>
        <v>3055.4200018730094</v>
      </c>
      <c r="BG59" s="185">
        <f t="shared" si="56"/>
        <v>3819.2750023412618</v>
      </c>
      <c r="BH59" s="261">
        <f>(+AJ59/($AM$98+$Y$178))*('SCHG2-19'!$M$448-'SCHG2-19'!$K$448-'IRR 202 Detail '!$BC$98-'IRR 202 Detail '!$AQ$178)</f>
        <v>0</v>
      </c>
      <c r="BI59" s="261">
        <f>(+AK59/($AM$98+$Y$178))*('SCHG2-19'!$M$448-'SCHG2-19'!$K$448-'IRR 202 Detail '!$BC$98-'IRR 202 Detail '!$AQ$178)</f>
        <v>1371.9733413007855</v>
      </c>
      <c r="BJ59" s="261">
        <f>(+AL59/($AM$98+$Y$178))*('SCHG2-19'!$M$448-'SCHG2-19'!$K$448-'IRR 202 Detail '!$BC$98-'IRR 202 Detail '!$AQ$178)</f>
        <v>5487.8933652031419</v>
      </c>
      <c r="BK59" s="185">
        <f t="shared" si="57"/>
        <v>6859.8667065039272</v>
      </c>
      <c r="BL59" s="156"/>
      <c r="BM59" s="156"/>
      <c r="BN59" s="156"/>
      <c r="BO59" s="156"/>
      <c r="BP59" s="156"/>
      <c r="BQ59" s="156"/>
      <c r="BR59" s="156"/>
      <c r="BS59" s="192">
        <f t="shared" si="58"/>
        <v>0</v>
      </c>
      <c r="BT59" s="192">
        <f t="shared" si="59"/>
        <v>0</v>
      </c>
      <c r="BU59" s="192">
        <f t="shared" si="60"/>
        <v>0</v>
      </c>
      <c r="BV59" s="192"/>
      <c r="BW59" s="192"/>
      <c r="BX59" s="192"/>
      <c r="BY59" s="192"/>
    </row>
    <row r="60" spans="1:77" x14ac:dyDescent="0.25">
      <c r="F60" s="182"/>
      <c r="G60" s="182"/>
      <c r="H60" s="191" t="s">
        <v>220</v>
      </c>
      <c r="I60" s="190">
        <v>40333</v>
      </c>
      <c r="J60" s="185">
        <v>77867.235382545012</v>
      </c>
      <c r="K60" s="189">
        <v>1</v>
      </c>
      <c r="L60" s="188">
        <v>44927</v>
      </c>
      <c r="M60" s="150">
        <v>1</v>
      </c>
      <c r="N60" s="150">
        <v>0</v>
      </c>
      <c r="O60" s="150">
        <f t="shared" si="36"/>
        <v>1</v>
      </c>
      <c r="P60" s="187"/>
      <c r="Q60" s="186">
        <f t="shared" si="37"/>
        <v>1</v>
      </c>
      <c r="R60" s="152">
        <v>5</v>
      </c>
      <c r="S60" s="150">
        <v>0.2</v>
      </c>
      <c r="T60" s="150">
        <v>0.8</v>
      </c>
      <c r="U60" s="150">
        <f t="shared" si="38"/>
        <v>1</v>
      </c>
      <c r="V60" s="147">
        <v>0</v>
      </c>
      <c r="W60" s="147">
        <f t="shared" si="39"/>
        <v>15573.447076509003</v>
      </c>
      <c r="X60" s="147">
        <f t="shared" si="40"/>
        <v>62293.788306036011</v>
      </c>
      <c r="Y60" s="185">
        <f t="shared" si="41"/>
        <v>77867.235382545012</v>
      </c>
      <c r="Z60">
        <v>880</v>
      </c>
      <c r="AA60" s="184">
        <f t="shared" si="42"/>
        <v>62293.788306036011</v>
      </c>
      <c r="AB60" s="184">
        <f t="shared" si="43"/>
        <v>15573.447076509003</v>
      </c>
      <c r="AC60" s="184">
        <f t="shared" si="44"/>
        <v>0</v>
      </c>
      <c r="AD60" s="184">
        <f>+AA60*(1+'SCHG2-19'!$M$12)</f>
        <v>65408.477721337811</v>
      </c>
      <c r="AE60" s="184">
        <f>+AB60*(1+'SCHG2-19'!$M$12)</f>
        <v>16352.119430334453</v>
      </c>
      <c r="AF60" s="184">
        <f>+AC60*(1+'SCHG2-19'!$M$12)</f>
        <v>0</v>
      </c>
      <c r="AJ60" s="261">
        <f>($J60*(1+'SCHG2-19'!$M$12))*$N60</f>
        <v>0</v>
      </c>
      <c r="AK60" s="261">
        <f>($J60*(1+'SCHG2-19'!$M$12))*$M60*S60</f>
        <v>16352.119430334453</v>
      </c>
      <c r="AL60" s="261">
        <f>($J60*(1+'SCHG2-19'!$M$12))*$M60*T60</f>
        <v>65408.477721337811</v>
      </c>
      <c r="AM60" s="185">
        <f t="shared" si="45"/>
        <v>81760.597151672264</v>
      </c>
      <c r="AN60" s="261">
        <f t="shared" si="46"/>
        <v>0</v>
      </c>
      <c r="AO60" s="261">
        <f t="shared" si="47"/>
        <v>1245.8757661207203</v>
      </c>
      <c r="AP60" s="261">
        <f t="shared" si="48"/>
        <v>4983.5030644828812</v>
      </c>
      <c r="AQ60" s="185">
        <f t="shared" si="49"/>
        <v>6229.3788306036013</v>
      </c>
      <c r="AR60" s="261">
        <f t="shared" si="50"/>
        <v>0</v>
      </c>
      <c r="AS60" s="261">
        <f t="shared" si="51"/>
        <v>1308.1695544267563</v>
      </c>
      <c r="AT60" s="261">
        <f t="shared" si="52"/>
        <v>5232.6782177070254</v>
      </c>
      <c r="AU60" s="185">
        <f t="shared" si="53"/>
        <v>6540.8477721337822</v>
      </c>
      <c r="AV60" s="261">
        <f>(+V60/$Y$98)*('SCHG2-19'!$I$448*'SCHG2-19'!$K$15)</f>
        <v>0</v>
      </c>
      <c r="AW60" s="261">
        <f>(+W60/$Y$98)*('SCHG2-19'!$I$448*'SCHG2-19'!$K$15)</f>
        <v>1616.4434548563104</v>
      </c>
      <c r="AX60" s="261">
        <f>(+X60/$Y$98)*('SCHG2-19'!$I$448*'SCHG2-19'!$K$15)</f>
        <v>6465.7738194252415</v>
      </c>
      <c r="AY60" s="185">
        <f t="shared" si="54"/>
        <v>8082.2172742815519</v>
      </c>
      <c r="AZ60" s="261">
        <f>((+AJ60/($AM$98+$Y$178)*((('SCHG2-19'!$I$448*'SCHG2-19'!$K$15)+'SCHG2-19'!$I$448)*'SCHG2-19'!$M$15)))</f>
        <v>0</v>
      </c>
      <c r="BA60" s="261">
        <f>((+AK60/($AM$98+$Y$178)*((('SCHG2-19'!$I$448*'SCHG2-19'!$K$15)+'SCHG2-19'!$I$448)*'SCHG2-19'!$M$15)))</f>
        <v>297.87292375773126</v>
      </c>
      <c r="BB60" s="261">
        <f>((+AL60/($AM$98+$Y$178)*((('SCHG2-19'!$I$448*'SCHG2-19'!$K$15)+'SCHG2-19'!$I$448)*'SCHG2-19'!$M$15)))</f>
        <v>1191.491695030925</v>
      </c>
      <c r="BC60" s="185">
        <f t="shared" si="55"/>
        <v>1489.3646187886563</v>
      </c>
      <c r="BD60" s="261">
        <f>(+V60/$Y$98)*('SCHG2-19'!$K$448-'SCHG2-19'!$I$448-'IRR 202 Detail '!$AY$98)</f>
        <v>0</v>
      </c>
      <c r="BE60" s="261">
        <f>(+W60/$Y$98)*('SCHG2-19'!$K$448-'SCHG2-19'!$I$448-'IRR 202 Detail '!$AY$98)</f>
        <v>3840.1032274948129</v>
      </c>
      <c r="BF60" s="261">
        <f>(+X60/$Y$98)*('SCHG2-19'!$K$448-'SCHG2-19'!$I$448-'IRR 202 Detail '!$AY$98)</f>
        <v>15360.412909979252</v>
      </c>
      <c r="BG60" s="185">
        <f t="shared" si="56"/>
        <v>19200.516137474064</v>
      </c>
      <c r="BH60" s="261">
        <f>(+AJ60/($AM$98+$Y$178))*('SCHG2-19'!$M$448-'SCHG2-19'!$K$448-'IRR 202 Detail '!$BC$98-'IRR 202 Detail '!$AQ$178)</f>
        <v>0</v>
      </c>
      <c r="BI60" s="261">
        <f>(+AK60/($AM$98+$Y$178))*('SCHG2-19'!$M$448-'SCHG2-19'!$K$448-'IRR 202 Detail '!$BC$98-'IRR 202 Detail '!$AQ$178)</f>
        <v>1149.5461077334314</v>
      </c>
      <c r="BJ60" s="261">
        <f>(+AL60/($AM$98+$Y$178))*('SCHG2-19'!$M$448-'SCHG2-19'!$K$448-'IRR 202 Detail '!$BC$98-'IRR 202 Detail '!$AQ$178)</f>
        <v>4598.1844309337257</v>
      </c>
      <c r="BK60" s="185">
        <f t="shared" si="57"/>
        <v>5747.7305386671569</v>
      </c>
      <c r="BL60" s="183"/>
      <c r="BM60" s="183"/>
      <c r="BN60" s="90"/>
      <c r="BO60" s="183"/>
      <c r="BP60" s="154"/>
      <c r="BQ60" s="154"/>
      <c r="BR60" s="154"/>
      <c r="BS60" s="192">
        <f t="shared" si="58"/>
        <v>0</v>
      </c>
      <c r="BT60" s="192">
        <f t="shared" si="59"/>
        <v>0</v>
      </c>
      <c r="BU60" s="192">
        <f t="shared" si="60"/>
        <v>0</v>
      </c>
      <c r="BV60" s="192"/>
      <c r="BW60" s="192"/>
      <c r="BX60" s="192"/>
      <c r="BY60" s="192"/>
    </row>
    <row r="61" spans="1:77" x14ac:dyDescent="0.25">
      <c r="C61" t="s">
        <v>300</v>
      </c>
      <c r="D61" t="s">
        <v>300</v>
      </c>
      <c r="E61" s="162" t="s">
        <v>299</v>
      </c>
      <c r="F61" s="182" t="s">
        <v>298</v>
      </c>
      <c r="G61" s="182"/>
      <c r="H61" s="251" t="s">
        <v>368</v>
      </c>
      <c r="I61" s="250"/>
      <c r="J61" s="246">
        <f>SUM(J34:J60)</f>
        <v>2779993.2826654795</v>
      </c>
      <c r="K61" s="249">
        <f>SUM(K34:K60)</f>
        <v>33</v>
      </c>
      <c r="L61" s="248"/>
      <c r="M61" s="248"/>
      <c r="N61" s="248"/>
      <c r="O61" s="248"/>
      <c r="P61" s="248"/>
      <c r="Q61" s="248"/>
      <c r="R61" s="248"/>
      <c r="S61" s="247"/>
      <c r="T61" s="247"/>
      <c r="U61" s="247"/>
      <c r="V61" s="246">
        <f>SUM(V34:V60)</f>
        <v>0</v>
      </c>
      <c r="W61" s="246">
        <f>SUM(W34:W60)</f>
        <v>905211.52021243447</v>
      </c>
      <c r="X61" s="246">
        <f>SUM(X34:X60)</f>
        <v>440441.86088002328</v>
      </c>
      <c r="Y61" s="246">
        <f>SUM(Y34:Y60)</f>
        <v>1345653.3810924576</v>
      </c>
      <c r="AA61" s="246">
        <f t="shared" ref="AA61:AF61" si="62">SUM(AA34:AA60)</f>
        <v>1021559.8248279316</v>
      </c>
      <c r="AB61" s="246">
        <f t="shared" si="62"/>
        <v>1758433.4578375486</v>
      </c>
      <c r="AC61" s="246">
        <f t="shared" si="62"/>
        <v>0</v>
      </c>
      <c r="AD61" s="246">
        <f t="shared" si="62"/>
        <v>1072637.8160693278</v>
      </c>
      <c r="AE61" s="246">
        <f t="shared" si="62"/>
        <v>1846355.1307294269</v>
      </c>
      <c r="AF61" s="246">
        <f t="shared" si="62"/>
        <v>0</v>
      </c>
      <c r="AH61" s="260"/>
      <c r="AJ61" s="246">
        <f t="shared" ref="AJ61:BK61" si="63">SUM(AJ34:AJ60)</f>
        <v>0</v>
      </c>
      <c r="AK61" s="246">
        <f t="shared" si="63"/>
        <v>1846355.1307294271</v>
      </c>
      <c r="AL61" s="246">
        <f t="shared" si="63"/>
        <v>1072637.8160693278</v>
      </c>
      <c r="AM61" s="246">
        <f t="shared" si="63"/>
        <v>2918992.9467987553</v>
      </c>
      <c r="AN61" s="246">
        <f t="shared" si="63"/>
        <v>0</v>
      </c>
      <c r="AO61" s="246">
        <f t="shared" si="63"/>
        <v>72416.921616994776</v>
      </c>
      <c r="AP61" s="246">
        <f t="shared" si="63"/>
        <v>35235.348870401853</v>
      </c>
      <c r="AQ61" s="246">
        <f t="shared" si="63"/>
        <v>107652.27048739661</v>
      </c>
      <c r="AR61" s="246">
        <f t="shared" si="63"/>
        <v>0</v>
      </c>
      <c r="AS61" s="246">
        <f t="shared" si="63"/>
        <v>147708.4104583541</v>
      </c>
      <c r="AT61" s="246">
        <f t="shared" si="63"/>
        <v>85811.025285546246</v>
      </c>
      <c r="AU61" s="246">
        <f t="shared" si="63"/>
        <v>233519.43574390028</v>
      </c>
      <c r="AV61" s="246">
        <f t="shared" si="63"/>
        <v>0</v>
      </c>
      <c r="AW61" s="246">
        <f t="shared" si="63"/>
        <v>93956.285331013642</v>
      </c>
      <c r="AX61" s="246">
        <f t="shared" si="63"/>
        <v>45715.592685844866</v>
      </c>
      <c r="AY61" s="246">
        <f t="shared" si="63"/>
        <v>139671.87801685851</v>
      </c>
      <c r="AZ61" s="246">
        <f t="shared" si="63"/>
        <v>0</v>
      </c>
      <c r="BA61" s="246">
        <f t="shared" si="63"/>
        <v>33633.511755375781</v>
      </c>
      <c r="BB61" s="246">
        <f t="shared" si="63"/>
        <v>19539.348631038181</v>
      </c>
      <c r="BC61" s="246">
        <f t="shared" si="63"/>
        <v>53172.860386413944</v>
      </c>
      <c r="BD61" s="246">
        <f t="shared" si="63"/>
        <v>0</v>
      </c>
      <c r="BE61" s="246">
        <f t="shared" si="63"/>
        <v>223207.21053315265</v>
      </c>
      <c r="BF61" s="246">
        <f t="shared" si="63"/>
        <v>108604.22892760973</v>
      </c>
      <c r="BG61" s="246">
        <f t="shared" si="63"/>
        <v>331811.43946076231</v>
      </c>
      <c r="BH61" s="246">
        <f t="shared" si="63"/>
        <v>0</v>
      </c>
      <c r="BI61" s="246">
        <f t="shared" si="63"/>
        <v>129797.87501345643</v>
      </c>
      <c r="BJ61" s="246">
        <f t="shared" si="63"/>
        <v>75405.921032033744</v>
      </c>
      <c r="BK61" s="246">
        <f t="shared" si="63"/>
        <v>205203.79604549007</v>
      </c>
      <c r="BL61" s="192"/>
      <c r="BM61" s="183"/>
      <c r="BN61" s="90"/>
      <c r="BO61" s="192"/>
      <c r="BP61" s="192"/>
      <c r="BQ61" s="192"/>
      <c r="BR61" s="192"/>
      <c r="BS61" s="192">
        <f t="shared" si="58"/>
        <v>6.9849193096160889E-10</v>
      </c>
      <c r="BT61" s="192">
        <f t="shared" si="59"/>
        <v>0</v>
      </c>
      <c r="BU61" s="192">
        <f t="shared" si="60"/>
        <v>0</v>
      </c>
      <c r="BV61" s="192"/>
      <c r="BW61" s="192"/>
      <c r="BX61" s="192"/>
      <c r="BY61" s="192"/>
    </row>
    <row r="62" spans="1:77" x14ac:dyDescent="0.25">
      <c r="C62" t="s">
        <v>300</v>
      </c>
      <c r="D62" t="s">
        <v>300</v>
      </c>
      <c r="E62" s="162" t="s">
        <v>299</v>
      </c>
      <c r="F62" s="182" t="s">
        <v>298</v>
      </c>
      <c r="G62" s="143"/>
      <c r="H62" s="143"/>
      <c r="I62" s="236"/>
      <c r="J62" s="235"/>
      <c r="K62" s="154"/>
      <c r="L62" s="153"/>
      <c r="Q62" s="186"/>
      <c r="R62" s="152"/>
      <c r="S62" s="150"/>
      <c r="T62" s="150"/>
      <c r="U62" s="150"/>
      <c r="V62" s="147"/>
      <c r="W62" s="147"/>
      <c r="X62" s="147"/>
      <c r="Y62" s="235"/>
      <c r="AH62" s="260"/>
      <c r="AJ62" s="147"/>
      <c r="AK62" s="147"/>
      <c r="AL62" s="147"/>
      <c r="AM62" s="235"/>
      <c r="AN62" s="147"/>
      <c r="AO62" s="147"/>
      <c r="AP62" s="147"/>
      <c r="AQ62" s="235"/>
      <c r="AR62" s="147"/>
      <c r="AS62" s="147"/>
      <c r="AT62" s="147"/>
      <c r="AU62" s="235"/>
      <c r="AV62" s="147"/>
      <c r="AW62" s="147"/>
      <c r="AX62" s="147"/>
      <c r="AY62" s="235"/>
      <c r="AZ62" s="147"/>
      <c r="BA62" s="147"/>
      <c r="BB62" s="147"/>
      <c r="BC62" s="235"/>
      <c r="BD62" s="147"/>
      <c r="BE62" s="147"/>
      <c r="BF62" s="147"/>
      <c r="BG62" s="235"/>
      <c r="BH62" s="147"/>
      <c r="BI62" s="147"/>
      <c r="BJ62" s="147"/>
      <c r="BK62" s="235"/>
      <c r="BL62" s="192"/>
      <c r="BM62" s="183"/>
      <c r="BN62" s="90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</row>
    <row r="63" spans="1:77" x14ac:dyDescent="0.25">
      <c r="C63" t="s">
        <v>300</v>
      </c>
      <c r="D63" t="s">
        <v>300</v>
      </c>
      <c r="E63" s="162" t="s">
        <v>299</v>
      </c>
      <c r="F63" s="182" t="s">
        <v>298</v>
      </c>
      <c r="G63" s="182"/>
      <c r="H63" s="279" t="s">
        <v>236</v>
      </c>
      <c r="I63" s="190">
        <v>40153</v>
      </c>
      <c r="J63" s="185">
        <v>77867.235382545012</v>
      </c>
      <c r="K63" s="244">
        <v>1</v>
      </c>
      <c r="L63" s="188">
        <v>45231</v>
      </c>
      <c r="M63" s="243">
        <v>0.7</v>
      </c>
      <c r="N63" s="243">
        <v>0.3</v>
      </c>
      <c r="O63" s="150">
        <f t="shared" ref="O63:O68" si="64">M63+N63</f>
        <v>1</v>
      </c>
      <c r="P63" s="245" t="s">
        <v>345</v>
      </c>
      <c r="Q63" s="186">
        <f t="shared" ref="Q63:Q68" si="65">((13-MONTH(L63)-$AI$5))/12</f>
        <v>0.16666666666666666</v>
      </c>
      <c r="R63" s="244">
        <v>5</v>
      </c>
      <c r="S63" s="243">
        <f>+(0.571428571428571)</f>
        <v>0.57142857142857095</v>
      </c>
      <c r="T63" s="243">
        <f>+(0.428571428571429)</f>
        <v>0.42857142857142899</v>
      </c>
      <c r="U63" s="150">
        <f t="shared" ref="U63:U68" si="66">+S63+T63</f>
        <v>1</v>
      </c>
      <c r="V63" s="147">
        <f t="shared" ref="V63:V68" si="67">J63*N63*Q63</f>
        <v>3893.3617691272502</v>
      </c>
      <c r="W63" s="147">
        <f t="shared" ref="W63:W68" si="68">J63*M63*Q63*S63</f>
        <v>5191.1490255029958</v>
      </c>
      <c r="X63" s="147">
        <f t="shared" ref="X63:X68" si="69">J63*M63*Q63*T63</f>
        <v>3893.3617691272539</v>
      </c>
      <c r="Y63" s="185">
        <f t="shared" ref="Y63:Y68" si="70">V63+W63+X63</f>
        <v>12977.872563757499</v>
      </c>
      <c r="Z63">
        <v>920</v>
      </c>
      <c r="AA63" s="184">
        <f t="shared" ref="AA63:AA68" si="71">+J63*M63*T63</f>
        <v>23360.170614763527</v>
      </c>
      <c r="AB63" s="184">
        <f t="shared" ref="AB63:AB68" si="72">+J63*M63*S63</f>
        <v>31146.894153017976</v>
      </c>
      <c r="AC63" s="184">
        <f t="shared" ref="AC63:AC68" si="73">+J63*N63</f>
        <v>23360.170614763501</v>
      </c>
      <c r="AD63" s="184">
        <f>+AA63*(1+'SCHG2-19'!$M$12)</f>
        <v>24528.179145501705</v>
      </c>
      <c r="AE63" s="184">
        <f>+AB63*(1+'SCHG2-19'!$M$12)</f>
        <v>32704.238860668876</v>
      </c>
      <c r="AF63" s="184">
        <f>+AC63*(1+'SCHG2-19'!$M$12)</f>
        <v>24528.179145501679</v>
      </c>
      <c r="AH63" s="260"/>
      <c r="AJ63" s="261">
        <f>($J63*(1+'SCHG2-19'!$M$12))*$N63</f>
        <v>24528.179145501679</v>
      </c>
      <c r="AK63" s="261">
        <f>($J63*(1+'SCHG2-19'!$M$12))*$M63*S63</f>
        <v>32704.23886066888</v>
      </c>
      <c r="AL63" s="261">
        <f>($J63*(1+'SCHG2-19'!$M$12))*$M63*T63</f>
        <v>24528.179145501705</v>
      </c>
      <c r="AM63" s="185">
        <f t="shared" ref="AM63:AM68" si="74">AJ63+AK63+AL63</f>
        <v>81760.597151672264</v>
      </c>
      <c r="AN63" s="261">
        <f t="shared" ref="AN63:AN68" si="75">+V63*0.08</f>
        <v>311.46894153018002</v>
      </c>
      <c r="AO63" s="261">
        <f t="shared" ref="AO63:AO68" si="76">+W63*0.08</f>
        <v>415.29192204023968</v>
      </c>
      <c r="AP63" s="261">
        <f t="shared" ref="AP63:AP68" si="77">+X63*0.08</f>
        <v>311.4689415301803</v>
      </c>
      <c r="AQ63" s="185">
        <f t="shared" ref="AQ63:AQ68" si="78">AN63+AO63+AP63</f>
        <v>1038.2298051006001</v>
      </c>
      <c r="AR63" s="261">
        <f t="shared" ref="AR63:AR68" si="79">+AJ63*0.08</f>
        <v>1962.2543316401343</v>
      </c>
      <c r="AS63" s="261">
        <f t="shared" ref="AS63:AS68" si="80">+AK63*0.08</f>
        <v>2616.3391088535104</v>
      </c>
      <c r="AT63" s="261">
        <f t="shared" ref="AT63:AT68" si="81">+AL63*0.08</f>
        <v>1962.2543316401363</v>
      </c>
      <c r="AU63" s="185">
        <f t="shared" ref="AU63:AU68" si="82">AR63+AS63+AT63</f>
        <v>6540.8477721337813</v>
      </c>
      <c r="AV63" s="261">
        <f>(+V63/$Y$98)*('SCHG2-19'!$I$448*'SCHG2-19'!$K$15)</f>
        <v>404.11086371407754</v>
      </c>
      <c r="AW63" s="261">
        <f>(+W63/$Y$98)*('SCHG2-19'!$I$448*'SCHG2-19'!$K$15)</f>
        <v>538.81448495210282</v>
      </c>
      <c r="AX63" s="261">
        <f>(+X63/$Y$98)*('SCHG2-19'!$I$448*'SCHG2-19'!$K$15)</f>
        <v>404.11086371407788</v>
      </c>
      <c r="AY63" s="185">
        <f t="shared" ref="AY63:AY68" si="83">AV63+AW63+AX63</f>
        <v>1347.0362123802581</v>
      </c>
      <c r="AZ63" s="261">
        <f>((+AJ63/($AM$98+$Y$178)*((('SCHG2-19'!$I$448*'SCHG2-19'!$K$15)+'SCHG2-19'!$I$448)*'SCHG2-19'!$M$15)))</f>
        <v>446.80938563659691</v>
      </c>
      <c r="BA63" s="261">
        <f>((+AK63/($AM$98+$Y$178)*((('SCHG2-19'!$I$448*'SCHG2-19'!$K$15)+'SCHG2-19'!$I$448)*'SCHG2-19'!$M$15)))</f>
        <v>595.74584751546217</v>
      </c>
      <c r="BB63" s="261">
        <f>((+AL63/($AM$98+$Y$178)*((('SCHG2-19'!$I$448*'SCHG2-19'!$K$15)+'SCHG2-19'!$I$448)*'SCHG2-19'!$M$15)))</f>
        <v>446.80938563659743</v>
      </c>
      <c r="BC63" s="185">
        <f t="shared" ref="BC63:BC68" si="84">AZ63+BA63+BB63</f>
        <v>1489.3646187886566</v>
      </c>
      <c r="BD63" s="261">
        <f>(+V63/$Y$98)*('SCHG2-19'!$K$448-'SCHG2-19'!$I$448-'IRR 202 Detail '!$AY$98)</f>
        <v>960.02580687370312</v>
      </c>
      <c r="BE63" s="261">
        <f>(+W63/$Y$98)*('SCHG2-19'!$K$448-'SCHG2-19'!$I$448-'IRR 202 Detail '!$AY$98)</f>
        <v>1280.0344091649363</v>
      </c>
      <c r="BF63" s="261">
        <f>(+X63/$Y$98)*('SCHG2-19'!$K$448-'SCHG2-19'!$I$448-'IRR 202 Detail '!$AY$98)</f>
        <v>960.02580687370391</v>
      </c>
      <c r="BG63" s="185">
        <f t="shared" ref="BG63:BG68" si="85">BD63+BE63+BF63</f>
        <v>3200.0860229123432</v>
      </c>
      <c r="BH63" s="261">
        <f>(+AJ63/($AM$98+$Y$178))*('SCHG2-19'!$M$448-'SCHG2-19'!$K$448-'IRR 202 Detail '!$BC$98-'IRR 202 Detail '!$AQ$178)</f>
        <v>1724.3191616001473</v>
      </c>
      <c r="BI63" s="261">
        <f>(+AK63/($AM$98+$Y$178))*('SCHG2-19'!$M$448-'SCHG2-19'!$K$448-'IRR 202 Detail '!$BC$98-'IRR 202 Detail '!$AQ$178)</f>
        <v>2299.0922154668615</v>
      </c>
      <c r="BJ63" s="261">
        <f>(+AL63/($AM$98+$Y$178))*('SCHG2-19'!$M$448-'SCHG2-19'!$K$448-'IRR 202 Detail '!$BC$98-'IRR 202 Detail '!$AQ$178)</f>
        <v>1724.3191616001491</v>
      </c>
      <c r="BK63" s="185">
        <f t="shared" ref="BK63:BK68" si="86">BH63+BI63+BJ63</f>
        <v>5747.7305386671578</v>
      </c>
      <c r="BL63" s="192"/>
      <c r="BM63" s="183"/>
      <c r="BN63" s="90"/>
      <c r="BO63" s="192"/>
      <c r="BP63" s="192"/>
      <c r="BQ63" s="192"/>
      <c r="BR63" s="192"/>
      <c r="BS63" s="192">
        <f t="shared" ref="BS63:BS69" si="87">+AM63-AD63-AE63-AF63</f>
        <v>0</v>
      </c>
      <c r="BT63" s="192">
        <f t="shared" ref="BT63:BT69" si="88">+Y63*0.08-AQ63</f>
        <v>0</v>
      </c>
      <c r="BU63" s="192">
        <f t="shared" ref="BU63:BU69" si="89">+AM63*0.08-AU63</f>
        <v>0</v>
      </c>
      <c r="BV63" s="192"/>
      <c r="BW63" s="192"/>
      <c r="BX63" s="192"/>
      <c r="BY63" s="192"/>
    </row>
    <row r="64" spans="1:77" x14ac:dyDescent="0.25">
      <c r="C64" t="s">
        <v>300</v>
      </c>
      <c r="D64" t="s">
        <v>300</v>
      </c>
      <c r="E64" s="162" t="s">
        <v>299</v>
      </c>
      <c r="F64" s="182" t="s">
        <v>298</v>
      </c>
      <c r="G64" s="182"/>
      <c r="H64" s="279" t="s">
        <v>237</v>
      </c>
      <c r="I64" s="190">
        <v>39236</v>
      </c>
      <c r="J64" s="185">
        <v>77867.235382545012</v>
      </c>
      <c r="K64" s="244">
        <v>1</v>
      </c>
      <c r="L64" s="188">
        <v>45231</v>
      </c>
      <c r="M64" s="243">
        <v>0.6</v>
      </c>
      <c r="N64" s="243">
        <v>0.4</v>
      </c>
      <c r="O64" s="150">
        <f t="shared" si="64"/>
        <v>1</v>
      </c>
      <c r="P64" s="245" t="s">
        <v>344</v>
      </c>
      <c r="Q64" s="186">
        <f t="shared" si="65"/>
        <v>0.16666666666666666</v>
      </c>
      <c r="R64" s="244">
        <v>5</v>
      </c>
      <c r="S64" s="243">
        <v>0</v>
      </c>
      <c r="T64" s="243">
        <v>1</v>
      </c>
      <c r="U64" s="150">
        <f t="shared" si="66"/>
        <v>1</v>
      </c>
      <c r="V64" s="147">
        <f t="shared" si="67"/>
        <v>5191.1490255030003</v>
      </c>
      <c r="W64" s="147">
        <f t="shared" si="68"/>
        <v>0</v>
      </c>
      <c r="X64" s="147">
        <f t="shared" si="69"/>
        <v>7786.7235382545005</v>
      </c>
      <c r="Y64" s="185">
        <f t="shared" si="70"/>
        <v>12977.872563757501</v>
      </c>
      <c r="Z64">
        <v>920</v>
      </c>
      <c r="AA64" s="184">
        <f t="shared" si="71"/>
        <v>46720.341229527003</v>
      </c>
      <c r="AB64" s="184">
        <f t="shared" si="72"/>
        <v>0</v>
      </c>
      <c r="AC64" s="184">
        <f t="shared" si="73"/>
        <v>31146.894153018005</v>
      </c>
      <c r="AD64" s="184">
        <f>+AA64*(1+'SCHG2-19'!$M$12)</f>
        <v>49056.358291003358</v>
      </c>
      <c r="AE64" s="184">
        <f>+AB64*(1+'SCHG2-19'!$M$12)</f>
        <v>0</v>
      </c>
      <c r="AF64" s="184">
        <f>+AC64*(1+'SCHG2-19'!$M$12)</f>
        <v>32704.238860668906</v>
      </c>
      <c r="AH64" s="260"/>
      <c r="AJ64" s="261">
        <f>($J64*(1+'SCHG2-19'!$M$12))*$N64</f>
        <v>32704.238860668906</v>
      </c>
      <c r="AK64" s="261">
        <f>($J64*(1+'SCHG2-19'!$M$12))*$M64*S64</f>
        <v>0</v>
      </c>
      <c r="AL64" s="261">
        <f>($J64*(1+'SCHG2-19'!$M$12))*$M64*T64</f>
        <v>49056.358291003358</v>
      </c>
      <c r="AM64" s="185">
        <f t="shared" si="74"/>
        <v>81760.597151672264</v>
      </c>
      <c r="AN64" s="261">
        <f t="shared" si="75"/>
        <v>415.29192204024002</v>
      </c>
      <c r="AO64" s="261">
        <f t="shared" si="76"/>
        <v>0</v>
      </c>
      <c r="AP64" s="261">
        <f t="shared" si="77"/>
        <v>622.93788306036004</v>
      </c>
      <c r="AQ64" s="185">
        <f t="shared" si="78"/>
        <v>1038.2298051006001</v>
      </c>
      <c r="AR64" s="261">
        <f t="shared" si="79"/>
        <v>2616.3391088535127</v>
      </c>
      <c r="AS64" s="261">
        <f t="shared" si="80"/>
        <v>0</v>
      </c>
      <c r="AT64" s="261">
        <f t="shared" si="81"/>
        <v>3924.5086632802686</v>
      </c>
      <c r="AU64" s="185">
        <f t="shared" si="82"/>
        <v>6540.8477721337813</v>
      </c>
      <c r="AV64" s="261">
        <f>(+V64/$Y$98)*('SCHG2-19'!$I$448*'SCHG2-19'!$K$15)</f>
        <v>538.81448495210338</v>
      </c>
      <c r="AW64" s="261">
        <f>(+W64/$Y$98)*('SCHG2-19'!$I$448*'SCHG2-19'!$K$15)</f>
        <v>0</v>
      </c>
      <c r="AX64" s="261">
        <f>(+X64/$Y$98)*('SCHG2-19'!$I$448*'SCHG2-19'!$K$15)</f>
        <v>808.22172742815508</v>
      </c>
      <c r="AY64" s="185">
        <f t="shared" si="83"/>
        <v>1347.0362123802583</v>
      </c>
      <c r="AZ64" s="261">
        <f>((+AJ64/($AM$98+$Y$178)*((('SCHG2-19'!$I$448*'SCHG2-19'!$K$15)+'SCHG2-19'!$I$448)*'SCHG2-19'!$M$15)))</f>
        <v>595.74584751546251</v>
      </c>
      <c r="BA64" s="261">
        <f>((+AK64/($AM$98+$Y$178)*((('SCHG2-19'!$I$448*'SCHG2-19'!$K$15)+'SCHG2-19'!$I$448)*'SCHG2-19'!$M$15)))</f>
        <v>0</v>
      </c>
      <c r="BB64" s="261">
        <f>((+AL64/($AM$98+$Y$178)*((('SCHG2-19'!$I$448*'SCHG2-19'!$K$15)+'SCHG2-19'!$I$448)*'SCHG2-19'!$M$15)))</f>
        <v>893.61877127319383</v>
      </c>
      <c r="BC64" s="185">
        <f t="shared" si="84"/>
        <v>1489.3646187886563</v>
      </c>
      <c r="BD64" s="261">
        <f>(+V64/$Y$98)*('SCHG2-19'!$K$448-'SCHG2-19'!$I$448-'IRR 202 Detail '!$AY$98)</f>
        <v>1280.0344091649374</v>
      </c>
      <c r="BE64" s="261">
        <f>(+W64/$Y$98)*('SCHG2-19'!$K$448-'SCHG2-19'!$I$448-'IRR 202 Detail '!$AY$98)</f>
        <v>0</v>
      </c>
      <c r="BF64" s="261">
        <f>(+X64/$Y$98)*('SCHG2-19'!$K$448-'SCHG2-19'!$I$448-'IRR 202 Detail '!$AY$98)</f>
        <v>1920.0516137474062</v>
      </c>
      <c r="BG64" s="185">
        <f t="shared" si="85"/>
        <v>3200.0860229123437</v>
      </c>
      <c r="BH64" s="261">
        <f>(+AJ64/($AM$98+$Y$178))*('SCHG2-19'!$M$448-'SCHG2-19'!$K$448-'IRR 202 Detail '!$BC$98-'IRR 202 Detail '!$AQ$178)</f>
        <v>2299.0922154668629</v>
      </c>
      <c r="BI64" s="261">
        <f>(+AK64/($AM$98+$Y$178))*('SCHG2-19'!$M$448-'SCHG2-19'!$K$448-'IRR 202 Detail '!$BC$98-'IRR 202 Detail '!$AQ$178)</f>
        <v>0</v>
      </c>
      <c r="BJ64" s="261">
        <f>(+AL64/($AM$98+$Y$178))*('SCHG2-19'!$M$448-'SCHG2-19'!$K$448-'IRR 202 Detail '!$BC$98-'IRR 202 Detail '!$AQ$178)</f>
        <v>3448.6383232002945</v>
      </c>
      <c r="BK64" s="185">
        <f t="shared" si="86"/>
        <v>5747.7305386671578</v>
      </c>
      <c r="BL64" s="192"/>
      <c r="BM64" s="183"/>
      <c r="BN64" s="90"/>
      <c r="BO64" s="192"/>
      <c r="BP64" s="192"/>
      <c r="BQ64" s="192"/>
      <c r="BR64" s="192"/>
      <c r="BS64" s="192">
        <f t="shared" si="87"/>
        <v>0</v>
      </c>
      <c r="BT64" s="192">
        <f t="shared" si="88"/>
        <v>0</v>
      </c>
      <c r="BU64" s="192">
        <f t="shared" si="89"/>
        <v>0</v>
      </c>
      <c r="BV64" s="192"/>
      <c r="BW64" s="192"/>
      <c r="BX64" s="192"/>
      <c r="BY64" s="192"/>
    </row>
    <row r="65" spans="3:77" x14ac:dyDescent="0.25">
      <c r="C65" t="s">
        <v>300</v>
      </c>
      <c r="D65" t="s">
        <v>300</v>
      </c>
      <c r="E65" s="162" t="s">
        <v>299</v>
      </c>
      <c r="F65" s="182" t="s">
        <v>298</v>
      </c>
      <c r="G65" s="182"/>
      <c r="H65" s="279" t="s">
        <v>238</v>
      </c>
      <c r="I65" s="190">
        <v>41252</v>
      </c>
      <c r="J65" s="185">
        <v>127680.63578256001</v>
      </c>
      <c r="K65" s="189">
        <v>1</v>
      </c>
      <c r="L65" s="188">
        <v>45231</v>
      </c>
      <c r="M65" s="243">
        <v>0.9</v>
      </c>
      <c r="N65" s="243">
        <v>0.1</v>
      </c>
      <c r="O65" s="150">
        <f t="shared" si="64"/>
        <v>1</v>
      </c>
      <c r="P65" s="245" t="s">
        <v>343</v>
      </c>
      <c r="Q65" s="186">
        <f t="shared" si="65"/>
        <v>0.16666666666666666</v>
      </c>
      <c r="R65" s="244">
        <v>8</v>
      </c>
      <c r="S65" s="243">
        <f>+(0.277777777777778)</f>
        <v>0.27777777777777801</v>
      </c>
      <c r="T65" s="243">
        <f>+(0.722222222222222)</f>
        <v>0.72222222222222199</v>
      </c>
      <c r="U65" s="150">
        <f t="shared" si="66"/>
        <v>1</v>
      </c>
      <c r="V65" s="147">
        <f t="shared" si="67"/>
        <v>2128.0105963760002</v>
      </c>
      <c r="W65" s="147">
        <f t="shared" si="68"/>
        <v>5320.0264909400048</v>
      </c>
      <c r="X65" s="147">
        <f t="shared" si="69"/>
        <v>13832.068876443996</v>
      </c>
      <c r="Y65" s="185">
        <f t="shared" si="70"/>
        <v>21280.105963760001</v>
      </c>
      <c r="Z65">
        <v>920</v>
      </c>
      <c r="AA65" s="184">
        <f t="shared" si="71"/>
        <v>82992.41325866399</v>
      </c>
      <c r="AB65" s="184">
        <f t="shared" si="72"/>
        <v>31920.158945640032</v>
      </c>
      <c r="AC65" s="184">
        <f t="shared" si="73"/>
        <v>12768.063578256002</v>
      </c>
      <c r="AD65" s="184">
        <f>+AA65*(1+'SCHG2-19'!$M$12)</f>
        <v>87142.033921597191</v>
      </c>
      <c r="AE65" s="184">
        <f>+AB65*(1+'SCHG2-19'!$M$12)</f>
        <v>33516.166892922032</v>
      </c>
      <c r="AF65" s="184">
        <f>+AC65*(1+'SCHG2-19'!$M$12)</f>
        <v>13406.466757168802</v>
      </c>
      <c r="AH65" s="260"/>
      <c r="AJ65" s="261">
        <f>($J65*(1+'SCHG2-19'!$M$12))*$N65</f>
        <v>13406.466757168802</v>
      </c>
      <c r="AK65" s="261">
        <f>($J65*(1+'SCHG2-19'!$M$12))*$M65*S65</f>
        <v>33516.166892922032</v>
      </c>
      <c r="AL65" s="261">
        <f>($J65*(1+'SCHG2-19'!$M$12))*$M65*T65</f>
        <v>87142.033921597176</v>
      </c>
      <c r="AM65" s="185">
        <f t="shared" si="74"/>
        <v>134064.66757168801</v>
      </c>
      <c r="AN65" s="261">
        <f t="shared" si="75"/>
        <v>170.24084771008003</v>
      </c>
      <c r="AO65" s="261">
        <f t="shared" si="76"/>
        <v>425.60211927520038</v>
      </c>
      <c r="AP65" s="261">
        <f t="shared" si="77"/>
        <v>1106.5655101155198</v>
      </c>
      <c r="AQ65" s="185">
        <f t="shared" si="78"/>
        <v>1702.4084771008002</v>
      </c>
      <c r="AR65" s="261">
        <f t="shared" si="79"/>
        <v>1072.5173405735043</v>
      </c>
      <c r="AS65" s="261">
        <f t="shared" si="80"/>
        <v>2681.2933514337628</v>
      </c>
      <c r="AT65" s="261">
        <f t="shared" si="81"/>
        <v>6971.3627137277745</v>
      </c>
      <c r="AU65" s="185">
        <f t="shared" si="82"/>
        <v>10725.17340573504</v>
      </c>
      <c r="AV65" s="261">
        <f>(+V65/$Y$98)*('SCHG2-19'!$I$448*'SCHG2-19'!$K$15)</f>
        <v>220.87652036686654</v>
      </c>
      <c r="AW65" s="261">
        <f>(+W65/$Y$98)*('SCHG2-19'!$I$448*'SCHG2-19'!$K$15)</f>
        <v>552.19130091716681</v>
      </c>
      <c r="AX65" s="261">
        <f>(+X65/$Y$98)*('SCHG2-19'!$I$448*'SCHG2-19'!$K$15)</f>
        <v>1435.697382384632</v>
      </c>
      <c r="AY65" s="185">
        <f t="shared" si="83"/>
        <v>2208.7652036686654</v>
      </c>
      <c r="AZ65" s="261">
        <f>((+AJ65/($AM$98+$Y$178)*((('SCHG2-19'!$I$448*'SCHG2-19'!$K$15)+'SCHG2-19'!$I$448)*'SCHG2-19'!$M$15)))</f>
        <v>244.21442536742916</v>
      </c>
      <c r="BA65" s="261">
        <f>((+AK65/($AM$98+$Y$178)*((('SCHG2-19'!$I$448*'SCHG2-19'!$K$15)+'SCHG2-19'!$I$448)*'SCHG2-19'!$M$15)))</f>
        <v>610.53606341857346</v>
      </c>
      <c r="BB65" s="261">
        <f>((+AL65/($AM$98+$Y$178)*((('SCHG2-19'!$I$448*'SCHG2-19'!$K$15)+'SCHG2-19'!$I$448)*'SCHG2-19'!$M$15)))</f>
        <v>1587.3937648882888</v>
      </c>
      <c r="BC65" s="185">
        <f t="shared" si="84"/>
        <v>2442.1442536742916</v>
      </c>
      <c r="BD65" s="261">
        <f>(+V65/$Y$98)*('SCHG2-19'!$K$448-'SCHG2-19'!$I$448-'IRR 202 Detail '!$AY$98)</f>
        <v>524.72521460023825</v>
      </c>
      <c r="BE65" s="261">
        <f>(+W65/$Y$98)*('SCHG2-19'!$K$448-'SCHG2-19'!$I$448-'IRR 202 Detail '!$AY$98)</f>
        <v>1311.8130365005966</v>
      </c>
      <c r="BF65" s="261">
        <f>(+X65/$Y$98)*('SCHG2-19'!$K$448-'SCHG2-19'!$I$448-'IRR 202 Detail '!$AY$98)</f>
        <v>3410.7138949015471</v>
      </c>
      <c r="BG65" s="185">
        <f t="shared" si="85"/>
        <v>5247.2521460023818</v>
      </c>
      <c r="BH65" s="261">
        <f>(+AJ65/($AM$98+$Y$178))*('SCHG2-19'!$M$448-'SCHG2-19'!$K$448-'IRR 202 Detail '!$BC$98-'IRR 202 Detail '!$AQ$178)</f>
        <v>942.4681457849299</v>
      </c>
      <c r="BI65" s="261">
        <f>(+AK65/($AM$98+$Y$178))*('SCHG2-19'!$M$448-'SCHG2-19'!$K$448-'IRR 202 Detail '!$BC$98-'IRR 202 Detail '!$AQ$178)</f>
        <v>2356.1703644623267</v>
      </c>
      <c r="BJ65" s="261">
        <f>(+AL65/($AM$98+$Y$178))*('SCHG2-19'!$M$448-'SCHG2-19'!$K$448-'IRR 202 Detail '!$BC$98-'IRR 202 Detail '!$AQ$178)</f>
        <v>6126.0429476020417</v>
      </c>
      <c r="BK65" s="185">
        <f t="shared" si="86"/>
        <v>9424.6814578492995</v>
      </c>
      <c r="BL65" s="192"/>
      <c r="BM65" s="183"/>
      <c r="BN65" s="90"/>
      <c r="BO65" s="192"/>
      <c r="BP65" s="192"/>
      <c r="BQ65" s="192"/>
      <c r="BR65" s="192"/>
      <c r="BS65" s="192">
        <f t="shared" si="87"/>
        <v>0</v>
      </c>
      <c r="BT65" s="192">
        <f t="shared" si="88"/>
        <v>0</v>
      </c>
      <c r="BU65" s="192">
        <f t="shared" si="89"/>
        <v>0</v>
      </c>
      <c r="BV65" s="192"/>
      <c r="BW65" s="192"/>
      <c r="BX65" s="192"/>
      <c r="BY65" s="192"/>
    </row>
    <row r="66" spans="3:77" x14ac:dyDescent="0.25">
      <c r="C66" t="s">
        <v>300</v>
      </c>
      <c r="D66" t="s">
        <v>300</v>
      </c>
      <c r="E66" s="162" t="s">
        <v>299</v>
      </c>
      <c r="F66" s="182" t="s">
        <v>298</v>
      </c>
      <c r="G66" s="182"/>
      <c r="H66" s="279" t="s">
        <v>239</v>
      </c>
      <c r="I66" s="190">
        <v>40952</v>
      </c>
      <c r="J66" s="185">
        <v>77867.235382545012</v>
      </c>
      <c r="K66" s="244">
        <v>1</v>
      </c>
      <c r="L66" s="188">
        <v>45231</v>
      </c>
      <c r="M66" s="243">
        <v>0.8</v>
      </c>
      <c r="N66" s="243">
        <v>0.2</v>
      </c>
      <c r="O66" s="150">
        <f t="shared" si="64"/>
        <v>1</v>
      </c>
      <c r="P66" s="245" t="s">
        <v>295</v>
      </c>
      <c r="Q66" s="186">
        <f t="shared" si="65"/>
        <v>0.16666666666666666</v>
      </c>
      <c r="R66" s="244">
        <v>5</v>
      </c>
      <c r="S66" s="243">
        <v>0</v>
      </c>
      <c r="T66" s="243">
        <v>1</v>
      </c>
      <c r="U66" s="150">
        <f t="shared" si="66"/>
        <v>1</v>
      </c>
      <c r="V66" s="147">
        <f t="shared" si="67"/>
        <v>2595.5745127515002</v>
      </c>
      <c r="W66" s="147">
        <f t="shared" si="68"/>
        <v>0</v>
      </c>
      <c r="X66" s="147">
        <f t="shared" si="69"/>
        <v>10382.298051006001</v>
      </c>
      <c r="Y66" s="185">
        <f t="shared" si="70"/>
        <v>12977.872563757501</v>
      </c>
      <c r="Z66">
        <v>920</v>
      </c>
      <c r="AA66" s="184">
        <f t="shared" si="71"/>
        <v>62293.788306036011</v>
      </c>
      <c r="AB66" s="184">
        <f t="shared" si="72"/>
        <v>0</v>
      </c>
      <c r="AC66" s="184">
        <f t="shared" si="73"/>
        <v>15573.447076509003</v>
      </c>
      <c r="AD66" s="184">
        <f>+AA66*(1+'SCHG2-19'!$M$12)</f>
        <v>65408.477721337811</v>
      </c>
      <c r="AE66" s="184">
        <f>+AB66*(1+'SCHG2-19'!$M$12)</f>
        <v>0</v>
      </c>
      <c r="AF66" s="184">
        <f>+AC66*(1+'SCHG2-19'!$M$12)</f>
        <v>16352.119430334453</v>
      </c>
      <c r="AH66" s="260"/>
      <c r="AJ66" s="261">
        <f>($J66*(1+'SCHG2-19'!$M$12))*$N66</f>
        <v>16352.119430334453</v>
      </c>
      <c r="AK66" s="261">
        <f>($J66*(1+'SCHG2-19'!$M$12))*$M66*S66</f>
        <v>0</v>
      </c>
      <c r="AL66" s="261">
        <f>($J66*(1+'SCHG2-19'!$M$12))*$M66*T66</f>
        <v>65408.477721337811</v>
      </c>
      <c r="AM66" s="185">
        <f t="shared" si="74"/>
        <v>81760.597151672264</v>
      </c>
      <c r="AN66" s="261">
        <f t="shared" si="75"/>
        <v>207.64596102012001</v>
      </c>
      <c r="AO66" s="261">
        <f t="shared" si="76"/>
        <v>0</v>
      </c>
      <c r="AP66" s="261">
        <f t="shared" si="77"/>
        <v>830.58384408048005</v>
      </c>
      <c r="AQ66" s="185">
        <f t="shared" si="78"/>
        <v>1038.2298051006001</v>
      </c>
      <c r="AR66" s="261">
        <f t="shared" si="79"/>
        <v>1308.1695544267563</v>
      </c>
      <c r="AS66" s="261">
        <f t="shared" si="80"/>
        <v>0</v>
      </c>
      <c r="AT66" s="261">
        <f t="shared" si="81"/>
        <v>5232.6782177070254</v>
      </c>
      <c r="AU66" s="185">
        <f t="shared" si="82"/>
        <v>6540.8477721337822</v>
      </c>
      <c r="AV66" s="261">
        <f>(+V66/$Y$98)*('SCHG2-19'!$I$448*'SCHG2-19'!$K$15)</f>
        <v>269.40724247605169</v>
      </c>
      <c r="AW66" s="261">
        <f>(+W66/$Y$98)*('SCHG2-19'!$I$448*'SCHG2-19'!$K$15)</f>
        <v>0</v>
      </c>
      <c r="AX66" s="261">
        <f>(+X66/$Y$98)*('SCHG2-19'!$I$448*'SCHG2-19'!$K$15)</f>
        <v>1077.6289699042068</v>
      </c>
      <c r="AY66" s="185">
        <f t="shared" si="83"/>
        <v>1347.0362123802583</v>
      </c>
      <c r="AZ66" s="261">
        <f>((+AJ66/($AM$98+$Y$178)*((('SCHG2-19'!$I$448*'SCHG2-19'!$K$15)+'SCHG2-19'!$I$448)*'SCHG2-19'!$M$15)))</f>
        <v>297.87292375773126</v>
      </c>
      <c r="BA66" s="261">
        <f>((+AK66/($AM$98+$Y$178)*((('SCHG2-19'!$I$448*'SCHG2-19'!$K$15)+'SCHG2-19'!$I$448)*'SCHG2-19'!$M$15)))</f>
        <v>0</v>
      </c>
      <c r="BB66" s="261">
        <f>((+AL66/($AM$98+$Y$178)*((('SCHG2-19'!$I$448*'SCHG2-19'!$K$15)+'SCHG2-19'!$I$448)*'SCHG2-19'!$M$15)))</f>
        <v>1191.491695030925</v>
      </c>
      <c r="BC66" s="185">
        <f t="shared" si="84"/>
        <v>1489.3646187886563</v>
      </c>
      <c r="BD66" s="261">
        <f>(+V66/$Y$98)*('SCHG2-19'!$K$448-'SCHG2-19'!$I$448-'IRR 202 Detail '!$AY$98)</f>
        <v>640.01720458246871</v>
      </c>
      <c r="BE66" s="261">
        <f>(+W66/$Y$98)*('SCHG2-19'!$K$448-'SCHG2-19'!$I$448-'IRR 202 Detail '!$AY$98)</f>
        <v>0</v>
      </c>
      <c r="BF66" s="261">
        <f>(+X66/$Y$98)*('SCHG2-19'!$K$448-'SCHG2-19'!$I$448-'IRR 202 Detail '!$AY$98)</f>
        <v>2560.0688183298748</v>
      </c>
      <c r="BG66" s="185">
        <f t="shared" si="85"/>
        <v>3200.0860229123437</v>
      </c>
      <c r="BH66" s="261">
        <f>(+AJ66/($AM$98+$Y$178))*('SCHG2-19'!$M$448-'SCHG2-19'!$K$448-'IRR 202 Detail '!$BC$98-'IRR 202 Detail '!$AQ$178)</f>
        <v>1149.5461077334314</v>
      </c>
      <c r="BI66" s="261">
        <f>(+AK66/($AM$98+$Y$178))*('SCHG2-19'!$M$448-'SCHG2-19'!$K$448-'IRR 202 Detail '!$BC$98-'IRR 202 Detail '!$AQ$178)</f>
        <v>0</v>
      </c>
      <c r="BJ66" s="261">
        <f>(+AL66/($AM$98+$Y$178))*('SCHG2-19'!$M$448-'SCHG2-19'!$K$448-'IRR 202 Detail '!$BC$98-'IRR 202 Detail '!$AQ$178)</f>
        <v>4598.1844309337257</v>
      </c>
      <c r="BK66" s="185">
        <f t="shared" si="86"/>
        <v>5747.7305386671569</v>
      </c>
      <c r="BL66" s="192"/>
      <c r="BM66" s="183"/>
      <c r="BN66" s="90"/>
      <c r="BO66" s="192"/>
      <c r="BP66" s="192"/>
      <c r="BQ66" s="192"/>
      <c r="BR66" s="192"/>
      <c r="BS66" s="192">
        <f t="shared" si="87"/>
        <v>0</v>
      </c>
      <c r="BT66" s="192">
        <f t="shared" si="88"/>
        <v>0</v>
      </c>
      <c r="BU66" s="192">
        <f t="shared" si="89"/>
        <v>0</v>
      </c>
      <c r="BV66" s="192"/>
      <c r="BW66" s="192"/>
      <c r="BX66" s="192"/>
      <c r="BY66" s="192"/>
    </row>
    <row r="67" spans="3:77" ht="30" x14ac:dyDescent="0.25">
      <c r="C67" t="s">
        <v>296</v>
      </c>
      <c r="E67" s="162"/>
      <c r="F67" s="182"/>
      <c r="G67" s="182"/>
      <c r="H67" s="279" t="s">
        <v>240</v>
      </c>
      <c r="I67" s="190">
        <v>39972</v>
      </c>
      <c r="J67" s="185">
        <v>143071.22688368999</v>
      </c>
      <c r="K67" s="244">
        <v>1</v>
      </c>
      <c r="L67" s="188">
        <v>45231</v>
      </c>
      <c r="M67" s="243">
        <v>0</v>
      </c>
      <c r="N67" s="243">
        <v>1</v>
      </c>
      <c r="O67" s="150">
        <f t="shared" si="64"/>
        <v>1</v>
      </c>
      <c r="P67" s="245" t="s">
        <v>295</v>
      </c>
      <c r="Q67" s="186">
        <f t="shared" si="65"/>
        <v>0.16666666666666666</v>
      </c>
      <c r="R67" s="244">
        <v>9</v>
      </c>
      <c r="S67" s="243">
        <v>0</v>
      </c>
      <c r="T67" s="243">
        <v>1</v>
      </c>
      <c r="U67" s="150">
        <f t="shared" si="66"/>
        <v>1</v>
      </c>
      <c r="V67" s="147">
        <f t="shared" si="67"/>
        <v>23845.204480614997</v>
      </c>
      <c r="W67" s="147">
        <f t="shared" si="68"/>
        <v>0</v>
      </c>
      <c r="X67" s="147">
        <f t="shared" si="69"/>
        <v>0</v>
      </c>
      <c r="Y67" s="185">
        <f t="shared" si="70"/>
        <v>23845.204480614997</v>
      </c>
      <c r="Z67">
        <v>920</v>
      </c>
      <c r="AA67" s="184">
        <f t="shared" si="71"/>
        <v>0</v>
      </c>
      <c r="AB67" s="184">
        <f t="shared" si="72"/>
        <v>0</v>
      </c>
      <c r="AC67" s="184">
        <f t="shared" si="73"/>
        <v>143071.22688368999</v>
      </c>
      <c r="AD67" s="184">
        <f>+AA67*(1+'SCHG2-19'!$M$12)</f>
        <v>0</v>
      </c>
      <c r="AE67" s="184">
        <f>+AB67*(1+'SCHG2-19'!$M$12)</f>
        <v>0</v>
      </c>
      <c r="AF67" s="184">
        <f>+AC67*(1+'SCHG2-19'!$M$12)</f>
        <v>150224.78822787449</v>
      </c>
      <c r="AH67" s="156"/>
      <c r="AJ67" s="261">
        <f>($J67*(1+'SCHG2-19'!$M$12))*$N67</f>
        <v>150224.78822787449</v>
      </c>
      <c r="AK67" s="261">
        <f>($J67*(1+'SCHG2-19'!$M$12))*$M67*S67</f>
        <v>0</v>
      </c>
      <c r="AL67" s="261">
        <f>($J67*(1+'SCHG2-19'!$M$12))*$M67*T67</f>
        <v>0</v>
      </c>
      <c r="AM67" s="185">
        <f t="shared" si="74"/>
        <v>150224.78822787449</v>
      </c>
      <c r="AN67" s="261">
        <f t="shared" si="75"/>
        <v>1907.6163584491999</v>
      </c>
      <c r="AO67" s="261">
        <f t="shared" si="76"/>
        <v>0</v>
      </c>
      <c r="AP67" s="261">
        <f t="shared" si="77"/>
        <v>0</v>
      </c>
      <c r="AQ67" s="185">
        <f t="shared" si="78"/>
        <v>1907.6163584491999</v>
      </c>
      <c r="AR67" s="261">
        <f t="shared" si="79"/>
        <v>12017.98305822996</v>
      </c>
      <c r="AS67" s="261">
        <f t="shared" si="80"/>
        <v>0</v>
      </c>
      <c r="AT67" s="261">
        <f t="shared" si="81"/>
        <v>0</v>
      </c>
      <c r="AU67" s="185">
        <f t="shared" si="82"/>
        <v>12017.98305822996</v>
      </c>
      <c r="AV67" s="261">
        <f>(+V67/$Y$98)*('SCHG2-19'!$I$448*'SCHG2-19'!$K$15)</f>
        <v>2475.0091950125102</v>
      </c>
      <c r="AW67" s="261">
        <f>(+W67/$Y$98)*('SCHG2-19'!$I$448*'SCHG2-19'!$K$15)</f>
        <v>0</v>
      </c>
      <c r="AX67" s="261">
        <f>(+X67/$Y$98)*('SCHG2-19'!$I$448*'SCHG2-19'!$K$15)</f>
        <v>0</v>
      </c>
      <c r="AY67" s="185">
        <f t="shared" si="83"/>
        <v>2475.0091950125102</v>
      </c>
      <c r="AZ67" s="261">
        <f>((+AJ67/($AM$98+$Y$178)*((('SCHG2-19'!$I$448*'SCHG2-19'!$K$15)+'SCHG2-19'!$I$448)*'SCHG2-19'!$M$15)))</f>
        <v>2736.5196958696474</v>
      </c>
      <c r="BA67" s="261">
        <f>((+AK67/($AM$98+$Y$178)*((('SCHG2-19'!$I$448*'SCHG2-19'!$K$15)+'SCHG2-19'!$I$448)*'SCHG2-19'!$M$15)))</f>
        <v>0</v>
      </c>
      <c r="BB67" s="261">
        <f>((+AL67/($AM$98+$Y$178)*((('SCHG2-19'!$I$448*'SCHG2-19'!$K$15)+'SCHG2-19'!$I$448)*'SCHG2-19'!$M$15)))</f>
        <v>0</v>
      </c>
      <c r="BC67" s="185">
        <f t="shared" si="84"/>
        <v>2736.5196958696474</v>
      </c>
      <c r="BD67" s="261">
        <f>(+V67/$Y$98)*('SCHG2-19'!$K$448-'SCHG2-19'!$I$448-'IRR 202 Detail '!$AY$98)</f>
        <v>5879.7545743360006</v>
      </c>
      <c r="BE67" s="261">
        <f>(+W67/$Y$98)*('SCHG2-19'!$K$448-'SCHG2-19'!$I$448-'IRR 202 Detail '!$AY$98)</f>
        <v>0</v>
      </c>
      <c r="BF67" s="261">
        <f>(+X67/$Y$98)*('SCHG2-19'!$K$448-'SCHG2-19'!$I$448-'IRR 202 Detail '!$AY$98)</f>
        <v>0</v>
      </c>
      <c r="BG67" s="185">
        <f t="shared" si="85"/>
        <v>5879.7545743360006</v>
      </c>
      <c r="BH67" s="261">
        <f>(+AJ67/($AM$98+$Y$178))*('SCHG2-19'!$M$448-'SCHG2-19'!$K$448-'IRR 202 Detail '!$BC$98-'IRR 202 Detail '!$AQ$178)</f>
        <v>10560.730144379828</v>
      </c>
      <c r="BI67" s="261">
        <f>(+AK67/($AM$98+$Y$178))*('SCHG2-19'!$M$448-'SCHG2-19'!$K$448-'IRR 202 Detail '!$BC$98-'IRR 202 Detail '!$AQ$178)</f>
        <v>0</v>
      </c>
      <c r="BJ67" s="261">
        <f>(+AL67/($AM$98+$Y$178))*('SCHG2-19'!$M$448-'SCHG2-19'!$K$448-'IRR 202 Detail '!$BC$98-'IRR 202 Detail '!$AQ$178)</f>
        <v>0</v>
      </c>
      <c r="BK67" s="185">
        <f t="shared" si="86"/>
        <v>10560.730144379828</v>
      </c>
      <c r="BL67" s="156"/>
      <c r="BM67" s="156"/>
      <c r="BN67" s="156"/>
      <c r="BO67" s="156"/>
      <c r="BP67" s="156"/>
      <c r="BQ67" s="156"/>
      <c r="BR67" s="156"/>
      <c r="BS67" s="192">
        <f t="shared" si="87"/>
        <v>0</v>
      </c>
      <c r="BT67" s="192">
        <f t="shared" si="88"/>
        <v>0</v>
      </c>
      <c r="BU67" s="192">
        <f t="shared" si="89"/>
        <v>0</v>
      </c>
      <c r="BV67" s="192"/>
      <c r="BW67" s="192"/>
      <c r="BX67" s="192"/>
      <c r="BY67" s="192"/>
    </row>
    <row r="68" spans="3:77" x14ac:dyDescent="0.25">
      <c r="F68" s="182"/>
      <c r="G68" s="182"/>
      <c r="H68" s="279" t="s">
        <v>241</v>
      </c>
      <c r="I68" s="190">
        <v>39532</v>
      </c>
      <c r="J68" s="185">
        <v>143071.22688368999</v>
      </c>
      <c r="K68" s="244">
        <v>1</v>
      </c>
      <c r="L68" s="188">
        <v>45231</v>
      </c>
      <c r="M68" s="243">
        <v>1</v>
      </c>
      <c r="N68" s="243">
        <v>0</v>
      </c>
      <c r="O68" s="150">
        <f t="shared" si="64"/>
        <v>1</v>
      </c>
      <c r="P68" s="245"/>
      <c r="Q68" s="186">
        <f t="shared" si="65"/>
        <v>0.16666666666666666</v>
      </c>
      <c r="R68" s="244">
        <v>9</v>
      </c>
      <c r="S68" s="243">
        <v>0.5</v>
      </c>
      <c r="T68" s="243">
        <v>0.5</v>
      </c>
      <c r="U68" s="150">
        <f t="shared" si="66"/>
        <v>1</v>
      </c>
      <c r="V68" s="147">
        <f t="shared" si="67"/>
        <v>0</v>
      </c>
      <c r="W68" s="147">
        <f t="shared" si="68"/>
        <v>11922.602240307499</v>
      </c>
      <c r="X68" s="147">
        <f t="shared" si="69"/>
        <v>11922.602240307499</v>
      </c>
      <c r="Y68" s="185">
        <f t="shared" si="70"/>
        <v>23845.204480614997</v>
      </c>
      <c r="Z68">
        <v>920</v>
      </c>
      <c r="AA68" s="184">
        <f t="shared" si="71"/>
        <v>71535.613441844995</v>
      </c>
      <c r="AB68" s="184">
        <f t="shared" si="72"/>
        <v>71535.613441844995</v>
      </c>
      <c r="AC68" s="184">
        <f t="shared" si="73"/>
        <v>0</v>
      </c>
      <c r="AD68" s="184">
        <f>+AA68*(1+'SCHG2-19'!$M$12)</f>
        <v>75112.394113937247</v>
      </c>
      <c r="AE68" s="184">
        <f>+AB68*(1+'SCHG2-19'!$M$12)</f>
        <v>75112.394113937247</v>
      </c>
      <c r="AF68" s="184">
        <f>+AC68*(1+'SCHG2-19'!$M$12)</f>
        <v>0</v>
      </c>
      <c r="AJ68" s="261">
        <f>($J68*(1+'SCHG2-19'!$M$12))*$N68</f>
        <v>0</v>
      </c>
      <c r="AK68" s="261">
        <f>($J68*(1+'SCHG2-19'!$M$12))*$M68*S68</f>
        <v>75112.394113937247</v>
      </c>
      <c r="AL68" s="261">
        <f>($J68*(1+'SCHG2-19'!$M$12))*$M68*T68</f>
        <v>75112.394113937247</v>
      </c>
      <c r="AM68" s="185">
        <f t="shared" si="74"/>
        <v>150224.78822787449</v>
      </c>
      <c r="AN68" s="261">
        <f t="shared" si="75"/>
        <v>0</v>
      </c>
      <c r="AO68" s="261">
        <f t="shared" si="76"/>
        <v>953.80817922459994</v>
      </c>
      <c r="AP68" s="261">
        <f t="shared" si="77"/>
        <v>953.80817922459994</v>
      </c>
      <c r="AQ68" s="185">
        <f t="shared" si="78"/>
        <v>1907.6163584491999</v>
      </c>
      <c r="AR68" s="261">
        <f t="shared" si="79"/>
        <v>0</v>
      </c>
      <c r="AS68" s="261">
        <f t="shared" si="80"/>
        <v>6008.99152911498</v>
      </c>
      <c r="AT68" s="261">
        <f t="shared" si="81"/>
        <v>6008.99152911498</v>
      </c>
      <c r="AU68" s="185">
        <f t="shared" si="82"/>
        <v>12017.98305822996</v>
      </c>
      <c r="AV68" s="261">
        <f>(+V68/$Y$98)*('SCHG2-19'!$I$448*'SCHG2-19'!$K$15)</f>
        <v>0</v>
      </c>
      <c r="AW68" s="261">
        <f>(+W68/$Y$98)*('SCHG2-19'!$I$448*'SCHG2-19'!$K$15)</f>
        <v>1237.5045975062551</v>
      </c>
      <c r="AX68" s="261">
        <f>(+X68/$Y$98)*('SCHG2-19'!$I$448*'SCHG2-19'!$K$15)</f>
        <v>1237.5045975062551</v>
      </c>
      <c r="AY68" s="185">
        <f t="shared" si="83"/>
        <v>2475.0091950125102</v>
      </c>
      <c r="AZ68" s="261">
        <f>((+AJ68/($AM$98+$Y$178)*((('SCHG2-19'!$I$448*'SCHG2-19'!$K$15)+'SCHG2-19'!$I$448)*'SCHG2-19'!$M$15)))</f>
        <v>0</v>
      </c>
      <c r="BA68" s="261">
        <f>((+AK68/($AM$98+$Y$178)*((('SCHG2-19'!$I$448*'SCHG2-19'!$K$15)+'SCHG2-19'!$I$448)*'SCHG2-19'!$M$15)))</f>
        <v>1368.2598479348237</v>
      </c>
      <c r="BB68" s="261">
        <f>((+AL68/($AM$98+$Y$178)*((('SCHG2-19'!$I$448*'SCHG2-19'!$K$15)+'SCHG2-19'!$I$448)*'SCHG2-19'!$M$15)))</f>
        <v>1368.2598479348237</v>
      </c>
      <c r="BC68" s="185">
        <f t="shared" si="84"/>
        <v>2736.5196958696474</v>
      </c>
      <c r="BD68" s="261">
        <f>(+V68/$Y$98)*('SCHG2-19'!$K$448-'SCHG2-19'!$I$448-'IRR 202 Detail '!$AY$98)</f>
        <v>0</v>
      </c>
      <c r="BE68" s="261">
        <f>(+W68/$Y$98)*('SCHG2-19'!$K$448-'SCHG2-19'!$I$448-'IRR 202 Detail '!$AY$98)</f>
        <v>2939.8772871680003</v>
      </c>
      <c r="BF68" s="261">
        <f>(+X68/$Y$98)*('SCHG2-19'!$K$448-'SCHG2-19'!$I$448-'IRR 202 Detail '!$AY$98)</f>
        <v>2939.8772871680003</v>
      </c>
      <c r="BG68" s="185">
        <f t="shared" si="85"/>
        <v>5879.7545743360006</v>
      </c>
      <c r="BH68" s="261">
        <f>(+AJ68/($AM$98+$Y$178))*('SCHG2-19'!$M$448-'SCHG2-19'!$K$448-'IRR 202 Detail '!$BC$98-'IRR 202 Detail '!$AQ$178)</f>
        <v>0</v>
      </c>
      <c r="BI68" s="261">
        <f>(+AK68/($AM$98+$Y$178))*('SCHG2-19'!$M$448-'SCHG2-19'!$K$448-'IRR 202 Detail '!$BC$98-'IRR 202 Detail '!$AQ$178)</f>
        <v>5280.3650721899139</v>
      </c>
      <c r="BJ68" s="261">
        <f>(+AL68/($AM$98+$Y$178))*('SCHG2-19'!$M$448-'SCHG2-19'!$K$448-'IRR 202 Detail '!$BC$98-'IRR 202 Detail '!$AQ$178)</f>
        <v>5280.3650721899139</v>
      </c>
      <c r="BK68" s="185">
        <f t="shared" si="86"/>
        <v>10560.730144379828</v>
      </c>
      <c r="BL68" s="183"/>
      <c r="BM68" s="183"/>
      <c r="BN68" s="90"/>
      <c r="BO68" s="183"/>
      <c r="BP68" s="154"/>
      <c r="BQ68" s="154"/>
      <c r="BR68" s="154"/>
      <c r="BS68" s="192">
        <f t="shared" si="87"/>
        <v>0</v>
      </c>
      <c r="BT68" s="192">
        <f t="shared" si="88"/>
        <v>0</v>
      </c>
      <c r="BU68" s="192">
        <f t="shared" si="89"/>
        <v>0</v>
      </c>
      <c r="BV68" s="192"/>
      <c r="BW68" s="192"/>
      <c r="BX68" s="192"/>
      <c r="BY68" s="192"/>
    </row>
    <row r="69" spans="3:77" x14ac:dyDescent="0.25">
      <c r="C69" t="s">
        <v>294</v>
      </c>
      <c r="D69" t="s">
        <v>294</v>
      </c>
      <c r="E69" s="162" t="s">
        <v>281</v>
      </c>
      <c r="F69" s="182" t="s">
        <v>293</v>
      </c>
      <c r="G69" s="182"/>
      <c r="H69" s="242" t="s">
        <v>369</v>
      </c>
      <c r="I69" s="241"/>
      <c r="J69" s="237">
        <f>SUM(J63:J68)</f>
        <v>647424.79569757509</v>
      </c>
      <c r="K69" s="240">
        <f>SUM(K63:K68)</f>
        <v>6</v>
      </c>
      <c r="L69" s="239"/>
      <c r="M69" s="239"/>
      <c r="N69" s="239"/>
      <c r="O69" s="239"/>
      <c r="P69" s="239"/>
      <c r="Q69" s="239"/>
      <c r="R69" s="239"/>
      <c r="S69" s="238"/>
      <c r="T69" s="238"/>
      <c r="U69" s="238"/>
      <c r="V69" s="237">
        <f>SUM(V63:V68)</f>
        <v>37653.300384372749</v>
      </c>
      <c r="W69" s="237">
        <f>SUM(W63:W68)</f>
        <v>22433.777756750496</v>
      </c>
      <c r="X69" s="237">
        <f>SUM(X63:X68)</f>
        <v>47817.054475139252</v>
      </c>
      <c r="Y69" s="237">
        <f>SUM(Y63:Y68)</f>
        <v>107904.13261626249</v>
      </c>
      <c r="AA69" s="237">
        <f t="shared" ref="AA69:AF69" si="90">SUM(AA63:AA68)</f>
        <v>286902.32685083552</v>
      </c>
      <c r="AB69" s="237">
        <f t="shared" si="90"/>
        <v>134602.66654050301</v>
      </c>
      <c r="AC69" s="237">
        <f t="shared" si="90"/>
        <v>225919.80230623652</v>
      </c>
      <c r="AD69" s="237">
        <f t="shared" si="90"/>
        <v>301247.44319337734</v>
      </c>
      <c r="AE69" s="237">
        <f t="shared" si="90"/>
        <v>141332.79986752814</v>
      </c>
      <c r="AF69" s="237">
        <f t="shared" si="90"/>
        <v>237215.79242154834</v>
      </c>
      <c r="AH69" s="260"/>
      <c r="AJ69" s="237">
        <f t="shared" ref="AJ69:BK69" si="91">SUM(AJ63:AJ68)</f>
        <v>237215.79242154834</v>
      </c>
      <c r="AK69" s="237">
        <f t="shared" si="91"/>
        <v>141332.79986752814</v>
      </c>
      <c r="AL69" s="237">
        <f t="shared" si="91"/>
        <v>301247.44319337734</v>
      </c>
      <c r="AM69" s="237">
        <f t="shared" si="91"/>
        <v>679796.03548245388</v>
      </c>
      <c r="AN69" s="237">
        <f t="shared" si="91"/>
        <v>3012.26403074982</v>
      </c>
      <c r="AO69" s="237">
        <f t="shared" si="91"/>
        <v>1794.7022205400399</v>
      </c>
      <c r="AP69" s="237">
        <f t="shared" si="91"/>
        <v>3825.3643580111398</v>
      </c>
      <c r="AQ69" s="237">
        <f t="shared" si="91"/>
        <v>8632.3306093009996</v>
      </c>
      <c r="AR69" s="237">
        <f t="shared" si="91"/>
        <v>18977.263393723868</v>
      </c>
      <c r="AS69" s="237">
        <f t="shared" si="91"/>
        <v>11306.623989402255</v>
      </c>
      <c r="AT69" s="237">
        <f t="shared" si="91"/>
        <v>24099.795455470186</v>
      </c>
      <c r="AU69" s="237">
        <f t="shared" si="91"/>
        <v>54383.682838596309</v>
      </c>
      <c r="AV69" s="237">
        <f t="shared" si="91"/>
        <v>3908.2183065216095</v>
      </c>
      <c r="AW69" s="237">
        <f t="shared" si="91"/>
        <v>2328.5103833755247</v>
      </c>
      <c r="AX69" s="237">
        <f t="shared" si="91"/>
        <v>4963.1635409373266</v>
      </c>
      <c r="AY69" s="237">
        <f t="shared" si="91"/>
        <v>11199.892230834461</v>
      </c>
      <c r="AZ69" s="237">
        <f t="shared" si="91"/>
        <v>4321.1622781468668</v>
      </c>
      <c r="BA69" s="237">
        <f t="shared" si="91"/>
        <v>2574.5417588688597</v>
      </c>
      <c r="BB69" s="237">
        <f t="shared" si="91"/>
        <v>5487.5734647638283</v>
      </c>
      <c r="BC69" s="237">
        <f t="shared" si="91"/>
        <v>12383.277501779556</v>
      </c>
      <c r="BD69" s="237">
        <f t="shared" si="91"/>
        <v>9284.557209557348</v>
      </c>
      <c r="BE69" s="237">
        <f t="shared" si="91"/>
        <v>5531.7247328335334</v>
      </c>
      <c r="BF69" s="237">
        <f t="shared" si="91"/>
        <v>11790.737421020531</v>
      </c>
      <c r="BG69" s="237">
        <f t="shared" si="91"/>
        <v>26607.019363411418</v>
      </c>
      <c r="BH69" s="237">
        <f t="shared" si="91"/>
        <v>16676.155774965198</v>
      </c>
      <c r="BI69" s="237">
        <f t="shared" si="91"/>
        <v>9935.627652119103</v>
      </c>
      <c r="BJ69" s="237">
        <f t="shared" si="91"/>
        <v>21177.549935526124</v>
      </c>
      <c r="BK69" s="237">
        <f t="shared" si="91"/>
        <v>47789.333362610429</v>
      </c>
      <c r="BL69" s="192"/>
      <c r="BM69" s="183"/>
      <c r="BN69" s="90"/>
      <c r="BO69" s="192"/>
      <c r="BP69" s="192"/>
      <c r="BQ69" s="192"/>
      <c r="BR69" s="192"/>
      <c r="BS69" s="192">
        <f t="shared" si="87"/>
        <v>0</v>
      </c>
      <c r="BT69" s="192">
        <f t="shared" si="88"/>
        <v>0</v>
      </c>
      <c r="BU69" s="192">
        <f t="shared" si="89"/>
        <v>0</v>
      </c>
      <c r="BV69" s="192"/>
      <c r="BW69" s="192"/>
      <c r="BX69" s="192"/>
      <c r="BY69" s="192"/>
    </row>
    <row r="70" spans="3:77" x14ac:dyDescent="0.25">
      <c r="C70" t="s">
        <v>292</v>
      </c>
      <c r="E70" s="162"/>
      <c r="F70" s="182"/>
      <c r="G70" s="143"/>
      <c r="H70" s="143"/>
      <c r="I70" s="236"/>
      <c r="J70" s="235"/>
      <c r="K70" s="154"/>
      <c r="L70" s="153"/>
      <c r="Q70" s="186"/>
      <c r="R70" s="151"/>
      <c r="S70" s="150"/>
      <c r="T70" s="150"/>
      <c r="U70" s="150"/>
      <c r="V70" s="147"/>
      <c r="W70" s="147"/>
      <c r="X70" s="147"/>
      <c r="Y70" s="235"/>
      <c r="AH70" s="156"/>
      <c r="AJ70" s="147"/>
      <c r="AK70" s="147"/>
      <c r="AL70" s="147"/>
      <c r="AM70" s="235"/>
      <c r="AN70" s="147"/>
      <c r="AO70" s="147"/>
      <c r="AP70" s="147"/>
      <c r="AQ70" s="235"/>
      <c r="AR70" s="147"/>
      <c r="AS70" s="147"/>
      <c r="AT70" s="147"/>
      <c r="AU70" s="235"/>
      <c r="AV70" s="147"/>
      <c r="AW70" s="147"/>
      <c r="AX70" s="147"/>
      <c r="AY70" s="235"/>
      <c r="AZ70" s="147"/>
      <c r="BA70" s="147"/>
      <c r="BB70" s="147"/>
      <c r="BC70" s="235"/>
      <c r="BD70" s="147"/>
      <c r="BE70" s="147"/>
      <c r="BF70" s="147"/>
      <c r="BG70" s="235"/>
      <c r="BH70" s="147"/>
      <c r="BI70" s="147"/>
      <c r="BJ70" s="147"/>
      <c r="BK70" s="235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</row>
    <row r="71" spans="3:77" ht="30" x14ac:dyDescent="0.25">
      <c r="E71" s="162"/>
      <c r="F71" s="182"/>
      <c r="G71" s="182"/>
      <c r="H71" s="191" t="s">
        <v>397</v>
      </c>
      <c r="I71" s="190" t="s">
        <v>270</v>
      </c>
      <c r="J71" s="185">
        <v>111772.76833957501</v>
      </c>
      <c r="K71" s="189">
        <v>1</v>
      </c>
      <c r="L71" s="188">
        <v>45231</v>
      </c>
      <c r="M71" s="150">
        <v>1</v>
      </c>
      <c r="N71" s="150">
        <v>0</v>
      </c>
      <c r="O71" s="150">
        <f>M71+N71</f>
        <v>1</v>
      </c>
      <c r="P71" s="187"/>
      <c r="Q71" s="186">
        <f>((13-MONTH(L71)-$AI$5))/12</f>
        <v>0.16666666666666666</v>
      </c>
      <c r="R71" s="152">
        <v>7</v>
      </c>
      <c r="S71" s="150">
        <v>0</v>
      </c>
      <c r="T71" s="150">
        <v>1</v>
      </c>
      <c r="U71" s="150">
        <f>+S71+T71</f>
        <v>1</v>
      </c>
      <c r="V71" s="147">
        <f>J71*N71*Q71</f>
        <v>0</v>
      </c>
      <c r="W71" s="147">
        <f>J71*M71*Q71*S71</f>
        <v>0</v>
      </c>
      <c r="X71" s="147">
        <f>J71*M71*Q71*T71</f>
        <v>18628.794723262501</v>
      </c>
      <c r="Y71" s="185">
        <f>V71+W71+X71</f>
        <v>18628.794723262501</v>
      </c>
      <c r="Z71">
        <v>887</v>
      </c>
      <c r="AA71" s="184">
        <f>+J71*M71*T71</f>
        <v>111772.76833957501</v>
      </c>
      <c r="AB71" s="184">
        <f>+J71*M71*S71</f>
        <v>0</v>
      </c>
      <c r="AC71" s="184">
        <f>+J71*N71</f>
        <v>0</v>
      </c>
      <c r="AD71" s="184">
        <f>+AA71*(1+'SCHG2-19'!$M$12)</f>
        <v>117361.40675655376</v>
      </c>
      <c r="AE71" s="184">
        <f>+AB71*(1+'SCHG2-19'!$M$12)</f>
        <v>0</v>
      </c>
      <c r="AF71" s="184">
        <f>+AC71*(1+'SCHG2-19'!$M$12)</f>
        <v>0</v>
      </c>
      <c r="AJ71" s="261">
        <f>($J71*(1+'SCHG2-19'!$M$12))*$N71</f>
        <v>0</v>
      </c>
      <c r="AK71" s="261">
        <f>($J71*(1+'SCHG2-19'!$M$12))*$M71*S71</f>
        <v>0</v>
      </c>
      <c r="AL71" s="261">
        <f>($J71*(1+'SCHG2-19'!$M$12))*$M71*T71</f>
        <v>117361.40675655376</v>
      </c>
      <c r="AM71" s="185">
        <f t="shared" ref="AM71" si="92">AJ71+AK71+AL71</f>
        <v>117361.40675655376</v>
      </c>
      <c r="AN71" s="261">
        <f>+V71*0.08</f>
        <v>0</v>
      </c>
      <c r="AO71" s="261">
        <f t="shared" ref="AO71" si="93">+W71*0.08</f>
        <v>0</v>
      </c>
      <c r="AP71" s="261">
        <f t="shared" ref="AP71" si="94">+X71*0.08</f>
        <v>1490.3035778610001</v>
      </c>
      <c r="AQ71" s="185">
        <f t="shared" ref="AQ71" si="95">AN71+AO71+AP71</f>
        <v>1490.3035778610001</v>
      </c>
      <c r="AR71" s="261">
        <f>+AJ71*0.08</f>
        <v>0</v>
      </c>
      <c r="AS71" s="261">
        <f t="shared" ref="AS71" si="96">+AK71*0.08</f>
        <v>0</v>
      </c>
      <c r="AT71" s="261">
        <f t="shared" ref="AT71" si="97">+AL71*0.08</f>
        <v>9388.9125405243012</v>
      </c>
      <c r="AU71" s="185">
        <f t="shared" ref="AU71" si="98">AR71+AS71+AT71</f>
        <v>9388.9125405243012</v>
      </c>
      <c r="AV71" s="261">
        <f>(+V71/$Y$98)*('SCHG2-19'!$I$448*'SCHG2-19'!$K$15)</f>
        <v>0</v>
      </c>
      <c r="AW71" s="261">
        <f>(+W71/$Y$98)*('SCHG2-19'!$I$448*'SCHG2-19'!$K$15)</f>
        <v>0</v>
      </c>
      <c r="AX71" s="261">
        <f>(+X71/$Y$98)*('SCHG2-19'!$I$448*'SCHG2-19'!$K$15)</f>
        <v>1933.5727764279618</v>
      </c>
      <c r="AY71" s="185">
        <f t="shared" ref="AY71" si="99">AV71+AW71+AX71</f>
        <v>1933.5727764279618</v>
      </c>
      <c r="AZ71" s="261">
        <f>((+AJ71/($AM$98+$Y$178)*((('SCHG2-19'!$I$448*'SCHG2-19'!$K$15)+'SCHG2-19'!$I$448)*'SCHG2-19'!$M$15)))</f>
        <v>0</v>
      </c>
      <c r="BA71" s="261">
        <f>((+AK71/($AM$98+$Y$178)*((('SCHG2-19'!$I$448*'SCHG2-19'!$K$15)+'SCHG2-19'!$I$448)*'SCHG2-19'!$M$15)))</f>
        <v>0</v>
      </c>
      <c r="BB71" s="261">
        <f>((+AL71/($AM$98+$Y$178)*((('SCHG2-19'!$I$448*'SCHG2-19'!$K$15)+'SCHG2-19'!$I$448)*'SCHG2-19'!$M$15)))</f>
        <v>2137.8748801237202</v>
      </c>
      <c r="BC71" s="185">
        <f t="shared" ref="BC71" si="100">AZ71+BA71+BB71</f>
        <v>2137.8748801237202</v>
      </c>
      <c r="BD71" s="261">
        <f>(+V71/$Y$98)*('SCHG2-19'!$K$448-'SCHG2-19'!$I$448-'IRR 202 Detail '!$AY$98)</f>
        <v>0</v>
      </c>
      <c r="BE71" s="261">
        <f>(+W71/$Y$98)*('SCHG2-19'!$K$448-'SCHG2-19'!$I$448-'IRR 202 Detail '!$AY$98)</f>
        <v>0</v>
      </c>
      <c r="BF71" s="261">
        <f>(+X71/$Y$98)*('SCHG2-19'!$K$448-'SCHG2-19'!$I$448-'IRR 202 Detail '!$AY$98)</f>
        <v>4593.491369617479</v>
      </c>
      <c r="BG71" s="185">
        <f t="shared" ref="BG71" si="101">BD71+BE71+BF71</f>
        <v>4593.491369617479</v>
      </c>
      <c r="BH71" s="261">
        <f>(+AJ71/($AM$98+$Y$178))*('SCHG2-19'!$M$448-'SCHG2-19'!$K$448-'IRR 202 Detail '!$BC$98-'IRR 202 Detail '!$AQ$178)</f>
        <v>0</v>
      </c>
      <c r="BI71" s="261">
        <f>(+AK71/($AM$98+$Y$178))*('SCHG2-19'!$M$448-'SCHG2-19'!$K$448-'IRR 202 Detail '!$BC$98-'IRR 202 Detail '!$AQ$178)</f>
        <v>0</v>
      </c>
      <c r="BJ71" s="261">
        <f>(+AL71/($AM$98+$Y$178))*('SCHG2-19'!$M$448-'SCHG2-19'!$K$448-'IRR 202 Detail '!$BC$98-'IRR 202 Detail '!$AQ$178)</f>
        <v>8250.450280154113</v>
      </c>
      <c r="BK71" s="185">
        <f t="shared" ref="BK71" si="102">BH71+BI71+BJ71</f>
        <v>8250.450280154113</v>
      </c>
      <c r="BL71" s="183"/>
      <c r="BM71" s="183"/>
      <c r="BN71" s="90"/>
      <c r="BO71" s="183"/>
      <c r="BP71" s="154"/>
      <c r="BQ71" s="154"/>
      <c r="BR71" s="154"/>
      <c r="BS71" s="192">
        <f>+AM71-AD71-AE71-AF71</f>
        <v>0</v>
      </c>
      <c r="BT71" s="192">
        <f t="shared" ref="BT71:BT72" si="103">+Y71*0.08-AQ71</f>
        <v>0</v>
      </c>
      <c r="BU71" s="192">
        <f t="shared" ref="BU71:BU72" si="104">+AM71*0.08-AU71</f>
        <v>0</v>
      </c>
      <c r="BV71" s="192"/>
      <c r="BW71" s="192"/>
      <c r="BX71" s="192"/>
      <c r="BY71" s="192"/>
    </row>
    <row r="72" spans="3:77" x14ac:dyDescent="0.25">
      <c r="C72" t="s">
        <v>291</v>
      </c>
      <c r="D72" t="s">
        <v>291</v>
      </c>
      <c r="E72" s="162" t="s">
        <v>290</v>
      </c>
      <c r="F72" s="182" t="s">
        <v>289</v>
      </c>
      <c r="G72" s="182"/>
      <c r="H72" s="234" t="s">
        <v>370</v>
      </c>
      <c r="I72" s="233"/>
      <c r="J72" s="227">
        <f>SUM(J71:J71)</f>
        <v>111772.76833957501</v>
      </c>
      <c r="K72" s="278">
        <f>SUM(K71:K71)</f>
        <v>1</v>
      </c>
      <c r="L72" s="229"/>
      <c r="M72" s="231"/>
      <c r="N72" s="231"/>
      <c r="O72" s="231"/>
      <c r="P72" s="231"/>
      <c r="Q72" s="230"/>
      <c r="R72" s="229"/>
      <c r="S72" s="228"/>
      <c r="T72" s="228"/>
      <c r="U72" s="228"/>
      <c r="V72" s="227">
        <f>SUM(V71:V71)</f>
        <v>0</v>
      </c>
      <c r="W72" s="227">
        <f>SUM(W71:W71)</f>
        <v>0</v>
      </c>
      <c r="X72" s="227">
        <f>SUM(X71:X71)</f>
        <v>18628.794723262501</v>
      </c>
      <c r="Y72" s="227">
        <f>SUM(Y71:Y71)</f>
        <v>18628.794723262501</v>
      </c>
      <c r="AA72" s="227">
        <f t="shared" ref="AA72:AF72" si="105">SUM(AA71:AA71)</f>
        <v>111772.76833957501</v>
      </c>
      <c r="AB72" s="227">
        <f t="shared" si="105"/>
        <v>0</v>
      </c>
      <c r="AC72" s="227">
        <f t="shared" si="105"/>
        <v>0</v>
      </c>
      <c r="AD72" s="227">
        <f t="shared" si="105"/>
        <v>117361.40675655376</v>
      </c>
      <c r="AE72" s="227">
        <f t="shared" si="105"/>
        <v>0</v>
      </c>
      <c r="AF72" s="227">
        <f t="shared" si="105"/>
        <v>0</v>
      </c>
      <c r="AH72" s="260"/>
      <c r="AJ72" s="227">
        <f t="shared" ref="AJ72:BK72" si="106">SUM(AJ71:AJ71)</f>
        <v>0</v>
      </c>
      <c r="AK72" s="227">
        <f t="shared" si="106"/>
        <v>0</v>
      </c>
      <c r="AL72" s="227">
        <f t="shared" si="106"/>
        <v>117361.40675655376</v>
      </c>
      <c r="AM72" s="227">
        <f t="shared" si="106"/>
        <v>117361.40675655376</v>
      </c>
      <c r="AN72" s="227">
        <f t="shared" si="106"/>
        <v>0</v>
      </c>
      <c r="AO72" s="227">
        <f t="shared" si="106"/>
        <v>0</v>
      </c>
      <c r="AP72" s="227">
        <f t="shared" si="106"/>
        <v>1490.3035778610001</v>
      </c>
      <c r="AQ72" s="227">
        <f t="shared" si="106"/>
        <v>1490.3035778610001</v>
      </c>
      <c r="AR72" s="227">
        <f t="shared" si="106"/>
        <v>0</v>
      </c>
      <c r="AS72" s="227">
        <f t="shared" si="106"/>
        <v>0</v>
      </c>
      <c r="AT72" s="227">
        <f t="shared" si="106"/>
        <v>9388.9125405243012</v>
      </c>
      <c r="AU72" s="227">
        <f t="shared" si="106"/>
        <v>9388.9125405243012</v>
      </c>
      <c r="AV72" s="227">
        <f t="shared" si="106"/>
        <v>0</v>
      </c>
      <c r="AW72" s="227">
        <f t="shared" si="106"/>
        <v>0</v>
      </c>
      <c r="AX72" s="227">
        <f t="shared" si="106"/>
        <v>1933.5727764279618</v>
      </c>
      <c r="AY72" s="227">
        <f t="shared" si="106"/>
        <v>1933.5727764279618</v>
      </c>
      <c r="AZ72" s="227">
        <f t="shared" si="106"/>
        <v>0</v>
      </c>
      <c r="BA72" s="227">
        <f t="shared" si="106"/>
        <v>0</v>
      </c>
      <c r="BB72" s="227">
        <f t="shared" si="106"/>
        <v>2137.8748801237202</v>
      </c>
      <c r="BC72" s="227">
        <f t="shared" si="106"/>
        <v>2137.8748801237202</v>
      </c>
      <c r="BD72" s="227">
        <f t="shared" si="106"/>
        <v>0</v>
      </c>
      <c r="BE72" s="227">
        <f t="shared" si="106"/>
        <v>0</v>
      </c>
      <c r="BF72" s="227">
        <f t="shared" si="106"/>
        <v>4593.491369617479</v>
      </c>
      <c r="BG72" s="227">
        <f t="shared" si="106"/>
        <v>4593.491369617479</v>
      </c>
      <c r="BH72" s="227">
        <f t="shared" si="106"/>
        <v>0</v>
      </c>
      <c r="BI72" s="227">
        <f t="shared" si="106"/>
        <v>0</v>
      </c>
      <c r="BJ72" s="227">
        <f t="shared" si="106"/>
        <v>8250.450280154113</v>
      </c>
      <c r="BK72" s="227">
        <f t="shared" si="106"/>
        <v>8250.450280154113</v>
      </c>
      <c r="BL72" s="192"/>
      <c r="BM72" s="183"/>
      <c r="BN72" s="90"/>
      <c r="BO72" s="192"/>
      <c r="BP72" s="192"/>
      <c r="BQ72" s="192"/>
      <c r="BR72" s="192"/>
      <c r="BS72" s="192">
        <f>+AM72-AD72-AE72-AF72</f>
        <v>0</v>
      </c>
      <c r="BT72" s="192">
        <f t="shared" si="103"/>
        <v>0</v>
      </c>
      <c r="BU72" s="192">
        <f t="shared" si="104"/>
        <v>0</v>
      </c>
      <c r="BV72" s="192"/>
      <c r="BW72" s="192"/>
      <c r="BX72" s="192"/>
      <c r="BY72" s="192"/>
    </row>
    <row r="73" spans="3:77" x14ac:dyDescent="0.25">
      <c r="C73" t="s">
        <v>291</v>
      </c>
      <c r="D73" t="s">
        <v>291</v>
      </c>
      <c r="E73" s="162" t="s">
        <v>290</v>
      </c>
      <c r="F73" s="182" t="s">
        <v>289</v>
      </c>
      <c r="G73" s="182"/>
      <c r="H73" s="143"/>
      <c r="I73" s="212"/>
      <c r="J73" s="147"/>
      <c r="K73" s="154"/>
      <c r="L73" s="153"/>
      <c r="Q73" s="186"/>
      <c r="R73" s="151"/>
      <c r="S73" s="150"/>
      <c r="T73" s="150"/>
      <c r="U73" s="150"/>
      <c r="V73" s="147"/>
      <c r="W73" s="147"/>
      <c r="X73" s="147"/>
      <c r="Y73" s="147"/>
      <c r="AH73" s="260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261"/>
      <c r="BE73" s="261"/>
      <c r="BF73" s="261"/>
      <c r="BG73" s="185"/>
      <c r="BH73" s="261"/>
      <c r="BI73" s="261"/>
      <c r="BJ73" s="261"/>
      <c r="BK73" s="185"/>
      <c r="BL73" s="192"/>
      <c r="BM73" s="183"/>
      <c r="BN73" s="90"/>
      <c r="BO73" s="192"/>
      <c r="BP73" s="192"/>
      <c r="BQ73" s="192"/>
      <c r="BR73" s="192"/>
      <c r="BS73" s="192"/>
      <c r="BT73" s="192"/>
      <c r="BU73" s="192"/>
      <c r="BV73" s="192"/>
      <c r="BW73" s="192"/>
      <c r="BX73" s="192"/>
      <c r="BY73" s="192"/>
    </row>
    <row r="74" spans="3:77" x14ac:dyDescent="0.25">
      <c r="C74" t="s">
        <v>288</v>
      </c>
      <c r="E74" s="162"/>
      <c r="F74" s="182"/>
      <c r="G74" s="182"/>
      <c r="H74" s="191" t="s">
        <v>242</v>
      </c>
      <c r="I74" s="190" t="s">
        <v>270</v>
      </c>
      <c r="J74" s="185">
        <v>77867.235382545012</v>
      </c>
      <c r="K74" s="189">
        <v>1</v>
      </c>
      <c r="L74" s="188">
        <v>45231</v>
      </c>
      <c r="M74" s="150">
        <v>1</v>
      </c>
      <c r="N74" s="150">
        <v>0</v>
      </c>
      <c r="O74" s="150">
        <f>M74+N74</f>
        <v>1</v>
      </c>
      <c r="P74" s="187"/>
      <c r="Q74" s="186">
        <f>((13-MONTH(L74)-$AI$5))/12</f>
        <v>0.16666666666666666</v>
      </c>
      <c r="R74" s="151">
        <v>5</v>
      </c>
      <c r="S74" s="150">
        <v>0</v>
      </c>
      <c r="T74" s="150">
        <v>1</v>
      </c>
      <c r="U74" s="150">
        <f>+S74+T74</f>
        <v>1</v>
      </c>
      <c r="V74" s="147">
        <f>J74*N74*Q74</f>
        <v>0</v>
      </c>
      <c r="W74" s="147">
        <f>J74*M74*Q74*S74</f>
        <v>0</v>
      </c>
      <c r="X74" s="147">
        <f>J74*M74*Q74*T74</f>
        <v>12977.872563757501</v>
      </c>
      <c r="Y74" s="185">
        <f>V74+W74+X74</f>
        <v>12977.872563757501</v>
      </c>
      <c r="Z74">
        <v>920</v>
      </c>
      <c r="AA74" s="184">
        <f>+J74*M74*T74</f>
        <v>77867.235382545012</v>
      </c>
      <c r="AB74" s="184">
        <f t="shared" ref="AB74:AB75" si="107">+J74*M74*S74</f>
        <v>0</v>
      </c>
      <c r="AC74" s="184">
        <f t="shared" ref="AC74:AC75" si="108">+J74*N74</f>
        <v>0</v>
      </c>
      <c r="AD74" s="184">
        <f>+AA74*(1+'SCHG2-19'!$M$12)</f>
        <v>81760.597151672264</v>
      </c>
      <c r="AE74" s="184">
        <f>+AB74*(1+'SCHG2-19'!$M$12)</f>
        <v>0</v>
      </c>
      <c r="AF74" s="184">
        <f>+AC74*(1+'SCHG2-19'!$M$12)</f>
        <v>0</v>
      </c>
      <c r="AH74" s="156"/>
      <c r="AJ74" s="261">
        <f>($J74*(1+'SCHG2-19'!$M$12))*$N74</f>
        <v>0</v>
      </c>
      <c r="AK74" s="261">
        <f>($J74*(1+'SCHG2-19'!$M$12))*$M74*S74</f>
        <v>0</v>
      </c>
      <c r="AL74" s="261">
        <f>($J74*(1+'SCHG2-19'!$M$12))*$M74*T74</f>
        <v>81760.597151672264</v>
      </c>
      <c r="AM74" s="185">
        <f t="shared" ref="AM74:AM75" si="109">AJ74+AK74+AL74</f>
        <v>81760.597151672264</v>
      </c>
      <c r="AN74" s="261">
        <f t="shared" ref="AN74:AN75" si="110">+V74*0.08</f>
        <v>0</v>
      </c>
      <c r="AO74" s="261">
        <f t="shared" ref="AO74:AO75" si="111">+W74*0.08</f>
        <v>0</v>
      </c>
      <c r="AP74" s="261">
        <f t="shared" ref="AP74:AP75" si="112">+X74*0.08</f>
        <v>1038.2298051006001</v>
      </c>
      <c r="AQ74" s="185">
        <f t="shared" ref="AQ74:AQ75" si="113">AN74+AO74+AP74</f>
        <v>1038.2298051006001</v>
      </c>
      <c r="AR74" s="261">
        <f t="shared" ref="AR74:AR75" si="114">+AJ74*0.08</f>
        <v>0</v>
      </c>
      <c r="AS74" s="261">
        <f t="shared" ref="AS74:AS75" si="115">+AK74*0.08</f>
        <v>0</v>
      </c>
      <c r="AT74" s="261">
        <f t="shared" ref="AT74:AT75" si="116">+AL74*0.08</f>
        <v>6540.8477721337813</v>
      </c>
      <c r="AU74" s="185">
        <f t="shared" ref="AU74:AU75" si="117">AR74+AS74+AT74</f>
        <v>6540.8477721337813</v>
      </c>
      <c r="AV74" s="261">
        <f>(+V74/$Y$98)*('SCHG2-19'!$I$448*'SCHG2-19'!$K$15)</f>
        <v>0</v>
      </c>
      <c r="AW74" s="261">
        <f>(+W74/$Y$98)*('SCHG2-19'!$I$448*'SCHG2-19'!$K$15)</f>
        <v>0</v>
      </c>
      <c r="AX74" s="261">
        <f>(+X74/$Y$98)*('SCHG2-19'!$I$448*'SCHG2-19'!$K$15)</f>
        <v>1347.0362123802583</v>
      </c>
      <c r="AY74" s="185">
        <f t="shared" ref="AY74:AY75" si="118">AV74+AW74+AX74</f>
        <v>1347.0362123802583</v>
      </c>
      <c r="AZ74" s="261">
        <f>((+AJ74/($AM$98+$Y$178)*((('SCHG2-19'!$I$448*'SCHG2-19'!$K$15)+'SCHG2-19'!$I$448)*'SCHG2-19'!$M$15)))</f>
        <v>0</v>
      </c>
      <c r="BA74" s="261">
        <f>((+AK74/($AM$98+$Y$178)*((('SCHG2-19'!$I$448*'SCHG2-19'!$K$15)+'SCHG2-19'!$I$448)*'SCHG2-19'!$M$15)))</f>
        <v>0</v>
      </c>
      <c r="BB74" s="261">
        <f>((+AL74/($AM$98+$Y$178)*((('SCHG2-19'!$I$448*'SCHG2-19'!$K$15)+'SCHG2-19'!$I$448)*'SCHG2-19'!$M$15)))</f>
        <v>1489.3646187886563</v>
      </c>
      <c r="BC74" s="185">
        <f t="shared" ref="BC74:BC75" si="119">AZ74+BA74+BB74</f>
        <v>1489.3646187886563</v>
      </c>
      <c r="BD74" s="261">
        <f>(+V74/$Y$98)*('SCHG2-19'!$K$448-'SCHG2-19'!$I$448-'IRR 202 Detail '!$AY$98)</f>
        <v>0</v>
      </c>
      <c r="BE74" s="261">
        <f>(+W74/$Y$98)*('SCHG2-19'!$K$448-'SCHG2-19'!$I$448-'IRR 202 Detail '!$AY$98)</f>
        <v>0</v>
      </c>
      <c r="BF74" s="261">
        <f>(+X74/$Y$98)*('SCHG2-19'!$K$448-'SCHG2-19'!$I$448-'IRR 202 Detail '!$AY$98)</f>
        <v>3200.0860229123432</v>
      </c>
      <c r="BG74" s="185">
        <f t="shared" ref="BG74:BG75" si="120">BD74+BE74+BF74</f>
        <v>3200.0860229123432</v>
      </c>
      <c r="BH74" s="261">
        <f>(+AJ74/($AM$98+$Y$178))*('SCHG2-19'!$M$448-'SCHG2-19'!$K$448-'IRR 202 Detail '!$BC$98-'IRR 202 Detail '!$AQ$178)</f>
        <v>0</v>
      </c>
      <c r="BI74" s="261">
        <f>(+AK74/($AM$98+$Y$178))*('SCHG2-19'!$M$448-'SCHG2-19'!$K$448-'IRR 202 Detail '!$BC$98-'IRR 202 Detail '!$AQ$178)</f>
        <v>0</v>
      </c>
      <c r="BJ74" s="261">
        <f>(+AL74/($AM$98+$Y$178))*('SCHG2-19'!$M$448-'SCHG2-19'!$K$448-'IRR 202 Detail '!$BC$98-'IRR 202 Detail '!$AQ$178)</f>
        <v>5747.7305386671578</v>
      </c>
      <c r="BK74" s="185">
        <f t="shared" ref="BK74:BK75" si="121">BH74+BI74+BJ74</f>
        <v>5747.7305386671578</v>
      </c>
      <c r="BL74" s="156"/>
      <c r="BM74" s="156"/>
      <c r="BN74" s="156"/>
      <c r="BO74" s="156"/>
      <c r="BP74" s="156"/>
      <c r="BQ74" s="156"/>
      <c r="BR74" s="156"/>
      <c r="BS74" s="192">
        <f>+AM74-AD74-AE74-AF74</f>
        <v>0</v>
      </c>
      <c r="BT74" s="192">
        <f>+Y74*0.08-AQ74</f>
        <v>0</v>
      </c>
      <c r="BU74" s="192">
        <f>+AM74*0.08-AU74</f>
        <v>0</v>
      </c>
      <c r="BV74" s="192"/>
      <c r="BW74" s="192"/>
      <c r="BX74" s="192"/>
      <c r="BY74" s="192"/>
    </row>
    <row r="75" spans="3:77" ht="30" x14ac:dyDescent="0.25">
      <c r="E75" s="162"/>
      <c r="F75" s="182"/>
      <c r="G75" s="182"/>
      <c r="H75" s="191" t="s">
        <v>243</v>
      </c>
      <c r="I75" s="190">
        <v>40352</v>
      </c>
      <c r="J75" s="185">
        <v>127680.63578256001</v>
      </c>
      <c r="K75" s="189">
        <v>1</v>
      </c>
      <c r="L75" s="188">
        <v>45231</v>
      </c>
      <c r="M75" s="150">
        <v>1</v>
      </c>
      <c r="N75" s="150">
        <v>0</v>
      </c>
      <c r="O75" s="150">
        <f>M75+N75</f>
        <v>1</v>
      </c>
      <c r="P75" s="187"/>
      <c r="Q75" s="186">
        <f>((13-MONTH(L75)-$AI$5))/12</f>
        <v>0.16666666666666666</v>
      </c>
      <c r="R75" s="151">
        <v>8</v>
      </c>
      <c r="S75" s="150">
        <v>0</v>
      </c>
      <c r="T75" s="150">
        <v>1</v>
      </c>
      <c r="U75" s="150">
        <f>+S75+T75</f>
        <v>1</v>
      </c>
      <c r="V75" s="147">
        <f>J75*N75*Q75</f>
        <v>0</v>
      </c>
      <c r="W75" s="147">
        <f>J75*M75*Q75*S75</f>
        <v>0</v>
      </c>
      <c r="X75" s="147">
        <f>J75*M75*Q75*T75</f>
        <v>21280.105963760001</v>
      </c>
      <c r="Y75" s="185">
        <f>V75+W75+X75</f>
        <v>21280.105963760001</v>
      </c>
      <c r="Z75">
        <v>920</v>
      </c>
      <c r="AA75" s="184">
        <f>+J75*M75*T75</f>
        <v>127680.63578256001</v>
      </c>
      <c r="AB75" s="184">
        <f t="shared" si="107"/>
        <v>0</v>
      </c>
      <c r="AC75" s="184">
        <f t="shared" si="108"/>
        <v>0</v>
      </c>
      <c r="AD75" s="184">
        <f>+AA75*(1+'SCHG2-19'!$M$12)</f>
        <v>134064.66757168801</v>
      </c>
      <c r="AE75" s="184">
        <f>+AB75*(1+'SCHG2-19'!$M$12)</f>
        <v>0</v>
      </c>
      <c r="AF75" s="184">
        <f>+AC75*(1+'SCHG2-19'!$M$12)</f>
        <v>0</v>
      </c>
      <c r="AJ75" s="261">
        <f>($J75*(1+'SCHG2-19'!$M$12))*$N75</f>
        <v>0</v>
      </c>
      <c r="AK75" s="261">
        <f>($J75*(1+'SCHG2-19'!$M$12))*$M75*S75</f>
        <v>0</v>
      </c>
      <c r="AL75" s="261">
        <f>($J75*(1+'SCHG2-19'!$M$12))*$M75*T75</f>
        <v>134064.66757168801</v>
      </c>
      <c r="AM75" s="185">
        <f t="shared" si="109"/>
        <v>134064.66757168801</v>
      </c>
      <c r="AN75" s="261">
        <f t="shared" si="110"/>
        <v>0</v>
      </c>
      <c r="AO75" s="261">
        <f t="shared" si="111"/>
        <v>0</v>
      </c>
      <c r="AP75" s="261">
        <f t="shared" si="112"/>
        <v>1702.4084771008002</v>
      </c>
      <c r="AQ75" s="185">
        <f t="shared" si="113"/>
        <v>1702.4084771008002</v>
      </c>
      <c r="AR75" s="261">
        <f t="shared" si="114"/>
        <v>0</v>
      </c>
      <c r="AS75" s="261">
        <f t="shared" si="115"/>
        <v>0</v>
      </c>
      <c r="AT75" s="261">
        <f t="shared" si="116"/>
        <v>10725.17340573504</v>
      </c>
      <c r="AU75" s="185">
        <f t="shared" si="117"/>
        <v>10725.17340573504</v>
      </c>
      <c r="AV75" s="261">
        <f>(+V75/$Y$98)*('SCHG2-19'!$I$448*'SCHG2-19'!$K$15)</f>
        <v>0</v>
      </c>
      <c r="AW75" s="261">
        <f>(+W75/$Y$98)*('SCHG2-19'!$I$448*'SCHG2-19'!$K$15)</f>
        <v>0</v>
      </c>
      <c r="AX75" s="261">
        <f>(+X75/$Y$98)*('SCHG2-19'!$I$448*'SCHG2-19'!$K$15)</f>
        <v>2208.7652036686654</v>
      </c>
      <c r="AY75" s="185">
        <f t="shared" si="118"/>
        <v>2208.7652036686654</v>
      </c>
      <c r="AZ75" s="261">
        <f>((+AJ75/($AM$98+$Y$178)*((('SCHG2-19'!$I$448*'SCHG2-19'!$K$15)+'SCHG2-19'!$I$448)*'SCHG2-19'!$M$15)))</f>
        <v>0</v>
      </c>
      <c r="BA75" s="261">
        <f>((+AK75/($AM$98+$Y$178)*((('SCHG2-19'!$I$448*'SCHG2-19'!$K$15)+'SCHG2-19'!$I$448)*'SCHG2-19'!$M$15)))</f>
        <v>0</v>
      </c>
      <c r="BB75" s="261">
        <f>((+AL75/($AM$98+$Y$178)*((('SCHG2-19'!$I$448*'SCHG2-19'!$K$15)+'SCHG2-19'!$I$448)*'SCHG2-19'!$M$15)))</f>
        <v>2442.1442536742916</v>
      </c>
      <c r="BC75" s="185">
        <f t="shared" si="119"/>
        <v>2442.1442536742916</v>
      </c>
      <c r="BD75" s="261">
        <f>(+V75/$Y$98)*('SCHG2-19'!$K$448-'SCHG2-19'!$I$448-'IRR 202 Detail '!$AY$98)</f>
        <v>0</v>
      </c>
      <c r="BE75" s="261">
        <f>(+W75/$Y$98)*('SCHG2-19'!$K$448-'SCHG2-19'!$I$448-'IRR 202 Detail '!$AY$98)</f>
        <v>0</v>
      </c>
      <c r="BF75" s="261">
        <f>(+X75/$Y$98)*('SCHG2-19'!$K$448-'SCHG2-19'!$I$448-'IRR 202 Detail '!$AY$98)</f>
        <v>5247.2521460023827</v>
      </c>
      <c r="BG75" s="185">
        <f t="shared" si="120"/>
        <v>5247.2521460023827</v>
      </c>
      <c r="BH75" s="261">
        <f>(+AJ75/($AM$98+$Y$178))*('SCHG2-19'!$M$448-'SCHG2-19'!$K$448-'IRR 202 Detail '!$BC$98-'IRR 202 Detail '!$AQ$178)</f>
        <v>0</v>
      </c>
      <c r="BI75" s="261">
        <f>(+AK75/($AM$98+$Y$178))*('SCHG2-19'!$M$448-'SCHG2-19'!$K$448-'IRR 202 Detail '!$BC$98-'IRR 202 Detail '!$AQ$178)</f>
        <v>0</v>
      </c>
      <c r="BJ75" s="261">
        <f>(+AL75/($AM$98+$Y$178))*('SCHG2-19'!$M$448-'SCHG2-19'!$K$448-'IRR 202 Detail '!$BC$98-'IRR 202 Detail '!$AQ$178)</f>
        <v>9424.6814578492995</v>
      </c>
      <c r="BK75" s="185">
        <f t="shared" si="121"/>
        <v>9424.6814578492995</v>
      </c>
      <c r="BL75" s="183"/>
      <c r="BM75" s="183"/>
      <c r="BN75" s="90"/>
      <c r="BO75" s="183"/>
      <c r="BP75" s="154"/>
      <c r="BQ75" s="154"/>
      <c r="BR75" s="154"/>
      <c r="BS75" s="192">
        <f>+AM75-AD75-AE75-AF75</f>
        <v>0</v>
      </c>
      <c r="BT75" s="192">
        <f t="shared" ref="BT75:BT76" si="122">+Y75*0.08-AQ75</f>
        <v>0</v>
      </c>
      <c r="BU75" s="192">
        <f t="shared" ref="BU75:BU76" si="123">+AM75*0.08-AU75</f>
        <v>0</v>
      </c>
      <c r="BV75" s="192"/>
      <c r="BW75" s="192"/>
      <c r="BX75" s="192"/>
      <c r="BY75" s="192"/>
    </row>
    <row r="76" spans="3:77" x14ac:dyDescent="0.25">
      <c r="C76" t="s">
        <v>287</v>
      </c>
      <c r="D76" t="s">
        <v>287</v>
      </c>
      <c r="E76" s="162" t="s">
        <v>286</v>
      </c>
      <c r="F76" s="182" t="s">
        <v>285</v>
      </c>
      <c r="G76" s="182"/>
      <c r="H76" s="226" t="s">
        <v>371</v>
      </c>
      <c r="I76" s="225"/>
      <c r="J76" s="277">
        <f>SUM(J74:J75)</f>
        <v>205547.87116510503</v>
      </c>
      <c r="K76" s="224">
        <f>SUM(K74:K75)</f>
        <v>2</v>
      </c>
      <c r="L76" s="222"/>
      <c r="M76" s="223"/>
      <c r="N76" s="223"/>
      <c r="O76" s="223"/>
      <c r="P76" s="223"/>
      <c r="Q76" s="222"/>
      <c r="R76" s="222"/>
      <c r="S76" s="221"/>
      <c r="T76" s="221"/>
      <c r="U76" s="221"/>
      <c r="V76" s="277">
        <f>SUM(V74:V75)</f>
        <v>0</v>
      </c>
      <c r="W76" s="277">
        <f>SUM(W74:W75)</f>
        <v>0</v>
      </c>
      <c r="X76" s="277">
        <f>SUM(X74:X75)</f>
        <v>34257.978527517502</v>
      </c>
      <c r="Y76" s="277">
        <f>SUM(Y74:Y75)</f>
        <v>34257.978527517502</v>
      </c>
      <c r="AA76" s="277">
        <f t="shared" ref="AA76:AF76" si="124">SUM(AA74:AA75)</f>
        <v>205547.87116510503</v>
      </c>
      <c r="AB76" s="277">
        <f t="shared" si="124"/>
        <v>0</v>
      </c>
      <c r="AC76" s="277">
        <f t="shared" si="124"/>
        <v>0</v>
      </c>
      <c r="AD76" s="277">
        <f t="shared" si="124"/>
        <v>215825.26472336028</v>
      </c>
      <c r="AE76" s="277">
        <f t="shared" si="124"/>
        <v>0</v>
      </c>
      <c r="AF76" s="277">
        <f t="shared" si="124"/>
        <v>0</v>
      </c>
      <c r="AH76" s="260"/>
      <c r="AJ76" s="277">
        <f t="shared" ref="AJ76:BK76" si="125">SUM(AJ74:AJ75)</f>
        <v>0</v>
      </c>
      <c r="AK76" s="277">
        <f t="shared" si="125"/>
        <v>0</v>
      </c>
      <c r="AL76" s="277">
        <f t="shared" si="125"/>
        <v>215825.26472336028</v>
      </c>
      <c r="AM76" s="277">
        <f t="shared" si="125"/>
        <v>215825.26472336028</v>
      </c>
      <c r="AN76" s="277">
        <f t="shared" si="125"/>
        <v>0</v>
      </c>
      <c r="AO76" s="277">
        <f t="shared" si="125"/>
        <v>0</v>
      </c>
      <c r="AP76" s="277">
        <f t="shared" si="125"/>
        <v>2740.6382822014002</v>
      </c>
      <c r="AQ76" s="277">
        <f t="shared" si="125"/>
        <v>2740.6382822014002</v>
      </c>
      <c r="AR76" s="277">
        <f t="shared" si="125"/>
        <v>0</v>
      </c>
      <c r="AS76" s="277">
        <f t="shared" si="125"/>
        <v>0</v>
      </c>
      <c r="AT76" s="277">
        <f t="shared" si="125"/>
        <v>17266.021177868821</v>
      </c>
      <c r="AU76" s="277">
        <f t="shared" si="125"/>
        <v>17266.021177868821</v>
      </c>
      <c r="AV76" s="277">
        <f t="shared" si="125"/>
        <v>0</v>
      </c>
      <c r="AW76" s="277">
        <f t="shared" si="125"/>
        <v>0</v>
      </c>
      <c r="AX76" s="277">
        <f t="shared" si="125"/>
        <v>3555.8014160489238</v>
      </c>
      <c r="AY76" s="277">
        <f t="shared" si="125"/>
        <v>3555.8014160489238</v>
      </c>
      <c r="AZ76" s="277">
        <f t="shared" si="125"/>
        <v>0</v>
      </c>
      <c r="BA76" s="277">
        <f t="shared" si="125"/>
        <v>0</v>
      </c>
      <c r="BB76" s="277">
        <f t="shared" si="125"/>
        <v>3931.5088724629477</v>
      </c>
      <c r="BC76" s="277">
        <f t="shared" si="125"/>
        <v>3931.5088724629477</v>
      </c>
      <c r="BD76" s="277">
        <f t="shared" si="125"/>
        <v>0</v>
      </c>
      <c r="BE76" s="277">
        <f t="shared" si="125"/>
        <v>0</v>
      </c>
      <c r="BF76" s="277">
        <f t="shared" si="125"/>
        <v>8447.3381689147263</v>
      </c>
      <c r="BG76" s="277">
        <f t="shared" si="125"/>
        <v>8447.3381689147263</v>
      </c>
      <c r="BH76" s="277">
        <f t="shared" si="125"/>
        <v>0</v>
      </c>
      <c r="BI76" s="277">
        <f t="shared" si="125"/>
        <v>0</v>
      </c>
      <c r="BJ76" s="277">
        <f t="shared" si="125"/>
        <v>15172.411996516457</v>
      </c>
      <c r="BK76" s="277">
        <f t="shared" si="125"/>
        <v>15172.411996516457</v>
      </c>
      <c r="BL76" s="192"/>
      <c r="BM76" s="183"/>
      <c r="BN76" s="90"/>
      <c r="BO76" s="192"/>
      <c r="BP76" s="192"/>
      <c r="BQ76" s="192"/>
      <c r="BR76" s="192"/>
      <c r="BS76" s="192">
        <f>+AM76-AD76-AE76-AF76</f>
        <v>0</v>
      </c>
      <c r="BT76" s="192">
        <f t="shared" si="122"/>
        <v>0</v>
      </c>
      <c r="BU76" s="192">
        <f t="shared" si="123"/>
        <v>0</v>
      </c>
      <c r="BV76" s="192"/>
      <c r="BW76" s="192"/>
      <c r="BX76" s="192"/>
      <c r="BY76" s="192"/>
    </row>
    <row r="77" spans="3:77" x14ac:dyDescent="0.25">
      <c r="C77" t="s">
        <v>284</v>
      </c>
      <c r="E77" s="162"/>
      <c r="F77" s="182"/>
      <c r="G77" s="182"/>
      <c r="H77" s="143"/>
      <c r="I77" s="212"/>
      <c r="J77" s="147"/>
      <c r="K77" s="154"/>
      <c r="Q77" s="186"/>
      <c r="R77" s="151"/>
      <c r="S77" s="150"/>
      <c r="T77" s="150"/>
      <c r="U77" s="150"/>
      <c r="V77" s="147"/>
      <c r="W77" s="147"/>
      <c r="X77" s="147"/>
      <c r="Y77" s="147"/>
      <c r="AH77" s="156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</row>
    <row r="78" spans="3:77" x14ac:dyDescent="0.25">
      <c r="E78" s="162"/>
      <c r="F78" s="182"/>
      <c r="G78" s="182"/>
      <c r="H78" s="276" t="s">
        <v>244</v>
      </c>
      <c r="I78" s="190" t="s">
        <v>270</v>
      </c>
      <c r="J78" s="185">
        <v>77867.235382545012</v>
      </c>
      <c r="K78" s="189">
        <v>1</v>
      </c>
      <c r="L78" s="188">
        <v>45231</v>
      </c>
      <c r="M78" s="150">
        <v>1</v>
      </c>
      <c r="N78" s="150">
        <v>0</v>
      </c>
      <c r="O78" s="150">
        <f>M78+N78</f>
        <v>1</v>
      </c>
      <c r="P78" s="187"/>
      <c r="Q78" s="186">
        <f>((13-MONTH(L78)-$AI$5))/12</f>
        <v>0.16666666666666666</v>
      </c>
      <c r="R78" s="151">
        <v>5</v>
      </c>
      <c r="S78" s="150">
        <v>0</v>
      </c>
      <c r="T78" s="150">
        <v>1</v>
      </c>
      <c r="U78" s="150">
        <f>+S78+T78</f>
        <v>1</v>
      </c>
      <c r="V78" s="147">
        <f>J78*N78*Q78</f>
        <v>0</v>
      </c>
      <c r="W78" s="147">
        <f>J78*M78*Q78*S78</f>
        <v>0</v>
      </c>
      <c r="X78" s="147">
        <f>J78*M78*Q78*T78</f>
        <v>12977.872563757501</v>
      </c>
      <c r="Y78" s="185">
        <f>V78+W78+X78</f>
        <v>12977.872563757501</v>
      </c>
      <c r="Z78">
        <v>920</v>
      </c>
      <c r="AA78" s="184">
        <f>+J78*M78*T78</f>
        <v>77867.235382545012</v>
      </c>
      <c r="AB78" s="184">
        <f>+J78*M78*S78</f>
        <v>0</v>
      </c>
      <c r="AC78" s="184">
        <f>+J78*N78</f>
        <v>0</v>
      </c>
      <c r="AD78" s="184">
        <f>+AA78*(1+'SCHG2-19'!$M$12)</f>
        <v>81760.597151672264</v>
      </c>
      <c r="AE78" s="184">
        <f>+AB78*(1+'SCHG2-19'!$M$12)</f>
        <v>0</v>
      </c>
      <c r="AF78" s="184">
        <f>+AC78*(1+'SCHG2-19'!$M$12)</f>
        <v>0</v>
      </c>
      <c r="AJ78" s="261">
        <f>($J78*(1+'SCHG2-19'!$M$12))*$N78</f>
        <v>0</v>
      </c>
      <c r="AK78" s="261">
        <f>($J78*(1+'SCHG2-19'!$M$12))*$M78*S78</f>
        <v>0</v>
      </c>
      <c r="AL78" s="261">
        <f>($J78*(1+'SCHG2-19'!$M$12))*$M78*T78</f>
        <v>81760.597151672264</v>
      </c>
      <c r="AM78" s="185">
        <f t="shared" ref="AM78" si="126">AJ78+AK78+AL78</f>
        <v>81760.597151672264</v>
      </c>
      <c r="AN78" s="261">
        <f>+V78*0.08</f>
        <v>0</v>
      </c>
      <c r="AO78" s="261">
        <f t="shared" ref="AO78" si="127">+W78*0.08</f>
        <v>0</v>
      </c>
      <c r="AP78" s="261">
        <f t="shared" ref="AP78" si="128">+X78*0.08</f>
        <v>1038.2298051006001</v>
      </c>
      <c r="AQ78" s="185">
        <f t="shared" ref="AQ78" si="129">AN78+AO78+AP78</f>
        <v>1038.2298051006001</v>
      </c>
      <c r="AR78" s="261">
        <f>+AJ78*0.08</f>
        <v>0</v>
      </c>
      <c r="AS78" s="261">
        <f t="shared" ref="AS78" si="130">+AK78*0.08</f>
        <v>0</v>
      </c>
      <c r="AT78" s="261">
        <f t="shared" ref="AT78" si="131">+AL78*0.08</f>
        <v>6540.8477721337813</v>
      </c>
      <c r="AU78" s="185">
        <f t="shared" ref="AU78" si="132">AR78+AS78+AT78</f>
        <v>6540.8477721337813</v>
      </c>
      <c r="AV78" s="261">
        <f>(+V78/$Y$98)*('SCHG2-19'!$I$448*'SCHG2-19'!$K$15)</f>
        <v>0</v>
      </c>
      <c r="AW78" s="261">
        <f>(+W78/$Y$98)*('SCHG2-19'!$I$448*'SCHG2-19'!$K$15)</f>
        <v>0</v>
      </c>
      <c r="AX78" s="261">
        <f>(+X78/$Y$98)*('SCHG2-19'!$I$448*'SCHG2-19'!$K$15)</f>
        <v>1347.0362123802583</v>
      </c>
      <c r="AY78" s="185">
        <f t="shared" ref="AY78" si="133">AV78+AW78+AX78</f>
        <v>1347.0362123802583</v>
      </c>
      <c r="AZ78" s="261">
        <f>((+AJ78/($AM$98+$Y$178)*((('SCHG2-19'!$I$448*'SCHG2-19'!$K$15)+'SCHG2-19'!$I$448)*'SCHG2-19'!$M$15)))</f>
        <v>0</v>
      </c>
      <c r="BA78" s="261">
        <f>((+AK78/($AM$98+$Y$178)*((('SCHG2-19'!$I$448*'SCHG2-19'!$K$15)+'SCHG2-19'!$I$448)*'SCHG2-19'!$M$15)))</f>
        <v>0</v>
      </c>
      <c r="BB78" s="261">
        <f>((+AL78/($AM$98+$Y$178)*((('SCHG2-19'!$I$448*'SCHG2-19'!$K$15)+'SCHG2-19'!$I$448)*'SCHG2-19'!$M$15)))</f>
        <v>1489.3646187886563</v>
      </c>
      <c r="BC78" s="185">
        <f t="shared" ref="BC78" si="134">AZ78+BA78+BB78</f>
        <v>1489.3646187886563</v>
      </c>
      <c r="BD78" s="261">
        <f>(+V78/$Y$98)*('SCHG2-19'!$K$448-'SCHG2-19'!$I$448-'IRR 202 Detail '!$AY$98)</f>
        <v>0</v>
      </c>
      <c r="BE78" s="261">
        <f>(+W78/$Y$98)*('SCHG2-19'!$K$448-'SCHG2-19'!$I$448-'IRR 202 Detail '!$AY$98)</f>
        <v>0</v>
      </c>
      <c r="BF78" s="261">
        <f>(+X78/$Y$98)*('SCHG2-19'!$K$448-'SCHG2-19'!$I$448-'IRR 202 Detail '!$AY$98)</f>
        <v>3200.0860229123432</v>
      </c>
      <c r="BG78" s="185">
        <f t="shared" ref="BG78" si="135">BD78+BE78+BF78</f>
        <v>3200.0860229123432</v>
      </c>
      <c r="BH78" s="261">
        <f>(+AJ78/($AM$98+$Y$178))*('SCHG2-19'!$M$448-'SCHG2-19'!$K$448-'IRR 202 Detail '!$BC$98-'IRR 202 Detail '!$AQ$178)</f>
        <v>0</v>
      </c>
      <c r="BI78" s="261">
        <f>(+AK78/($AM$98+$Y$178))*('SCHG2-19'!$M$448-'SCHG2-19'!$K$448-'IRR 202 Detail '!$BC$98-'IRR 202 Detail '!$AQ$178)</f>
        <v>0</v>
      </c>
      <c r="BJ78" s="261">
        <f>(+AL78/($AM$98+$Y$178))*('SCHG2-19'!$M$448-'SCHG2-19'!$K$448-'IRR 202 Detail '!$BC$98-'IRR 202 Detail '!$AQ$178)</f>
        <v>5747.7305386671578</v>
      </c>
      <c r="BK78" s="185">
        <f t="shared" ref="BK78" si="136">BH78+BI78+BJ78</f>
        <v>5747.7305386671578</v>
      </c>
      <c r="BL78" s="183"/>
      <c r="BM78" s="183"/>
      <c r="BN78" s="90"/>
      <c r="BO78" s="183"/>
      <c r="BP78" s="154"/>
      <c r="BQ78" s="154"/>
      <c r="BR78" s="154"/>
      <c r="BS78" s="192">
        <f>+AM78-AD78-AE78-AF78</f>
        <v>0</v>
      </c>
      <c r="BT78" s="192">
        <f t="shared" ref="BT78:BT79" si="137">+Y78*0.08-AQ78</f>
        <v>0</v>
      </c>
      <c r="BU78" s="192">
        <f t="shared" ref="BU78:BU79" si="138">+AM78*0.08-AU78</f>
        <v>0</v>
      </c>
      <c r="BV78" s="192"/>
      <c r="BW78" s="192"/>
      <c r="BX78" s="192"/>
      <c r="BY78" s="192"/>
    </row>
    <row r="79" spans="3:77" x14ac:dyDescent="0.25">
      <c r="C79" s="83" t="s">
        <v>282</v>
      </c>
      <c r="D79" s="83" t="s">
        <v>282</v>
      </c>
      <c r="E79" s="162" t="s">
        <v>281</v>
      </c>
      <c r="F79" s="182" t="s">
        <v>280</v>
      </c>
      <c r="G79" s="182"/>
      <c r="H79" s="219" t="s">
        <v>372</v>
      </c>
      <c r="I79" s="218"/>
      <c r="J79" s="213">
        <f>SUM(J78:J78)</f>
        <v>77867.235382545012</v>
      </c>
      <c r="K79" s="217">
        <f>SUM(K78:K78)</f>
        <v>1</v>
      </c>
      <c r="L79" s="215"/>
      <c r="M79" s="216"/>
      <c r="N79" s="216"/>
      <c r="O79" s="216"/>
      <c r="P79" s="216"/>
      <c r="Q79" s="215"/>
      <c r="R79" s="215"/>
      <c r="S79" s="214"/>
      <c r="T79" s="214"/>
      <c r="U79" s="214"/>
      <c r="V79" s="213">
        <f>SUM(V78:V78)</f>
        <v>0</v>
      </c>
      <c r="W79" s="213">
        <f>SUM(W78:W78)</f>
        <v>0</v>
      </c>
      <c r="X79" s="213">
        <f>SUM(X78:X78)</f>
        <v>12977.872563757501</v>
      </c>
      <c r="Y79" s="213">
        <f>SUM(Y78:Y78)</f>
        <v>12977.872563757501</v>
      </c>
      <c r="AA79" s="213">
        <f t="shared" ref="AA79:AF79" si="139">SUM(AA78:AA78)</f>
        <v>77867.235382545012</v>
      </c>
      <c r="AB79" s="213">
        <f t="shared" si="139"/>
        <v>0</v>
      </c>
      <c r="AC79" s="213">
        <f t="shared" si="139"/>
        <v>0</v>
      </c>
      <c r="AD79" s="213">
        <f t="shared" si="139"/>
        <v>81760.597151672264</v>
      </c>
      <c r="AE79" s="213">
        <f t="shared" si="139"/>
        <v>0</v>
      </c>
      <c r="AF79" s="213">
        <f t="shared" si="139"/>
        <v>0</v>
      </c>
      <c r="AH79" s="260"/>
      <c r="AJ79" s="213">
        <f t="shared" ref="AJ79:BK79" si="140">SUM(AJ78:AJ78)</f>
        <v>0</v>
      </c>
      <c r="AK79" s="213">
        <f t="shared" si="140"/>
        <v>0</v>
      </c>
      <c r="AL79" s="213">
        <f t="shared" si="140"/>
        <v>81760.597151672264</v>
      </c>
      <c r="AM79" s="213">
        <f t="shared" si="140"/>
        <v>81760.597151672264</v>
      </c>
      <c r="AN79" s="213">
        <f t="shared" si="140"/>
        <v>0</v>
      </c>
      <c r="AO79" s="213">
        <f t="shared" si="140"/>
        <v>0</v>
      </c>
      <c r="AP79" s="213">
        <f t="shared" si="140"/>
        <v>1038.2298051006001</v>
      </c>
      <c r="AQ79" s="213">
        <f t="shared" si="140"/>
        <v>1038.2298051006001</v>
      </c>
      <c r="AR79" s="213">
        <f t="shared" si="140"/>
        <v>0</v>
      </c>
      <c r="AS79" s="213">
        <f t="shared" si="140"/>
        <v>0</v>
      </c>
      <c r="AT79" s="213">
        <f t="shared" si="140"/>
        <v>6540.8477721337813</v>
      </c>
      <c r="AU79" s="213">
        <f t="shared" si="140"/>
        <v>6540.8477721337813</v>
      </c>
      <c r="AV79" s="213">
        <f t="shared" si="140"/>
        <v>0</v>
      </c>
      <c r="AW79" s="213">
        <f t="shared" si="140"/>
        <v>0</v>
      </c>
      <c r="AX79" s="213">
        <f t="shared" si="140"/>
        <v>1347.0362123802583</v>
      </c>
      <c r="AY79" s="213">
        <f t="shared" si="140"/>
        <v>1347.0362123802583</v>
      </c>
      <c r="AZ79" s="213">
        <f t="shared" si="140"/>
        <v>0</v>
      </c>
      <c r="BA79" s="213">
        <f t="shared" si="140"/>
        <v>0</v>
      </c>
      <c r="BB79" s="213">
        <f t="shared" si="140"/>
        <v>1489.3646187886563</v>
      </c>
      <c r="BC79" s="213">
        <f t="shared" si="140"/>
        <v>1489.3646187886563</v>
      </c>
      <c r="BD79" s="213">
        <f t="shared" si="140"/>
        <v>0</v>
      </c>
      <c r="BE79" s="213">
        <f t="shared" si="140"/>
        <v>0</v>
      </c>
      <c r="BF79" s="213">
        <f t="shared" si="140"/>
        <v>3200.0860229123432</v>
      </c>
      <c r="BG79" s="213">
        <f t="shared" si="140"/>
        <v>3200.0860229123432</v>
      </c>
      <c r="BH79" s="213">
        <f t="shared" si="140"/>
        <v>0</v>
      </c>
      <c r="BI79" s="213">
        <f t="shared" si="140"/>
        <v>0</v>
      </c>
      <c r="BJ79" s="213">
        <f t="shared" si="140"/>
        <v>5747.7305386671578</v>
      </c>
      <c r="BK79" s="213">
        <f t="shared" si="140"/>
        <v>5747.7305386671578</v>
      </c>
      <c r="BL79" s="192"/>
      <c r="BM79" s="183"/>
      <c r="BN79" s="90"/>
      <c r="BO79" s="192"/>
      <c r="BP79" s="192"/>
      <c r="BQ79" s="192"/>
      <c r="BR79" s="192"/>
      <c r="BS79" s="192">
        <f>+AM79-AD79-AE79-AF79</f>
        <v>0</v>
      </c>
      <c r="BT79" s="192">
        <f t="shared" si="137"/>
        <v>0</v>
      </c>
      <c r="BU79" s="192">
        <f t="shared" si="138"/>
        <v>0</v>
      </c>
      <c r="BV79" s="192"/>
      <c r="BW79" s="192"/>
      <c r="BX79" s="192"/>
      <c r="BY79" s="192"/>
    </row>
    <row r="80" spans="3:77" x14ac:dyDescent="0.25">
      <c r="C80" s="83" t="s">
        <v>282</v>
      </c>
      <c r="D80" s="83" t="s">
        <v>282</v>
      </c>
      <c r="E80" s="162" t="s">
        <v>281</v>
      </c>
      <c r="F80" s="182" t="s">
        <v>280</v>
      </c>
      <c r="G80" s="182"/>
      <c r="H80" s="143"/>
      <c r="I80" s="212"/>
      <c r="J80" s="147"/>
      <c r="K80" s="154"/>
      <c r="L80" s="153"/>
      <c r="Q80" s="186"/>
      <c r="R80" s="151"/>
      <c r="S80" s="150"/>
      <c r="T80" s="150"/>
      <c r="U80" s="150"/>
      <c r="V80" s="147"/>
      <c r="W80" s="147"/>
      <c r="X80" s="147"/>
      <c r="Y80" s="147"/>
      <c r="AH80" s="260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92"/>
      <c r="BM80" s="183"/>
      <c r="BN80" s="90"/>
      <c r="BO80" s="192"/>
      <c r="BP80" s="192"/>
      <c r="BQ80" s="192"/>
      <c r="BR80" s="192"/>
      <c r="BS80" s="192"/>
      <c r="BT80" s="192"/>
      <c r="BU80" s="192"/>
      <c r="BV80" s="192"/>
      <c r="BW80" s="192"/>
      <c r="BX80" s="192"/>
      <c r="BY80" s="192"/>
    </row>
    <row r="81" spans="3:77" x14ac:dyDescent="0.25">
      <c r="C81" t="s">
        <v>279</v>
      </c>
      <c r="D81" s="83"/>
      <c r="E81" s="162"/>
      <c r="F81" s="182"/>
      <c r="G81" s="182"/>
      <c r="H81" s="191" t="s">
        <v>387</v>
      </c>
      <c r="I81" s="190">
        <v>37472</v>
      </c>
      <c r="J81" s="185">
        <v>143071.22688368999</v>
      </c>
      <c r="K81" s="189">
        <v>1</v>
      </c>
      <c r="L81" s="188">
        <v>44986</v>
      </c>
      <c r="M81" s="150">
        <v>0.5</v>
      </c>
      <c r="N81" s="150">
        <v>0.5</v>
      </c>
      <c r="O81" s="150">
        <f>M81+N81</f>
        <v>1</v>
      </c>
      <c r="P81" s="187" t="s">
        <v>278</v>
      </c>
      <c r="Q81" s="186">
        <f>((13-MONTH(L81)-$AI$5))/12</f>
        <v>0.83333333333333337</v>
      </c>
      <c r="R81" s="151">
        <v>9</v>
      </c>
      <c r="S81" s="150">
        <v>0</v>
      </c>
      <c r="T81" s="150">
        <v>1</v>
      </c>
      <c r="U81" s="150">
        <f>+S81+T81</f>
        <v>1</v>
      </c>
      <c r="V81" s="147">
        <f>J81*N81*Q81</f>
        <v>59613.011201537498</v>
      </c>
      <c r="W81" s="147">
        <f>J81*M81*Q81*S81</f>
        <v>0</v>
      </c>
      <c r="X81" s="147">
        <f>J81*M81*Q81*T81</f>
        <v>59613.011201537498</v>
      </c>
      <c r="Y81" s="185">
        <f>V81+W81+X81</f>
        <v>119226.022403075</v>
      </c>
      <c r="Z81">
        <v>920</v>
      </c>
      <c r="AA81" s="184">
        <f>+J81*M81*T81</f>
        <v>71535.613441844995</v>
      </c>
      <c r="AB81" s="184">
        <f t="shared" ref="AB81:AB82" si="141">+J81*M81*S81</f>
        <v>0</v>
      </c>
      <c r="AC81" s="184">
        <f t="shared" ref="AC81:AC82" si="142">+J81*N81</f>
        <v>71535.613441844995</v>
      </c>
      <c r="AD81" s="184">
        <f>+AA81*(1+'SCHG2-19'!$M$12)</f>
        <v>75112.394113937247</v>
      </c>
      <c r="AE81" s="184">
        <f>+AB81*(1+'SCHG2-19'!$M$12)</f>
        <v>0</v>
      </c>
      <c r="AF81" s="184">
        <f>+AC81*(1+'SCHG2-19'!$M$12)</f>
        <v>75112.394113937247</v>
      </c>
      <c r="AH81" s="156"/>
      <c r="AI81" s="143"/>
      <c r="AJ81" s="261">
        <f>($J81*(1+'SCHG2-19'!$M$12))*$N81</f>
        <v>75112.394113937247</v>
      </c>
      <c r="AK81" s="261">
        <f>($J81*(1+'SCHG2-19'!$M$12))*$M81*S81</f>
        <v>0</v>
      </c>
      <c r="AL81" s="261">
        <f>($J81*(1+'SCHG2-19'!$M$12))*$M81*T81</f>
        <v>75112.394113937247</v>
      </c>
      <c r="AM81" s="185">
        <f t="shared" ref="AM81:AM82" si="143">AJ81+AK81+AL81</f>
        <v>150224.78822787449</v>
      </c>
      <c r="AN81" s="261">
        <f t="shared" ref="AN81:AN82" si="144">+V81*0.08</f>
        <v>4769.0408961229996</v>
      </c>
      <c r="AO81" s="261">
        <f t="shared" ref="AO81:AO82" si="145">+W81*0.08</f>
        <v>0</v>
      </c>
      <c r="AP81" s="261">
        <f t="shared" ref="AP81:AP82" si="146">+X81*0.08</f>
        <v>4769.0408961229996</v>
      </c>
      <c r="AQ81" s="185">
        <f t="shared" ref="AQ81:AQ82" si="147">AN81+AO81+AP81</f>
        <v>9538.0817922459992</v>
      </c>
      <c r="AR81" s="261">
        <f t="shared" ref="AR81:AR82" si="148">+AJ81*0.08</f>
        <v>6008.99152911498</v>
      </c>
      <c r="AS81" s="261">
        <f t="shared" ref="AS81:AS82" si="149">+AK81*0.08</f>
        <v>0</v>
      </c>
      <c r="AT81" s="261">
        <f t="shared" ref="AT81:AT82" si="150">+AL81*0.08</f>
        <v>6008.99152911498</v>
      </c>
      <c r="AU81" s="185">
        <f t="shared" ref="AU81:AU82" si="151">AR81+AS81+AT81</f>
        <v>12017.98305822996</v>
      </c>
      <c r="AV81" s="261">
        <f>(+V81/$Y$98)*('SCHG2-19'!$I$448*'SCHG2-19'!$K$15)</f>
        <v>6187.5229875312752</v>
      </c>
      <c r="AW81" s="261">
        <f>(+W81/$Y$98)*('SCHG2-19'!$I$448*'SCHG2-19'!$K$15)</f>
        <v>0</v>
      </c>
      <c r="AX81" s="261">
        <f>(+X81/$Y$98)*('SCHG2-19'!$I$448*'SCHG2-19'!$K$15)</f>
        <v>6187.5229875312752</v>
      </c>
      <c r="AY81" s="185">
        <f t="shared" ref="AY81:AY82" si="152">AV81+AW81+AX81</f>
        <v>12375.04597506255</v>
      </c>
      <c r="AZ81" s="261">
        <f>((+AJ81/($AM$98+$Y$178)*((('SCHG2-19'!$I$448*'SCHG2-19'!$K$15)+'SCHG2-19'!$I$448)*'SCHG2-19'!$M$15)))</f>
        <v>1368.2598479348237</v>
      </c>
      <c r="BA81" s="261">
        <f>((+AK81/($AM$98+$Y$178)*((('SCHG2-19'!$I$448*'SCHG2-19'!$K$15)+'SCHG2-19'!$I$448)*'SCHG2-19'!$M$15)))</f>
        <v>0</v>
      </c>
      <c r="BB81" s="261">
        <f>((+AL81/($AM$98+$Y$178)*((('SCHG2-19'!$I$448*'SCHG2-19'!$K$15)+'SCHG2-19'!$I$448)*'SCHG2-19'!$M$15)))</f>
        <v>1368.2598479348237</v>
      </c>
      <c r="BC81" s="185">
        <f t="shared" ref="BC81:BC82" si="153">AZ81+BA81+BB81</f>
        <v>2736.5196958696474</v>
      </c>
      <c r="BD81" s="261">
        <f>(+V81/$Y$98)*('SCHG2-19'!$K$448-'SCHG2-19'!$I$448-'IRR 202 Detail '!$AY$98)</f>
        <v>14699.386435840002</v>
      </c>
      <c r="BE81" s="261">
        <f>(+W81/$Y$98)*('SCHG2-19'!$K$448-'SCHG2-19'!$I$448-'IRR 202 Detail '!$AY$98)</f>
        <v>0</v>
      </c>
      <c r="BF81" s="261">
        <f>(+X81/$Y$98)*('SCHG2-19'!$K$448-'SCHG2-19'!$I$448-'IRR 202 Detail '!$AY$98)</f>
        <v>14699.386435840002</v>
      </c>
      <c r="BG81" s="185">
        <f t="shared" ref="BG81:BG82" si="154">BD81+BE81+BF81</f>
        <v>29398.772871680005</v>
      </c>
      <c r="BH81" s="261">
        <f>(+AJ81/($AM$98+$Y$178))*('SCHG2-19'!$M$448-'SCHG2-19'!$K$448-'IRR 202 Detail '!$BC$98-'IRR 202 Detail '!$AQ$178)</f>
        <v>5280.3650721899139</v>
      </c>
      <c r="BI81" s="261">
        <f>(+AK81/($AM$98+$Y$178))*('SCHG2-19'!$M$448-'SCHG2-19'!$K$448-'IRR 202 Detail '!$BC$98-'IRR 202 Detail '!$AQ$178)</f>
        <v>0</v>
      </c>
      <c r="BJ81" s="261">
        <f>(+AL81/($AM$98+$Y$178))*('SCHG2-19'!$M$448-'SCHG2-19'!$K$448-'IRR 202 Detail '!$BC$98-'IRR 202 Detail '!$AQ$178)</f>
        <v>5280.3650721899139</v>
      </c>
      <c r="BK81" s="185">
        <f t="shared" ref="BK81:BK82" si="155">BH81+BI81+BJ81</f>
        <v>10560.730144379828</v>
      </c>
      <c r="BL81" s="156"/>
      <c r="BM81" s="156"/>
      <c r="BN81" s="156"/>
      <c r="BO81" s="156"/>
      <c r="BP81" s="156"/>
      <c r="BQ81" s="156"/>
      <c r="BR81" s="156"/>
      <c r="BS81" s="192">
        <f>+AM81-AD81-AE81-AF81</f>
        <v>0</v>
      </c>
      <c r="BT81" s="192">
        <f t="shared" ref="BT81:BT83" si="156">+Y81*0.08-AQ81</f>
        <v>0</v>
      </c>
      <c r="BU81" s="192">
        <f t="shared" ref="BU81:BU83" si="157">+AM81*0.08-AU81</f>
        <v>0</v>
      </c>
      <c r="BV81" s="192"/>
      <c r="BW81" s="192"/>
      <c r="BX81" s="192"/>
      <c r="BY81" s="192"/>
    </row>
    <row r="82" spans="3:77" ht="30" x14ac:dyDescent="0.25">
      <c r="C82" s="83"/>
      <c r="D82" s="83"/>
      <c r="E82" s="162"/>
      <c r="F82" s="182"/>
      <c r="G82" s="182"/>
      <c r="H82" s="191" t="s">
        <v>394</v>
      </c>
      <c r="I82" s="190" t="s">
        <v>270</v>
      </c>
      <c r="J82" s="185">
        <v>143071.22688368999</v>
      </c>
      <c r="K82" s="189">
        <v>1</v>
      </c>
      <c r="L82" s="188">
        <v>45231</v>
      </c>
      <c r="M82" s="150">
        <v>0.7</v>
      </c>
      <c r="N82" s="150">
        <v>0.3</v>
      </c>
      <c r="O82" s="150">
        <f>M82+N82</f>
        <v>1</v>
      </c>
      <c r="P82" s="187" t="s">
        <v>278</v>
      </c>
      <c r="Q82" s="186">
        <f>((13-MONTH(L82)-$AI$5))/12</f>
        <v>0.16666666666666666</v>
      </c>
      <c r="R82" s="151">
        <v>9</v>
      </c>
      <c r="S82" s="150">
        <v>0</v>
      </c>
      <c r="T82" s="150">
        <v>1</v>
      </c>
      <c r="U82" s="150">
        <f>+S82+T82</f>
        <v>1</v>
      </c>
      <c r="V82" s="147">
        <f>J82*N82*Q82</f>
        <v>7153.5613441844989</v>
      </c>
      <c r="W82" s="147">
        <f>J82*M82*Q82*S82</f>
        <v>0</v>
      </c>
      <c r="X82" s="147">
        <f>J82*M82*Q82*T82</f>
        <v>16691.643136430495</v>
      </c>
      <c r="Y82" s="185">
        <f>V82+W82+X82</f>
        <v>23845.204480614993</v>
      </c>
      <c r="Z82">
        <v>920</v>
      </c>
      <c r="AA82" s="184">
        <f>+J82*M82*T82</f>
        <v>100149.85881858299</v>
      </c>
      <c r="AB82" s="184">
        <f t="shared" si="141"/>
        <v>0</v>
      </c>
      <c r="AC82" s="184">
        <f t="shared" si="142"/>
        <v>42921.368065106995</v>
      </c>
      <c r="AD82" s="184">
        <f>+AA82*(1+'SCHG2-19'!$M$12)</f>
        <v>105157.35175951214</v>
      </c>
      <c r="AE82" s="184">
        <f>+AB82*(1+'SCHG2-19'!$M$12)</f>
        <v>0</v>
      </c>
      <c r="AF82" s="184">
        <f>+AC82*(1+'SCHG2-19'!$M$12)</f>
        <v>45067.43646836235</v>
      </c>
      <c r="AH82" s="150"/>
      <c r="AI82" s="143"/>
      <c r="AJ82" s="261">
        <f>($J82*(1+'SCHG2-19'!$M$12))*$N82</f>
        <v>45067.43646836235</v>
      </c>
      <c r="AK82" s="261">
        <f>($J82*(1+'SCHG2-19'!$M$12))*$M82*S82</f>
        <v>0</v>
      </c>
      <c r="AL82" s="261">
        <f>($J82*(1+'SCHG2-19'!$M$12))*$M82*T82</f>
        <v>105157.35175951214</v>
      </c>
      <c r="AM82" s="185">
        <f t="shared" si="143"/>
        <v>150224.78822787449</v>
      </c>
      <c r="AN82" s="261">
        <f t="shared" si="144"/>
        <v>572.2849075347599</v>
      </c>
      <c r="AO82" s="261">
        <f t="shared" si="145"/>
        <v>0</v>
      </c>
      <c r="AP82" s="261">
        <f t="shared" si="146"/>
        <v>1335.3314509144398</v>
      </c>
      <c r="AQ82" s="185">
        <f t="shared" si="147"/>
        <v>1907.6163584491997</v>
      </c>
      <c r="AR82" s="261">
        <f t="shared" si="148"/>
        <v>3605.3949174689878</v>
      </c>
      <c r="AS82" s="261">
        <f t="shared" si="149"/>
        <v>0</v>
      </c>
      <c r="AT82" s="261">
        <f t="shared" si="150"/>
        <v>8412.5881407609704</v>
      </c>
      <c r="AU82" s="185">
        <f t="shared" si="151"/>
        <v>12017.983058229958</v>
      </c>
      <c r="AV82" s="261">
        <f>(+V82/$Y$98)*('SCHG2-19'!$I$448*'SCHG2-19'!$K$15)</f>
        <v>742.50275850375306</v>
      </c>
      <c r="AW82" s="261">
        <f>(+W82/$Y$98)*('SCHG2-19'!$I$448*'SCHG2-19'!$K$15)</f>
        <v>0</v>
      </c>
      <c r="AX82" s="261">
        <f>(+X82/$Y$98)*('SCHG2-19'!$I$448*'SCHG2-19'!$K$15)</f>
        <v>1732.5064365087567</v>
      </c>
      <c r="AY82" s="185">
        <f t="shared" si="152"/>
        <v>2475.0091950125097</v>
      </c>
      <c r="AZ82" s="261">
        <f>((+AJ82/($AM$98+$Y$178)*((('SCHG2-19'!$I$448*'SCHG2-19'!$K$15)+'SCHG2-19'!$I$448)*'SCHG2-19'!$M$15)))</f>
        <v>820.9559087608942</v>
      </c>
      <c r="BA82" s="261">
        <f>((+AK82/($AM$98+$Y$178)*((('SCHG2-19'!$I$448*'SCHG2-19'!$K$15)+'SCHG2-19'!$I$448)*'SCHG2-19'!$M$15)))</f>
        <v>0</v>
      </c>
      <c r="BB82" s="261">
        <f>((+AL82/($AM$98+$Y$178)*((('SCHG2-19'!$I$448*'SCHG2-19'!$K$15)+'SCHG2-19'!$I$448)*'SCHG2-19'!$M$15)))</f>
        <v>1915.5637871087529</v>
      </c>
      <c r="BC82" s="185">
        <f t="shared" si="153"/>
        <v>2736.519695869647</v>
      </c>
      <c r="BD82" s="261">
        <f>(+V82/$Y$98)*('SCHG2-19'!$K$448-'SCHG2-19'!$I$448-'IRR 202 Detail '!$AY$98)</f>
        <v>1763.9263723008</v>
      </c>
      <c r="BE82" s="261">
        <f>(+W82/$Y$98)*('SCHG2-19'!$K$448-'SCHG2-19'!$I$448-'IRR 202 Detail '!$AY$98)</f>
        <v>0</v>
      </c>
      <c r="BF82" s="261">
        <f>(+X82/$Y$98)*('SCHG2-19'!$K$448-'SCHG2-19'!$I$448-'IRR 202 Detail '!$AY$98)</f>
        <v>4115.8282020351999</v>
      </c>
      <c r="BG82" s="185">
        <f t="shared" si="154"/>
        <v>5879.7545743359997</v>
      </c>
      <c r="BH82" s="261">
        <f>(+AJ82/($AM$98+$Y$178))*('SCHG2-19'!$M$448-'SCHG2-19'!$K$448-'IRR 202 Detail '!$BC$98-'IRR 202 Detail '!$AQ$178)</f>
        <v>3168.2190433139485</v>
      </c>
      <c r="BI82" s="261">
        <f>(+AK82/($AM$98+$Y$178))*('SCHG2-19'!$M$448-'SCHG2-19'!$K$448-'IRR 202 Detail '!$BC$98-'IRR 202 Detail '!$AQ$178)</f>
        <v>0</v>
      </c>
      <c r="BJ82" s="261">
        <f>(+AL82/($AM$98+$Y$178))*('SCHG2-19'!$M$448-'SCHG2-19'!$K$448-'IRR 202 Detail '!$BC$98-'IRR 202 Detail '!$AQ$178)</f>
        <v>7392.5111010658784</v>
      </c>
      <c r="BK82" s="185">
        <f t="shared" si="155"/>
        <v>10560.730144379828</v>
      </c>
      <c r="BS82" s="192">
        <f>+AM82-AD82-AE82-AF82</f>
        <v>0</v>
      </c>
      <c r="BT82" s="192">
        <f t="shared" si="156"/>
        <v>0</v>
      </c>
      <c r="BU82" s="192">
        <f t="shared" si="157"/>
        <v>0</v>
      </c>
      <c r="BV82" s="192"/>
      <c r="BW82" s="192"/>
      <c r="BX82" s="192"/>
      <c r="BY82" s="192"/>
    </row>
    <row r="83" spans="3:77" x14ac:dyDescent="0.25">
      <c r="C83" t="s">
        <v>277</v>
      </c>
      <c r="D83" t="s">
        <v>277</v>
      </c>
      <c r="E83" s="162" t="s">
        <v>276</v>
      </c>
      <c r="F83" s="182" t="s">
        <v>275</v>
      </c>
      <c r="G83" s="182"/>
      <c r="H83" s="211" t="s">
        <v>373</v>
      </c>
      <c r="I83" s="210"/>
      <c r="J83" s="205">
        <f>SUM(J81:J82)</f>
        <v>286142.45376737998</v>
      </c>
      <c r="K83" s="209">
        <f>SUM(K81:K82)</f>
        <v>2</v>
      </c>
      <c r="L83" s="207"/>
      <c r="M83" s="208"/>
      <c r="N83" s="208"/>
      <c r="O83" s="208"/>
      <c r="P83" s="208"/>
      <c r="Q83" s="207"/>
      <c r="R83" s="207"/>
      <c r="S83" s="206"/>
      <c r="T83" s="206"/>
      <c r="U83" s="206"/>
      <c r="V83" s="205">
        <f>SUM(V81:V82)</f>
        <v>66766.572545721996</v>
      </c>
      <c r="W83" s="205">
        <f>SUM(W81:W82)</f>
        <v>0</v>
      </c>
      <c r="X83" s="205">
        <f>SUM(X81:X82)</f>
        <v>76304.654337967993</v>
      </c>
      <c r="Y83" s="205">
        <f>SUM(Y81:Y82)</f>
        <v>143071.22688368999</v>
      </c>
      <c r="AA83" s="205">
        <f t="shared" ref="AA83:AF83" si="158">SUM(AA81:AA82)</f>
        <v>171685.47226042798</v>
      </c>
      <c r="AB83" s="205">
        <f t="shared" si="158"/>
        <v>0</v>
      </c>
      <c r="AC83" s="205">
        <f t="shared" si="158"/>
        <v>114456.981506952</v>
      </c>
      <c r="AD83" s="205">
        <f t="shared" si="158"/>
        <v>180269.74587344937</v>
      </c>
      <c r="AE83" s="205">
        <f t="shared" si="158"/>
        <v>0</v>
      </c>
      <c r="AF83" s="205">
        <f t="shared" si="158"/>
        <v>120179.83058229959</v>
      </c>
      <c r="AH83" s="260"/>
      <c r="AJ83" s="205">
        <f t="shared" ref="AJ83:BK83" si="159">SUM(AJ81:AJ82)</f>
        <v>120179.83058229959</v>
      </c>
      <c r="AK83" s="205">
        <f t="shared" si="159"/>
        <v>0</v>
      </c>
      <c r="AL83" s="205">
        <f t="shared" si="159"/>
        <v>180269.74587344937</v>
      </c>
      <c r="AM83" s="205">
        <f t="shared" si="159"/>
        <v>300449.57645574899</v>
      </c>
      <c r="AN83" s="205">
        <f t="shared" si="159"/>
        <v>5341.325803657759</v>
      </c>
      <c r="AO83" s="205">
        <f t="shared" si="159"/>
        <v>0</v>
      </c>
      <c r="AP83" s="205">
        <f t="shared" si="159"/>
        <v>6104.3723470374389</v>
      </c>
      <c r="AQ83" s="205">
        <f t="shared" si="159"/>
        <v>11445.6981506952</v>
      </c>
      <c r="AR83" s="205">
        <f t="shared" si="159"/>
        <v>9614.3864465839688</v>
      </c>
      <c r="AS83" s="205">
        <f t="shared" si="159"/>
        <v>0</v>
      </c>
      <c r="AT83" s="205">
        <f t="shared" si="159"/>
        <v>14421.579669875951</v>
      </c>
      <c r="AU83" s="205">
        <f t="shared" si="159"/>
        <v>24035.966116459917</v>
      </c>
      <c r="AV83" s="205">
        <f t="shared" si="159"/>
        <v>6930.0257460350285</v>
      </c>
      <c r="AW83" s="205">
        <f t="shared" si="159"/>
        <v>0</v>
      </c>
      <c r="AX83" s="205">
        <f t="shared" si="159"/>
        <v>7920.0294240400317</v>
      </c>
      <c r="AY83" s="205">
        <f t="shared" si="159"/>
        <v>14850.05517007506</v>
      </c>
      <c r="AZ83" s="205">
        <f t="shared" si="159"/>
        <v>2189.215756695718</v>
      </c>
      <c r="BA83" s="205">
        <f t="shared" si="159"/>
        <v>0</v>
      </c>
      <c r="BB83" s="205">
        <f t="shared" si="159"/>
        <v>3283.8236350435764</v>
      </c>
      <c r="BC83" s="205">
        <f t="shared" si="159"/>
        <v>5473.0393917392939</v>
      </c>
      <c r="BD83" s="205">
        <f t="shared" si="159"/>
        <v>16463.312808140803</v>
      </c>
      <c r="BE83" s="205">
        <f t="shared" si="159"/>
        <v>0</v>
      </c>
      <c r="BF83" s="205">
        <f t="shared" si="159"/>
        <v>18815.2146378752</v>
      </c>
      <c r="BG83" s="205">
        <f t="shared" si="159"/>
        <v>35278.527446016007</v>
      </c>
      <c r="BH83" s="205">
        <f t="shared" si="159"/>
        <v>8448.5841155038615</v>
      </c>
      <c r="BI83" s="205">
        <f t="shared" si="159"/>
        <v>0</v>
      </c>
      <c r="BJ83" s="205">
        <f t="shared" si="159"/>
        <v>12672.876173255792</v>
      </c>
      <c r="BK83" s="205">
        <f t="shared" si="159"/>
        <v>21121.460288759656</v>
      </c>
      <c r="BL83" s="192"/>
      <c r="BM83" s="183"/>
      <c r="BN83" s="90"/>
      <c r="BO83" s="192"/>
      <c r="BP83" s="192"/>
      <c r="BQ83" s="192"/>
      <c r="BR83" s="192"/>
      <c r="BS83" s="192">
        <f>+AM83-AD83-AE83-AF83</f>
        <v>0</v>
      </c>
      <c r="BT83" s="192">
        <f t="shared" si="156"/>
        <v>0</v>
      </c>
      <c r="BU83" s="192">
        <f t="shared" si="157"/>
        <v>0</v>
      </c>
      <c r="BV83" s="192"/>
      <c r="BW83" s="192"/>
      <c r="BX83" s="192"/>
      <c r="BY83" s="192"/>
    </row>
    <row r="84" spans="3:77" x14ac:dyDescent="0.25">
      <c r="C84" t="s">
        <v>277</v>
      </c>
      <c r="D84" t="s">
        <v>277</v>
      </c>
      <c r="E84" s="162" t="s">
        <v>276</v>
      </c>
      <c r="F84" s="182" t="s">
        <v>275</v>
      </c>
      <c r="G84" s="182"/>
      <c r="H84" s="187"/>
      <c r="I84" s="190"/>
      <c r="J84" s="185"/>
      <c r="K84" s="189"/>
      <c r="L84" s="204"/>
      <c r="M84" s="150"/>
      <c r="N84" s="150"/>
      <c r="O84" s="150"/>
      <c r="P84" s="187"/>
      <c r="Q84" s="186"/>
      <c r="R84" s="152"/>
      <c r="S84" s="150"/>
      <c r="T84" s="150"/>
      <c r="U84" s="150"/>
      <c r="V84" s="150"/>
      <c r="W84" s="150"/>
      <c r="X84" s="150"/>
      <c r="Y84" s="150"/>
      <c r="AH84" s="26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92"/>
      <c r="BM84" s="183"/>
      <c r="BN84" s="90"/>
      <c r="BO84" s="192"/>
      <c r="BP84" s="192"/>
      <c r="BQ84" s="192"/>
      <c r="BR84" s="192"/>
      <c r="BS84" s="192"/>
      <c r="BT84" s="192"/>
      <c r="BU84" s="192"/>
      <c r="BV84" s="192"/>
      <c r="BW84" s="192"/>
      <c r="BX84" s="192"/>
      <c r="BY84" s="192"/>
    </row>
    <row r="85" spans="3:77" x14ac:dyDescent="0.25">
      <c r="C85" t="s">
        <v>277</v>
      </c>
      <c r="D85" t="s">
        <v>277</v>
      </c>
      <c r="E85" s="162" t="s">
        <v>276</v>
      </c>
      <c r="F85" s="182" t="s">
        <v>275</v>
      </c>
      <c r="G85" s="182"/>
      <c r="H85" s="191" t="s">
        <v>388</v>
      </c>
      <c r="I85" s="190">
        <v>39092</v>
      </c>
      <c r="J85" s="185">
        <v>92933.872236135008</v>
      </c>
      <c r="K85" s="189">
        <v>1</v>
      </c>
      <c r="L85" s="188">
        <v>44958</v>
      </c>
      <c r="M85" s="150">
        <v>1</v>
      </c>
      <c r="N85" s="150">
        <v>0</v>
      </c>
      <c r="O85" s="150">
        <f t="shared" ref="O85:O90" si="160">M85+N85</f>
        <v>1</v>
      </c>
      <c r="P85" s="187"/>
      <c r="Q85" s="186">
        <f t="shared" ref="Q85:Q90" si="161">((13-MONTH(L85)-$AI$5))/12</f>
        <v>0.91666666666666663</v>
      </c>
      <c r="R85" s="152">
        <v>6</v>
      </c>
      <c r="S85" s="150">
        <v>0</v>
      </c>
      <c r="T85" s="150">
        <v>1</v>
      </c>
      <c r="U85" s="150">
        <f t="shared" ref="U85:U90" si="162">+S85+T85</f>
        <v>1</v>
      </c>
      <c r="V85" s="147">
        <f t="shared" ref="V85:V90" si="163">J85*N85*Q85</f>
        <v>0</v>
      </c>
      <c r="W85" s="147">
        <f t="shared" ref="W85:W90" si="164">J85*M85*Q85*S85</f>
        <v>0</v>
      </c>
      <c r="X85" s="147">
        <f t="shared" ref="X85:X90" si="165">J85*M85*Q85*T85</f>
        <v>85189.382883123748</v>
      </c>
      <c r="Y85" s="185">
        <f t="shared" ref="Y85:Y90" si="166">V85+W85+X85</f>
        <v>85189.382883123748</v>
      </c>
      <c r="Z85">
        <v>920</v>
      </c>
      <c r="AA85" s="184">
        <f t="shared" ref="AA85:AA90" si="167">+J85*M85*T85</f>
        <v>92933.872236135008</v>
      </c>
      <c r="AB85" s="184">
        <f t="shared" ref="AB85:AB90" si="168">+J85*M85*S85</f>
        <v>0</v>
      </c>
      <c r="AC85" s="184">
        <f t="shared" ref="AC85:AC90" si="169">+J85*N85</f>
        <v>0</v>
      </c>
      <c r="AD85" s="184">
        <f>+AA85*(1+'SCHG2-19'!$M$12)</f>
        <v>97580.565847941762</v>
      </c>
      <c r="AE85" s="184">
        <f>+AB85*(1+'SCHG2-19'!$M$12)</f>
        <v>0</v>
      </c>
      <c r="AF85" s="184">
        <f>+AC85*(1+'SCHG2-19'!$M$12)</f>
        <v>0</v>
      </c>
      <c r="AH85" s="260"/>
      <c r="AJ85" s="261">
        <f>($J85*(1+'SCHG2-19'!$M$12))*$N85</f>
        <v>0</v>
      </c>
      <c r="AK85" s="261">
        <f>($J85*(1+'SCHG2-19'!$M$12))*$M85*S85</f>
        <v>0</v>
      </c>
      <c r="AL85" s="261">
        <f>($J85*(1+'SCHG2-19'!$M$12))*$M85*T85</f>
        <v>97580.565847941762</v>
      </c>
      <c r="AM85" s="185">
        <f t="shared" ref="AM85:AM90" si="170">AJ85+AK85+AL85</f>
        <v>97580.565847941762</v>
      </c>
      <c r="AN85" s="261">
        <f t="shared" ref="AN85:AN90" si="171">+V85*0.08</f>
        <v>0</v>
      </c>
      <c r="AO85" s="261">
        <f t="shared" ref="AO85:AO90" si="172">+W85*0.08</f>
        <v>0</v>
      </c>
      <c r="AP85" s="261">
        <f t="shared" ref="AP85:AP90" si="173">+X85*0.08</f>
        <v>6815.1506306498995</v>
      </c>
      <c r="AQ85" s="185">
        <f t="shared" ref="AQ85:AQ90" si="174">AN85+AO85+AP85</f>
        <v>6815.1506306498995</v>
      </c>
      <c r="AR85" s="261">
        <f t="shared" ref="AR85:AR90" si="175">+AJ85*0.08</f>
        <v>0</v>
      </c>
      <c r="AS85" s="261">
        <f t="shared" ref="AS85:AS90" si="176">+AK85*0.08</f>
        <v>0</v>
      </c>
      <c r="AT85" s="261">
        <f t="shared" ref="AT85:AT90" si="177">+AL85*0.08</f>
        <v>7806.4452678353409</v>
      </c>
      <c r="AU85" s="185">
        <f t="shared" ref="AU85:AU90" si="178">AR85+AS85+AT85</f>
        <v>7806.4452678353409</v>
      </c>
      <c r="AV85" s="261">
        <f>(+V85/$Y$98)*('SCHG2-19'!$I$448*'SCHG2-19'!$K$15)</f>
        <v>0</v>
      </c>
      <c r="AW85" s="261">
        <f>(+W85/$Y$98)*('SCHG2-19'!$I$448*'SCHG2-19'!$K$15)</f>
        <v>0</v>
      </c>
      <c r="AX85" s="261">
        <f>(+X85/$Y$98)*('SCHG2-19'!$I$448*'SCHG2-19'!$K$15)</f>
        <v>8842.2184059935007</v>
      </c>
      <c r="AY85" s="185">
        <f t="shared" ref="AY85:AY90" si="179">AV85+AW85+AX85</f>
        <v>8842.2184059935007</v>
      </c>
      <c r="AZ85" s="261">
        <f>((+AJ85/($AM$98+$Y$178)*((('SCHG2-19'!$I$448*'SCHG2-19'!$K$15)+'SCHG2-19'!$I$448)*'SCHG2-19'!$M$15)))</f>
        <v>0</v>
      </c>
      <c r="BA85" s="261">
        <f>((+AK85/($AM$98+$Y$178)*((('SCHG2-19'!$I$448*'SCHG2-19'!$K$15)+'SCHG2-19'!$I$448)*'SCHG2-19'!$M$15)))</f>
        <v>0</v>
      </c>
      <c r="BB85" s="261">
        <f>((+AL85/($AM$98+$Y$178)*((('SCHG2-19'!$I$448*'SCHG2-19'!$K$15)+'SCHG2-19'!$I$448)*'SCHG2-19'!$M$15)))</f>
        <v>1777.5437963802669</v>
      </c>
      <c r="BC85" s="185">
        <f t="shared" ref="BC85:BC90" si="180">AZ85+BA85+BB85</f>
        <v>1777.5437963802669</v>
      </c>
      <c r="BD85" s="261">
        <f>(+V85/$Y$98)*('SCHG2-19'!$K$448-'SCHG2-19'!$I$448-'IRR 202 Detail '!$AY$98)</f>
        <v>0</v>
      </c>
      <c r="BE85" s="261">
        <f>(+W85/$Y$98)*('SCHG2-19'!$K$448-'SCHG2-19'!$I$448-'IRR 202 Detail '!$AY$98)</f>
        <v>0</v>
      </c>
      <c r="BF85" s="261">
        <f>(+X85/$Y$98)*('SCHG2-19'!$K$448-'SCHG2-19'!$I$448-'IRR 202 Detail '!$AY$98)</f>
        <v>21006.012512876936</v>
      </c>
      <c r="BG85" s="185">
        <f t="shared" ref="BG85:BG90" si="181">BD85+BE85+BF85</f>
        <v>21006.012512876936</v>
      </c>
      <c r="BH85" s="261">
        <f>(+AJ85/($AM$98+$Y$178))*('SCHG2-19'!$M$448-'SCHG2-19'!$K$448-'IRR 202 Detail '!$BC$98-'IRR 202 Detail '!$AQ$178)</f>
        <v>0</v>
      </c>
      <c r="BI85" s="261">
        <f>(+AK85/($AM$98+$Y$178))*('SCHG2-19'!$M$448-'SCHG2-19'!$K$448-'IRR 202 Detail '!$BC$98-'IRR 202 Detail '!$AQ$178)</f>
        <v>0</v>
      </c>
      <c r="BJ85" s="261">
        <f>(+AL85/($AM$98+$Y$178))*('SCHG2-19'!$M$448-'SCHG2-19'!$K$448-'IRR 202 Detail '!$BC$98-'IRR 202 Detail '!$AQ$178)</f>
        <v>6859.8667065039263</v>
      </c>
      <c r="BK85" s="185">
        <f t="shared" ref="BK85:BK90" si="182">BH85+BI85+BJ85</f>
        <v>6859.8667065039263</v>
      </c>
      <c r="BL85" s="192"/>
      <c r="BM85" s="183"/>
      <c r="BN85" s="90"/>
      <c r="BO85" s="192"/>
      <c r="BP85" s="192"/>
      <c r="BQ85" s="192"/>
      <c r="BR85" s="192"/>
      <c r="BS85" s="192">
        <f t="shared" ref="BS85:BS91" si="183">+AM85-AD85-AE85-AF85</f>
        <v>0</v>
      </c>
      <c r="BT85" s="192">
        <f t="shared" ref="BT85:BT91" si="184">+Y85*0.08-AQ85</f>
        <v>0</v>
      </c>
      <c r="BU85" s="192">
        <f t="shared" ref="BU85:BU91" si="185">+AM85*0.08-AU85</f>
        <v>0</v>
      </c>
      <c r="BV85" s="192"/>
      <c r="BW85" s="192"/>
      <c r="BX85" s="192"/>
      <c r="BY85" s="192"/>
    </row>
    <row r="86" spans="3:77" x14ac:dyDescent="0.25">
      <c r="C86" t="s">
        <v>277</v>
      </c>
      <c r="D86" t="s">
        <v>277</v>
      </c>
      <c r="E86" s="162" t="s">
        <v>276</v>
      </c>
      <c r="F86" s="182" t="s">
        <v>275</v>
      </c>
      <c r="G86" s="182"/>
      <c r="H86" s="191" t="s">
        <v>245</v>
      </c>
      <c r="I86" s="190" t="s">
        <v>270</v>
      </c>
      <c r="J86" s="185">
        <v>42942.13657314</v>
      </c>
      <c r="K86" s="189">
        <v>1</v>
      </c>
      <c r="L86" s="188">
        <v>45231</v>
      </c>
      <c r="M86" s="150">
        <v>1</v>
      </c>
      <c r="N86" s="150">
        <v>0</v>
      </c>
      <c r="O86" s="150">
        <f t="shared" si="160"/>
        <v>1</v>
      </c>
      <c r="P86" s="187"/>
      <c r="Q86" s="186">
        <f t="shared" si="161"/>
        <v>0.16666666666666666</v>
      </c>
      <c r="R86" s="152">
        <v>1</v>
      </c>
      <c r="S86" s="150">
        <v>0</v>
      </c>
      <c r="T86" s="150">
        <v>1</v>
      </c>
      <c r="U86" s="150">
        <f t="shared" si="162"/>
        <v>1</v>
      </c>
      <c r="V86" s="147">
        <f t="shared" si="163"/>
        <v>0</v>
      </c>
      <c r="W86" s="147">
        <f t="shared" si="164"/>
        <v>0</v>
      </c>
      <c r="X86" s="147">
        <f t="shared" si="165"/>
        <v>7157.0227621899994</v>
      </c>
      <c r="Y86" s="185">
        <f t="shared" si="166"/>
        <v>7157.0227621899994</v>
      </c>
      <c r="Z86">
        <v>920</v>
      </c>
      <c r="AA86" s="184">
        <f t="shared" si="167"/>
        <v>42942.13657314</v>
      </c>
      <c r="AB86" s="184">
        <f t="shared" si="168"/>
        <v>0</v>
      </c>
      <c r="AC86" s="184">
        <f t="shared" si="169"/>
        <v>0</v>
      </c>
      <c r="AD86" s="184">
        <f>+AA86*(1+'SCHG2-19'!$M$12)</f>
        <v>45089.243401797001</v>
      </c>
      <c r="AE86" s="184">
        <f>+AB86*(1+'SCHG2-19'!$M$12)</f>
        <v>0</v>
      </c>
      <c r="AF86" s="184">
        <f>+AC86*(1+'SCHG2-19'!$M$12)</f>
        <v>0</v>
      </c>
      <c r="AH86" s="260"/>
      <c r="AJ86" s="261">
        <f>($J86*(1+'SCHG2-19'!$M$12))*$N86</f>
        <v>0</v>
      </c>
      <c r="AK86" s="261">
        <f>($J86*(1+'SCHG2-19'!$M$12))*$M86*S86</f>
        <v>0</v>
      </c>
      <c r="AL86" s="261">
        <f>($J86*(1+'SCHG2-19'!$M$12))*$M86*T86</f>
        <v>45089.243401797001</v>
      </c>
      <c r="AM86" s="185">
        <f t="shared" si="170"/>
        <v>45089.243401797001</v>
      </c>
      <c r="AN86" s="261">
        <f t="shared" si="171"/>
        <v>0</v>
      </c>
      <c r="AO86" s="261">
        <f t="shared" si="172"/>
        <v>0</v>
      </c>
      <c r="AP86" s="261">
        <f t="shared" si="173"/>
        <v>572.56182097520002</v>
      </c>
      <c r="AQ86" s="185">
        <f t="shared" si="174"/>
        <v>572.56182097520002</v>
      </c>
      <c r="AR86" s="261">
        <f t="shared" si="175"/>
        <v>0</v>
      </c>
      <c r="AS86" s="261">
        <f t="shared" si="176"/>
        <v>0</v>
      </c>
      <c r="AT86" s="261">
        <f t="shared" si="177"/>
        <v>3607.13947214376</v>
      </c>
      <c r="AU86" s="185">
        <f t="shared" si="178"/>
        <v>3607.13947214376</v>
      </c>
      <c r="AV86" s="261">
        <f>(+V86/$Y$98)*('SCHG2-19'!$I$448*'SCHG2-19'!$K$15)</f>
        <v>0</v>
      </c>
      <c r="AW86" s="261">
        <f>(+W86/$Y$98)*('SCHG2-19'!$I$448*'SCHG2-19'!$K$15)</f>
        <v>0</v>
      </c>
      <c r="AX86" s="261">
        <f>(+X86/$Y$98)*('SCHG2-19'!$I$448*'SCHG2-19'!$K$15)</f>
        <v>742.8620358334299</v>
      </c>
      <c r="AY86" s="185">
        <f t="shared" si="179"/>
        <v>742.8620358334299</v>
      </c>
      <c r="AZ86" s="261">
        <f>((+AJ86/($AM$98+$Y$178)*((('SCHG2-19'!$I$448*'SCHG2-19'!$K$15)+'SCHG2-19'!$I$448)*'SCHG2-19'!$M$15)))</f>
        <v>0</v>
      </c>
      <c r="BA86" s="261">
        <f>((+AK86/($AM$98+$Y$178)*((('SCHG2-19'!$I$448*'SCHG2-19'!$K$15)+'SCHG2-19'!$I$448)*'SCHG2-19'!$M$15)))</f>
        <v>0</v>
      </c>
      <c r="BB86" s="261">
        <f>((+AL86/($AM$98+$Y$178)*((('SCHG2-19'!$I$448*'SCHG2-19'!$K$15)+'SCHG2-19'!$I$448)*'SCHG2-19'!$M$15)))</f>
        <v>821.35314748264182</v>
      </c>
      <c r="BC86" s="185">
        <f t="shared" si="180"/>
        <v>821.35314748264182</v>
      </c>
      <c r="BD86" s="261">
        <f>(+V86/$Y$98)*('SCHG2-19'!$K$448-'SCHG2-19'!$I$448-'IRR 202 Detail '!$AY$98)</f>
        <v>0</v>
      </c>
      <c r="BE86" s="261">
        <f>(+W86/$Y$98)*('SCHG2-19'!$K$448-'SCHG2-19'!$I$448-'IRR 202 Detail '!$AY$98)</f>
        <v>0</v>
      </c>
      <c r="BF86" s="261">
        <f>(+X86/$Y$98)*('SCHG2-19'!$K$448-'SCHG2-19'!$I$448-'IRR 202 Detail '!$AY$98)</f>
        <v>1764.7798893410115</v>
      </c>
      <c r="BG86" s="185">
        <f t="shared" si="181"/>
        <v>1764.7798893410115</v>
      </c>
      <c r="BH86" s="261">
        <f>(+AJ86/($AM$98+$Y$178))*('SCHG2-19'!$M$448-'SCHG2-19'!$K$448-'IRR 202 Detail '!$BC$98-'IRR 202 Detail '!$AQ$178)</f>
        <v>0</v>
      </c>
      <c r="BI86" s="261">
        <f>(+AK86/($AM$98+$Y$178))*('SCHG2-19'!$M$448-'SCHG2-19'!$K$448-'IRR 202 Detail '!$BC$98-'IRR 202 Detail '!$AQ$178)</f>
        <v>0</v>
      </c>
      <c r="BJ86" s="261">
        <f>(+AL86/($AM$98+$Y$178))*('SCHG2-19'!$M$448-'SCHG2-19'!$K$448-'IRR 202 Detail '!$BC$98-'IRR 202 Detail '!$AQ$178)</f>
        <v>3169.7520602147974</v>
      </c>
      <c r="BK86" s="185">
        <f t="shared" si="182"/>
        <v>3169.7520602147974</v>
      </c>
      <c r="BL86" s="192"/>
      <c r="BM86" s="183"/>
      <c r="BN86" s="90"/>
      <c r="BO86" s="192"/>
      <c r="BP86" s="192"/>
      <c r="BQ86" s="192"/>
      <c r="BR86" s="192"/>
      <c r="BS86" s="192">
        <f t="shared" si="183"/>
        <v>0</v>
      </c>
      <c r="BT86" s="192">
        <f t="shared" si="184"/>
        <v>0</v>
      </c>
      <c r="BU86" s="192">
        <f t="shared" si="185"/>
        <v>0</v>
      </c>
      <c r="BV86" s="192"/>
      <c r="BW86" s="192"/>
      <c r="BX86" s="192"/>
      <c r="BY86" s="192"/>
    </row>
    <row r="87" spans="3:77" x14ac:dyDescent="0.25">
      <c r="C87" t="s">
        <v>277</v>
      </c>
      <c r="D87" t="s">
        <v>277</v>
      </c>
      <c r="E87" s="162" t="s">
        <v>276</v>
      </c>
      <c r="F87" s="182" t="s">
        <v>275</v>
      </c>
      <c r="G87" s="182"/>
      <c r="H87" s="191" t="s">
        <v>246</v>
      </c>
      <c r="I87" s="190" t="s">
        <v>270</v>
      </c>
      <c r="J87" s="185">
        <v>127680.63578256001</v>
      </c>
      <c r="K87" s="189">
        <v>1</v>
      </c>
      <c r="L87" s="188">
        <v>45231</v>
      </c>
      <c r="M87" s="150">
        <v>1</v>
      </c>
      <c r="N87" s="150">
        <v>0</v>
      </c>
      <c r="O87" s="150">
        <f t="shared" si="160"/>
        <v>1</v>
      </c>
      <c r="P87" s="187"/>
      <c r="Q87" s="186">
        <f t="shared" si="161"/>
        <v>0.16666666666666666</v>
      </c>
      <c r="R87" s="152">
        <v>8</v>
      </c>
      <c r="S87" s="150">
        <v>0</v>
      </c>
      <c r="T87" s="150">
        <v>1</v>
      </c>
      <c r="U87" s="150">
        <f t="shared" si="162"/>
        <v>1</v>
      </c>
      <c r="V87" s="147">
        <f t="shared" si="163"/>
        <v>0</v>
      </c>
      <c r="W87" s="147">
        <f t="shared" si="164"/>
        <v>0</v>
      </c>
      <c r="X87" s="147">
        <f t="shared" si="165"/>
        <v>21280.105963760001</v>
      </c>
      <c r="Y87" s="185">
        <f t="shared" si="166"/>
        <v>21280.105963760001</v>
      </c>
      <c r="Z87">
        <v>920</v>
      </c>
      <c r="AA87" s="184">
        <f t="shared" si="167"/>
        <v>127680.63578256001</v>
      </c>
      <c r="AB87" s="184">
        <f t="shared" si="168"/>
        <v>0</v>
      </c>
      <c r="AC87" s="184">
        <f t="shared" si="169"/>
        <v>0</v>
      </c>
      <c r="AD87" s="184">
        <f>+AA87*(1+'SCHG2-19'!$M$12)</f>
        <v>134064.66757168801</v>
      </c>
      <c r="AE87" s="184">
        <f>+AB87*(1+'SCHG2-19'!$M$12)</f>
        <v>0</v>
      </c>
      <c r="AF87" s="184">
        <f>+AC87*(1+'SCHG2-19'!$M$12)</f>
        <v>0</v>
      </c>
      <c r="AH87" s="260"/>
      <c r="AJ87" s="261">
        <f>($J87*(1+'SCHG2-19'!$M$12))*$N87</f>
        <v>0</v>
      </c>
      <c r="AK87" s="261">
        <f>($J87*(1+'SCHG2-19'!$M$12))*$M87*S87</f>
        <v>0</v>
      </c>
      <c r="AL87" s="261">
        <f>($J87*(1+'SCHG2-19'!$M$12))*$M87*T87</f>
        <v>134064.66757168801</v>
      </c>
      <c r="AM87" s="185">
        <f t="shared" si="170"/>
        <v>134064.66757168801</v>
      </c>
      <c r="AN87" s="261">
        <f t="shared" si="171"/>
        <v>0</v>
      </c>
      <c r="AO87" s="261">
        <f t="shared" si="172"/>
        <v>0</v>
      </c>
      <c r="AP87" s="261">
        <f t="shared" si="173"/>
        <v>1702.4084771008002</v>
      </c>
      <c r="AQ87" s="185">
        <f t="shared" si="174"/>
        <v>1702.4084771008002</v>
      </c>
      <c r="AR87" s="261">
        <f t="shared" si="175"/>
        <v>0</v>
      </c>
      <c r="AS87" s="261">
        <f t="shared" si="176"/>
        <v>0</v>
      </c>
      <c r="AT87" s="261">
        <f t="shared" si="177"/>
        <v>10725.17340573504</v>
      </c>
      <c r="AU87" s="185">
        <f t="shared" si="178"/>
        <v>10725.17340573504</v>
      </c>
      <c r="AV87" s="261">
        <f>(+V87/$Y$98)*('SCHG2-19'!$I$448*'SCHG2-19'!$K$15)</f>
        <v>0</v>
      </c>
      <c r="AW87" s="261">
        <f>(+W87/$Y$98)*('SCHG2-19'!$I$448*'SCHG2-19'!$K$15)</f>
        <v>0</v>
      </c>
      <c r="AX87" s="261">
        <f>(+X87/$Y$98)*('SCHG2-19'!$I$448*'SCHG2-19'!$K$15)</f>
        <v>2208.7652036686654</v>
      </c>
      <c r="AY87" s="185">
        <f t="shared" si="179"/>
        <v>2208.7652036686654</v>
      </c>
      <c r="AZ87" s="261">
        <f>((+AJ87/($AM$98+$Y$178)*((('SCHG2-19'!$I$448*'SCHG2-19'!$K$15)+'SCHG2-19'!$I$448)*'SCHG2-19'!$M$15)))</f>
        <v>0</v>
      </c>
      <c r="BA87" s="261">
        <f>((+AK87/($AM$98+$Y$178)*((('SCHG2-19'!$I$448*'SCHG2-19'!$K$15)+'SCHG2-19'!$I$448)*'SCHG2-19'!$M$15)))</f>
        <v>0</v>
      </c>
      <c r="BB87" s="261">
        <f>((+AL87/($AM$98+$Y$178)*((('SCHG2-19'!$I$448*'SCHG2-19'!$K$15)+'SCHG2-19'!$I$448)*'SCHG2-19'!$M$15)))</f>
        <v>2442.1442536742916</v>
      </c>
      <c r="BC87" s="185">
        <f t="shared" si="180"/>
        <v>2442.1442536742916</v>
      </c>
      <c r="BD87" s="261">
        <f>(+V87/$Y$98)*('SCHG2-19'!$K$448-'SCHG2-19'!$I$448-'IRR 202 Detail '!$AY$98)</f>
        <v>0</v>
      </c>
      <c r="BE87" s="261">
        <f>(+W87/$Y$98)*('SCHG2-19'!$K$448-'SCHG2-19'!$I$448-'IRR 202 Detail '!$AY$98)</f>
        <v>0</v>
      </c>
      <c r="BF87" s="261">
        <f>(+X87/$Y$98)*('SCHG2-19'!$K$448-'SCHG2-19'!$I$448-'IRR 202 Detail '!$AY$98)</f>
        <v>5247.2521460023827</v>
      </c>
      <c r="BG87" s="185">
        <f t="shared" si="181"/>
        <v>5247.2521460023827</v>
      </c>
      <c r="BH87" s="261">
        <f>(+AJ87/($AM$98+$Y$178))*('SCHG2-19'!$M$448-'SCHG2-19'!$K$448-'IRR 202 Detail '!$BC$98-'IRR 202 Detail '!$AQ$178)</f>
        <v>0</v>
      </c>
      <c r="BI87" s="261">
        <f>(+AK87/($AM$98+$Y$178))*('SCHG2-19'!$M$448-'SCHG2-19'!$K$448-'IRR 202 Detail '!$BC$98-'IRR 202 Detail '!$AQ$178)</f>
        <v>0</v>
      </c>
      <c r="BJ87" s="261">
        <f>(+AL87/($AM$98+$Y$178))*('SCHG2-19'!$M$448-'SCHG2-19'!$K$448-'IRR 202 Detail '!$BC$98-'IRR 202 Detail '!$AQ$178)</f>
        <v>9424.6814578492995</v>
      </c>
      <c r="BK87" s="185">
        <f t="shared" si="182"/>
        <v>9424.6814578492995</v>
      </c>
      <c r="BL87" s="192"/>
      <c r="BM87" s="183"/>
      <c r="BN87" s="90"/>
      <c r="BO87" s="192"/>
      <c r="BP87" s="192"/>
      <c r="BQ87" s="192"/>
      <c r="BR87" s="192"/>
      <c r="BS87" s="192">
        <f t="shared" si="183"/>
        <v>0</v>
      </c>
      <c r="BT87" s="192">
        <f t="shared" si="184"/>
        <v>0</v>
      </c>
      <c r="BU87" s="192">
        <f t="shared" si="185"/>
        <v>0</v>
      </c>
      <c r="BV87" s="192"/>
      <c r="BW87" s="192"/>
      <c r="BX87" s="192"/>
      <c r="BY87" s="192"/>
    </row>
    <row r="88" spans="3:77" x14ac:dyDescent="0.25">
      <c r="C88" t="s">
        <v>277</v>
      </c>
      <c r="D88" t="s">
        <v>277</v>
      </c>
      <c r="E88" s="162" t="s">
        <v>276</v>
      </c>
      <c r="F88" s="182" t="s">
        <v>275</v>
      </c>
      <c r="G88" s="182"/>
      <c r="H88" s="191" t="s">
        <v>389</v>
      </c>
      <c r="I88" s="190" t="s">
        <v>270</v>
      </c>
      <c r="J88" s="185">
        <v>111772.76833957501</v>
      </c>
      <c r="K88" s="189">
        <v>1</v>
      </c>
      <c r="L88" s="188">
        <v>44958</v>
      </c>
      <c r="M88" s="150">
        <v>1</v>
      </c>
      <c r="N88" s="150">
        <v>0</v>
      </c>
      <c r="O88" s="150">
        <f t="shared" si="160"/>
        <v>1</v>
      </c>
      <c r="P88" s="187"/>
      <c r="Q88" s="186">
        <f t="shared" si="161"/>
        <v>0.91666666666666663</v>
      </c>
      <c r="R88" s="152">
        <v>7</v>
      </c>
      <c r="S88" s="150">
        <v>0</v>
      </c>
      <c r="T88" s="150">
        <v>1</v>
      </c>
      <c r="U88" s="150">
        <f t="shared" si="162"/>
        <v>1</v>
      </c>
      <c r="V88" s="147">
        <f t="shared" si="163"/>
        <v>0</v>
      </c>
      <c r="W88" s="147">
        <f t="shared" si="164"/>
        <v>0</v>
      </c>
      <c r="X88" s="147">
        <f t="shared" si="165"/>
        <v>102458.37097794375</v>
      </c>
      <c r="Y88" s="185">
        <f t="shared" si="166"/>
        <v>102458.37097794375</v>
      </c>
      <c r="Z88">
        <v>920</v>
      </c>
      <c r="AA88" s="184">
        <f t="shared" si="167"/>
        <v>111772.76833957501</v>
      </c>
      <c r="AB88" s="184">
        <f t="shared" si="168"/>
        <v>0</v>
      </c>
      <c r="AC88" s="184">
        <f t="shared" si="169"/>
        <v>0</v>
      </c>
      <c r="AD88" s="184">
        <f>+AA88*(1+'SCHG2-19'!$M$12)</f>
        <v>117361.40675655376</v>
      </c>
      <c r="AE88" s="184">
        <f>+AB88*(1+'SCHG2-19'!$M$12)</f>
        <v>0</v>
      </c>
      <c r="AF88" s="184">
        <f>+AC88*(1+'SCHG2-19'!$M$12)</f>
        <v>0</v>
      </c>
      <c r="AH88" s="260"/>
      <c r="AJ88" s="261">
        <f>($J88*(1+'SCHG2-19'!$M$12))*$N88</f>
        <v>0</v>
      </c>
      <c r="AK88" s="261">
        <f>($J88*(1+'SCHG2-19'!$M$12))*$M88*S88</f>
        <v>0</v>
      </c>
      <c r="AL88" s="261">
        <f>($J88*(1+'SCHG2-19'!$M$12))*$M88*T88</f>
        <v>117361.40675655376</v>
      </c>
      <c r="AM88" s="185">
        <f t="shared" si="170"/>
        <v>117361.40675655376</v>
      </c>
      <c r="AN88" s="261">
        <f t="shared" si="171"/>
        <v>0</v>
      </c>
      <c r="AO88" s="261">
        <f t="shared" si="172"/>
        <v>0</v>
      </c>
      <c r="AP88" s="261">
        <f t="shared" si="173"/>
        <v>8196.6696782354993</v>
      </c>
      <c r="AQ88" s="185">
        <f t="shared" si="174"/>
        <v>8196.6696782354993</v>
      </c>
      <c r="AR88" s="261">
        <f t="shared" si="175"/>
        <v>0</v>
      </c>
      <c r="AS88" s="261">
        <f t="shared" si="176"/>
        <v>0</v>
      </c>
      <c r="AT88" s="261">
        <f t="shared" si="177"/>
        <v>9388.9125405243012</v>
      </c>
      <c r="AU88" s="185">
        <f t="shared" si="178"/>
        <v>9388.9125405243012</v>
      </c>
      <c r="AV88" s="261">
        <f>(+V88/$Y$98)*('SCHG2-19'!$I$448*'SCHG2-19'!$K$15)</f>
        <v>0</v>
      </c>
      <c r="AW88" s="261">
        <f>(+W88/$Y$98)*('SCHG2-19'!$I$448*'SCHG2-19'!$K$15)</f>
        <v>0</v>
      </c>
      <c r="AX88" s="261">
        <f>(+X88/$Y$98)*('SCHG2-19'!$I$448*'SCHG2-19'!$K$15)</f>
        <v>10634.65027035379</v>
      </c>
      <c r="AY88" s="185">
        <f t="shared" si="179"/>
        <v>10634.65027035379</v>
      </c>
      <c r="AZ88" s="261">
        <f>((+AJ88/($AM$98+$Y$178)*((('SCHG2-19'!$I$448*'SCHG2-19'!$K$15)+'SCHG2-19'!$I$448)*'SCHG2-19'!$M$15)))</f>
        <v>0</v>
      </c>
      <c r="BA88" s="261">
        <f>((+AK88/($AM$98+$Y$178)*((('SCHG2-19'!$I$448*'SCHG2-19'!$K$15)+'SCHG2-19'!$I$448)*'SCHG2-19'!$M$15)))</f>
        <v>0</v>
      </c>
      <c r="BB88" s="261">
        <f>((+AL88/($AM$98+$Y$178)*((('SCHG2-19'!$I$448*'SCHG2-19'!$K$15)+'SCHG2-19'!$I$448)*'SCHG2-19'!$M$15)))</f>
        <v>2137.8748801237202</v>
      </c>
      <c r="BC88" s="185">
        <f t="shared" si="180"/>
        <v>2137.8748801237202</v>
      </c>
      <c r="BD88" s="261">
        <f>(+V88/$Y$98)*('SCHG2-19'!$K$448-'SCHG2-19'!$I$448-'IRR 202 Detail '!$AY$98)</f>
        <v>0</v>
      </c>
      <c r="BE88" s="261">
        <f>(+W88/$Y$98)*('SCHG2-19'!$K$448-'SCHG2-19'!$I$448-'IRR 202 Detail '!$AY$98)</f>
        <v>0</v>
      </c>
      <c r="BF88" s="261">
        <f>(+X88/$Y$98)*('SCHG2-19'!$K$448-'SCHG2-19'!$I$448-'IRR 202 Detail '!$AY$98)</f>
        <v>25264.202532896135</v>
      </c>
      <c r="BG88" s="185">
        <f t="shared" si="181"/>
        <v>25264.202532896135</v>
      </c>
      <c r="BH88" s="261">
        <f>(+AJ88/($AM$98+$Y$178))*('SCHG2-19'!$M$448-'SCHG2-19'!$K$448-'IRR 202 Detail '!$BC$98-'IRR 202 Detail '!$AQ$178)</f>
        <v>0</v>
      </c>
      <c r="BI88" s="261">
        <f>(+AK88/($AM$98+$Y$178))*('SCHG2-19'!$M$448-'SCHG2-19'!$K$448-'IRR 202 Detail '!$BC$98-'IRR 202 Detail '!$AQ$178)</f>
        <v>0</v>
      </c>
      <c r="BJ88" s="261">
        <f>(+AL88/($AM$98+$Y$178))*('SCHG2-19'!$M$448-'SCHG2-19'!$K$448-'IRR 202 Detail '!$BC$98-'IRR 202 Detail '!$AQ$178)</f>
        <v>8250.450280154113</v>
      </c>
      <c r="BK88" s="185">
        <f t="shared" si="182"/>
        <v>8250.450280154113</v>
      </c>
      <c r="BL88" s="192"/>
      <c r="BM88" s="183"/>
      <c r="BN88" s="90"/>
      <c r="BO88" s="192"/>
      <c r="BP88" s="192"/>
      <c r="BQ88" s="192"/>
      <c r="BR88" s="192"/>
      <c r="BS88" s="192">
        <f t="shared" si="183"/>
        <v>0</v>
      </c>
      <c r="BT88" s="192">
        <f t="shared" si="184"/>
        <v>0</v>
      </c>
      <c r="BU88" s="192">
        <f t="shared" si="185"/>
        <v>0</v>
      </c>
      <c r="BV88" s="192"/>
      <c r="BW88" s="192"/>
      <c r="BX88" s="192"/>
      <c r="BY88" s="192"/>
    </row>
    <row r="89" spans="3:77" ht="30" x14ac:dyDescent="0.25">
      <c r="C89" t="s">
        <v>275</v>
      </c>
      <c r="E89" s="162"/>
      <c r="F89" s="143"/>
      <c r="G89" s="182"/>
      <c r="H89" s="191" t="s">
        <v>390</v>
      </c>
      <c r="I89" s="190" t="s">
        <v>270</v>
      </c>
      <c r="J89" s="185">
        <v>169720.80416665503</v>
      </c>
      <c r="K89" s="189">
        <v>1</v>
      </c>
      <c r="L89" s="188">
        <v>44958</v>
      </c>
      <c r="M89" s="150">
        <v>1</v>
      </c>
      <c r="N89" s="150">
        <v>0</v>
      </c>
      <c r="O89" s="150">
        <f t="shared" si="160"/>
        <v>1</v>
      </c>
      <c r="P89" s="187"/>
      <c r="Q89" s="186">
        <f t="shared" si="161"/>
        <v>0.91666666666666663</v>
      </c>
      <c r="R89" s="152">
        <v>10</v>
      </c>
      <c r="S89" s="150">
        <v>0</v>
      </c>
      <c r="T89" s="150">
        <v>1</v>
      </c>
      <c r="U89" s="150">
        <f t="shared" si="162"/>
        <v>1</v>
      </c>
      <c r="V89" s="147">
        <f t="shared" si="163"/>
        <v>0</v>
      </c>
      <c r="W89" s="147">
        <f t="shared" si="164"/>
        <v>0</v>
      </c>
      <c r="X89" s="147">
        <f t="shared" si="165"/>
        <v>155577.40381943376</v>
      </c>
      <c r="Y89" s="185">
        <f t="shared" si="166"/>
        <v>155577.40381943376</v>
      </c>
      <c r="Z89">
        <v>920</v>
      </c>
      <c r="AA89" s="184">
        <f t="shared" si="167"/>
        <v>169720.80416665503</v>
      </c>
      <c r="AB89" s="184">
        <f t="shared" si="168"/>
        <v>0</v>
      </c>
      <c r="AC89" s="184">
        <f t="shared" si="169"/>
        <v>0</v>
      </c>
      <c r="AD89" s="184">
        <f>+AA89*(1+'SCHG2-19'!$M$12)</f>
        <v>178206.84437498779</v>
      </c>
      <c r="AE89" s="184">
        <f>+AB89*(1+'SCHG2-19'!$M$12)</f>
        <v>0</v>
      </c>
      <c r="AF89" s="184">
        <f>+AC89*(1+'SCHG2-19'!$M$12)</f>
        <v>0</v>
      </c>
      <c r="AH89" s="156"/>
      <c r="AI89" s="282"/>
      <c r="AJ89" s="261">
        <f>($J89*(1+'SCHG2-19'!$M$12))*$N89</f>
        <v>0</v>
      </c>
      <c r="AK89" s="261">
        <f>($J89*(1+'SCHG2-19'!$M$12))*$M89*S89</f>
        <v>0</v>
      </c>
      <c r="AL89" s="261">
        <f>($J89*(1+'SCHG2-19'!$M$12))*$M89*T89</f>
        <v>178206.84437498779</v>
      </c>
      <c r="AM89" s="185">
        <f t="shared" si="170"/>
        <v>178206.84437498779</v>
      </c>
      <c r="AN89" s="261">
        <f t="shared" si="171"/>
        <v>0</v>
      </c>
      <c r="AO89" s="261">
        <f t="shared" si="172"/>
        <v>0</v>
      </c>
      <c r="AP89" s="261">
        <f t="shared" si="173"/>
        <v>12446.192305554701</v>
      </c>
      <c r="AQ89" s="185">
        <f t="shared" si="174"/>
        <v>12446.192305554701</v>
      </c>
      <c r="AR89" s="261">
        <f t="shared" si="175"/>
        <v>0</v>
      </c>
      <c r="AS89" s="261">
        <f t="shared" si="176"/>
        <v>0</v>
      </c>
      <c r="AT89" s="261">
        <f t="shared" si="177"/>
        <v>14256.547549999024</v>
      </c>
      <c r="AU89" s="185">
        <f t="shared" si="178"/>
        <v>14256.547549999024</v>
      </c>
      <c r="AV89" s="261">
        <f>(+V89/$Y$98)*('SCHG2-19'!$I$448*'SCHG2-19'!$K$15)</f>
        <v>0</v>
      </c>
      <c r="AW89" s="261">
        <f>(+W89/$Y$98)*('SCHG2-19'!$I$448*'SCHG2-19'!$K$15)</f>
        <v>0</v>
      </c>
      <c r="AX89" s="261">
        <f>(+X89/$Y$98)*('SCHG2-19'!$I$448*'SCHG2-19'!$K$15)</f>
        <v>16148.131809995781</v>
      </c>
      <c r="AY89" s="185">
        <f t="shared" si="179"/>
        <v>16148.131809995781</v>
      </c>
      <c r="AZ89" s="261">
        <f>((+AJ89/($AM$98+$Y$178)*((('SCHG2-19'!$I$448*'SCHG2-19'!$K$15)+'SCHG2-19'!$I$448)*'SCHG2-19'!$M$15)))</f>
        <v>0</v>
      </c>
      <c r="BA89" s="261">
        <f>((+AK89/($AM$98+$Y$178)*((('SCHG2-19'!$I$448*'SCHG2-19'!$K$15)+'SCHG2-19'!$I$448)*'SCHG2-19'!$M$15)))</f>
        <v>0</v>
      </c>
      <c r="BB89" s="261">
        <f>((+AL89/($AM$98+$Y$178)*((('SCHG2-19'!$I$448*'SCHG2-19'!$K$15)+'SCHG2-19'!$I$448)*'SCHG2-19'!$M$15)))</f>
        <v>3246.2454786835488</v>
      </c>
      <c r="BC89" s="185">
        <f t="shared" si="180"/>
        <v>3246.2454786835488</v>
      </c>
      <c r="BD89" s="261">
        <f>(+V89/$Y$98)*('SCHG2-19'!$K$448-'SCHG2-19'!$I$448-'IRR 202 Detail '!$AY$98)</f>
        <v>0</v>
      </c>
      <c r="BE89" s="261">
        <f>(+W89/$Y$98)*('SCHG2-19'!$K$448-'SCHG2-19'!$I$448-'IRR 202 Detail '!$AY$98)</f>
        <v>0</v>
      </c>
      <c r="BF89" s="261">
        <f>(+X89/$Y$98)*('SCHG2-19'!$K$448-'SCHG2-19'!$I$448-'IRR 202 Detail '!$AY$98)</f>
        <v>38362.302680788001</v>
      </c>
      <c r="BG89" s="185">
        <f t="shared" si="181"/>
        <v>38362.302680788001</v>
      </c>
      <c r="BH89" s="261">
        <f>(+AJ89/($AM$98+$Y$178))*('SCHG2-19'!$M$448-'SCHG2-19'!$K$448-'IRR 202 Detail '!$BC$98-'IRR 202 Detail '!$AQ$178)</f>
        <v>0</v>
      </c>
      <c r="BI89" s="261">
        <f>(+AK89/($AM$98+$Y$178))*('SCHG2-19'!$M$448-'SCHG2-19'!$K$448-'IRR 202 Detail '!$BC$98-'IRR 202 Detail '!$AQ$178)</f>
        <v>0</v>
      </c>
      <c r="BJ89" s="261">
        <f>(+AL89/($AM$98+$Y$178))*('SCHG2-19'!$M$448-'SCHG2-19'!$K$448-'IRR 202 Detail '!$BC$98-'IRR 202 Detail '!$AQ$178)</f>
        <v>12527.855193052159</v>
      </c>
      <c r="BK89" s="185">
        <f t="shared" si="182"/>
        <v>12527.855193052159</v>
      </c>
      <c r="BL89" s="156"/>
      <c r="BM89" s="156"/>
      <c r="BN89" s="156"/>
      <c r="BO89" s="156"/>
      <c r="BP89" s="156"/>
      <c r="BQ89" s="156"/>
      <c r="BR89" s="156"/>
      <c r="BS89" s="192">
        <f t="shared" si="183"/>
        <v>0</v>
      </c>
      <c r="BT89" s="192">
        <f t="shared" si="184"/>
        <v>0</v>
      </c>
      <c r="BU89" s="192">
        <f t="shared" si="185"/>
        <v>0</v>
      </c>
      <c r="BV89" s="192"/>
      <c r="BW89" s="192"/>
      <c r="BX89" s="192"/>
      <c r="BY89" s="192"/>
    </row>
    <row r="90" spans="3:77" x14ac:dyDescent="0.25">
      <c r="E90" s="162"/>
      <c r="F90" s="182"/>
      <c r="G90" s="182"/>
      <c r="H90" s="191" t="s">
        <v>377</v>
      </c>
      <c r="I90" s="190" t="s">
        <v>270</v>
      </c>
      <c r="J90" s="185">
        <v>77867.235382545012</v>
      </c>
      <c r="K90" s="189">
        <v>1</v>
      </c>
      <c r="L90" s="188">
        <v>45231</v>
      </c>
      <c r="M90" s="150">
        <v>1</v>
      </c>
      <c r="N90" s="150">
        <v>0</v>
      </c>
      <c r="O90" s="150">
        <f t="shared" si="160"/>
        <v>1</v>
      </c>
      <c r="P90" s="187"/>
      <c r="Q90" s="186">
        <f t="shared" si="161"/>
        <v>0.16666666666666666</v>
      </c>
      <c r="R90" s="151">
        <v>5</v>
      </c>
      <c r="S90" s="150">
        <v>0</v>
      </c>
      <c r="T90" s="150">
        <v>1</v>
      </c>
      <c r="U90" s="150">
        <f t="shared" si="162"/>
        <v>1</v>
      </c>
      <c r="V90" s="147">
        <f t="shared" si="163"/>
        <v>0</v>
      </c>
      <c r="W90" s="147">
        <f t="shared" si="164"/>
        <v>0</v>
      </c>
      <c r="X90" s="147">
        <f t="shared" si="165"/>
        <v>12977.872563757501</v>
      </c>
      <c r="Y90" s="185">
        <f t="shared" si="166"/>
        <v>12977.872563757501</v>
      </c>
      <c r="Z90">
        <v>920</v>
      </c>
      <c r="AA90" s="184">
        <f t="shared" si="167"/>
        <v>77867.235382545012</v>
      </c>
      <c r="AB90" s="184">
        <f t="shared" si="168"/>
        <v>0</v>
      </c>
      <c r="AC90" s="184">
        <f t="shared" si="169"/>
        <v>0</v>
      </c>
      <c r="AD90" s="184">
        <f>+AA90*(1+'SCHG2-19'!$M$12)</f>
        <v>81760.597151672264</v>
      </c>
      <c r="AE90" s="184">
        <f>+AB90*(1+'SCHG2-19'!$M$12)</f>
        <v>0</v>
      </c>
      <c r="AF90" s="184">
        <f>+AC90*(1+'SCHG2-19'!$M$12)</f>
        <v>0</v>
      </c>
      <c r="AJ90" s="261">
        <f>($J90*(1+'SCHG2-19'!$M$12))*$N90</f>
        <v>0</v>
      </c>
      <c r="AK90" s="261">
        <f>($J90*(1+'SCHG2-19'!$M$12))*$M90*S90</f>
        <v>0</v>
      </c>
      <c r="AL90" s="261">
        <f>($J90*(1+'SCHG2-19'!$M$12))*$M90*T90</f>
        <v>81760.597151672264</v>
      </c>
      <c r="AM90" s="185">
        <f t="shared" si="170"/>
        <v>81760.597151672264</v>
      </c>
      <c r="AN90" s="261">
        <f t="shared" si="171"/>
        <v>0</v>
      </c>
      <c r="AO90" s="261">
        <f t="shared" si="172"/>
        <v>0</v>
      </c>
      <c r="AP90" s="261">
        <f t="shared" si="173"/>
        <v>1038.2298051006001</v>
      </c>
      <c r="AQ90" s="185">
        <f t="shared" si="174"/>
        <v>1038.2298051006001</v>
      </c>
      <c r="AR90" s="261">
        <f t="shared" si="175"/>
        <v>0</v>
      </c>
      <c r="AS90" s="261">
        <f t="shared" si="176"/>
        <v>0</v>
      </c>
      <c r="AT90" s="261">
        <f t="shared" si="177"/>
        <v>6540.8477721337813</v>
      </c>
      <c r="AU90" s="185">
        <f t="shared" si="178"/>
        <v>6540.8477721337813</v>
      </c>
      <c r="AV90" s="261">
        <f>(+V90/$Y$98)*('SCHG2-19'!$I$448*'SCHG2-19'!$K$15)</f>
        <v>0</v>
      </c>
      <c r="AW90" s="261">
        <f>(+W90/$Y$98)*('SCHG2-19'!$I$448*'SCHG2-19'!$K$15)</f>
        <v>0</v>
      </c>
      <c r="AX90" s="261">
        <f>(+X90/$Y$98)*('SCHG2-19'!$I$448*'SCHG2-19'!$K$15)</f>
        <v>1347.0362123802583</v>
      </c>
      <c r="AY90" s="185">
        <f t="shared" si="179"/>
        <v>1347.0362123802583</v>
      </c>
      <c r="AZ90" s="261">
        <f>((+AJ90/($AM$98+$Y$178)*((('SCHG2-19'!$I$448*'SCHG2-19'!$K$15)+'SCHG2-19'!$I$448)*'SCHG2-19'!$M$15)))</f>
        <v>0</v>
      </c>
      <c r="BA90" s="261">
        <f>((+AK90/($AM$98+$Y$178)*((('SCHG2-19'!$I$448*'SCHG2-19'!$K$15)+'SCHG2-19'!$I$448)*'SCHG2-19'!$M$15)))</f>
        <v>0</v>
      </c>
      <c r="BB90" s="261">
        <f>((+AL90/($AM$98+$Y$178)*((('SCHG2-19'!$I$448*'SCHG2-19'!$K$15)+'SCHG2-19'!$I$448)*'SCHG2-19'!$M$15)))</f>
        <v>1489.3646187886563</v>
      </c>
      <c r="BC90" s="185">
        <f t="shared" si="180"/>
        <v>1489.3646187886563</v>
      </c>
      <c r="BD90" s="261">
        <f>(+V90/$Y$98)*('SCHG2-19'!$K$448-'SCHG2-19'!$I$448-'IRR 202 Detail '!$AY$98)</f>
        <v>0</v>
      </c>
      <c r="BE90" s="261">
        <f>(+W90/$Y$98)*('SCHG2-19'!$K$448-'SCHG2-19'!$I$448-'IRR 202 Detail '!$AY$98)</f>
        <v>0</v>
      </c>
      <c r="BF90" s="261">
        <f>(+X90/$Y$98)*('SCHG2-19'!$K$448-'SCHG2-19'!$I$448-'IRR 202 Detail '!$AY$98)</f>
        <v>3200.0860229123432</v>
      </c>
      <c r="BG90" s="185">
        <f t="shared" si="181"/>
        <v>3200.0860229123432</v>
      </c>
      <c r="BH90" s="261">
        <f>(+AJ90/($AM$98+$Y$178))*('SCHG2-19'!$M$448-'SCHG2-19'!$K$448-'IRR 202 Detail '!$BC$98-'IRR 202 Detail '!$AQ$178)</f>
        <v>0</v>
      </c>
      <c r="BI90" s="261">
        <f>(+AK90/($AM$98+$Y$178))*('SCHG2-19'!$M$448-'SCHG2-19'!$K$448-'IRR 202 Detail '!$BC$98-'IRR 202 Detail '!$AQ$178)</f>
        <v>0</v>
      </c>
      <c r="BJ90" s="261">
        <f>(+AL90/($AM$98+$Y$178))*('SCHG2-19'!$M$448-'SCHG2-19'!$K$448-'IRR 202 Detail '!$BC$98-'IRR 202 Detail '!$AQ$178)</f>
        <v>5747.7305386671578</v>
      </c>
      <c r="BK90" s="185">
        <f t="shared" si="182"/>
        <v>5747.7305386671578</v>
      </c>
      <c r="BL90" s="183"/>
      <c r="BM90" s="183"/>
      <c r="BN90" s="90"/>
      <c r="BO90" s="183"/>
      <c r="BP90" s="283"/>
      <c r="BQ90" s="283"/>
      <c r="BR90" s="283"/>
      <c r="BS90" s="192">
        <f t="shared" si="183"/>
        <v>0</v>
      </c>
      <c r="BT90" s="192">
        <f t="shared" si="184"/>
        <v>0</v>
      </c>
      <c r="BU90" s="192">
        <f t="shared" si="185"/>
        <v>0</v>
      </c>
      <c r="BV90" s="192"/>
      <c r="BW90" s="192"/>
      <c r="BX90" s="192"/>
      <c r="BY90" s="192"/>
    </row>
    <row r="91" spans="3:77" x14ac:dyDescent="0.25">
      <c r="C91" t="s">
        <v>273</v>
      </c>
      <c r="D91" t="s">
        <v>273</v>
      </c>
      <c r="E91" s="162" t="s">
        <v>342</v>
      </c>
      <c r="F91" s="182" t="s">
        <v>341</v>
      </c>
      <c r="G91" s="182"/>
      <c r="H91" s="203" t="s">
        <v>374</v>
      </c>
      <c r="I91" s="202"/>
      <c r="J91" s="196">
        <f>SUM(J85:J90)</f>
        <v>622917.45248061011</v>
      </c>
      <c r="K91" s="201">
        <f>SUM(K85:K90)</f>
        <v>6</v>
      </c>
      <c r="L91" s="198"/>
      <c r="M91" s="200"/>
      <c r="N91" s="200"/>
      <c r="O91" s="200"/>
      <c r="P91" s="200"/>
      <c r="Q91" s="199"/>
      <c r="R91" s="198"/>
      <c r="S91" s="197"/>
      <c r="T91" s="197"/>
      <c r="U91" s="197"/>
      <c r="V91" s="196">
        <f>SUM(V85:V90)</f>
        <v>0</v>
      </c>
      <c r="W91" s="196">
        <f>SUM(W85:W90)</f>
        <v>0</v>
      </c>
      <c r="X91" s="196">
        <f>SUM(X85:X90)</f>
        <v>384640.15897020878</v>
      </c>
      <c r="Y91" s="196">
        <f>SUM(Y85:Y90)</f>
        <v>384640.15897020878</v>
      </c>
      <c r="AA91" s="196">
        <f t="shared" ref="AA91:AF91" si="186">SUM(AA85:AA90)</f>
        <v>622917.45248061011</v>
      </c>
      <c r="AB91" s="196">
        <f t="shared" si="186"/>
        <v>0</v>
      </c>
      <c r="AC91" s="196">
        <f t="shared" si="186"/>
        <v>0</v>
      </c>
      <c r="AD91" s="196">
        <f t="shared" si="186"/>
        <v>654063.32510464056</v>
      </c>
      <c r="AE91" s="196">
        <f t="shared" si="186"/>
        <v>0</v>
      </c>
      <c r="AF91" s="196">
        <f t="shared" si="186"/>
        <v>0</v>
      </c>
      <c r="AH91" s="260"/>
      <c r="AJ91" s="196">
        <f t="shared" ref="AJ91:BK91" si="187">SUM(AJ85:AJ90)</f>
        <v>0</v>
      </c>
      <c r="AK91" s="196">
        <f t="shared" si="187"/>
        <v>0</v>
      </c>
      <c r="AL91" s="196">
        <f t="shared" si="187"/>
        <v>654063.32510464056</v>
      </c>
      <c r="AM91" s="196">
        <f t="shared" si="187"/>
        <v>654063.32510464056</v>
      </c>
      <c r="AN91" s="196">
        <f t="shared" si="187"/>
        <v>0</v>
      </c>
      <c r="AO91" s="196">
        <f t="shared" si="187"/>
        <v>0</v>
      </c>
      <c r="AP91" s="196">
        <f t="shared" si="187"/>
        <v>30771.212717616701</v>
      </c>
      <c r="AQ91" s="196">
        <f t="shared" si="187"/>
        <v>30771.212717616701</v>
      </c>
      <c r="AR91" s="196">
        <f t="shared" si="187"/>
        <v>0</v>
      </c>
      <c r="AS91" s="196">
        <f t="shared" si="187"/>
        <v>0</v>
      </c>
      <c r="AT91" s="196">
        <f t="shared" si="187"/>
        <v>52325.066008371257</v>
      </c>
      <c r="AU91" s="196">
        <f t="shared" si="187"/>
        <v>52325.066008371257</v>
      </c>
      <c r="AV91" s="196">
        <f t="shared" si="187"/>
        <v>0</v>
      </c>
      <c r="AW91" s="196">
        <f t="shared" si="187"/>
        <v>0</v>
      </c>
      <c r="AX91" s="196">
        <f t="shared" si="187"/>
        <v>39923.663938225422</v>
      </c>
      <c r="AY91" s="196">
        <f t="shared" si="187"/>
        <v>39923.663938225422</v>
      </c>
      <c r="AZ91" s="196">
        <f t="shared" si="187"/>
        <v>0</v>
      </c>
      <c r="BA91" s="196">
        <f t="shared" si="187"/>
        <v>0</v>
      </c>
      <c r="BB91" s="196">
        <f t="shared" si="187"/>
        <v>11914.526175133125</v>
      </c>
      <c r="BC91" s="196">
        <f t="shared" si="187"/>
        <v>11914.526175133125</v>
      </c>
      <c r="BD91" s="196">
        <f t="shared" si="187"/>
        <v>0</v>
      </c>
      <c r="BE91" s="196">
        <f t="shared" si="187"/>
        <v>0</v>
      </c>
      <c r="BF91" s="196">
        <f t="shared" si="187"/>
        <v>94844.635784816812</v>
      </c>
      <c r="BG91" s="196">
        <f t="shared" si="187"/>
        <v>94844.635784816812</v>
      </c>
      <c r="BH91" s="196">
        <f t="shared" si="187"/>
        <v>0</v>
      </c>
      <c r="BI91" s="196">
        <f t="shared" si="187"/>
        <v>0</v>
      </c>
      <c r="BJ91" s="196">
        <f t="shared" si="187"/>
        <v>45980.336236441457</v>
      </c>
      <c r="BK91" s="196">
        <f t="shared" si="187"/>
        <v>45980.336236441457</v>
      </c>
      <c r="BL91" s="192"/>
      <c r="BM91" s="183"/>
      <c r="BN91" s="90"/>
      <c r="BO91" s="192"/>
      <c r="BP91" s="192"/>
      <c r="BQ91" s="192"/>
      <c r="BR91" s="192"/>
      <c r="BS91" s="192">
        <f t="shared" si="183"/>
        <v>0</v>
      </c>
      <c r="BT91" s="192">
        <f t="shared" si="184"/>
        <v>0</v>
      </c>
      <c r="BU91" s="192">
        <f t="shared" si="185"/>
        <v>0</v>
      </c>
      <c r="BV91" s="192"/>
      <c r="BW91" s="192"/>
      <c r="BX91" s="192"/>
      <c r="BY91" s="192"/>
    </row>
    <row r="92" spans="3:77" x14ac:dyDescent="0.25">
      <c r="C92" t="s">
        <v>273</v>
      </c>
      <c r="D92" t="s">
        <v>273</v>
      </c>
      <c r="E92" s="162" t="s">
        <v>342</v>
      </c>
      <c r="F92" s="182" t="s">
        <v>341</v>
      </c>
      <c r="G92" s="182"/>
      <c r="H92" s="143"/>
      <c r="I92" s="195"/>
      <c r="J92" s="193"/>
      <c r="K92" s="194"/>
      <c r="L92" s="153"/>
      <c r="Q92" s="186"/>
      <c r="R92" s="151"/>
      <c r="S92" s="150"/>
      <c r="T92" s="150"/>
      <c r="U92" s="150"/>
      <c r="V92" s="193"/>
      <c r="W92" s="193"/>
      <c r="X92" s="193"/>
      <c r="Y92" s="193"/>
      <c r="AH92" s="260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  <c r="BI92" s="193"/>
      <c r="BJ92" s="193"/>
      <c r="BK92" s="193"/>
      <c r="BL92" s="192"/>
      <c r="BM92" s="183"/>
      <c r="BN92" s="90"/>
      <c r="BO92" s="192"/>
      <c r="BP92" s="192"/>
      <c r="BQ92" s="192"/>
      <c r="BR92" s="192"/>
      <c r="BS92" s="192"/>
      <c r="BT92" s="192"/>
      <c r="BU92" s="192"/>
      <c r="BV92" s="192"/>
      <c r="BW92" s="192"/>
      <c r="BX92" s="192"/>
      <c r="BY92" s="192"/>
    </row>
    <row r="93" spans="3:77" x14ac:dyDescent="0.25">
      <c r="C93" t="s">
        <v>273</v>
      </c>
      <c r="D93" t="s">
        <v>273</v>
      </c>
      <c r="E93" s="162" t="s">
        <v>342</v>
      </c>
      <c r="F93" s="182" t="s">
        <v>341</v>
      </c>
      <c r="G93" s="182"/>
      <c r="H93" s="191" t="s">
        <v>247</v>
      </c>
      <c r="I93" s="190" t="s">
        <v>270</v>
      </c>
      <c r="J93" s="185">
        <v>77867.235382545012</v>
      </c>
      <c r="K93" s="189">
        <v>1</v>
      </c>
      <c r="L93" s="188">
        <v>45231</v>
      </c>
      <c r="M93" s="150">
        <v>1</v>
      </c>
      <c r="N93" s="150">
        <v>0</v>
      </c>
      <c r="O93" s="150">
        <f>M93+N93</f>
        <v>1</v>
      </c>
      <c r="P93" s="187"/>
      <c r="Q93" s="186">
        <f>((13-MONTH(L93)-$AI$5))/12</f>
        <v>0.16666666666666666</v>
      </c>
      <c r="R93" s="151">
        <v>5</v>
      </c>
      <c r="S93" s="150">
        <v>0</v>
      </c>
      <c r="T93" s="150">
        <v>1</v>
      </c>
      <c r="U93" s="150">
        <f>+S93+T93</f>
        <v>1</v>
      </c>
      <c r="V93" s="147">
        <f>J93*N93*Q93</f>
        <v>0</v>
      </c>
      <c r="W93" s="147">
        <f>J93*M93*Q93*S93</f>
        <v>0</v>
      </c>
      <c r="X93" s="147">
        <f>J93*M93*Q93*T93</f>
        <v>12977.872563757501</v>
      </c>
      <c r="Y93" s="185">
        <f>V93+W93+X93</f>
        <v>12977.872563757501</v>
      </c>
      <c r="Z93">
        <v>920</v>
      </c>
      <c r="AA93" s="184">
        <f>+J93*M93*T93</f>
        <v>77867.235382545012</v>
      </c>
      <c r="AB93" s="184">
        <f t="shared" ref="AB93:AB95" si="188">+J93*M93*S93</f>
        <v>0</v>
      </c>
      <c r="AC93" s="184">
        <f t="shared" ref="AC93:AC95" si="189">+J93*N93</f>
        <v>0</v>
      </c>
      <c r="AD93" s="184">
        <f>+AA93*(1+'SCHG2-19'!$M$12)</f>
        <v>81760.597151672264</v>
      </c>
      <c r="AE93" s="184">
        <f>+AB93*(1+'SCHG2-19'!$M$12)</f>
        <v>0</v>
      </c>
      <c r="AF93" s="184">
        <f>+AC93*(1+'SCHG2-19'!$M$12)</f>
        <v>0</v>
      </c>
      <c r="AH93" s="260"/>
      <c r="AJ93" s="261">
        <f>($J93*(1+'SCHG2-19'!$M$12))*$N93</f>
        <v>0</v>
      </c>
      <c r="AK93" s="261">
        <f>($J93*(1+'SCHG2-19'!$M$12))*$M93*S93</f>
        <v>0</v>
      </c>
      <c r="AL93" s="261">
        <f>($J93*(1+'SCHG2-19'!$M$12))*$M93*T93</f>
        <v>81760.597151672264</v>
      </c>
      <c r="AM93" s="185">
        <f t="shared" ref="AM93:AM95" si="190">AJ93+AK93+AL93</f>
        <v>81760.597151672264</v>
      </c>
      <c r="AN93" s="261">
        <f t="shared" ref="AN93:AN95" si="191">+V93*0.08</f>
        <v>0</v>
      </c>
      <c r="AO93" s="261">
        <f t="shared" ref="AO93:AO95" si="192">+W93*0.08</f>
        <v>0</v>
      </c>
      <c r="AP93" s="261">
        <f t="shared" ref="AP93:AP95" si="193">+X93*0.08</f>
        <v>1038.2298051006001</v>
      </c>
      <c r="AQ93" s="185">
        <f t="shared" ref="AQ93:AQ95" si="194">AN93+AO93+AP93</f>
        <v>1038.2298051006001</v>
      </c>
      <c r="AR93" s="261">
        <f t="shared" ref="AR93:AR95" si="195">+AJ93*0.08</f>
        <v>0</v>
      </c>
      <c r="AS93" s="261">
        <f t="shared" ref="AS93:AS95" si="196">+AK93*0.08</f>
        <v>0</v>
      </c>
      <c r="AT93" s="261">
        <f t="shared" ref="AT93:AT95" si="197">+AL93*0.08</f>
        <v>6540.8477721337813</v>
      </c>
      <c r="AU93" s="185">
        <f t="shared" ref="AU93:AU95" si="198">AR93+AS93+AT93</f>
        <v>6540.8477721337813</v>
      </c>
      <c r="AV93" s="261">
        <f>(+V93/$Y$98)*('SCHG2-19'!$I$448*'SCHG2-19'!$K$15)</f>
        <v>0</v>
      </c>
      <c r="AW93" s="261">
        <f>(+W93/$Y$98)*('SCHG2-19'!$I$448*'SCHG2-19'!$K$15)</f>
        <v>0</v>
      </c>
      <c r="AX93" s="261">
        <f>(+X93/$Y$98)*('SCHG2-19'!$I$448*'SCHG2-19'!$K$15)</f>
        <v>1347.0362123802583</v>
      </c>
      <c r="AY93" s="185">
        <f t="shared" ref="AY93:AY95" si="199">AV93+AW93+AX93</f>
        <v>1347.0362123802583</v>
      </c>
      <c r="AZ93" s="261">
        <f>((+AJ93/($AM$98+$Y$178)*((('SCHG2-19'!$I$448*'SCHG2-19'!$K$15)+'SCHG2-19'!$I$448)*'SCHG2-19'!$M$15)))</f>
        <v>0</v>
      </c>
      <c r="BA93" s="261">
        <f>((+AK93/($AM$98+$Y$178)*((('SCHG2-19'!$I$448*'SCHG2-19'!$K$15)+'SCHG2-19'!$I$448)*'SCHG2-19'!$M$15)))</f>
        <v>0</v>
      </c>
      <c r="BB93" s="261">
        <f>((+AL93/($AM$98+$Y$178)*((('SCHG2-19'!$I$448*'SCHG2-19'!$K$15)+'SCHG2-19'!$I$448)*'SCHG2-19'!$M$15)))</f>
        <v>1489.3646187886563</v>
      </c>
      <c r="BC93" s="185">
        <f t="shared" ref="BC93:BC95" si="200">AZ93+BA93+BB93</f>
        <v>1489.3646187886563</v>
      </c>
      <c r="BD93" s="261">
        <f>(+V93/$Y$98)*('SCHG2-19'!$K$448-'SCHG2-19'!$I$448-'IRR 202 Detail '!$AY$98)</f>
        <v>0</v>
      </c>
      <c r="BE93" s="261">
        <f>(+W93/$Y$98)*('SCHG2-19'!$K$448-'SCHG2-19'!$I$448-'IRR 202 Detail '!$AY$98)</f>
        <v>0</v>
      </c>
      <c r="BF93" s="261">
        <f>(+X93/$Y$98)*('SCHG2-19'!$K$448-'SCHG2-19'!$I$448-'IRR 202 Detail '!$AY$98)</f>
        <v>3200.0860229123432</v>
      </c>
      <c r="BG93" s="185">
        <f t="shared" ref="BG93:BG95" si="201">BD93+BE93+BF93</f>
        <v>3200.0860229123432</v>
      </c>
      <c r="BH93" s="261">
        <f>(+AJ93/($AM$98+$Y$178))*('SCHG2-19'!$M$448-'SCHG2-19'!$K$448-'IRR 202 Detail '!$BC$98-'IRR 202 Detail '!$AQ$178)</f>
        <v>0</v>
      </c>
      <c r="BI93" s="261">
        <f>(+AK93/($AM$98+$Y$178))*('SCHG2-19'!$M$448-'SCHG2-19'!$K$448-'IRR 202 Detail '!$BC$98-'IRR 202 Detail '!$AQ$178)</f>
        <v>0</v>
      </c>
      <c r="BJ93" s="261">
        <f>(+AL93/($AM$98+$Y$178))*('SCHG2-19'!$M$448-'SCHG2-19'!$K$448-'IRR 202 Detail '!$BC$98-'IRR 202 Detail '!$AQ$178)</f>
        <v>5747.7305386671578</v>
      </c>
      <c r="BK93" s="185">
        <f t="shared" ref="BK93:BK95" si="202">BH93+BI93+BJ93</f>
        <v>5747.7305386671578</v>
      </c>
      <c r="BL93" s="192"/>
      <c r="BM93" s="183"/>
      <c r="BN93" s="90"/>
      <c r="BO93" s="192"/>
      <c r="BP93" s="192"/>
      <c r="BQ93" s="192"/>
      <c r="BR93" s="192"/>
      <c r="BS93" s="192">
        <f>+AM93-AD93-AE93-AF93</f>
        <v>0</v>
      </c>
      <c r="BT93" s="192">
        <f t="shared" ref="BT93:BT96" si="203">+Y93*0.08-AQ93</f>
        <v>0</v>
      </c>
      <c r="BU93" s="192">
        <f t="shared" ref="BU93:BU96" si="204">+AM93*0.08-AU93</f>
        <v>0</v>
      </c>
      <c r="BV93" s="192"/>
      <c r="BW93" s="192"/>
      <c r="BX93" s="192"/>
      <c r="BY93" s="192"/>
    </row>
    <row r="94" spans="3:77" x14ac:dyDescent="0.25">
      <c r="C94" t="s">
        <v>340</v>
      </c>
      <c r="E94" s="162"/>
      <c r="F94" s="162"/>
      <c r="G94" s="182"/>
      <c r="H94" s="191" t="s">
        <v>248</v>
      </c>
      <c r="I94" s="190" t="s">
        <v>270</v>
      </c>
      <c r="J94" s="185">
        <v>111772.76833957501</v>
      </c>
      <c r="K94" s="189">
        <v>1</v>
      </c>
      <c r="L94" s="188">
        <v>45231</v>
      </c>
      <c r="M94" s="150">
        <v>1</v>
      </c>
      <c r="N94" s="150">
        <v>0</v>
      </c>
      <c r="O94" s="150">
        <f>M94+N94</f>
        <v>1</v>
      </c>
      <c r="P94" s="187"/>
      <c r="Q94" s="186">
        <f>((13-MONTH(L94)-$AI$5))/12</f>
        <v>0.16666666666666666</v>
      </c>
      <c r="R94" s="151">
        <v>7</v>
      </c>
      <c r="S94" s="150">
        <v>0</v>
      </c>
      <c r="T94" s="150">
        <v>1</v>
      </c>
      <c r="U94" s="150">
        <f>+S94+T94</f>
        <v>1</v>
      </c>
      <c r="V94" s="147">
        <f>J94*N94*Q94</f>
        <v>0</v>
      </c>
      <c r="W94" s="147">
        <f>J94*M94*Q94*S94</f>
        <v>0</v>
      </c>
      <c r="X94" s="147">
        <f>J94*M94*Q94*T94</f>
        <v>18628.794723262501</v>
      </c>
      <c r="Y94" s="185">
        <f>V94+W94+X94</f>
        <v>18628.794723262501</v>
      </c>
      <c r="Z94">
        <v>920</v>
      </c>
      <c r="AA94" s="184">
        <f>+J94*M94*T94</f>
        <v>111772.76833957501</v>
      </c>
      <c r="AB94" s="184">
        <f t="shared" si="188"/>
        <v>0</v>
      </c>
      <c r="AC94" s="184">
        <f t="shared" si="189"/>
        <v>0</v>
      </c>
      <c r="AD94" s="184">
        <f>+AA94*(1+'SCHG2-19'!$M$12)</f>
        <v>117361.40675655376</v>
      </c>
      <c r="AE94" s="184">
        <f>+AB94*(1+'SCHG2-19'!$M$12)</f>
        <v>0</v>
      </c>
      <c r="AF94" s="184">
        <f>+AC94*(1+'SCHG2-19'!$M$12)</f>
        <v>0</v>
      </c>
      <c r="AH94" s="156"/>
      <c r="AJ94" s="261">
        <f>($J94*(1+'SCHG2-19'!$M$12))*$N94</f>
        <v>0</v>
      </c>
      <c r="AK94" s="261">
        <f>($J94*(1+'SCHG2-19'!$M$12))*$M94*S94</f>
        <v>0</v>
      </c>
      <c r="AL94" s="261">
        <f>($J94*(1+'SCHG2-19'!$M$12))*$M94*T94</f>
        <v>117361.40675655376</v>
      </c>
      <c r="AM94" s="185">
        <f t="shared" si="190"/>
        <v>117361.40675655376</v>
      </c>
      <c r="AN94" s="261">
        <f t="shared" si="191"/>
        <v>0</v>
      </c>
      <c r="AO94" s="261">
        <f t="shared" si="192"/>
        <v>0</v>
      </c>
      <c r="AP94" s="261">
        <f t="shared" si="193"/>
        <v>1490.3035778610001</v>
      </c>
      <c r="AQ94" s="185">
        <f t="shared" si="194"/>
        <v>1490.3035778610001</v>
      </c>
      <c r="AR94" s="261">
        <f t="shared" si="195"/>
        <v>0</v>
      </c>
      <c r="AS94" s="261">
        <f t="shared" si="196"/>
        <v>0</v>
      </c>
      <c r="AT94" s="261">
        <f t="shared" si="197"/>
        <v>9388.9125405243012</v>
      </c>
      <c r="AU94" s="185">
        <f t="shared" si="198"/>
        <v>9388.9125405243012</v>
      </c>
      <c r="AV94" s="261">
        <f>(+V94/$Y$98)*('SCHG2-19'!$I$448*'SCHG2-19'!$K$15)</f>
        <v>0</v>
      </c>
      <c r="AW94" s="261">
        <f>(+W94/$Y$98)*('SCHG2-19'!$I$448*'SCHG2-19'!$K$15)</f>
        <v>0</v>
      </c>
      <c r="AX94" s="261">
        <f>(+X94/$Y$98)*('SCHG2-19'!$I$448*'SCHG2-19'!$K$15)</f>
        <v>1933.5727764279618</v>
      </c>
      <c r="AY94" s="185">
        <f t="shared" si="199"/>
        <v>1933.5727764279618</v>
      </c>
      <c r="AZ94" s="261">
        <f>((+AJ94/($AM$98+$Y$178)*((('SCHG2-19'!$I$448*'SCHG2-19'!$K$15)+'SCHG2-19'!$I$448)*'SCHG2-19'!$M$15)))</f>
        <v>0</v>
      </c>
      <c r="BA94" s="261">
        <f>((+AK94/($AM$98+$Y$178)*((('SCHG2-19'!$I$448*'SCHG2-19'!$K$15)+'SCHG2-19'!$I$448)*'SCHG2-19'!$M$15)))</f>
        <v>0</v>
      </c>
      <c r="BB94" s="261">
        <f>((+AL94/($AM$98+$Y$178)*((('SCHG2-19'!$I$448*'SCHG2-19'!$K$15)+'SCHG2-19'!$I$448)*'SCHG2-19'!$M$15)))</f>
        <v>2137.8748801237202</v>
      </c>
      <c r="BC94" s="185">
        <f t="shared" si="200"/>
        <v>2137.8748801237202</v>
      </c>
      <c r="BD94" s="261">
        <f>(+V94/$Y$98)*('SCHG2-19'!$K$448-'SCHG2-19'!$I$448-'IRR 202 Detail '!$AY$98)</f>
        <v>0</v>
      </c>
      <c r="BE94" s="261">
        <f>(+W94/$Y$98)*('SCHG2-19'!$K$448-'SCHG2-19'!$I$448-'IRR 202 Detail '!$AY$98)</f>
        <v>0</v>
      </c>
      <c r="BF94" s="261">
        <f>(+X94/$Y$98)*('SCHG2-19'!$K$448-'SCHG2-19'!$I$448-'IRR 202 Detail '!$AY$98)</f>
        <v>4593.491369617479</v>
      </c>
      <c r="BG94" s="185">
        <f t="shared" si="201"/>
        <v>4593.491369617479</v>
      </c>
      <c r="BH94" s="261">
        <f>(+AJ94/($AM$98+$Y$178))*('SCHG2-19'!$M$448-'SCHG2-19'!$K$448-'IRR 202 Detail '!$BC$98-'IRR 202 Detail '!$AQ$178)</f>
        <v>0</v>
      </c>
      <c r="BI94" s="261">
        <f>(+AK94/($AM$98+$Y$178))*('SCHG2-19'!$M$448-'SCHG2-19'!$K$448-'IRR 202 Detail '!$BC$98-'IRR 202 Detail '!$AQ$178)</f>
        <v>0</v>
      </c>
      <c r="BJ94" s="261">
        <f>(+AL94/($AM$98+$Y$178))*('SCHG2-19'!$M$448-'SCHG2-19'!$K$448-'IRR 202 Detail '!$BC$98-'IRR 202 Detail '!$AQ$178)</f>
        <v>8250.450280154113</v>
      </c>
      <c r="BK94" s="185">
        <f t="shared" si="202"/>
        <v>8250.450280154113</v>
      </c>
      <c r="BL94" s="156"/>
      <c r="BM94" s="156"/>
      <c r="BN94" s="156"/>
      <c r="BO94" s="156"/>
      <c r="BP94" s="156"/>
      <c r="BQ94" s="156"/>
      <c r="BR94" s="156"/>
      <c r="BS94" s="192">
        <f>+AM94-AD94-AE94-AF94</f>
        <v>0</v>
      </c>
      <c r="BT94" s="192">
        <f t="shared" si="203"/>
        <v>0</v>
      </c>
      <c r="BU94" s="192">
        <f t="shared" si="204"/>
        <v>0</v>
      </c>
      <c r="BV94" s="192"/>
      <c r="BW94" s="192"/>
      <c r="BX94" s="192"/>
      <c r="BY94" s="192"/>
    </row>
    <row r="95" spans="3:77" x14ac:dyDescent="0.25">
      <c r="E95" s="162"/>
      <c r="F95" s="162"/>
      <c r="G95" s="182"/>
      <c r="H95" s="191" t="s">
        <v>249</v>
      </c>
      <c r="I95" s="190">
        <v>41154</v>
      </c>
      <c r="J95" s="185">
        <v>92933.872236135008</v>
      </c>
      <c r="K95" s="189">
        <v>1</v>
      </c>
      <c r="L95" s="188">
        <v>45231</v>
      </c>
      <c r="M95" s="150">
        <v>1</v>
      </c>
      <c r="N95" s="150">
        <v>0</v>
      </c>
      <c r="O95" s="150">
        <f>M95+N95</f>
        <v>1</v>
      </c>
      <c r="P95" s="187"/>
      <c r="Q95" s="186">
        <f>((13-MONTH(L95)-$AI$5))/12</f>
        <v>0.16666666666666666</v>
      </c>
      <c r="R95" s="151">
        <v>6</v>
      </c>
      <c r="S95" s="150">
        <v>0</v>
      </c>
      <c r="T95" s="150">
        <v>1</v>
      </c>
      <c r="U95" s="150">
        <f>+S95+T95</f>
        <v>1</v>
      </c>
      <c r="V95" s="147">
        <f>J95*N95*Q95</f>
        <v>0</v>
      </c>
      <c r="W95" s="147">
        <f>J95*M95*Q95*S95</f>
        <v>0</v>
      </c>
      <c r="X95" s="147">
        <f>J95*M95*Q95*T95</f>
        <v>15488.978706022501</v>
      </c>
      <c r="Y95" s="185">
        <f>V95+W95+X95</f>
        <v>15488.978706022501</v>
      </c>
      <c r="Z95">
        <v>920</v>
      </c>
      <c r="AA95" s="184">
        <f>+J95*M95*T95</f>
        <v>92933.872236135008</v>
      </c>
      <c r="AB95" s="184">
        <f t="shared" si="188"/>
        <v>0</v>
      </c>
      <c r="AC95" s="184">
        <f t="shared" si="189"/>
        <v>0</v>
      </c>
      <c r="AD95" s="184">
        <f>+AA95*(1+'SCHG2-19'!$M$12)</f>
        <v>97580.565847941762</v>
      </c>
      <c r="AE95" s="184">
        <f>+AB95*(1+'SCHG2-19'!$M$12)</f>
        <v>0</v>
      </c>
      <c r="AF95" s="184">
        <f>+AC95*(1+'SCHG2-19'!$M$12)</f>
        <v>0</v>
      </c>
      <c r="AJ95" s="261">
        <f>($J95*(1+'SCHG2-19'!$M$12))*$N95</f>
        <v>0</v>
      </c>
      <c r="AK95" s="261">
        <f>($J95*(1+'SCHG2-19'!$M$12))*$M95*S95</f>
        <v>0</v>
      </c>
      <c r="AL95" s="261">
        <f>($J95*(1+'SCHG2-19'!$M$12))*$M95*T95</f>
        <v>97580.565847941762</v>
      </c>
      <c r="AM95" s="185">
        <f t="shared" si="190"/>
        <v>97580.565847941762</v>
      </c>
      <c r="AN95" s="261">
        <f t="shared" si="191"/>
        <v>0</v>
      </c>
      <c r="AO95" s="261">
        <f t="shared" si="192"/>
        <v>0</v>
      </c>
      <c r="AP95" s="261">
        <f t="shared" si="193"/>
        <v>1239.1182964818001</v>
      </c>
      <c r="AQ95" s="185">
        <f t="shared" si="194"/>
        <v>1239.1182964818001</v>
      </c>
      <c r="AR95" s="261">
        <f t="shared" si="195"/>
        <v>0</v>
      </c>
      <c r="AS95" s="261">
        <f t="shared" si="196"/>
        <v>0</v>
      </c>
      <c r="AT95" s="261">
        <f t="shared" si="197"/>
        <v>7806.4452678353409</v>
      </c>
      <c r="AU95" s="185">
        <f t="shared" si="198"/>
        <v>7806.4452678353409</v>
      </c>
      <c r="AV95" s="261">
        <f>(+V95/$Y$98)*('SCHG2-19'!$I$448*'SCHG2-19'!$K$15)</f>
        <v>0</v>
      </c>
      <c r="AW95" s="261">
        <f>(+W95/$Y$98)*('SCHG2-19'!$I$448*'SCHG2-19'!$K$15)</f>
        <v>0</v>
      </c>
      <c r="AX95" s="261">
        <f>(+X95/$Y$98)*('SCHG2-19'!$I$448*'SCHG2-19'!$K$15)</f>
        <v>1607.6760738170001</v>
      </c>
      <c r="AY95" s="185">
        <f t="shared" si="199"/>
        <v>1607.6760738170001</v>
      </c>
      <c r="AZ95" s="261">
        <f>((+AJ95/($AM$98+$Y$178)*((('SCHG2-19'!$I$448*'SCHG2-19'!$K$15)+'SCHG2-19'!$I$448)*'SCHG2-19'!$M$15)))</f>
        <v>0</v>
      </c>
      <c r="BA95" s="261">
        <f>((+AK95/($AM$98+$Y$178)*((('SCHG2-19'!$I$448*'SCHG2-19'!$K$15)+'SCHG2-19'!$I$448)*'SCHG2-19'!$M$15)))</f>
        <v>0</v>
      </c>
      <c r="BB95" s="261">
        <f>((+AL95/($AM$98+$Y$178)*((('SCHG2-19'!$I$448*'SCHG2-19'!$K$15)+'SCHG2-19'!$I$448)*'SCHG2-19'!$M$15)))</f>
        <v>1777.5437963802669</v>
      </c>
      <c r="BC95" s="185">
        <f t="shared" si="200"/>
        <v>1777.5437963802669</v>
      </c>
      <c r="BD95" s="261">
        <f>(+V95/$Y$98)*('SCHG2-19'!$K$448-'SCHG2-19'!$I$448-'IRR 202 Detail '!$AY$98)</f>
        <v>0</v>
      </c>
      <c r="BE95" s="261">
        <f>(+W95/$Y$98)*('SCHG2-19'!$K$448-'SCHG2-19'!$I$448-'IRR 202 Detail '!$AY$98)</f>
        <v>0</v>
      </c>
      <c r="BF95" s="261">
        <f>(+X95/$Y$98)*('SCHG2-19'!$K$448-'SCHG2-19'!$I$448-'IRR 202 Detail '!$AY$98)</f>
        <v>3819.2750023412614</v>
      </c>
      <c r="BG95" s="185">
        <f t="shared" si="201"/>
        <v>3819.2750023412614</v>
      </c>
      <c r="BH95" s="261">
        <f>(+AJ95/($AM$98+$Y$178))*('SCHG2-19'!$M$448-'SCHG2-19'!$K$448-'IRR 202 Detail '!$BC$98-'IRR 202 Detail '!$AQ$178)</f>
        <v>0</v>
      </c>
      <c r="BI95" s="261">
        <f>(+AK95/($AM$98+$Y$178))*('SCHG2-19'!$M$448-'SCHG2-19'!$K$448-'IRR 202 Detail '!$BC$98-'IRR 202 Detail '!$AQ$178)</f>
        <v>0</v>
      </c>
      <c r="BJ95" s="261">
        <f>(+AL95/($AM$98+$Y$178))*('SCHG2-19'!$M$448-'SCHG2-19'!$K$448-'IRR 202 Detail '!$BC$98-'IRR 202 Detail '!$AQ$178)</f>
        <v>6859.8667065039263</v>
      </c>
      <c r="BK95" s="185">
        <f t="shared" si="202"/>
        <v>6859.8667065039263</v>
      </c>
      <c r="BL95" s="183"/>
      <c r="BM95" s="183"/>
      <c r="BN95" s="90"/>
      <c r="BO95" s="183"/>
      <c r="BP95" s="154"/>
      <c r="BQ95" s="154"/>
      <c r="BR95" s="154"/>
      <c r="BS95" s="192">
        <f>+AM95-AD95-AE95-AF95</f>
        <v>0</v>
      </c>
      <c r="BT95" s="192">
        <f t="shared" si="203"/>
        <v>0</v>
      </c>
      <c r="BU95" s="192">
        <f t="shared" si="204"/>
        <v>0</v>
      </c>
      <c r="BV95" s="192"/>
      <c r="BW95" s="192"/>
      <c r="BX95" s="192"/>
      <c r="BY95" s="192"/>
    </row>
    <row r="96" spans="3:77" x14ac:dyDescent="0.25">
      <c r="E96" s="162"/>
      <c r="F96" s="143"/>
      <c r="G96" s="182"/>
      <c r="H96" s="181" t="s">
        <v>375</v>
      </c>
      <c r="I96" s="180"/>
      <c r="J96" s="176">
        <f>SUM(J93:J95)</f>
        <v>282573.87595825503</v>
      </c>
      <c r="K96" s="179">
        <f>SUM(K93:K95)</f>
        <v>3</v>
      </c>
      <c r="L96" s="178"/>
      <c r="M96" s="178"/>
      <c r="N96" s="178"/>
      <c r="O96" s="178"/>
      <c r="P96" s="178"/>
      <c r="Q96" s="178"/>
      <c r="R96" s="178"/>
      <c r="S96" s="177"/>
      <c r="T96" s="177"/>
      <c r="U96" s="177"/>
      <c r="V96" s="176">
        <f>SUM(V93:V95)</f>
        <v>0</v>
      </c>
      <c r="W96" s="176">
        <f>SUM(W93:W95)</f>
        <v>0</v>
      </c>
      <c r="X96" s="176">
        <f>SUM(X93:X95)</f>
        <v>47095.645993042504</v>
      </c>
      <c r="Y96" s="176">
        <f>SUM(Y93:Y95)</f>
        <v>47095.645993042504</v>
      </c>
      <c r="AA96" s="176">
        <f t="shared" ref="AA96:AF96" si="205">SUM(AA93:AA95)</f>
        <v>282573.87595825503</v>
      </c>
      <c r="AB96" s="176">
        <f t="shared" si="205"/>
        <v>0</v>
      </c>
      <c r="AC96" s="176">
        <f t="shared" si="205"/>
        <v>0</v>
      </c>
      <c r="AD96" s="176">
        <f t="shared" si="205"/>
        <v>296702.56975616782</v>
      </c>
      <c r="AE96" s="176">
        <f t="shared" si="205"/>
        <v>0</v>
      </c>
      <c r="AF96" s="176">
        <f t="shared" si="205"/>
        <v>0</v>
      </c>
      <c r="AH96" s="156"/>
      <c r="AJ96" s="176">
        <f t="shared" ref="AJ96:BK96" si="206">SUM(AJ93:AJ95)</f>
        <v>0</v>
      </c>
      <c r="AK96" s="176">
        <f t="shared" si="206"/>
        <v>0</v>
      </c>
      <c r="AL96" s="176">
        <f t="shared" si="206"/>
        <v>296702.56975616782</v>
      </c>
      <c r="AM96" s="176">
        <f t="shared" si="206"/>
        <v>296702.56975616782</v>
      </c>
      <c r="AN96" s="176">
        <f t="shared" si="206"/>
        <v>0</v>
      </c>
      <c r="AO96" s="176">
        <f t="shared" si="206"/>
        <v>0</v>
      </c>
      <c r="AP96" s="176">
        <f t="shared" si="206"/>
        <v>3767.6516794434001</v>
      </c>
      <c r="AQ96" s="176">
        <f t="shared" si="206"/>
        <v>3767.6516794434001</v>
      </c>
      <c r="AR96" s="176">
        <f t="shared" si="206"/>
        <v>0</v>
      </c>
      <c r="AS96" s="176">
        <f t="shared" si="206"/>
        <v>0</v>
      </c>
      <c r="AT96" s="176">
        <f t="shared" si="206"/>
        <v>23736.205580493424</v>
      </c>
      <c r="AU96" s="176">
        <f t="shared" si="206"/>
        <v>23736.205580493424</v>
      </c>
      <c r="AV96" s="176">
        <f t="shared" si="206"/>
        <v>0</v>
      </c>
      <c r="AW96" s="176">
        <f t="shared" si="206"/>
        <v>0</v>
      </c>
      <c r="AX96" s="176">
        <f t="shared" si="206"/>
        <v>4888.2850626252202</v>
      </c>
      <c r="AY96" s="176">
        <f t="shared" si="206"/>
        <v>4888.2850626252202</v>
      </c>
      <c r="AZ96" s="176">
        <f t="shared" si="206"/>
        <v>0</v>
      </c>
      <c r="BA96" s="176">
        <f t="shared" si="206"/>
        <v>0</v>
      </c>
      <c r="BB96" s="176">
        <f t="shared" si="206"/>
        <v>5404.7832952926437</v>
      </c>
      <c r="BC96" s="176">
        <f t="shared" si="206"/>
        <v>5404.7832952926437</v>
      </c>
      <c r="BD96" s="176">
        <f t="shared" si="206"/>
        <v>0</v>
      </c>
      <c r="BE96" s="176">
        <f t="shared" si="206"/>
        <v>0</v>
      </c>
      <c r="BF96" s="176">
        <f t="shared" si="206"/>
        <v>11612.852394871083</v>
      </c>
      <c r="BG96" s="176">
        <f t="shared" si="206"/>
        <v>11612.852394871083</v>
      </c>
      <c r="BH96" s="176">
        <f t="shared" si="206"/>
        <v>0</v>
      </c>
      <c r="BI96" s="176">
        <f t="shared" si="206"/>
        <v>0</v>
      </c>
      <c r="BJ96" s="176">
        <f t="shared" si="206"/>
        <v>20858.047525325197</v>
      </c>
      <c r="BK96" s="176">
        <f t="shared" si="206"/>
        <v>20858.047525325197</v>
      </c>
      <c r="BL96" s="156"/>
      <c r="BM96" s="156"/>
      <c r="BN96" s="156"/>
      <c r="BO96" s="156"/>
      <c r="BP96" s="156"/>
      <c r="BQ96" s="156"/>
      <c r="BR96" s="156"/>
      <c r="BS96" s="192">
        <f>+AM96-AD96-AE96-AF96</f>
        <v>0</v>
      </c>
      <c r="BT96" s="192">
        <f t="shared" si="203"/>
        <v>0</v>
      </c>
      <c r="BU96" s="192">
        <f t="shared" si="204"/>
        <v>0</v>
      </c>
      <c r="BV96" s="192"/>
      <c r="BW96" s="192"/>
      <c r="BX96" s="192"/>
      <c r="BY96" s="192"/>
    </row>
    <row r="97" spans="1:77" x14ac:dyDescent="0.25">
      <c r="E97" s="162"/>
      <c r="F97" s="143"/>
      <c r="G97" s="149"/>
      <c r="H97" s="143"/>
      <c r="I97" s="175"/>
      <c r="J97" s="160"/>
      <c r="K97" s="154"/>
      <c r="L97" s="160"/>
      <c r="M97" s="160"/>
      <c r="N97" s="160"/>
      <c r="O97" s="160"/>
      <c r="P97" s="160"/>
      <c r="Q97" s="174"/>
      <c r="R97" s="158"/>
      <c r="S97" s="173"/>
      <c r="T97" s="173"/>
      <c r="U97" s="173"/>
      <c r="V97" s="160"/>
      <c r="W97" s="160"/>
      <c r="X97" s="160"/>
      <c r="Y97" s="160"/>
      <c r="AH97" s="156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71"/>
      <c r="BM97" s="172"/>
      <c r="BN97" s="172"/>
      <c r="BO97" s="171"/>
      <c r="BP97" s="171"/>
      <c r="BQ97" s="171"/>
      <c r="BR97" s="171"/>
      <c r="BS97" s="171"/>
      <c r="BT97" s="171"/>
      <c r="BU97" s="171"/>
      <c r="BV97" s="171"/>
      <c r="BW97" s="171"/>
      <c r="BX97" s="171"/>
      <c r="BY97" s="171"/>
    </row>
    <row r="98" spans="1:77" ht="15.75" thickBot="1" x14ac:dyDescent="0.3">
      <c r="E98" s="162"/>
      <c r="F98" s="162"/>
      <c r="G98" s="149"/>
      <c r="H98" s="170" t="s">
        <v>406</v>
      </c>
      <c r="I98" s="169"/>
      <c r="J98" s="163">
        <f>+J32+J61+J72+J76+J79+J83+J91+J96+J69</f>
        <v>7375411.0029199962</v>
      </c>
      <c r="K98" s="168">
        <f>+K32+K61+K72+K76+K79+K83+K91+K96+K69</f>
        <v>92</v>
      </c>
      <c r="L98" s="165"/>
      <c r="M98" s="167"/>
      <c r="N98" s="167"/>
      <c r="O98" s="167"/>
      <c r="P98" s="167"/>
      <c r="Q98" s="166"/>
      <c r="R98" s="165"/>
      <c r="S98" s="164"/>
      <c r="T98" s="164"/>
      <c r="U98" s="164"/>
      <c r="V98" s="163">
        <f>+V32+V61+V72+V76+V79+V83+V91+V96+V69</f>
        <v>104419.87293009475</v>
      </c>
      <c r="W98" s="163">
        <f>+W32+W61+W72+W76+W79+W83+W91+W96+W69</f>
        <v>1072949.161799903</v>
      </c>
      <c r="X98" s="163">
        <f>+X32+X61+X72+X76+X79+X83+X91+X96+X69</f>
        <v>1569699.5871016888</v>
      </c>
      <c r="Y98" s="163">
        <f>+Y32+Y61+Y72+Y76+Y79+Y83+Y91+Y96+Y69</f>
        <v>2747068.6218316867</v>
      </c>
      <c r="AA98" s="163">
        <f t="shared" ref="AA98:AF98" si="207">+AA32+AA61+AA72+AA76+AA79+AA83+AA91+AA96+AA69</f>
        <v>4632781.6491502672</v>
      </c>
      <c r="AB98" s="163">
        <f t="shared" si="207"/>
        <v>2402252.5699565397</v>
      </c>
      <c r="AC98" s="163">
        <f t="shared" si="207"/>
        <v>340376.78381318855</v>
      </c>
      <c r="AD98" s="163">
        <f t="shared" si="207"/>
        <v>4864420.7316077799</v>
      </c>
      <c r="AE98" s="163">
        <f t="shared" si="207"/>
        <v>2522365.1984543675</v>
      </c>
      <c r="AF98" s="163">
        <f t="shared" si="207"/>
        <v>357395.6230038479</v>
      </c>
      <c r="AJ98" s="163">
        <f t="shared" ref="AJ98:BK98" si="208">+AJ32+AJ61+AJ72+AJ76+AJ79+AJ83+AJ91+AJ96+AJ69</f>
        <v>357395.6230038479</v>
      </c>
      <c r="AK98" s="163">
        <f t="shared" si="208"/>
        <v>2522365.1984543675</v>
      </c>
      <c r="AL98" s="163">
        <f t="shared" si="208"/>
        <v>4864420.7316077799</v>
      </c>
      <c r="AM98" s="163">
        <f t="shared" si="208"/>
        <v>7744181.5530659975</v>
      </c>
      <c r="AN98" s="163">
        <f t="shared" si="208"/>
        <v>8353.5898344075795</v>
      </c>
      <c r="AO98" s="163">
        <f t="shared" si="208"/>
        <v>85835.932943992273</v>
      </c>
      <c r="AP98" s="163">
        <f t="shared" si="208"/>
        <v>125575.96696813511</v>
      </c>
      <c r="AQ98" s="163">
        <f t="shared" si="208"/>
        <v>219765.48974653488</v>
      </c>
      <c r="AR98" s="163">
        <f t="shared" si="208"/>
        <v>28591.649840307837</v>
      </c>
      <c r="AS98" s="163">
        <f t="shared" si="208"/>
        <v>201789.21587634936</v>
      </c>
      <c r="AT98" s="163">
        <f t="shared" si="208"/>
        <v>389153.65852862247</v>
      </c>
      <c r="AU98" s="163">
        <f t="shared" si="208"/>
        <v>619534.52424527949</v>
      </c>
      <c r="AV98" s="163">
        <f t="shared" si="208"/>
        <v>10838.244052556638</v>
      </c>
      <c r="AW98" s="163">
        <f t="shared" si="208"/>
        <v>111366.58708020586</v>
      </c>
      <c r="AX98" s="163">
        <f t="shared" si="208"/>
        <v>162926.71822723746</v>
      </c>
      <c r="AY98" s="163">
        <f t="shared" si="208"/>
        <v>285131.54936</v>
      </c>
      <c r="AZ98" s="163">
        <f t="shared" si="208"/>
        <v>6510.3780348425844</v>
      </c>
      <c r="BA98" s="163">
        <f t="shared" si="208"/>
        <v>45947.823439605665</v>
      </c>
      <c r="BB98" s="163">
        <f t="shared" si="208"/>
        <v>88611.09606524538</v>
      </c>
      <c r="BC98" s="163">
        <f t="shared" si="208"/>
        <v>141069.29753969362</v>
      </c>
      <c r="BD98" s="163">
        <f t="shared" si="208"/>
        <v>25747.870017698151</v>
      </c>
      <c r="BE98" s="163">
        <f t="shared" si="208"/>
        <v>264567.98670993192</v>
      </c>
      <c r="BF98" s="163">
        <f t="shared" si="208"/>
        <v>387056.79102469346</v>
      </c>
      <c r="BG98" s="163">
        <f t="shared" si="208"/>
        <v>677372.64775232354</v>
      </c>
      <c r="BH98" s="163">
        <f t="shared" si="208"/>
        <v>25124.73989046906</v>
      </c>
      <c r="BI98" s="163">
        <f t="shared" si="208"/>
        <v>177321.05666905449</v>
      </c>
      <c r="BJ98" s="163">
        <f t="shared" si="208"/>
        <v>341966.43084835663</v>
      </c>
      <c r="BK98" s="163">
        <f t="shared" si="208"/>
        <v>544412.22740788013</v>
      </c>
      <c r="BL98" s="155"/>
      <c r="BO98" s="155"/>
      <c r="BP98" s="155"/>
      <c r="BQ98" s="155"/>
      <c r="BR98" s="155"/>
      <c r="BS98" s="313">
        <f>+AM98-AD98-AE98-AF98</f>
        <v>2.3283064365386963E-9</v>
      </c>
      <c r="BT98" s="313">
        <f>+Y98*0.08-AQ98</f>
        <v>0</v>
      </c>
      <c r="BU98" s="313">
        <f>+AM98*0.08-AU98</f>
        <v>0</v>
      </c>
      <c r="BV98" s="313">
        <f>+'SCHG2-19'!$I$448*'SCHG2-19'!$K$15-$AY$98</f>
        <v>0</v>
      </c>
      <c r="BW98" s="313">
        <f>(+'SCHG2-19'!$I$448*'SCHG2-19'!$K$15+'SCHG2-19'!I448)*'SCHG2-19'!M15-BC98-AQ178</f>
        <v>0</v>
      </c>
      <c r="BX98" s="313">
        <f>+'SCHG2-19'!K448-'SCHG2-19'!I448-'IRR 202 Detail '!AY98-'IRR 202 Detail '!BG98</f>
        <v>0</v>
      </c>
      <c r="BY98" s="313">
        <f>+'SCHG2-19'!M448-'SCHG2-19'!K448-'IRR 202 Detail '!BC98-'IRR 202 Detail '!BK98-'IRR 202 Detail '!AQ178-'IRR 202 Detail '!AU178</f>
        <v>0</v>
      </c>
    </row>
    <row r="99" spans="1:77" ht="15.75" thickTop="1" x14ac:dyDescent="0.25">
      <c r="E99" s="162"/>
      <c r="F99" s="143"/>
      <c r="G99" s="149"/>
      <c r="H99" s="288"/>
      <c r="I99" s="161"/>
      <c r="J99" s="156"/>
      <c r="L99" s="158"/>
      <c r="M99" s="160"/>
      <c r="N99" s="160"/>
      <c r="O99" s="160"/>
      <c r="P99" s="160"/>
      <c r="Q99" s="159"/>
      <c r="R99" s="158"/>
      <c r="S99" s="157"/>
      <c r="T99" s="157"/>
      <c r="U99" s="157"/>
      <c r="V99" s="156"/>
      <c r="W99" s="156"/>
      <c r="X99" s="156"/>
      <c r="Y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</row>
    <row r="100" spans="1:77" x14ac:dyDescent="0.25">
      <c r="G100" s="149"/>
      <c r="H100" s="142" t="s">
        <v>462</v>
      </c>
      <c r="K100" s="154"/>
      <c r="L100" s="153"/>
      <c r="Q100" s="152"/>
      <c r="R100" s="151"/>
      <c r="S100" s="150"/>
      <c r="T100" s="150"/>
      <c r="U100" s="150"/>
      <c r="V100" s="147"/>
      <c r="W100" s="147"/>
      <c r="X100" s="147">
        <f>+'SCHG2-19c to 19e'!F71</f>
        <v>-17905.792099272094</v>
      </c>
      <c r="Y100" s="185">
        <f>V100+W100+X100</f>
        <v>-17905.792099272094</v>
      </c>
      <c r="Z100">
        <v>920</v>
      </c>
      <c r="AA100" s="184">
        <f>+J100*M100*T100</f>
        <v>0</v>
      </c>
      <c r="AB100" s="184">
        <f t="shared" ref="AB100" si="209">+J100*M100*S100</f>
        <v>0</v>
      </c>
      <c r="AC100" s="184">
        <f t="shared" ref="AC100" si="210">+J100*N100</f>
        <v>0</v>
      </c>
      <c r="AD100" s="184">
        <f>+AA100*(1+'SCHG2-19'!$M$12)</f>
        <v>0</v>
      </c>
      <c r="AE100" s="184">
        <f>+AB100*(1+'SCHG2-19'!$M$12)</f>
        <v>0</v>
      </c>
      <c r="AF100" s="184">
        <f>+AC100*(1+'SCHG2-19'!$M$12)</f>
        <v>0</v>
      </c>
      <c r="AH100" s="260"/>
      <c r="AJ100" s="261"/>
      <c r="AK100" s="261"/>
      <c r="AL100" s="261">
        <f>+'SCHG2-19c to 19e'!I71</f>
        <v>-75619.681478507933</v>
      </c>
      <c r="AM100" s="185">
        <f t="shared" ref="AM100" si="211">AJ100+AK100+AL100</f>
        <v>-75619.681478507933</v>
      </c>
      <c r="AN100" s="261">
        <f t="shared" ref="AN100" si="212">+V100*0.08</f>
        <v>0</v>
      </c>
      <c r="AO100" s="261">
        <f t="shared" ref="AO100" si="213">+W100*0.08</f>
        <v>0</v>
      </c>
      <c r="AP100" s="261">
        <f t="shared" ref="AP100" si="214">+X100*0.08</f>
        <v>-1432.4633679417675</v>
      </c>
      <c r="AQ100" s="185">
        <f t="shared" ref="AQ100" si="215">AN100+AO100+AP100</f>
        <v>-1432.4633679417675</v>
      </c>
      <c r="AR100" s="261">
        <f t="shared" ref="AR100" si="216">+AJ100*0.08</f>
        <v>0</v>
      </c>
      <c r="AS100" s="261">
        <f t="shared" ref="AS100" si="217">+AK100*0.08</f>
        <v>0</v>
      </c>
      <c r="AT100" s="261">
        <f t="shared" ref="AT100" si="218">+AL100*0.08</f>
        <v>-6049.5745182806349</v>
      </c>
      <c r="AU100" s="185">
        <f t="shared" ref="AU100" si="219">AR100+AS100+AT100</f>
        <v>-6049.5745182806349</v>
      </c>
      <c r="AV100" s="261"/>
      <c r="AW100" s="261"/>
      <c r="AX100" s="261"/>
      <c r="AY100" s="185"/>
      <c r="AZ100" s="261"/>
      <c r="BA100" s="261"/>
      <c r="BB100" s="261"/>
      <c r="BC100" s="185"/>
      <c r="BD100" s="261"/>
      <c r="BE100" s="261"/>
      <c r="BF100" s="261"/>
      <c r="BG100" s="185"/>
      <c r="BH100" s="261"/>
      <c r="BI100" s="261"/>
      <c r="BJ100" s="261"/>
      <c r="BK100" s="185"/>
    </row>
    <row r="101" spans="1:77" x14ac:dyDescent="0.25">
      <c r="G101" s="149"/>
      <c r="H101" s="280"/>
      <c r="K101" s="154"/>
      <c r="M101" s="148"/>
      <c r="N101" s="148"/>
      <c r="O101" s="148"/>
      <c r="P101" s="148"/>
      <c r="X101" s="260"/>
      <c r="AD101" s="260"/>
      <c r="AE101" s="260"/>
      <c r="AF101" s="260"/>
      <c r="AG101" s="142"/>
      <c r="AL101" s="260"/>
      <c r="AP101" s="260"/>
      <c r="AT101" s="260"/>
      <c r="AX101" s="260"/>
      <c r="BB101" s="260"/>
      <c r="BF101" s="260"/>
      <c r="BJ101" s="260"/>
    </row>
    <row r="102" spans="1:77" x14ac:dyDescent="0.25">
      <c r="X102" s="260"/>
      <c r="AD102" s="260"/>
      <c r="AE102" s="260"/>
      <c r="AF102" s="260"/>
      <c r="AG102" s="142"/>
      <c r="AL102" s="260"/>
      <c r="AP102" s="260"/>
      <c r="AT102" s="260"/>
      <c r="AX102" s="260"/>
      <c r="BB102" s="260"/>
      <c r="BF102" s="260"/>
      <c r="BJ102" s="260"/>
    </row>
    <row r="103" spans="1:77" ht="16.149999999999999" customHeight="1" x14ac:dyDescent="0.25">
      <c r="X103" s="146"/>
      <c r="AI103" s="151"/>
      <c r="AL103" s="146"/>
      <c r="AP103" s="146"/>
      <c r="AT103" s="146"/>
      <c r="AX103" s="146"/>
      <c r="BB103" s="146"/>
      <c r="BF103" s="146"/>
      <c r="BJ103" s="146"/>
    </row>
    <row r="104" spans="1:77" ht="15.75" thickBot="1" x14ac:dyDescent="0.3">
      <c r="AI104" s="151"/>
      <c r="AL104" s="260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</row>
    <row r="105" spans="1:77" ht="15.75" thickBot="1" x14ac:dyDescent="0.3">
      <c r="H105" s="271"/>
      <c r="K105" s="274"/>
      <c r="L105" s="153"/>
      <c r="M105" s="271"/>
      <c r="N105" s="271"/>
      <c r="O105" s="271"/>
      <c r="P105" s="271"/>
      <c r="Q105" s="152"/>
      <c r="S105" s="329" t="s">
        <v>336</v>
      </c>
      <c r="T105" s="330"/>
      <c r="U105" s="331"/>
      <c r="AH105" s="275"/>
      <c r="AL105" s="260"/>
      <c r="AM105" s="84"/>
      <c r="AN105"/>
      <c r="AO105"/>
      <c r="AP105" s="84"/>
      <c r="AQ105" s="125"/>
      <c r="AR105" s="84"/>
      <c r="AS105" s="125"/>
      <c r="AT105" s="125"/>
      <c r="AU105" s="125"/>
      <c r="AV105"/>
      <c r="AW105"/>
      <c r="AX105" s="84"/>
      <c r="AY105" s="125"/>
      <c r="AZ105" s="84"/>
      <c r="BA105" s="125"/>
      <c r="BB105" s="125"/>
      <c r="BC105" s="125"/>
      <c r="BD105"/>
      <c r="BE105"/>
      <c r="BF105" s="84"/>
      <c r="BG105" s="125"/>
      <c r="BH105" s="84"/>
      <c r="BI105" s="125"/>
      <c r="BJ105" s="125"/>
      <c r="BK105" s="125"/>
      <c r="BL105" s="84"/>
      <c r="BM105" s="125"/>
      <c r="BN105" s="84"/>
    </row>
    <row r="106" spans="1:77" x14ac:dyDescent="0.25">
      <c r="E106" s="263" t="s">
        <v>339</v>
      </c>
      <c r="F106" s="263" t="s">
        <v>338</v>
      </c>
      <c r="H106" s="271"/>
      <c r="I106" s="151"/>
      <c r="J106" s="151"/>
      <c r="K106" s="274"/>
      <c r="L106" s="270"/>
      <c r="M106" s="272"/>
      <c r="N106" s="272"/>
      <c r="O106" s="268"/>
      <c r="P106" s="268"/>
      <c r="Q106" s="152"/>
      <c r="S106" s="273"/>
      <c r="T106" s="272"/>
      <c r="U106" s="267" t="s">
        <v>337</v>
      </c>
      <c r="V106" s="329" t="s">
        <v>445</v>
      </c>
      <c r="W106" s="330"/>
      <c r="X106" s="330"/>
      <c r="Y106" s="331"/>
      <c r="AH106" s="268"/>
      <c r="AI106" s="268"/>
      <c r="AJ106" s="329" t="s">
        <v>450</v>
      </c>
      <c r="AK106" s="330"/>
      <c r="AL106" s="330"/>
      <c r="AM106" s="331"/>
      <c r="AN106" s="329" t="s">
        <v>454</v>
      </c>
      <c r="AO106" s="330"/>
      <c r="AP106" s="330"/>
      <c r="AQ106" s="331"/>
      <c r="AR106" s="329" t="s">
        <v>456</v>
      </c>
      <c r="AS106" s="330"/>
      <c r="AT106" s="330"/>
      <c r="AU106" s="331"/>
      <c r="AV106" s="84"/>
      <c r="AW106" s="84"/>
      <c r="AX106" s="281"/>
      <c r="AY106" s="188"/>
      <c r="AZ106" s="188"/>
      <c r="BA106" s="188"/>
      <c r="BB106" s="281"/>
      <c r="BC106" s="188"/>
      <c r="BD106" s="84"/>
      <c r="BE106" s="84"/>
      <c r="BF106" s="281"/>
      <c r="BG106" s="188"/>
      <c r="BH106" s="188"/>
      <c r="BI106" s="188"/>
      <c r="BJ106" s="281"/>
      <c r="BK106" s="188"/>
      <c r="BL106" s="188"/>
      <c r="BM106" s="188"/>
      <c r="BN106" s="188"/>
    </row>
    <row r="107" spans="1:77" x14ac:dyDescent="0.25">
      <c r="A107" s="88"/>
      <c r="B107" s="88"/>
      <c r="C107" t="s">
        <v>309</v>
      </c>
      <c r="D107" s="83" t="s">
        <v>335</v>
      </c>
      <c r="E107" s="162" t="s">
        <v>286</v>
      </c>
      <c r="F107" s="182" t="s">
        <v>307</v>
      </c>
      <c r="H107" s="271"/>
      <c r="I107" s="268"/>
      <c r="J107" s="268" t="s">
        <v>334</v>
      </c>
      <c r="K107" s="290" t="s">
        <v>359</v>
      </c>
      <c r="L107" s="270"/>
      <c r="M107" s="268" t="s">
        <v>333</v>
      </c>
      <c r="N107" s="268" t="s">
        <v>332</v>
      </c>
      <c r="O107" s="268" t="s">
        <v>48</v>
      </c>
      <c r="P107" s="268" t="s">
        <v>366</v>
      </c>
      <c r="Q107" s="152"/>
      <c r="R107" s="267" t="s">
        <v>331</v>
      </c>
      <c r="S107" s="269" t="s">
        <v>330</v>
      </c>
      <c r="T107" s="268" t="s">
        <v>330</v>
      </c>
      <c r="U107" s="267" t="s">
        <v>48</v>
      </c>
      <c r="V107" s="269" t="s">
        <v>329</v>
      </c>
      <c r="W107" s="268" t="s">
        <v>329</v>
      </c>
      <c r="X107" s="268" t="s">
        <v>329</v>
      </c>
      <c r="Y107" s="267" t="s">
        <v>48</v>
      </c>
      <c r="AH107" s="260"/>
      <c r="AJ107" s="269" t="s">
        <v>329</v>
      </c>
      <c r="AK107" s="268" t="s">
        <v>329</v>
      </c>
      <c r="AL107" s="268" t="s">
        <v>329</v>
      </c>
      <c r="AM107" s="267" t="s">
        <v>48</v>
      </c>
      <c r="AN107" s="269" t="s">
        <v>329</v>
      </c>
      <c r="AO107" s="268" t="s">
        <v>329</v>
      </c>
      <c r="AP107" s="268" t="s">
        <v>329</v>
      </c>
      <c r="AQ107" s="267" t="s">
        <v>48</v>
      </c>
      <c r="AR107" s="269" t="s">
        <v>329</v>
      </c>
      <c r="AS107" s="268" t="s">
        <v>329</v>
      </c>
      <c r="AT107" s="268" t="s">
        <v>329</v>
      </c>
      <c r="AU107" s="267" t="s">
        <v>48</v>
      </c>
      <c r="AV107" s="183"/>
      <c r="AW107" s="90"/>
      <c r="AX107" s="192"/>
      <c r="AY107" s="192"/>
      <c r="AZ107" s="192"/>
      <c r="BA107" s="192"/>
      <c r="BB107" s="192"/>
      <c r="BC107" s="192"/>
      <c r="BD107" s="183"/>
      <c r="BE107" s="90"/>
      <c r="BF107" s="192"/>
      <c r="BG107" s="192"/>
      <c r="BH107" s="192"/>
      <c r="BI107" s="192"/>
      <c r="BJ107" s="192"/>
      <c r="BK107" s="192"/>
      <c r="BL107" s="192"/>
      <c r="BM107" s="184"/>
      <c r="BN107" s="184"/>
    </row>
    <row r="108" spans="1:77" x14ac:dyDescent="0.25">
      <c r="A108" s="88"/>
      <c r="B108" s="88"/>
      <c r="D108" s="83"/>
      <c r="E108" s="162" t="s">
        <v>286</v>
      </c>
      <c r="F108" s="182" t="s">
        <v>307</v>
      </c>
      <c r="G108" s="263"/>
      <c r="H108" s="263" t="s">
        <v>166</v>
      </c>
      <c r="I108" s="263" t="s">
        <v>328</v>
      </c>
      <c r="J108" s="263" t="s">
        <v>327</v>
      </c>
      <c r="K108" s="263" t="s">
        <v>326</v>
      </c>
      <c r="L108" s="266" t="s">
        <v>325</v>
      </c>
      <c r="M108" s="263" t="s">
        <v>35</v>
      </c>
      <c r="N108" s="263" t="s">
        <v>324</v>
      </c>
      <c r="O108" s="263" t="s">
        <v>321</v>
      </c>
      <c r="P108" s="263" t="s">
        <v>95</v>
      </c>
      <c r="Q108" s="263" t="s">
        <v>323</v>
      </c>
      <c r="R108" s="264" t="s">
        <v>322</v>
      </c>
      <c r="S108" s="265" t="s">
        <v>320</v>
      </c>
      <c r="T108" s="263" t="s">
        <v>109</v>
      </c>
      <c r="U108" s="264" t="s">
        <v>321</v>
      </c>
      <c r="V108" s="265" t="s">
        <v>95</v>
      </c>
      <c r="W108" s="263" t="s">
        <v>320</v>
      </c>
      <c r="X108" s="263" t="s">
        <v>109</v>
      </c>
      <c r="Y108" s="264" t="s">
        <v>319</v>
      </c>
      <c r="Z108" s="263" t="s">
        <v>104</v>
      </c>
      <c r="AA108" s="263" t="s">
        <v>318</v>
      </c>
      <c r="AB108" s="263" t="s">
        <v>318</v>
      </c>
      <c r="AC108" s="263" t="s">
        <v>318</v>
      </c>
      <c r="AG108" s="268"/>
      <c r="AH108" s="260"/>
      <c r="AJ108" s="265" t="s">
        <v>95</v>
      </c>
      <c r="AK108" s="263" t="s">
        <v>320</v>
      </c>
      <c r="AL108" s="263" t="s">
        <v>109</v>
      </c>
      <c r="AM108" s="264" t="s">
        <v>319</v>
      </c>
      <c r="AN108" s="265" t="s">
        <v>95</v>
      </c>
      <c r="AO108" s="263" t="s">
        <v>320</v>
      </c>
      <c r="AP108" s="263" t="s">
        <v>109</v>
      </c>
      <c r="AQ108" s="264" t="s">
        <v>319</v>
      </c>
      <c r="AR108" s="265" t="s">
        <v>95</v>
      </c>
      <c r="AS108" s="263" t="s">
        <v>320</v>
      </c>
      <c r="AT108" s="263" t="s">
        <v>109</v>
      </c>
      <c r="AU108" s="264" t="s">
        <v>319</v>
      </c>
      <c r="AV108" s="183"/>
      <c r="AW108" s="90"/>
      <c r="AX108" s="192"/>
      <c r="AY108" s="192"/>
      <c r="AZ108" s="192"/>
      <c r="BA108" s="192"/>
      <c r="BB108" s="192"/>
      <c r="BC108" s="192"/>
      <c r="BD108" s="183"/>
      <c r="BE108" s="90"/>
      <c r="BF108" s="192"/>
      <c r="BG108" s="192"/>
      <c r="BH108" s="192"/>
      <c r="BI108" s="192"/>
      <c r="BJ108" s="192"/>
      <c r="BK108" s="192"/>
      <c r="BL108" s="192"/>
      <c r="BM108" s="184"/>
      <c r="BN108" s="184"/>
    </row>
    <row r="109" spans="1:77" x14ac:dyDescent="0.25">
      <c r="A109" s="88"/>
      <c r="B109" s="88"/>
      <c r="C109" t="s">
        <v>309</v>
      </c>
      <c r="D109" s="83" t="s">
        <v>317</v>
      </c>
      <c r="E109" s="162" t="s">
        <v>286</v>
      </c>
      <c r="F109" s="182" t="s">
        <v>307</v>
      </c>
      <c r="G109" s="182"/>
      <c r="H109" s="191" t="s">
        <v>204</v>
      </c>
      <c r="I109" s="190" t="s">
        <v>270</v>
      </c>
      <c r="J109" s="185">
        <v>119251.1367000765</v>
      </c>
      <c r="K109" s="189">
        <v>2</v>
      </c>
      <c r="L109" s="188">
        <v>45292</v>
      </c>
      <c r="M109" s="150">
        <v>1</v>
      </c>
      <c r="N109" s="150">
        <v>0</v>
      </c>
      <c r="O109" s="150">
        <f t="shared" ref="O109:O128" si="220">M109+N109</f>
        <v>1</v>
      </c>
      <c r="P109" s="187"/>
      <c r="Q109" s="186">
        <f t="shared" ref="Q109:Q125" si="221">((13-MONTH(L109)-$AI$5))/12</f>
        <v>1</v>
      </c>
      <c r="R109" s="152">
        <v>3</v>
      </c>
      <c r="S109" s="150">
        <v>0.28999999999999998</v>
      </c>
      <c r="T109" s="150">
        <v>0.71</v>
      </c>
      <c r="U109" s="150">
        <f t="shared" ref="U109:U128" si="222">+S109+T109</f>
        <v>1</v>
      </c>
      <c r="V109" s="261">
        <v>0</v>
      </c>
      <c r="W109" s="261">
        <f t="shared" ref="W109:W128" si="223">J109*M109*Q109*S109</f>
        <v>34582.829643022182</v>
      </c>
      <c r="X109" s="147">
        <f t="shared" ref="X109:X128" si="224">J109*M109*Q109*T109</f>
        <v>84668.307057054306</v>
      </c>
      <c r="Y109" s="185">
        <f t="shared" ref="Y109:Y128" si="225">V109+W109+X109</f>
        <v>119251.13670007649</v>
      </c>
      <c r="Z109">
        <v>874</v>
      </c>
      <c r="AA109" s="184">
        <f t="shared" ref="AA109:AA128" si="226">+J109*M109*T109</f>
        <v>84668.307057054306</v>
      </c>
      <c r="AB109" s="184">
        <f t="shared" ref="AB109:AB128" si="227">+J109*M109*T109</f>
        <v>84668.307057054306</v>
      </c>
      <c r="AC109" s="184">
        <f t="shared" ref="AC109:AC128" si="228">+K109*N109*U109</f>
        <v>0</v>
      </c>
      <c r="AH109" s="260"/>
      <c r="AJ109" s="261">
        <f>+V109*0.08</f>
        <v>0</v>
      </c>
      <c r="AK109" s="261">
        <f t="shared" ref="AK109:AL109" si="229">+W109*0.08</f>
        <v>2766.6263714417746</v>
      </c>
      <c r="AL109" s="261">
        <f t="shared" si="229"/>
        <v>6773.464564564345</v>
      </c>
      <c r="AM109" s="185">
        <f t="shared" ref="AM109" si="230">AJ109+AK109+AL109</f>
        <v>9540.0909360061196</v>
      </c>
      <c r="AN109" s="261">
        <f>((+V109/($AM$98+$Y$178)*((('SCHG2-19'!$I$448*'SCHG2-19'!$K$15)+'SCHG2-19'!$I$448)*'SCHG2-19'!$M$15)))</f>
        <v>0</v>
      </c>
      <c r="AO109" s="261">
        <f>((+W109/($AM$98+$Y$178)*((('SCHG2-19'!$I$448*'SCHG2-19'!$K$15)+'SCHG2-19'!$I$448)*'SCHG2-19'!$M$15)))</f>
        <v>629.96656925541186</v>
      </c>
      <c r="AP109" s="261">
        <f>((+X109/($AM$98+$Y$178)*((('SCHG2-19'!$I$448*'SCHG2-19'!$K$15)+'SCHG2-19'!$I$448)*'SCHG2-19'!$M$15)))</f>
        <v>1542.3319454184223</v>
      </c>
      <c r="AQ109" s="185">
        <f t="shared" ref="AQ109:AQ128" si="231">AN109+AO109+AP109</f>
        <v>2172.2985146738342</v>
      </c>
      <c r="AR109" s="261">
        <f>(+V109/($AM$98+$Y$178))*('SCHG2-19'!$M$448-'SCHG2-19'!$K$448-'IRR 202 Detail '!$BC$98-'IRR 202 Detail '!$AQ$178)</f>
        <v>0</v>
      </c>
      <c r="AS109" s="261">
        <f>(+W109/($AM$98+$Y$178))*('SCHG2-19'!$M$448-'SCHG2-19'!$K$448-'IRR 202 Detail '!$BC$98-'IRR 202 Detail '!$AQ$178)</f>
        <v>2431.1562412390831</v>
      </c>
      <c r="AT109" s="261">
        <f>(+X109/($AM$98+$Y$178))*('SCHG2-19'!$M$448-'SCHG2-19'!$K$448-'IRR 202 Detail '!$BC$98-'IRR 202 Detail '!$AQ$178)</f>
        <v>5952.1411423439622</v>
      </c>
      <c r="AU109" s="185">
        <f t="shared" ref="AU109:AU128" si="232">AR109+AS109+AT109</f>
        <v>8383.2973835830453</v>
      </c>
      <c r="AV109" s="183"/>
      <c r="AW109" s="90"/>
      <c r="AX109" s="192"/>
      <c r="AY109" s="192"/>
      <c r="AZ109" s="192"/>
      <c r="BA109" s="192"/>
      <c r="BB109" s="192"/>
      <c r="BC109" s="192"/>
      <c r="BD109" s="183"/>
      <c r="BE109" s="90"/>
      <c r="BF109" s="192"/>
      <c r="BG109" s="192"/>
      <c r="BH109" s="192"/>
      <c r="BI109" s="192"/>
      <c r="BJ109" s="192"/>
      <c r="BK109" s="192"/>
      <c r="BL109" s="192"/>
      <c r="BM109" s="184"/>
      <c r="BN109" s="184"/>
    </row>
    <row r="110" spans="1:77" x14ac:dyDescent="0.25">
      <c r="A110" s="88"/>
      <c r="B110" s="88"/>
      <c r="C110" t="s">
        <v>309</v>
      </c>
      <c r="D110" s="83" t="s">
        <v>316</v>
      </c>
      <c r="E110" s="162" t="s">
        <v>286</v>
      </c>
      <c r="F110" s="182" t="s">
        <v>307</v>
      </c>
      <c r="G110" s="182"/>
      <c r="H110" s="191" t="s">
        <v>205</v>
      </c>
      <c r="I110" s="190" t="s">
        <v>270</v>
      </c>
      <c r="J110" s="185">
        <v>49782.899250047252</v>
      </c>
      <c r="K110" s="189">
        <v>1</v>
      </c>
      <c r="L110" s="188">
        <v>45293</v>
      </c>
      <c r="M110" s="150">
        <v>1</v>
      </c>
      <c r="N110" s="150">
        <v>0</v>
      </c>
      <c r="O110" s="150">
        <f t="shared" si="220"/>
        <v>1</v>
      </c>
      <c r="P110" s="187"/>
      <c r="Q110" s="186">
        <f t="shared" si="221"/>
        <v>1</v>
      </c>
      <c r="R110" s="152">
        <v>2</v>
      </c>
      <c r="S110" s="150">
        <v>0.28999999999999998</v>
      </c>
      <c r="T110" s="150">
        <v>0.71</v>
      </c>
      <c r="U110" s="150">
        <f t="shared" si="222"/>
        <v>1</v>
      </c>
      <c r="V110" s="261">
        <v>0</v>
      </c>
      <c r="W110" s="261">
        <f t="shared" si="223"/>
        <v>14437.040782513703</v>
      </c>
      <c r="X110" s="147">
        <f t="shared" si="224"/>
        <v>35345.858467533544</v>
      </c>
      <c r="Y110" s="185">
        <f t="shared" si="225"/>
        <v>49782.899250047245</v>
      </c>
      <c r="Z110">
        <v>874</v>
      </c>
      <c r="AA110" s="184">
        <f t="shared" si="226"/>
        <v>35345.858467533544</v>
      </c>
      <c r="AB110" s="184">
        <f t="shared" si="227"/>
        <v>35345.858467533544</v>
      </c>
      <c r="AC110" s="184">
        <f t="shared" si="228"/>
        <v>0</v>
      </c>
      <c r="AH110" s="260"/>
      <c r="AJ110" s="261">
        <f t="shared" ref="AJ110:AJ128" si="233">+V110*0.08</f>
        <v>0</v>
      </c>
      <c r="AK110" s="261">
        <f t="shared" ref="AK110:AK128" si="234">+W110*0.08</f>
        <v>1154.9632626010962</v>
      </c>
      <c r="AL110" s="261">
        <f t="shared" ref="AL110:AL128" si="235">+X110*0.08</f>
        <v>2827.6686774026834</v>
      </c>
      <c r="AM110" s="185">
        <f t="shared" ref="AM110:AM128" si="236">AJ110+AK110+AL110</f>
        <v>3982.6319400037796</v>
      </c>
      <c r="AN110" s="261">
        <f>((+V110/($AM$98+$Y$178)*((('SCHG2-19'!$I$448*'SCHG2-19'!$K$15)+'SCHG2-19'!$I$448)*'SCHG2-19'!$M$15)))</f>
        <v>0</v>
      </c>
      <c r="AO110" s="261">
        <f>((+W110/($AM$98+$Y$178)*((('SCHG2-19'!$I$448*'SCHG2-19'!$K$15)+'SCHG2-19'!$I$448)*'SCHG2-19'!$M$15)))</f>
        <v>262.98753299950698</v>
      </c>
      <c r="AP110" s="261">
        <f>((+X110/($AM$98+$Y$178)*((('SCHG2-19'!$I$448*'SCHG2-19'!$K$15)+'SCHG2-19'!$I$448)*'SCHG2-19'!$M$15)))</f>
        <v>643.8660290677584</v>
      </c>
      <c r="AQ110" s="185">
        <f t="shared" si="231"/>
        <v>906.85356206726533</v>
      </c>
      <c r="AR110" s="261">
        <f>(+V110/($AM$98+$Y$178))*('SCHG2-19'!$M$448-'SCHG2-19'!$K$448-'IRR 202 Detail '!$BC$98-'IRR 202 Detail '!$AQ$178)</f>
        <v>0</v>
      </c>
      <c r="AS110" s="261">
        <f>(+W110/($AM$98+$Y$178))*('SCHG2-19'!$M$448-'SCHG2-19'!$K$448-'IRR 202 Detail '!$BC$98-'IRR 202 Detail '!$AQ$178)</f>
        <v>1014.9170026204977</v>
      </c>
      <c r="AT110" s="261">
        <f>(+X110/($AM$98+$Y$178))*('SCHG2-19'!$M$448-'SCHG2-19'!$K$448-'IRR 202 Detail '!$BC$98-'IRR 202 Detail '!$AQ$178)</f>
        <v>2484.7967995191493</v>
      </c>
      <c r="AU110" s="185">
        <f t="shared" si="232"/>
        <v>3499.7138021396468</v>
      </c>
      <c r="AV110" s="183"/>
      <c r="AW110" s="90"/>
      <c r="AX110" s="192"/>
      <c r="AY110" s="192"/>
      <c r="AZ110" s="192"/>
      <c r="BA110" s="192"/>
      <c r="BB110" s="192"/>
      <c r="BC110" s="192"/>
      <c r="BD110" s="183"/>
      <c r="BE110" s="90"/>
      <c r="BF110" s="192"/>
      <c r="BG110" s="192"/>
      <c r="BH110" s="192"/>
      <c r="BI110" s="192"/>
      <c r="BJ110" s="192"/>
      <c r="BK110" s="192"/>
      <c r="BL110" s="192"/>
      <c r="BM110" s="184"/>
      <c r="BN110" s="184"/>
    </row>
    <row r="111" spans="1:77" x14ac:dyDescent="0.25">
      <c r="A111" s="88"/>
      <c r="B111" s="88"/>
      <c r="C111" t="s">
        <v>309</v>
      </c>
      <c r="D111" s="83" t="s">
        <v>315</v>
      </c>
      <c r="E111" s="162" t="s">
        <v>286</v>
      </c>
      <c r="F111" s="182" t="s">
        <v>307</v>
      </c>
      <c r="G111" s="182"/>
      <c r="H111" s="191" t="s">
        <v>206</v>
      </c>
      <c r="I111" s="190" t="s">
        <v>270</v>
      </c>
      <c r="J111" s="185">
        <v>59625.568350038251</v>
      </c>
      <c r="K111" s="189">
        <v>1</v>
      </c>
      <c r="L111" s="188">
        <v>45293</v>
      </c>
      <c r="M111" s="150">
        <v>1</v>
      </c>
      <c r="N111" s="150">
        <v>0</v>
      </c>
      <c r="O111" s="150">
        <f t="shared" si="220"/>
        <v>1</v>
      </c>
      <c r="P111" s="187"/>
      <c r="Q111" s="186">
        <f t="shared" si="221"/>
        <v>1</v>
      </c>
      <c r="R111" s="152">
        <v>3</v>
      </c>
      <c r="S111" s="150">
        <v>0.28999999999999998</v>
      </c>
      <c r="T111" s="150">
        <v>0.71</v>
      </c>
      <c r="U111" s="150">
        <f t="shared" si="222"/>
        <v>1</v>
      </c>
      <c r="V111" s="261">
        <v>0</v>
      </c>
      <c r="W111" s="261">
        <f t="shared" si="223"/>
        <v>17291.414821511091</v>
      </c>
      <c r="X111" s="147">
        <f t="shared" si="224"/>
        <v>42334.153528527153</v>
      </c>
      <c r="Y111" s="185">
        <f t="shared" si="225"/>
        <v>59625.568350038244</v>
      </c>
      <c r="Z111">
        <v>874</v>
      </c>
      <c r="AA111" s="184">
        <f t="shared" si="226"/>
        <v>42334.153528527153</v>
      </c>
      <c r="AB111" s="184">
        <f t="shared" si="227"/>
        <v>42334.153528527153</v>
      </c>
      <c r="AC111" s="184">
        <f t="shared" si="228"/>
        <v>0</v>
      </c>
      <c r="AH111" s="260"/>
      <c r="AJ111" s="261">
        <f t="shared" si="233"/>
        <v>0</v>
      </c>
      <c r="AK111" s="261">
        <f t="shared" si="234"/>
        <v>1383.3131857208873</v>
      </c>
      <c r="AL111" s="261">
        <f t="shared" si="235"/>
        <v>3386.7322822821725</v>
      </c>
      <c r="AM111" s="185">
        <f t="shared" si="236"/>
        <v>4770.0454680030598</v>
      </c>
      <c r="AN111" s="261">
        <f>((+V111/($AM$98+$Y$178)*((('SCHG2-19'!$I$448*'SCHG2-19'!$K$15)+'SCHG2-19'!$I$448)*'SCHG2-19'!$M$15)))</f>
        <v>0</v>
      </c>
      <c r="AO111" s="261">
        <f>((+W111/($AM$98+$Y$178)*((('SCHG2-19'!$I$448*'SCHG2-19'!$K$15)+'SCHG2-19'!$I$448)*'SCHG2-19'!$M$15)))</f>
        <v>314.98328462770593</v>
      </c>
      <c r="AP111" s="261">
        <f>((+X111/($AM$98+$Y$178)*((('SCHG2-19'!$I$448*'SCHG2-19'!$K$15)+'SCHG2-19'!$I$448)*'SCHG2-19'!$M$15)))</f>
        <v>771.16597270921113</v>
      </c>
      <c r="AQ111" s="185">
        <f t="shared" si="231"/>
        <v>1086.1492573369171</v>
      </c>
      <c r="AR111" s="261">
        <f>(+V111/($AM$98+$Y$178))*('SCHG2-19'!$M$448-'SCHG2-19'!$K$448-'IRR 202 Detail '!$BC$98-'IRR 202 Detail '!$AQ$178)</f>
        <v>0</v>
      </c>
      <c r="AS111" s="261">
        <f>(+W111/($AM$98+$Y$178))*('SCHG2-19'!$M$448-'SCHG2-19'!$K$448-'IRR 202 Detail '!$BC$98-'IRR 202 Detail '!$AQ$178)</f>
        <v>1215.5781206195416</v>
      </c>
      <c r="AT111" s="261">
        <f>(+X111/($AM$98+$Y$178))*('SCHG2-19'!$M$448-'SCHG2-19'!$K$448-'IRR 202 Detail '!$BC$98-'IRR 202 Detail '!$AQ$178)</f>
        <v>2976.0705711719811</v>
      </c>
      <c r="AU111" s="185">
        <f t="shared" si="232"/>
        <v>4191.6486917915227</v>
      </c>
      <c r="AV111" s="183"/>
      <c r="AW111" s="90"/>
      <c r="AX111" s="192"/>
      <c r="AY111" s="192"/>
      <c r="AZ111" s="192"/>
      <c r="BA111" s="192"/>
      <c r="BB111" s="192"/>
      <c r="BC111" s="192"/>
      <c r="BD111" s="183"/>
      <c r="BE111" s="90"/>
      <c r="BF111" s="192"/>
      <c r="BG111" s="192"/>
      <c r="BH111" s="192"/>
      <c r="BI111" s="192"/>
      <c r="BJ111" s="192"/>
      <c r="BK111" s="192"/>
      <c r="BL111" s="192"/>
      <c r="BM111" s="184"/>
      <c r="BN111" s="184"/>
    </row>
    <row r="112" spans="1:77" x14ac:dyDescent="0.25">
      <c r="A112" s="88"/>
      <c r="B112" s="88"/>
      <c r="C112" t="s">
        <v>309</v>
      </c>
      <c r="D112" s="83" t="s">
        <v>314</v>
      </c>
      <c r="E112" s="162" t="s">
        <v>286</v>
      </c>
      <c r="F112" s="182" t="s">
        <v>307</v>
      </c>
      <c r="G112" s="182"/>
      <c r="H112" s="191" t="s">
        <v>207</v>
      </c>
      <c r="I112" s="190" t="s">
        <v>270</v>
      </c>
      <c r="J112" s="185">
        <v>49782.899250047252</v>
      </c>
      <c r="K112" s="189">
        <v>1</v>
      </c>
      <c r="L112" s="188">
        <v>45294</v>
      </c>
      <c r="M112" s="150">
        <v>1</v>
      </c>
      <c r="N112" s="150">
        <v>0</v>
      </c>
      <c r="O112" s="150">
        <f t="shared" si="220"/>
        <v>1</v>
      </c>
      <c r="P112" s="187"/>
      <c r="Q112" s="186">
        <f t="shared" si="221"/>
        <v>1</v>
      </c>
      <c r="R112" s="152">
        <v>2</v>
      </c>
      <c r="S112" s="150">
        <v>0.29000000000000004</v>
      </c>
      <c r="T112" s="150">
        <v>0.71</v>
      </c>
      <c r="U112" s="150">
        <f t="shared" si="222"/>
        <v>1</v>
      </c>
      <c r="V112" s="261">
        <v>0</v>
      </c>
      <c r="W112" s="261">
        <f t="shared" si="223"/>
        <v>14437.040782513704</v>
      </c>
      <c r="X112" s="147">
        <f t="shared" si="224"/>
        <v>35345.858467533544</v>
      </c>
      <c r="Y112" s="185">
        <f t="shared" si="225"/>
        <v>49782.899250047252</v>
      </c>
      <c r="Z112">
        <v>874</v>
      </c>
      <c r="AA112" s="184">
        <f t="shared" si="226"/>
        <v>35345.858467533544</v>
      </c>
      <c r="AB112" s="184">
        <f t="shared" si="227"/>
        <v>35345.858467533544</v>
      </c>
      <c r="AC112" s="184">
        <f t="shared" si="228"/>
        <v>0</v>
      </c>
      <c r="AH112" s="260"/>
      <c r="AJ112" s="261">
        <f t="shared" si="233"/>
        <v>0</v>
      </c>
      <c r="AK112" s="261">
        <f t="shared" si="234"/>
        <v>1154.9632626010964</v>
      </c>
      <c r="AL112" s="261">
        <f t="shared" si="235"/>
        <v>2827.6686774026834</v>
      </c>
      <c r="AM112" s="185">
        <f t="shared" si="236"/>
        <v>3982.6319400037801</v>
      </c>
      <c r="AN112" s="261">
        <f>((+V112/($AM$98+$Y$178)*((('SCHG2-19'!$I$448*'SCHG2-19'!$K$15)+'SCHG2-19'!$I$448)*'SCHG2-19'!$M$15)))</f>
        <v>0</v>
      </c>
      <c r="AO112" s="261">
        <f>((+W112/($AM$98+$Y$178)*((('SCHG2-19'!$I$448*'SCHG2-19'!$K$15)+'SCHG2-19'!$I$448)*'SCHG2-19'!$M$15)))</f>
        <v>262.98753299950698</v>
      </c>
      <c r="AP112" s="261">
        <f>((+X112/($AM$98+$Y$178)*((('SCHG2-19'!$I$448*'SCHG2-19'!$K$15)+'SCHG2-19'!$I$448)*'SCHG2-19'!$M$15)))</f>
        <v>643.8660290677584</v>
      </c>
      <c r="AQ112" s="185">
        <f t="shared" si="231"/>
        <v>906.85356206726533</v>
      </c>
      <c r="AR112" s="261">
        <f>(+V112/($AM$98+$Y$178))*('SCHG2-19'!$M$448-'SCHG2-19'!$K$448-'IRR 202 Detail '!$BC$98-'IRR 202 Detail '!$AQ$178)</f>
        <v>0</v>
      </c>
      <c r="AS112" s="261">
        <f>(+W112/($AM$98+$Y$178))*('SCHG2-19'!$M$448-'SCHG2-19'!$K$448-'IRR 202 Detail '!$BC$98-'IRR 202 Detail '!$AQ$178)</f>
        <v>1014.9170026204977</v>
      </c>
      <c r="AT112" s="261">
        <f>(+X112/($AM$98+$Y$178))*('SCHG2-19'!$M$448-'SCHG2-19'!$K$448-'IRR 202 Detail '!$BC$98-'IRR 202 Detail '!$AQ$178)</f>
        <v>2484.7967995191493</v>
      </c>
      <c r="AU112" s="185">
        <f t="shared" si="232"/>
        <v>3499.7138021396468</v>
      </c>
      <c r="AV112" s="183"/>
      <c r="AW112" s="90"/>
      <c r="AX112" s="192"/>
      <c r="AY112" s="192"/>
      <c r="AZ112" s="192"/>
      <c r="BA112" s="192"/>
      <c r="BB112" s="192"/>
      <c r="BC112" s="192"/>
      <c r="BD112" s="183"/>
      <c r="BE112" s="90"/>
      <c r="BF112" s="192"/>
      <c r="BG112" s="192"/>
      <c r="BH112" s="192"/>
      <c r="BI112" s="192"/>
      <c r="BJ112" s="192"/>
      <c r="BK112" s="192"/>
      <c r="BL112" s="192"/>
      <c r="BM112" s="184"/>
      <c r="BN112" s="184"/>
    </row>
    <row r="113" spans="1:66" x14ac:dyDescent="0.25">
      <c r="A113" s="88"/>
      <c r="B113" s="88"/>
      <c r="C113" t="s">
        <v>309</v>
      </c>
      <c r="D113" s="83" t="s">
        <v>313</v>
      </c>
      <c r="E113" s="162" t="s">
        <v>286</v>
      </c>
      <c r="F113" s="182" t="s">
        <v>307</v>
      </c>
      <c r="G113" s="182"/>
      <c r="H113" s="191" t="s">
        <v>208</v>
      </c>
      <c r="I113" s="190" t="s">
        <v>270</v>
      </c>
      <c r="J113" s="185">
        <v>49782.899250047252</v>
      </c>
      <c r="K113" s="189">
        <v>1</v>
      </c>
      <c r="L113" s="188">
        <v>45295</v>
      </c>
      <c r="M113" s="150">
        <v>1</v>
      </c>
      <c r="N113" s="150">
        <v>0</v>
      </c>
      <c r="O113" s="150">
        <f t="shared" si="220"/>
        <v>1</v>
      </c>
      <c r="P113" s="187"/>
      <c r="Q113" s="186">
        <f t="shared" si="221"/>
        <v>1</v>
      </c>
      <c r="R113" s="152">
        <v>2</v>
      </c>
      <c r="S113" s="150">
        <v>0.28999999999999998</v>
      </c>
      <c r="T113" s="150">
        <v>0.71</v>
      </c>
      <c r="U113" s="150">
        <f t="shared" si="222"/>
        <v>1</v>
      </c>
      <c r="V113" s="261">
        <v>0</v>
      </c>
      <c r="W113" s="261">
        <f t="shared" si="223"/>
        <v>14437.040782513703</v>
      </c>
      <c r="X113" s="147">
        <f t="shared" si="224"/>
        <v>35345.858467533544</v>
      </c>
      <c r="Y113" s="185">
        <f t="shared" si="225"/>
        <v>49782.899250047245</v>
      </c>
      <c r="Z113">
        <v>874</v>
      </c>
      <c r="AA113" s="184">
        <f t="shared" si="226"/>
        <v>35345.858467533544</v>
      </c>
      <c r="AB113" s="184">
        <f t="shared" si="227"/>
        <v>35345.858467533544</v>
      </c>
      <c r="AC113" s="184">
        <f t="shared" si="228"/>
        <v>0</v>
      </c>
      <c r="AH113" s="260"/>
      <c r="AJ113" s="261">
        <f t="shared" si="233"/>
        <v>0</v>
      </c>
      <c r="AK113" s="261">
        <f t="shared" si="234"/>
        <v>1154.9632626010962</v>
      </c>
      <c r="AL113" s="261">
        <f t="shared" si="235"/>
        <v>2827.6686774026834</v>
      </c>
      <c r="AM113" s="185">
        <f t="shared" si="236"/>
        <v>3982.6319400037796</v>
      </c>
      <c r="AN113" s="261">
        <f>((+V113/($AM$98+$Y$178)*((('SCHG2-19'!$I$448*'SCHG2-19'!$K$15)+'SCHG2-19'!$I$448)*'SCHG2-19'!$M$15)))</f>
        <v>0</v>
      </c>
      <c r="AO113" s="261">
        <f>((+W113/($AM$98+$Y$178)*((('SCHG2-19'!$I$448*'SCHG2-19'!$K$15)+'SCHG2-19'!$I$448)*'SCHG2-19'!$M$15)))</f>
        <v>262.98753299950698</v>
      </c>
      <c r="AP113" s="261">
        <f>((+X113/($AM$98+$Y$178)*((('SCHG2-19'!$I$448*'SCHG2-19'!$K$15)+'SCHG2-19'!$I$448)*'SCHG2-19'!$M$15)))</f>
        <v>643.8660290677584</v>
      </c>
      <c r="AQ113" s="185">
        <f t="shared" si="231"/>
        <v>906.85356206726533</v>
      </c>
      <c r="AR113" s="261">
        <f>(+V113/($AM$98+$Y$178))*('SCHG2-19'!$M$448-'SCHG2-19'!$K$448-'IRR 202 Detail '!$BC$98-'IRR 202 Detail '!$AQ$178)</f>
        <v>0</v>
      </c>
      <c r="AS113" s="261">
        <f>(+W113/($AM$98+$Y$178))*('SCHG2-19'!$M$448-'SCHG2-19'!$K$448-'IRR 202 Detail '!$BC$98-'IRR 202 Detail '!$AQ$178)</f>
        <v>1014.9170026204977</v>
      </c>
      <c r="AT113" s="261">
        <f>(+X113/($AM$98+$Y$178))*('SCHG2-19'!$M$448-'SCHG2-19'!$K$448-'IRR 202 Detail '!$BC$98-'IRR 202 Detail '!$AQ$178)</f>
        <v>2484.7967995191493</v>
      </c>
      <c r="AU113" s="185">
        <f t="shared" si="232"/>
        <v>3499.7138021396468</v>
      </c>
      <c r="AV113" s="183"/>
      <c r="AW113" s="90"/>
      <c r="AX113" s="192"/>
      <c r="AY113" s="192"/>
      <c r="AZ113" s="192"/>
      <c r="BA113" s="192"/>
      <c r="BB113" s="192"/>
      <c r="BC113" s="192"/>
      <c r="BD113" s="183"/>
      <c r="BE113" s="90"/>
      <c r="BF113" s="192"/>
      <c r="BG113" s="192"/>
      <c r="BH113" s="192"/>
      <c r="BI113" s="192"/>
      <c r="BJ113" s="192"/>
      <c r="BK113" s="192"/>
      <c r="BL113" s="192"/>
      <c r="BM113" s="184"/>
      <c r="BN113" s="184"/>
    </row>
    <row r="114" spans="1:66" x14ac:dyDescent="0.25">
      <c r="A114" s="88"/>
      <c r="B114" s="88"/>
      <c r="C114" t="s">
        <v>309</v>
      </c>
      <c r="D114" s="83" t="s">
        <v>313</v>
      </c>
      <c r="E114" s="162" t="s">
        <v>286</v>
      </c>
      <c r="F114" s="182" t="s">
        <v>307</v>
      </c>
      <c r="G114" s="182"/>
      <c r="H114" s="191" t="s">
        <v>198</v>
      </c>
      <c r="I114" s="190" t="s">
        <v>270</v>
      </c>
      <c r="J114" s="185">
        <v>99565.798500094505</v>
      </c>
      <c r="K114" s="189">
        <v>2</v>
      </c>
      <c r="L114" s="188">
        <v>45296</v>
      </c>
      <c r="M114" s="150">
        <v>1</v>
      </c>
      <c r="N114" s="150">
        <v>0</v>
      </c>
      <c r="O114" s="150">
        <f t="shared" si="220"/>
        <v>1</v>
      </c>
      <c r="P114" s="187"/>
      <c r="Q114" s="186">
        <f t="shared" si="221"/>
        <v>1</v>
      </c>
      <c r="R114" s="152">
        <v>2</v>
      </c>
      <c r="S114" s="150">
        <v>0.28999999999999998</v>
      </c>
      <c r="T114" s="150">
        <v>0.71</v>
      </c>
      <c r="U114" s="150">
        <f t="shared" si="222"/>
        <v>1</v>
      </c>
      <c r="V114" s="262">
        <v>0</v>
      </c>
      <c r="W114" s="262">
        <f t="shared" si="223"/>
        <v>28874.081565027405</v>
      </c>
      <c r="X114" s="259">
        <f t="shared" si="224"/>
        <v>70691.716935067088</v>
      </c>
      <c r="Y114" s="185">
        <f t="shared" si="225"/>
        <v>99565.79850009449</v>
      </c>
      <c r="Z114">
        <v>874</v>
      </c>
      <c r="AA114" s="184">
        <f t="shared" si="226"/>
        <v>70691.716935067088</v>
      </c>
      <c r="AB114" s="184">
        <f t="shared" si="227"/>
        <v>70691.716935067088</v>
      </c>
      <c r="AC114" s="184">
        <f t="shared" si="228"/>
        <v>0</v>
      </c>
      <c r="AH114" s="260"/>
      <c r="AJ114" s="261">
        <f t="shared" si="233"/>
        <v>0</v>
      </c>
      <c r="AK114" s="261">
        <f t="shared" si="234"/>
        <v>2309.9265252021924</v>
      </c>
      <c r="AL114" s="261">
        <f t="shared" si="235"/>
        <v>5655.3373548053669</v>
      </c>
      <c r="AM114" s="185">
        <f t="shared" si="236"/>
        <v>7965.2638800075592</v>
      </c>
      <c r="AN114" s="261">
        <f>((+V114/($AM$98+$Y$178)*((('SCHG2-19'!$I$448*'SCHG2-19'!$K$15)+'SCHG2-19'!$I$448)*'SCHG2-19'!$M$15)))</f>
        <v>0</v>
      </c>
      <c r="AO114" s="261">
        <f>((+W114/($AM$98+$Y$178)*((('SCHG2-19'!$I$448*'SCHG2-19'!$K$15)+'SCHG2-19'!$I$448)*'SCHG2-19'!$M$15)))</f>
        <v>525.97506599901396</v>
      </c>
      <c r="AP114" s="261">
        <f>((+X114/($AM$98+$Y$178)*((('SCHG2-19'!$I$448*'SCHG2-19'!$K$15)+'SCHG2-19'!$I$448)*'SCHG2-19'!$M$15)))</f>
        <v>1287.7320581355168</v>
      </c>
      <c r="AQ114" s="185">
        <f t="shared" si="231"/>
        <v>1813.7071241345307</v>
      </c>
      <c r="AR114" s="261">
        <f>(+V114/($AM$98+$Y$178))*('SCHG2-19'!$M$448-'SCHG2-19'!$K$448-'IRR 202 Detail '!$BC$98-'IRR 202 Detail '!$AQ$178)</f>
        <v>0</v>
      </c>
      <c r="AS114" s="261">
        <f>(+W114/($AM$98+$Y$178))*('SCHG2-19'!$M$448-'SCHG2-19'!$K$448-'IRR 202 Detail '!$BC$98-'IRR 202 Detail '!$AQ$178)</f>
        <v>2029.8340052409953</v>
      </c>
      <c r="AT114" s="261">
        <f>(+X114/($AM$98+$Y$178))*('SCHG2-19'!$M$448-'SCHG2-19'!$K$448-'IRR 202 Detail '!$BC$98-'IRR 202 Detail '!$AQ$178)</f>
        <v>4969.5935990382986</v>
      </c>
      <c r="AU114" s="185">
        <f t="shared" si="232"/>
        <v>6999.4276042792935</v>
      </c>
      <c r="AV114" s="183"/>
      <c r="AW114" s="90"/>
      <c r="AX114" s="192"/>
      <c r="AY114" s="192"/>
      <c r="AZ114" s="192"/>
      <c r="BA114" s="192"/>
      <c r="BB114" s="192"/>
      <c r="BC114" s="192"/>
      <c r="BD114" s="183"/>
      <c r="BE114" s="90"/>
      <c r="BF114" s="192"/>
      <c r="BG114" s="192"/>
      <c r="BH114" s="192"/>
      <c r="BI114" s="192"/>
      <c r="BJ114" s="192"/>
      <c r="BK114" s="192"/>
      <c r="BL114" s="192"/>
      <c r="BM114" s="184"/>
      <c r="BN114" s="184"/>
    </row>
    <row r="115" spans="1:66" x14ac:dyDescent="0.25">
      <c r="A115" s="88"/>
      <c r="B115" s="88"/>
      <c r="C115" t="s">
        <v>309</v>
      </c>
      <c r="D115" s="83" t="s">
        <v>312</v>
      </c>
      <c r="E115" s="162" t="s">
        <v>286</v>
      </c>
      <c r="F115" s="182" t="s">
        <v>307</v>
      </c>
      <c r="G115" s="182"/>
      <c r="H115" s="191" t="s">
        <v>209</v>
      </c>
      <c r="I115" s="190" t="s">
        <v>270</v>
      </c>
      <c r="J115" s="185">
        <v>59625.568350038251</v>
      </c>
      <c r="K115" s="189">
        <v>1</v>
      </c>
      <c r="L115" s="188">
        <v>45297</v>
      </c>
      <c r="M115" s="150">
        <v>1</v>
      </c>
      <c r="N115" s="150">
        <v>0</v>
      </c>
      <c r="O115" s="150">
        <f t="shared" si="220"/>
        <v>1</v>
      </c>
      <c r="P115" s="187"/>
      <c r="Q115" s="186">
        <f t="shared" si="221"/>
        <v>1</v>
      </c>
      <c r="R115" s="152">
        <v>3</v>
      </c>
      <c r="S115" s="150">
        <v>0.28999999999999998</v>
      </c>
      <c r="T115" s="150">
        <v>0.71</v>
      </c>
      <c r="U115" s="150">
        <f t="shared" si="222"/>
        <v>1</v>
      </c>
      <c r="V115" s="261">
        <v>0</v>
      </c>
      <c r="W115" s="261">
        <f t="shared" si="223"/>
        <v>17291.414821511091</v>
      </c>
      <c r="X115" s="147">
        <f t="shared" si="224"/>
        <v>42334.153528527153</v>
      </c>
      <c r="Y115" s="185">
        <f t="shared" si="225"/>
        <v>59625.568350038244</v>
      </c>
      <c r="Z115">
        <v>874</v>
      </c>
      <c r="AA115" s="184">
        <f t="shared" si="226"/>
        <v>42334.153528527153</v>
      </c>
      <c r="AB115" s="184">
        <f t="shared" si="227"/>
        <v>42334.153528527153</v>
      </c>
      <c r="AC115" s="184">
        <f t="shared" si="228"/>
        <v>0</v>
      </c>
      <c r="AH115" s="260"/>
      <c r="AJ115" s="261">
        <f t="shared" si="233"/>
        <v>0</v>
      </c>
      <c r="AK115" s="261">
        <f t="shared" si="234"/>
        <v>1383.3131857208873</v>
      </c>
      <c r="AL115" s="261">
        <f t="shared" si="235"/>
        <v>3386.7322822821725</v>
      </c>
      <c r="AM115" s="185">
        <f t="shared" si="236"/>
        <v>4770.0454680030598</v>
      </c>
      <c r="AN115" s="261">
        <f>((+V115/($AM$98+$Y$178)*((('SCHG2-19'!$I$448*'SCHG2-19'!$K$15)+'SCHG2-19'!$I$448)*'SCHG2-19'!$M$15)))</f>
        <v>0</v>
      </c>
      <c r="AO115" s="261">
        <f>((+W115/($AM$98+$Y$178)*((('SCHG2-19'!$I$448*'SCHG2-19'!$K$15)+'SCHG2-19'!$I$448)*'SCHG2-19'!$M$15)))</f>
        <v>314.98328462770593</v>
      </c>
      <c r="AP115" s="261">
        <f>((+X115/($AM$98+$Y$178)*((('SCHG2-19'!$I$448*'SCHG2-19'!$K$15)+'SCHG2-19'!$I$448)*'SCHG2-19'!$M$15)))</f>
        <v>771.16597270921113</v>
      </c>
      <c r="AQ115" s="185">
        <f t="shared" si="231"/>
        <v>1086.1492573369171</v>
      </c>
      <c r="AR115" s="261">
        <f>(+V115/($AM$98+$Y$178))*('SCHG2-19'!$M$448-'SCHG2-19'!$K$448-'IRR 202 Detail '!$BC$98-'IRR 202 Detail '!$AQ$178)</f>
        <v>0</v>
      </c>
      <c r="AS115" s="261">
        <f>(+W115/($AM$98+$Y$178))*('SCHG2-19'!$M$448-'SCHG2-19'!$K$448-'IRR 202 Detail '!$BC$98-'IRR 202 Detail '!$AQ$178)</f>
        <v>1215.5781206195416</v>
      </c>
      <c r="AT115" s="261">
        <f>(+X115/($AM$98+$Y$178))*('SCHG2-19'!$M$448-'SCHG2-19'!$K$448-'IRR 202 Detail '!$BC$98-'IRR 202 Detail '!$AQ$178)</f>
        <v>2976.0705711719811</v>
      </c>
      <c r="AU115" s="185">
        <f t="shared" si="232"/>
        <v>4191.6486917915227</v>
      </c>
      <c r="AV115" s="183"/>
      <c r="AW115" s="90"/>
      <c r="AX115" s="192"/>
      <c r="AY115" s="192"/>
      <c r="AZ115" s="192"/>
      <c r="BA115" s="192"/>
      <c r="BB115" s="192"/>
      <c r="BC115" s="192"/>
      <c r="BD115" s="183"/>
      <c r="BE115" s="90"/>
      <c r="BF115" s="192"/>
      <c r="BG115" s="192"/>
      <c r="BH115" s="192"/>
      <c r="BI115" s="192"/>
      <c r="BJ115" s="192"/>
      <c r="BK115" s="192"/>
      <c r="BL115" s="192"/>
      <c r="BM115" s="184"/>
      <c r="BN115" s="184"/>
    </row>
    <row r="116" spans="1:66" x14ac:dyDescent="0.25">
      <c r="A116" s="88"/>
      <c r="B116" s="88"/>
      <c r="D116" s="83"/>
      <c r="E116" s="162" t="s">
        <v>286</v>
      </c>
      <c r="F116" s="182" t="s">
        <v>307</v>
      </c>
      <c r="G116" s="182"/>
      <c r="H116" s="191" t="s">
        <v>210</v>
      </c>
      <c r="I116" s="190" t="s">
        <v>270</v>
      </c>
      <c r="J116" s="185">
        <v>149348.69775014176</v>
      </c>
      <c r="K116" s="189">
        <v>3</v>
      </c>
      <c r="L116" s="188">
        <v>45298</v>
      </c>
      <c r="M116" s="150">
        <v>1</v>
      </c>
      <c r="N116" s="150">
        <v>0</v>
      </c>
      <c r="O116" s="150">
        <f t="shared" si="220"/>
        <v>1</v>
      </c>
      <c r="P116" s="187"/>
      <c r="Q116" s="186">
        <f t="shared" si="221"/>
        <v>1</v>
      </c>
      <c r="R116" s="152">
        <v>2</v>
      </c>
      <c r="S116" s="150">
        <v>0.28999999999999998</v>
      </c>
      <c r="T116" s="150">
        <v>0.71</v>
      </c>
      <c r="U116" s="150">
        <f t="shared" si="222"/>
        <v>1</v>
      </c>
      <c r="V116" s="262">
        <v>0</v>
      </c>
      <c r="W116" s="262">
        <f t="shared" si="223"/>
        <v>43311.12234754111</v>
      </c>
      <c r="X116" s="259">
        <f t="shared" si="224"/>
        <v>106037.57540260065</v>
      </c>
      <c r="Y116" s="185">
        <f t="shared" si="225"/>
        <v>149348.69775014176</v>
      </c>
      <c r="Z116">
        <v>874</v>
      </c>
      <c r="AA116" s="184">
        <f t="shared" si="226"/>
        <v>106037.57540260065</v>
      </c>
      <c r="AB116" s="184">
        <f t="shared" si="227"/>
        <v>106037.57540260065</v>
      </c>
      <c r="AC116" s="184">
        <f t="shared" si="228"/>
        <v>0</v>
      </c>
      <c r="AH116" s="260"/>
      <c r="AJ116" s="261">
        <f t="shared" si="233"/>
        <v>0</v>
      </c>
      <c r="AK116" s="261">
        <f t="shared" si="234"/>
        <v>3464.889787803289</v>
      </c>
      <c r="AL116" s="261">
        <f t="shared" si="235"/>
        <v>8483.0060322080517</v>
      </c>
      <c r="AM116" s="185">
        <f t="shared" si="236"/>
        <v>11947.895820011341</v>
      </c>
      <c r="AN116" s="261">
        <f>((+V116/($AM$98+$Y$178)*((('SCHG2-19'!$I$448*'SCHG2-19'!$K$15)+'SCHG2-19'!$I$448)*'SCHG2-19'!$M$15)))</f>
        <v>0</v>
      </c>
      <c r="AO116" s="261">
        <f>((+W116/($AM$98+$Y$178)*((('SCHG2-19'!$I$448*'SCHG2-19'!$K$15)+'SCHG2-19'!$I$448)*'SCHG2-19'!$M$15)))</f>
        <v>788.962598998521</v>
      </c>
      <c r="AP116" s="261">
        <f>((+X116/($AM$98+$Y$178)*((('SCHG2-19'!$I$448*'SCHG2-19'!$K$15)+'SCHG2-19'!$I$448)*'SCHG2-19'!$M$15)))</f>
        <v>1931.5980872032753</v>
      </c>
      <c r="AQ116" s="185">
        <f t="shared" si="231"/>
        <v>2720.5606862017962</v>
      </c>
      <c r="AR116" s="261">
        <f>(+V116/($AM$98+$Y$178))*('SCHG2-19'!$M$448-'SCHG2-19'!$K$448-'IRR 202 Detail '!$BC$98-'IRR 202 Detail '!$AQ$178)</f>
        <v>0</v>
      </c>
      <c r="AS116" s="261">
        <f>(+W116/($AM$98+$Y$178))*('SCHG2-19'!$M$448-'SCHG2-19'!$K$448-'IRR 202 Detail '!$BC$98-'IRR 202 Detail '!$AQ$178)</f>
        <v>3044.7510078614928</v>
      </c>
      <c r="AT116" s="261">
        <f>(+X116/($AM$98+$Y$178))*('SCHG2-19'!$M$448-'SCHG2-19'!$K$448-'IRR 202 Detail '!$BC$98-'IRR 202 Detail '!$AQ$178)</f>
        <v>7454.390398557448</v>
      </c>
      <c r="AU116" s="185">
        <f t="shared" si="232"/>
        <v>10499.141406418941</v>
      </c>
      <c r="AV116" s="183"/>
      <c r="AW116" s="90"/>
      <c r="AX116" s="192"/>
      <c r="AY116" s="192"/>
      <c r="AZ116" s="192"/>
      <c r="BA116" s="192"/>
      <c r="BB116" s="192"/>
      <c r="BC116" s="192"/>
      <c r="BD116" s="183"/>
      <c r="BE116" s="90"/>
      <c r="BF116" s="192"/>
      <c r="BG116" s="192"/>
      <c r="BH116" s="192"/>
      <c r="BI116" s="192"/>
      <c r="BJ116" s="192"/>
      <c r="BK116" s="192"/>
      <c r="BL116" s="192"/>
      <c r="BM116" s="184"/>
      <c r="BN116" s="184"/>
    </row>
    <row r="117" spans="1:66" x14ac:dyDescent="0.25">
      <c r="A117" s="88"/>
      <c r="B117" s="88"/>
      <c r="C117" t="s">
        <v>309</v>
      </c>
      <c r="D117" s="83" t="s">
        <v>312</v>
      </c>
      <c r="E117" s="162" t="s">
        <v>286</v>
      </c>
      <c r="F117" s="182" t="s">
        <v>307</v>
      </c>
      <c r="G117" s="182"/>
      <c r="H117" s="191" t="s">
        <v>211</v>
      </c>
      <c r="I117" s="190" t="s">
        <v>270</v>
      </c>
      <c r="J117" s="185">
        <v>178876.70505011475</v>
      </c>
      <c r="K117" s="189">
        <v>3</v>
      </c>
      <c r="L117" s="188">
        <v>45299</v>
      </c>
      <c r="M117" s="150">
        <v>1</v>
      </c>
      <c r="N117" s="150">
        <v>0</v>
      </c>
      <c r="O117" s="150">
        <f t="shared" si="220"/>
        <v>1</v>
      </c>
      <c r="P117" s="187"/>
      <c r="Q117" s="186">
        <f t="shared" si="221"/>
        <v>1</v>
      </c>
      <c r="R117" s="152">
        <v>3</v>
      </c>
      <c r="S117" s="150">
        <v>0.28999999999999998</v>
      </c>
      <c r="T117" s="150">
        <v>0.71</v>
      </c>
      <c r="U117" s="150">
        <f t="shared" si="222"/>
        <v>1</v>
      </c>
      <c r="V117" s="261">
        <v>0</v>
      </c>
      <c r="W117" s="261">
        <f t="shared" si="223"/>
        <v>51874.244464533273</v>
      </c>
      <c r="X117" s="147">
        <f t="shared" si="224"/>
        <v>127002.46058558146</v>
      </c>
      <c r="Y117" s="185">
        <f t="shared" si="225"/>
        <v>178876.70505011472</v>
      </c>
      <c r="Z117">
        <v>874</v>
      </c>
      <c r="AA117" s="184">
        <f t="shared" si="226"/>
        <v>127002.46058558146</v>
      </c>
      <c r="AB117" s="184">
        <f t="shared" si="227"/>
        <v>127002.46058558146</v>
      </c>
      <c r="AC117" s="184">
        <f t="shared" si="228"/>
        <v>0</v>
      </c>
      <c r="AH117" s="260"/>
      <c r="AJ117" s="261">
        <f t="shared" si="233"/>
        <v>0</v>
      </c>
      <c r="AK117" s="261">
        <f t="shared" si="234"/>
        <v>4149.9395571626619</v>
      </c>
      <c r="AL117" s="261">
        <f t="shared" si="235"/>
        <v>10160.196846846517</v>
      </c>
      <c r="AM117" s="185">
        <f t="shared" si="236"/>
        <v>14310.136404009179</v>
      </c>
      <c r="AN117" s="261">
        <f>((+V117/($AM$98+$Y$178)*((('SCHG2-19'!$I$448*'SCHG2-19'!$K$15)+'SCHG2-19'!$I$448)*'SCHG2-19'!$M$15)))</f>
        <v>0</v>
      </c>
      <c r="AO117" s="261">
        <f>((+W117/($AM$98+$Y$178)*((('SCHG2-19'!$I$448*'SCHG2-19'!$K$15)+'SCHG2-19'!$I$448)*'SCHG2-19'!$M$15)))</f>
        <v>944.94985388311795</v>
      </c>
      <c r="AP117" s="261">
        <f>((+X117/($AM$98+$Y$178)*((('SCHG2-19'!$I$448*'SCHG2-19'!$K$15)+'SCHG2-19'!$I$448)*'SCHG2-19'!$M$15)))</f>
        <v>2313.4979181276331</v>
      </c>
      <c r="AQ117" s="185">
        <f t="shared" si="231"/>
        <v>3258.4477720107511</v>
      </c>
      <c r="AR117" s="261">
        <f>(+V117/($AM$98+$Y$178))*('SCHG2-19'!$M$448-'SCHG2-19'!$K$448-'IRR 202 Detail '!$BC$98-'IRR 202 Detail '!$AQ$178)</f>
        <v>0</v>
      </c>
      <c r="AS117" s="261">
        <f>(+W117/($AM$98+$Y$178))*('SCHG2-19'!$M$448-'SCHG2-19'!$K$448-'IRR 202 Detail '!$BC$98-'IRR 202 Detail '!$AQ$178)</f>
        <v>3646.7343618586251</v>
      </c>
      <c r="AT117" s="261">
        <f>(+X117/($AM$98+$Y$178))*('SCHG2-19'!$M$448-'SCHG2-19'!$K$448-'IRR 202 Detail '!$BC$98-'IRR 202 Detail '!$AQ$178)</f>
        <v>8928.2117135159424</v>
      </c>
      <c r="AU117" s="185">
        <f t="shared" si="232"/>
        <v>12574.946075374568</v>
      </c>
      <c r="AV117" s="183"/>
      <c r="AW117" s="90"/>
      <c r="AX117" s="192"/>
      <c r="AY117" s="192"/>
      <c r="AZ117" s="192"/>
      <c r="BA117" s="192"/>
      <c r="BB117" s="192"/>
      <c r="BC117" s="192"/>
      <c r="BD117" s="183"/>
      <c r="BE117" s="90"/>
      <c r="BF117" s="192"/>
      <c r="BG117" s="192"/>
      <c r="BH117" s="192"/>
      <c r="BI117" s="192"/>
      <c r="BJ117" s="192"/>
      <c r="BK117" s="192"/>
      <c r="BL117" s="192"/>
      <c r="BM117" s="184"/>
      <c r="BN117" s="184"/>
    </row>
    <row r="118" spans="1:66" x14ac:dyDescent="0.25">
      <c r="A118" s="88"/>
      <c r="B118" s="88"/>
      <c r="C118" t="s">
        <v>309</v>
      </c>
      <c r="D118" s="83" t="s">
        <v>311</v>
      </c>
      <c r="E118" s="162" t="s">
        <v>286</v>
      </c>
      <c r="F118" s="182" t="s">
        <v>307</v>
      </c>
      <c r="G118" s="182"/>
      <c r="H118" s="191" t="s">
        <v>212</v>
      </c>
      <c r="I118" s="190" t="s">
        <v>270</v>
      </c>
      <c r="J118" s="185">
        <v>199131.59700018901</v>
      </c>
      <c r="K118" s="189">
        <v>4</v>
      </c>
      <c r="L118" s="188">
        <v>45300</v>
      </c>
      <c r="M118" s="150">
        <v>1</v>
      </c>
      <c r="N118" s="150">
        <v>0</v>
      </c>
      <c r="O118" s="150">
        <f t="shared" si="220"/>
        <v>1</v>
      </c>
      <c r="P118" s="187"/>
      <c r="Q118" s="186">
        <f t="shared" si="221"/>
        <v>1</v>
      </c>
      <c r="R118" s="152">
        <v>2</v>
      </c>
      <c r="S118" s="150">
        <v>0.28999999999999998</v>
      </c>
      <c r="T118" s="150">
        <v>0.71</v>
      </c>
      <c r="U118" s="150">
        <f t="shared" si="222"/>
        <v>1</v>
      </c>
      <c r="V118" s="261">
        <v>0</v>
      </c>
      <c r="W118" s="261">
        <f t="shared" si="223"/>
        <v>57748.163130054811</v>
      </c>
      <c r="X118" s="147">
        <f t="shared" si="224"/>
        <v>141383.43387013418</v>
      </c>
      <c r="Y118" s="185">
        <f t="shared" si="225"/>
        <v>199131.59700018898</v>
      </c>
      <c r="Z118">
        <v>874</v>
      </c>
      <c r="AA118" s="184">
        <f t="shared" si="226"/>
        <v>141383.43387013418</v>
      </c>
      <c r="AB118" s="184">
        <f t="shared" si="227"/>
        <v>141383.43387013418</v>
      </c>
      <c r="AC118" s="184">
        <f t="shared" si="228"/>
        <v>0</v>
      </c>
      <c r="AH118" s="260"/>
      <c r="AJ118" s="261">
        <f t="shared" si="233"/>
        <v>0</v>
      </c>
      <c r="AK118" s="261">
        <f t="shared" si="234"/>
        <v>4619.8530504043847</v>
      </c>
      <c r="AL118" s="261">
        <f t="shared" si="235"/>
        <v>11310.674709610734</v>
      </c>
      <c r="AM118" s="185">
        <f t="shared" si="236"/>
        <v>15930.527760015118</v>
      </c>
      <c r="AN118" s="261">
        <f>((+V118/($AM$98+$Y$178)*((('SCHG2-19'!$I$448*'SCHG2-19'!$K$15)+'SCHG2-19'!$I$448)*'SCHG2-19'!$M$15)))</f>
        <v>0</v>
      </c>
      <c r="AO118" s="261">
        <f>((+W118/($AM$98+$Y$178)*((('SCHG2-19'!$I$448*'SCHG2-19'!$K$15)+'SCHG2-19'!$I$448)*'SCHG2-19'!$M$15)))</f>
        <v>1051.9501319980279</v>
      </c>
      <c r="AP118" s="261">
        <f>((+X118/($AM$98+$Y$178)*((('SCHG2-19'!$I$448*'SCHG2-19'!$K$15)+'SCHG2-19'!$I$448)*'SCHG2-19'!$M$15)))</f>
        <v>2575.4641162710336</v>
      </c>
      <c r="AQ118" s="185">
        <f t="shared" si="231"/>
        <v>3627.4142482690613</v>
      </c>
      <c r="AR118" s="261">
        <f>(+V118/($AM$98+$Y$178))*('SCHG2-19'!$M$448-'SCHG2-19'!$K$448-'IRR 202 Detail '!$BC$98-'IRR 202 Detail '!$AQ$178)</f>
        <v>0</v>
      </c>
      <c r="AS118" s="261">
        <f>(+W118/($AM$98+$Y$178))*('SCHG2-19'!$M$448-'SCHG2-19'!$K$448-'IRR 202 Detail '!$BC$98-'IRR 202 Detail '!$AQ$178)</f>
        <v>4059.6680104819907</v>
      </c>
      <c r="AT118" s="261">
        <f>(+X118/($AM$98+$Y$178))*('SCHG2-19'!$M$448-'SCHG2-19'!$K$448-'IRR 202 Detail '!$BC$98-'IRR 202 Detail '!$AQ$178)</f>
        <v>9939.1871980765973</v>
      </c>
      <c r="AU118" s="185">
        <f t="shared" si="232"/>
        <v>13998.855208558587</v>
      </c>
      <c r="AV118" s="183"/>
      <c r="AW118" s="90"/>
      <c r="AX118" s="192"/>
      <c r="AY118" s="192"/>
      <c r="AZ118" s="192"/>
      <c r="BA118" s="192"/>
      <c r="BB118" s="192"/>
      <c r="BC118" s="192"/>
      <c r="BD118" s="183"/>
      <c r="BE118" s="90"/>
      <c r="BF118" s="192"/>
      <c r="BG118" s="192"/>
      <c r="BH118" s="192"/>
      <c r="BI118" s="192"/>
      <c r="BJ118" s="192"/>
      <c r="BK118" s="192"/>
      <c r="BL118" s="192"/>
      <c r="BM118" s="184"/>
      <c r="BN118" s="184"/>
    </row>
    <row r="119" spans="1:66" x14ac:dyDescent="0.25">
      <c r="A119" s="88"/>
      <c r="B119" s="88"/>
      <c r="C119" t="s">
        <v>309</v>
      </c>
      <c r="D119" s="83" t="s">
        <v>311</v>
      </c>
      <c r="E119" s="162" t="s">
        <v>286</v>
      </c>
      <c r="F119" s="182" t="s">
        <v>307</v>
      </c>
      <c r="G119" s="182"/>
      <c r="H119" s="191" t="s">
        <v>213</v>
      </c>
      <c r="I119" s="190" t="s">
        <v>270</v>
      </c>
      <c r="J119" s="185">
        <v>99565.798500094505</v>
      </c>
      <c r="K119" s="189">
        <v>2</v>
      </c>
      <c r="L119" s="188">
        <v>45444</v>
      </c>
      <c r="M119" s="150">
        <v>1</v>
      </c>
      <c r="N119" s="150">
        <v>0</v>
      </c>
      <c r="O119" s="150">
        <f t="shared" si="220"/>
        <v>1</v>
      </c>
      <c r="P119" s="187"/>
      <c r="Q119" s="186">
        <f t="shared" si="221"/>
        <v>0.58333333333333337</v>
      </c>
      <c r="R119" s="152">
        <v>2</v>
      </c>
      <c r="S119" s="150">
        <v>0.28999999999999998</v>
      </c>
      <c r="T119" s="150">
        <v>0.71</v>
      </c>
      <c r="U119" s="150">
        <f t="shared" si="222"/>
        <v>1</v>
      </c>
      <c r="V119" s="261">
        <v>0</v>
      </c>
      <c r="W119" s="261">
        <f t="shared" si="223"/>
        <v>16843.214246265987</v>
      </c>
      <c r="X119" s="147">
        <f t="shared" si="224"/>
        <v>41236.834878789145</v>
      </c>
      <c r="Y119" s="185">
        <f t="shared" si="225"/>
        <v>58080.049125055128</v>
      </c>
      <c r="Z119">
        <v>874</v>
      </c>
      <c r="AA119" s="184">
        <f t="shared" si="226"/>
        <v>70691.716935067088</v>
      </c>
      <c r="AB119" s="184">
        <f t="shared" si="227"/>
        <v>70691.716935067088</v>
      </c>
      <c r="AC119" s="184">
        <f t="shared" si="228"/>
        <v>0</v>
      </c>
      <c r="AH119" s="260"/>
      <c r="AJ119" s="261">
        <f t="shared" si="233"/>
        <v>0</v>
      </c>
      <c r="AK119" s="261">
        <f t="shared" si="234"/>
        <v>1347.4571397012789</v>
      </c>
      <c r="AL119" s="261">
        <f t="shared" si="235"/>
        <v>3298.9467903031318</v>
      </c>
      <c r="AM119" s="185">
        <f t="shared" si="236"/>
        <v>4646.4039300044105</v>
      </c>
      <c r="AN119" s="261">
        <f>((+V119/($AM$98+$Y$178)*((('SCHG2-19'!$I$448*'SCHG2-19'!$K$15)+'SCHG2-19'!$I$448)*'SCHG2-19'!$M$15)))</f>
        <v>0</v>
      </c>
      <c r="AO119" s="261">
        <f>((+W119/($AM$98+$Y$178)*((('SCHG2-19'!$I$448*'SCHG2-19'!$K$15)+'SCHG2-19'!$I$448)*'SCHG2-19'!$M$15)))</f>
        <v>306.81878849942484</v>
      </c>
      <c r="AP119" s="261">
        <f>((+X119/($AM$98+$Y$178)*((('SCHG2-19'!$I$448*'SCHG2-19'!$K$15)+'SCHG2-19'!$I$448)*'SCHG2-19'!$M$15)))</f>
        <v>751.17703391238501</v>
      </c>
      <c r="AQ119" s="185">
        <f t="shared" si="231"/>
        <v>1057.99582241181</v>
      </c>
      <c r="AR119" s="261">
        <f>(+V119/($AM$98+$Y$178))*('SCHG2-19'!$M$448-'SCHG2-19'!$K$448-'IRR 202 Detail '!$BC$98-'IRR 202 Detail '!$AQ$178)</f>
        <v>0</v>
      </c>
      <c r="AS119" s="261">
        <f>(+W119/($AM$98+$Y$178))*('SCHG2-19'!$M$448-'SCHG2-19'!$K$448-'IRR 202 Detail '!$BC$98-'IRR 202 Detail '!$AQ$178)</f>
        <v>1184.0698363905806</v>
      </c>
      <c r="AT119" s="261">
        <f>(+X119/($AM$98+$Y$178))*('SCHG2-19'!$M$448-'SCHG2-19'!$K$448-'IRR 202 Detail '!$BC$98-'IRR 202 Detail '!$AQ$178)</f>
        <v>2898.9295994390077</v>
      </c>
      <c r="AU119" s="185">
        <f t="shared" si="232"/>
        <v>4082.999435829588</v>
      </c>
      <c r="AV119" s="183"/>
      <c r="AW119" s="90"/>
      <c r="AX119" s="192"/>
      <c r="AY119" s="192"/>
      <c r="AZ119" s="192"/>
      <c r="BA119" s="192"/>
      <c r="BB119" s="192"/>
      <c r="BC119" s="192"/>
      <c r="BD119" s="183"/>
      <c r="BE119" s="90"/>
      <c r="BF119" s="192"/>
      <c r="BG119" s="192"/>
      <c r="BH119" s="192"/>
      <c r="BI119" s="192"/>
      <c r="BJ119" s="192"/>
      <c r="BK119" s="192"/>
      <c r="BL119" s="192"/>
      <c r="BM119" s="184"/>
      <c r="BN119" s="184"/>
    </row>
    <row r="120" spans="1:66" x14ac:dyDescent="0.25">
      <c r="A120" s="88"/>
      <c r="B120" s="88"/>
      <c r="C120" t="s">
        <v>309</v>
      </c>
      <c r="D120" s="83" t="s">
        <v>311</v>
      </c>
      <c r="E120" s="162" t="s">
        <v>286</v>
      </c>
      <c r="F120" s="182" t="s">
        <v>307</v>
      </c>
      <c r="G120" s="182"/>
      <c r="H120" s="191" t="s">
        <v>214</v>
      </c>
      <c r="I120" s="190" t="s">
        <v>270</v>
      </c>
      <c r="J120" s="185">
        <v>119251.1367000765</v>
      </c>
      <c r="K120" s="189">
        <v>2</v>
      </c>
      <c r="L120" s="188">
        <v>45444</v>
      </c>
      <c r="M120" s="150">
        <v>1</v>
      </c>
      <c r="N120" s="150">
        <v>0</v>
      </c>
      <c r="O120" s="150">
        <f t="shared" si="220"/>
        <v>1</v>
      </c>
      <c r="P120" s="187"/>
      <c r="Q120" s="186">
        <f t="shared" si="221"/>
        <v>0.58333333333333337</v>
      </c>
      <c r="R120" s="152">
        <v>3</v>
      </c>
      <c r="S120" s="150">
        <v>0.28999999999999998</v>
      </c>
      <c r="T120" s="150">
        <v>0.71</v>
      </c>
      <c r="U120" s="150">
        <f t="shared" si="222"/>
        <v>1</v>
      </c>
      <c r="V120" s="147">
        <v>0</v>
      </c>
      <c r="W120" s="147">
        <f t="shared" si="223"/>
        <v>20173.317291762942</v>
      </c>
      <c r="X120" s="147">
        <f t="shared" si="224"/>
        <v>49389.845783281686</v>
      </c>
      <c r="Y120" s="185">
        <f t="shared" si="225"/>
        <v>69563.163075044635</v>
      </c>
      <c r="Z120">
        <v>874</v>
      </c>
      <c r="AA120" s="184">
        <f t="shared" si="226"/>
        <v>84668.307057054306</v>
      </c>
      <c r="AB120" s="184">
        <f t="shared" si="227"/>
        <v>84668.307057054306</v>
      </c>
      <c r="AC120" s="184">
        <f t="shared" si="228"/>
        <v>0</v>
      </c>
      <c r="AH120" s="260"/>
      <c r="AJ120" s="261">
        <f t="shared" si="233"/>
        <v>0</v>
      </c>
      <c r="AK120" s="261">
        <f t="shared" si="234"/>
        <v>1613.8653833410353</v>
      </c>
      <c r="AL120" s="261">
        <f t="shared" si="235"/>
        <v>3951.1876626625349</v>
      </c>
      <c r="AM120" s="185">
        <f t="shared" si="236"/>
        <v>5565.0530460035698</v>
      </c>
      <c r="AN120" s="261">
        <f>((+V120/($AM$98+$Y$178)*((('SCHG2-19'!$I$448*'SCHG2-19'!$K$15)+'SCHG2-19'!$I$448)*'SCHG2-19'!$M$15)))</f>
        <v>0</v>
      </c>
      <c r="AO120" s="261">
        <f>((+W120/($AM$98+$Y$178)*((('SCHG2-19'!$I$448*'SCHG2-19'!$K$15)+'SCHG2-19'!$I$448)*'SCHG2-19'!$M$15)))</f>
        <v>367.48049873232367</v>
      </c>
      <c r="AP120" s="261">
        <f>((+X120/($AM$98+$Y$178)*((('SCHG2-19'!$I$448*'SCHG2-19'!$K$15)+'SCHG2-19'!$I$448)*'SCHG2-19'!$M$15)))</f>
        <v>899.69363482741312</v>
      </c>
      <c r="AQ120" s="185">
        <f t="shared" si="231"/>
        <v>1267.1741335597367</v>
      </c>
      <c r="AR120" s="261">
        <f>(+V120/($AM$98+$Y$178))*('SCHG2-19'!$M$448-'SCHG2-19'!$K$448-'IRR 202 Detail '!$BC$98-'IRR 202 Detail '!$AQ$178)</f>
        <v>0</v>
      </c>
      <c r="AS120" s="261">
        <f>(+W120/($AM$98+$Y$178))*('SCHG2-19'!$M$448-'SCHG2-19'!$K$448-'IRR 202 Detail '!$BC$98-'IRR 202 Detail '!$AQ$178)</f>
        <v>1418.1744740561321</v>
      </c>
      <c r="AT120" s="261">
        <f>(+X120/($AM$98+$Y$178))*('SCHG2-19'!$M$448-'SCHG2-19'!$K$448-'IRR 202 Detail '!$BC$98-'IRR 202 Detail '!$AQ$178)</f>
        <v>3472.0823330339786</v>
      </c>
      <c r="AU120" s="185">
        <f t="shared" si="232"/>
        <v>4890.2568070901107</v>
      </c>
      <c r="AV120" s="183"/>
      <c r="AW120" s="90"/>
      <c r="AX120" s="192"/>
      <c r="AY120" s="192"/>
      <c r="AZ120" s="192"/>
      <c r="BA120" s="192"/>
      <c r="BB120" s="192"/>
      <c r="BC120" s="192"/>
      <c r="BD120" s="183"/>
      <c r="BE120" s="90"/>
      <c r="BF120" s="192"/>
      <c r="BG120" s="192"/>
      <c r="BH120" s="192"/>
      <c r="BI120" s="192"/>
      <c r="BJ120" s="192"/>
      <c r="BK120" s="192"/>
      <c r="BL120" s="192"/>
      <c r="BM120" s="184"/>
      <c r="BN120" s="184"/>
    </row>
    <row r="121" spans="1:66" x14ac:dyDescent="0.25">
      <c r="A121" s="88"/>
      <c r="B121" s="88"/>
      <c r="C121" t="s">
        <v>309</v>
      </c>
      <c r="D121" s="83" t="s">
        <v>311</v>
      </c>
      <c r="E121" s="162" t="s">
        <v>286</v>
      </c>
      <c r="F121" s="182" t="s">
        <v>307</v>
      </c>
      <c r="G121" s="182"/>
      <c r="H121" s="191" t="s">
        <v>200</v>
      </c>
      <c r="I121" s="190" t="s">
        <v>270</v>
      </c>
      <c r="J121" s="185">
        <v>99565.798500094505</v>
      </c>
      <c r="K121" s="189">
        <v>2</v>
      </c>
      <c r="L121" s="188">
        <v>45302</v>
      </c>
      <c r="M121" s="150">
        <v>1</v>
      </c>
      <c r="N121" s="150">
        <v>0</v>
      </c>
      <c r="O121" s="150">
        <f t="shared" si="220"/>
        <v>1</v>
      </c>
      <c r="P121" s="187"/>
      <c r="Q121" s="186">
        <f t="shared" si="221"/>
        <v>1</v>
      </c>
      <c r="R121" s="152">
        <v>2</v>
      </c>
      <c r="S121" s="150">
        <v>0.28999999999999998</v>
      </c>
      <c r="T121" s="150">
        <v>0.71</v>
      </c>
      <c r="U121" s="150">
        <f t="shared" si="222"/>
        <v>1</v>
      </c>
      <c r="V121" s="147">
        <v>0</v>
      </c>
      <c r="W121" s="147">
        <f t="shared" si="223"/>
        <v>28874.081565027405</v>
      </c>
      <c r="X121" s="147">
        <f t="shared" si="224"/>
        <v>70691.716935067088</v>
      </c>
      <c r="Y121" s="185">
        <f t="shared" si="225"/>
        <v>99565.79850009449</v>
      </c>
      <c r="Z121">
        <v>874</v>
      </c>
      <c r="AA121" s="184">
        <f t="shared" si="226"/>
        <v>70691.716935067088</v>
      </c>
      <c r="AB121" s="184">
        <f t="shared" si="227"/>
        <v>70691.716935067088</v>
      </c>
      <c r="AC121" s="184">
        <f t="shared" si="228"/>
        <v>0</v>
      </c>
      <c r="AH121" s="260"/>
      <c r="AJ121" s="261">
        <f t="shared" si="233"/>
        <v>0</v>
      </c>
      <c r="AK121" s="261">
        <f t="shared" si="234"/>
        <v>2309.9265252021924</v>
      </c>
      <c r="AL121" s="261">
        <f t="shared" si="235"/>
        <v>5655.3373548053669</v>
      </c>
      <c r="AM121" s="185">
        <f t="shared" si="236"/>
        <v>7965.2638800075592</v>
      </c>
      <c r="AN121" s="261">
        <f>((+V121/($AM$98+$Y$178)*((('SCHG2-19'!$I$448*'SCHG2-19'!$K$15)+'SCHG2-19'!$I$448)*'SCHG2-19'!$M$15)))</f>
        <v>0</v>
      </c>
      <c r="AO121" s="261">
        <f>((+W121/($AM$98+$Y$178)*((('SCHG2-19'!$I$448*'SCHG2-19'!$K$15)+'SCHG2-19'!$I$448)*'SCHG2-19'!$M$15)))</f>
        <v>525.97506599901396</v>
      </c>
      <c r="AP121" s="261">
        <f>((+X121/($AM$98+$Y$178)*((('SCHG2-19'!$I$448*'SCHG2-19'!$K$15)+'SCHG2-19'!$I$448)*'SCHG2-19'!$M$15)))</f>
        <v>1287.7320581355168</v>
      </c>
      <c r="AQ121" s="185">
        <f t="shared" si="231"/>
        <v>1813.7071241345307</v>
      </c>
      <c r="AR121" s="261">
        <f>(+V121/($AM$98+$Y$178))*('SCHG2-19'!$M$448-'SCHG2-19'!$K$448-'IRR 202 Detail '!$BC$98-'IRR 202 Detail '!$AQ$178)</f>
        <v>0</v>
      </c>
      <c r="AS121" s="261">
        <f>(+W121/($AM$98+$Y$178))*('SCHG2-19'!$M$448-'SCHG2-19'!$K$448-'IRR 202 Detail '!$BC$98-'IRR 202 Detail '!$AQ$178)</f>
        <v>2029.8340052409953</v>
      </c>
      <c r="AT121" s="261">
        <f>(+X121/($AM$98+$Y$178))*('SCHG2-19'!$M$448-'SCHG2-19'!$K$448-'IRR 202 Detail '!$BC$98-'IRR 202 Detail '!$AQ$178)</f>
        <v>4969.5935990382986</v>
      </c>
      <c r="AU121" s="185">
        <f t="shared" si="232"/>
        <v>6999.4276042792935</v>
      </c>
      <c r="AV121" s="183"/>
      <c r="AW121" s="90"/>
      <c r="AX121" s="192"/>
      <c r="AY121" s="192"/>
      <c r="AZ121" s="192"/>
      <c r="BA121" s="192"/>
      <c r="BB121" s="192"/>
      <c r="BC121" s="192"/>
      <c r="BD121" s="183"/>
      <c r="BE121" s="90"/>
      <c r="BF121" s="192"/>
      <c r="BG121" s="192"/>
      <c r="BH121" s="192"/>
      <c r="BI121" s="192"/>
      <c r="BJ121" s="192"/>
      <c r="BK121" s="192"/>
      <c r="BL121" s="192"/>
      <c r="BM121" s="184"/>
      <c r="BN121" s="184"/>
    </row>
    <row r="122" spans="1:66" x14ac:dyDescent="0.25">
      <c r="A122" s="88"/>
      <c r="B122" s="88"/>
      <c r="C122" t="s">
        <v>309</v>
      </c>
      <c r="D122" s="83" t="s">
        <v>310</v>
      </c>
      <c r="E122" s="162" t="s">
        <v>286</v>
      </c>
      <c r="F122" s="182" t="s">
        <v>307</v>
      </c>
      <c r="G122" s="182"/>
      <c r="H122" s="191" t="s">
        <v>215</v>
      </c>
      <c r="I122" s="190" t="s">
        <v>270</v>
      </c>
      <c r="J122" s="185">
        <v>49782.899250047252</v>
      </c>
      <c r="K122" s="189">
        <v>1</v>
      </c>
      <c r="L122" s="188">
        <v>45303</v>
      </c>
      <c r="M122" s="150">
        <v>1</v>
      </c>
      <c r="N122" s="150">
        <v>0</v>
      </c>
      <c r="O122" s="150">
        <f t="shared" si="220"/>
        <v>1</v>
      </c>
      <c r="P122" s="187"/>
      <c r="Q122" s="186">
        <f t="shared" si="221"/>
        <v>1</v>
      </c>
      <c r="R122" s="152">
        <v>2</v>
      </c>
      <c r="S122" s="150">
        <v>0.28999999999999998</v>
      </c>
      <c r="T122" s="150">
        <v>0.71</v>
      </c>
      <c r="U122" s="150">
        <f t="shared" si="222"/>
        <v>1</v>
      </c>
      <c r="V122" s="147">
        <v>0</v>
      </c>
      <c r="W122" s="147">
        <f t="shared" si="223"/>
        <v>14437.040782513703</v>
      </c>
      <c r="X122" s="147">
        <f t="shared" si="224"/>
        <v>35345.858467533544</v>
      </c>
      <c r="Y122" s="185">
        <f t="shared" si="225"/>
        <v>49782.899250047245</v>
      </c>
      <c r="Z122">
        <v>874</v>
      </c>
      <c r="AA122" s="184">
        <f t="shared" si="226"/>
        <v>35345.858467533544</v>
      </c>
      <c r="AB122" s="184">
        <f t="shared" si="227"/>
        <v>35345.858467533544</v>
      </c>
      <c r="AC122" s="184">
        <f t="shared" si="228"/>
        <v>0</v>
      </c>
      <c r="AH122" s="260"/>
      <c r="AJ122" s="261">
        <f t="shared" si="233"/>
        <v>0</v>
      </c>
      <c r="AK122" s="261">
        <f t="shared" si="234"/>
        <v>1154.9632626010962</v>
      </c>
      <c r="AL122" s="261">
        <f t="shared" si="235"/>
        <v>2827.6686774026834</v>
      </c>
      <c r="AM122" s="185">
        <f t="shared" si="236"/>
        <v>3982.6319400037796</v>
      </c>
      <c r="AN122" s="261">
        <f>((+V122/($AM$98+$Y$178)*((('SCHG2-19'!$I$448*'SCHG2-19'!$K$15)+'SCHG2-19'!$I$448)*'SCHG2-19'!$M$15)))</f>
        <v>0</v>
      </c>
      <c r="AO122" s="261">
        <f>((+W122/($AM$98+$Y$178)*((('SCHG2-19'!$I$448*'SCHG2-19'!$K$15)+'SCHG2-19'!$I$448)*'SCHG2-19'!$M$15)))</f>
        <v>262.98753299950698</v>
      </c>
      <c r="AP122" s="261">
        <f>((+X122/($AM$98+$Y$178)*((('SCHG2-19'!$I$448*'SCHG2-19'!$K$15)+'SCHG2-19'!$I$448)*'SCHG2-19'!$M$15)))</f>
        <v>643.8660290677584</v>
      </c>
      <c r="AQ122" s="185">
        <f t="shared" si="231"/>
        <v>906.85356206726533</v>
      </c>
      <c r="AR122" s="261">
        <f>(+V122/($AM$98+$Y$178))*('SCHG2-19'!$M$448-'SCHG2-19'!$K$448-'IRR 202 Detail '!$BC$98-'IRR 202 Detail '!$AQ$178)</f>
        <v>0</v>
      </c>
      <c r="AS122" s="261">
        <f>(+W122/($AM$98+$Y$178))*('SCHG2-19'!$M$448-'SCHG2-19'!$K$448-'IRR 202 Detail '!$BC$98-'IRR 202 Detail '!$AQ$178)</f>
        <v>1014.9170026204977</v>
      </c>
      <c r="AT122" s="261">
        <f>(+X122/($AM$98+$Y$178))*('SCHG2-19'!$M$448-'SCHG2-19'!$K$448-'IRR 202 Detail '!$BC$98-'IRR 202 Detail '!$AQ$178)</f>
        <v>2484.7967995191493</v>
      </c>
      <c r="AU122" s="185">
        <f t="shared" si="232"/>
        <v>3499.7138021396468</v>
      </c>
      <c r="AV122" s="183"/>
      <c r="AW122" s="90"/>
      <c r="AX122" s="192"/>
      <c r="AY122" s="192"/>
      <c r="AZ122" s="192"/>
      <c r="BA122" s="192"/>
      <c r="BB122" s="192"/>
      <c r="BC122"/>
      <c r="BD122" s="183"/>
      <c r="BE122" s="90"/>
      <c r="BF122" s="192"/>
      <c r="BG122" s="192"/>
      <c r="BH122" s="192"/>
      <c r="BI122" s="192"/>
      <c r="BJ122" s="192"/>
      <c r="BK122"/>
    </row>
    <row r="123" spans="1:66" x14ac:dyDescent="0.25">
      <c r="A123" s="88"/>
      <c r="B123" s="88"/>
      <c r="C123" t="s">
        <v>309</v>
      </c>
      <c r="D123" s="83" t="s">
        <v>310</v>
      </c>
      <c r="E123" s="162" t="s">
        <v>286</v>
      </c>
      <c r="F123" s="182" t="s">
        <v>307</v>
      </c>
      <c r="G123" s="182"/>
      <c r="H123" s="191" t="s">
        <v>262</v>
      </c>
      <c r="I123" s="190" t="s">
        <v>270</v>
      </c>
      <c r="J123" s="185">
        <v>70806.975947883009</v>
      </c>
      <c r="K123" s="189">
        <v>1</v>
      </c>
      <c r="L123" s="188">
        <v>45444</v>
      </c>
      <c r="M123" s="150">
        <v>1</v>
      </c>
      <c r="N123" s="150">
        <v>0</v>
      </c>
      <c r="O123" s="150">
        <f t="shared" si="220"/>
        <v>1</v>
      </c>
      <c r="P123" s="187"/>
      <c r="Q123" s="186">
        <f t="shared" si="221"/>
        <v>0.58333333333333337</v>
      </c>
      <c r="R123" s="152">
        <v>4</v>
      </c>
      <c r="S123" s="150">
        <v>0.28999999999999998</v>
      </c>
      <c r="T123" s="150">
        <v>0.71</v>
      </c>
      <c r="U123" s="150">
        <f t="shared" si="222"/>
        <v>1</v>
      </c>
      <c r="V123" s="147">
        <v>0</v>
      </c>
      <c r="W123" s="147">
        <f t="shared" si="223"/>
        <v>11978.180097850209</v>
      </c>
      <c r="X123" s="147">
        <f t="shared" si="224"/>
        <v>29325.889205081545</v>
      </c>
      <c r="Y123" s="185">
        <f t="shared" si="225"/>
        <v>41304.069302931755</v>
      </c>
      <c r="Z123">
        <v>925</v>
      </c>
      <c r="AA123" s="184">
        <f t="shared" si="226"/>
        <v>50272.952922996934</v>
      </c>
      <c r="AB123" s="184">
        <f t="shared" si="227"/>
        <v>50272.952922996934</v>
      </c>
      <c r="AC123" s="184">
        <f t="shared" si="228"/>
        <v>0</v>
      </c>
      <c r="AH123" s="260"/>
      <c r="AJ123" s="261">
        <f t="shared" si="233"/>
        <v>0</v>
      </c>
      <c r="AK123" s="261">
        <f t="shared" si="234"/>
        <v>958.25440782801672</v>
      </c>
      <c r="AL123" s="261">
        <f t="shared" si="235"/>
        <v>2346.0711364065237</v>
      </c>
      <c r="AM123" s="185">
        <f t="shared" si="236"/>
        <v>3304.3255442345403</v>
      </c>
      <c r="AN123" s="261">
        <f>((+V123/($AM$98+$Y$178)*((('SCHG2-19'!$I$448*'SCHG2-19'!$K$15)+'SCHG2-19'!$I$448)*'SCHG2-19'!$M$15)))</f>
        <v>0</v>
      </c>
      <c r="AO123" s="261">
        <f>((+W123/($AM$98+$Y$178)*((('SCHG2-19'!$I$448*'SCHG2-19'!$K$15)+'SCHG2-19'!$I$448)*'SCHG2-19'!$M$15)))</f>
        <v>218.19651833171164</v>
      </c>
      <c r="AP123" s="261">
        <f>((+X123/($AM$98+$Y$178)*((('SCHG2-19'!$I$448*'SCHG2-19'!$K$15)+'SCHG2-19'!$I$448)*'SCHG2-19'!$M$15)))</f>
        <v>534.20526901901803</v>
      </c>
      <c r="AQ123" s="185">
        <f t="shared" si="231"/>
        <v>752.40178735072971</v>
      </c>
      <c r="AR123" s="261">
        <f>(+V123/($AM$98+$Y$178))*('SCHG2-19'!$M$448-'SCHG2-19'!$K$448-'IRR 202 Detail '!$BC$98-'IRR 202 Detail '!$AQ$178)</f>
        <v>0</v>
      </c>
      <c r="AS123" s="261">
        <f>(+W123/($AM$98+$Y$178))*('SCHG2-19'!$M$448-'SCHG2-19'!$K$448-'IRR 202 Detail '!$BC$98-'IRR 202 Detail '!$AQ$178)</f>
        <v>842.06028263653241</v>
      </c>
      <c r="AT123" s="261">
        <f>(+X123/($AM$98+$Y$178))*('SCHG2-19'!$M$448-'SCHG2-19'!$K$448-'IRR 202 Detail '!$BC$98-'IRR 202 Detail '!$AQ$178)</f>
        <v>2061.5958643859926</v>
      </c>
      <c r="AU123" s="185">
        <f t="shared" si="232"/>
        <v>2903.6561470225251</v>
      </c>
      <c r="AV123" s="183"/>
      <c r="AW123" s="90"/>
      <c r="AX123" s="192"/>
      <c r="AY123" s="192"/>
      <c r="AZ123" s="192"/>
      <c r="BA123" s="192"/>
      <c r="BB123" s="192"/>
      <c r="BC123"/>
      <c r="BD123" s="183"/>
      <c r="BE123" s="90"/>
      <c r="BF123" s="192"/>
      <c r="BG123" s="192"/>
      <c r="BH123" s="192"/>
      <c r="BI123" s="192"/>
      <c r="BJ123" s="192"/>
      <c r="BK123"/>
    </row>
    <row r="124" spans="1:66" x14ac:dyDescent="0.25">
      <c r="A124" s="88"/>
      <c r="B124" s="88"/>
      <c r="D124" s="83"/>
      <c r="E124" s="162" t="s">
        <v>286</v>
      </c>
      <c r="F124" s="182" t="s">
        <v>307</v>
      </c>
      <c r="G124" s="182"/>
      <c r="H124" s="191" t="s">
        <v>216</v>
      </c>
      <c r="I124" s="190" t="s">
        <v>270</v>
      </c>
      <c r="J124" s="185">
        <v>141613.95189576602</v>
      </c>
      <c r="K124" s="189">
        <v>2</v>
      </c>
      <c r="L124" s="188">
        <v>45305</v>
      </c>
      <c r="M124" s="150">
        <v>1</v>
      </c>
      <c r="N124" s="150">
        <v>0</v>
      </c>
      <c r="O124" s="150">
        <f t="shared" si="220"/>
        <v>1</v>
      </c>
      <c r="P124" s="187"/>
      <c r="Q124" s="186">
        <f t="shared" si="221"/>
        <v>1</v>
      </c>
      <c r="R124" s="152">
        <v>4</v>
      </c>
      <c r="S124" s="150">
        <v>0.28999999999999998</v>
      </c>
      <c r="T124" s="150">
        <v>0.71</v>
      </c>
      <c r="U124" s="150">
        <f t="shared" si="222"/>
        <v>1</v>
      </c>
      <c r="V124" s="147">
        <v>0</v>
      </c>
      <c r="W124" s="147">
        <f t="shared" si="223"/>
        <v>41068.046049772143</v>
      </c>
      <c r="X124" s="147">
        <f t="shared" si="224"/>
        <v>100545.90584599387</v>
      </c>
      <c r="Y124" s="185">
        <f t="shared" si="225"/>
        <v>141613.95189576602</v>
      </c>
      <c r="Z124">
        <v>874</v>
      </c>
      <c r="AA124" s="184">
        <f t="shared" si="226"/>
        <v>100545.90584599387</v>
      </c>
      <c r="AB124" s="184">
        <f t="shared" si="227"/>
        <v>100545.90584599387</v>
      </c>
      <c r="AC124" s="184">
        <f t="shared" si="228"/>
        <v>0</v>
      </c>
      <c r="AH124" s="260"/>
      <c r="AJ124" s="261">
        <f t="shared" si="233"/>
        <v>0</v>
      </c>
      <c r="AK124" s="261">
        <f t="shared" si="234"/>
        <v>3285.4436839817718</v>
      </c>
      <c r="AL124" s="261">
        <f t="shared" si="235"/>
        <v>8043.6724676795093</v>
      </c>
      <c r="AM124" s="185">
        <f t="shared" si="236"/>
        <v>11329.116151661281</v>
      </c>
      <c r="AN124" s="261">
        <f>((+V124/($AM$98+$Y$178)*((('SCHG2-19'!$I$448*'SCHG2-19'!$K$15)+'SCHG2-19'!$I$448)*'SCHG2-19'!$M$15)))</f>
        <v>0</v>
      </c>
      <c r="AO124" s="261">
        <f>((+W124/($AM$98+$Y$178)*((('SCHG2-19'!$I$448*'SCHG2-19'!$K$15)+'SCHG2-19'!$I$448)*'SCHG2-19'!$M$15)))</f>
        <v>748.1023485658684</v>
      </c>
      <c r="AP124" s="261">
        <f>((+X124/($AM$98+$Y$178)*((('SCHG2-19'!$I$448*'SCHG2-19'!$K$15)+'SCHG2-19'!$I$448)*'SCHG2-19'!$M$15)))</f>
        <v>1831.5609223509196</v>
      </c>
      <c r="AQ124" s="185">
        <f t="shared" si="231"/>
        <v>2579.663270916788</v>
      </c>
      <c r="AR124" s="261">
        <f>(+V124/($AM$98+$Y$178))*('SCHG2-19'!$M$448-'SCHG2-19'!$K$448-'IRR 202 Detail '!$BC$98-'IRR 202 Detail '!$AQ$178)</f>
        <v>0</v>
      </c>
      <c r="AS124" s="261">
        <f>(+W124/($AM$98+$Y$178))*('SCHG2-19'!$M$448-'SCHG2-19'!$K$448-'IRR 202 Detail '!$BC$98-'IRR 202 Detail '!$AQ$178)</f>
        <v>2887.0638261823965</v>
      </c>
      <c r="AT124" s="261">
        <f>(+X124/($AM$98+$Y$178))*('SCHG2-19'!$M$448-'SCHG2-19'!$K$448-'IRR 202 Detail '!$BC$98-'IRR 202 Detail '!$AQ$178)</f>
        <v>7068.3286778948332</v>
      </c>
      <c r="AU124" s="185">
        <f t="shared" si="232"/>
        <v>9955.3925040772301</v>
      </c>
      <c r="AV124" s="183"/>
      <c r="AW124" s="90"/>
      <c r="AX124" s="192"/>
      <c r="AY124" s="192"/>
      <c r="AZ124" s="192"/>
      <c r="BA124" s="192"/>
      <c r="BB124" s="192"/>
      <c r="BC124"/>
      <c r="BD124" s="183"/>
      <c r="BE124" s="90"/>
      <c r="BF124" s="192"/>
      <c r="BG124" s="192"/>
      <c r="BH124" s="192"/>
      <c r="BI124" s="192"/>
      <c r="BJ124" s="192"/>
      <c r="BK124"/>
    </row>
    <row r="125" spans="1:66" x14ac:dyDescent="0.25">
      <c r="A125" s="88"/>
      <c r="B125" s="88"/>
      <c r="C125" t="s">
        <v>309</v>
      </c>
      <c r="D125" s="83" t="s">
        <v>308</v>
      </c>
      <c r="E125" s="162" t="s">
        <v>286</v>
      </c>
      <c r="F125" s="182" t="s">
        <v>307</v>
      </c>
      <c r="G125" s="182"/>
      <c r="H125" s="191" t="s">
        <v>221</v>
      </c>
      <c r="I125" s="190" t="s">
        <v>270</v>
      </c>
      <c r="J125" s="185">
        <v>117361.40675655376</v>
      </c>
      <c r="K125" s="189">
        <v>1</v>
      </c>
      <c r="L125" s="188">
        <v>45306</v>
      </c>
      <c r="M125" s="150">
        <v>1</v>
      </c>
      <c r="N125" s="150">
        <v>0</v>
      </c>
      <c r="O125" s="150">
        <f t="shared" si="220"/>
        <v>1</v>
      </c>
      <c r="P125" s="187"/>
      <c r="Q125" s="186">
        <f t="shared" si="221"/>
        <v>1</v>
      </c>
      <c r="R125" s="152">
        <v>7</v>
      </c>
      <c r="S125" s="150">
        <v>0.28999999999999998</v>
      </c>
      <c r="T125" s="150">
        <v>0.71</v>
      </c>
      <c r="U125" s="150">
        <f t="shared" si="222"/>
        <v>1</v>
      </c>
      <c r="V125" s="147">
        <v>0</v>
      </c>
      <c r="W125" s="147">
        <f t="shared" si="223"/>
        <v>34034.807959400583</v>
      </c>
      <c r="X125" s="147">
        <f t="shared" si="224"/>
        <v>83326.598797153158</v>
      </c>
      <c r="Y125" s="185">
        <f t="shared" si="225"/>
        <v>117361.40675655374</v>
      </c>
      <c r="Z125">
        <v>880</v>
      </c>
      <c r="AA125" s="184">
        <f t="shared" si="226"/>
        <v>83326.598797153158</v>
      </c>
      <c r="AB125" s="184">
        <f t="shared" si="227"/>
        <v>83326.598797153158</v>
      </c>
      <c r="AC125" s="184">
        <f t="shared" si="228"/>
        <v>0</v>
      </c>
      <c r="AH125" s="260"/>
      <c r="AJ125" s="261">
        <f t="shared" si="233"/>
        <v>0</v>
      </c>
      <c r="AK125" s="261">
        <f t="shared" si="234"/>
        <v>2722.7846367520465</v>
      </c>
      <c r="AL125" s="261">
        <f t="shared" si="235"/>
        <v>6666.1279037722525</v>
      </c>
      <c r="AM125" s="185">
        <f t="shared" si="236"/>
        <v>9388.9125405242994</v>
      </c>
      <c r="AN125" s="261">
        <f>((+V125/($AM$98+$Y$178)*((('SCHG2-19'!$I$448*'SCHG2-19'!$K$15)+'SCHG2-19'!$I$448)*'SCHG2-19'!$M$15)))</f>
        <v>0</v>
      </c>
      <c r="AO125" s="261">
        <f>((+W125/($AM$98+$Y$178)*((('SCHG2-19'!$I$448*'SCHG2-19'!$K$15)+'SCHG2-19'!$I$448)*'SCHG2-19'!$M$15)))</f>
        <v>619.98371523587878</v>
      </c>
      <c r="AP125" s="261">
        <f>((+X125/($AM$98+$Y$178)*((('SCHG2-19'!$I$448*'SCHG2-19'!$K$15)+'SCHG2-19'!$I$448)*'SCHG2-19'!$M$15)))</f>
        <v>1517.8911648878413</v>
      </c>
      <c r="AQ125" s="185">
        <f t="shared" si="231"/>
        <v>2137.8748801237202</v>
      </c>
      <c r="AR125" s="261">
        <f>(+V125/($AM$98+$Y$178))*('SCHG2-19'!$M$448-'SCHG2-19'!$K$448-'IRR 202 Detail '!$BC$98-'IRR 202 Detail '!$AQ$178)</f>
        <v>0</v>
      </c>
      <c r="AS125" s="261">
        <f>(+W125/($AM$98+$Y$178))*('SCHG2-19'!$M$448-'SCHG2-19'!$K$448-'IRR 202 Detail '!$BC$98-'IRR 202 Detail '!$AQ$178)</f>
        <v>2392.6305812446926</v>
      </c>
      <c r="AT125" s="261">
        <f>(+X125/($AM$98+$Y$178))*('SCHG2-19'!$M$448-'SCHG2-19'!$K$448-'IRR 202 Detail '!$BC$98-'IRR 202 Detail '!$AQ$178)</f>
        <v>5857.8196989094204</v>
      </c>
      <c r="AU125" s="185">
        <f t="shared" si="232"/>
        <v>8250.450280154113</v>
      </c>
      <c r="AV125" s="183"/>
      <c r="AW125" s="90"/>
      <c r="AX125" s="192"/>
      <c r="AY125" s="192"/>
      <c r="AZ125" s="192"/>
      <c r="BA125" s="192"/>
      <c r="BB125" s="192"/>
      <c r="BC125"/>
      <c r="BD125" s="183"/>
      <c r="BE125" s="90"/>
      <c r="BF125" s="192"/>
      <c r="BG125" s="192"/>
      <c r="BH125" s="192"/>
      <c r="BI125" s="192"/>
      <c r="BJ125" s="192"/>
      <c r="BK125"/>
    </row>
    <row r="126" spans="1:66" x14ac:dyDescent="0.25">
      <c r="A126" s="88"/>
      <c r="B126" s="88"/>
      <c r="C126" t="s">
        <v>309</v>
      </c>
      <c r="D126" s="83" t="s">
        <v>308</v>
      </c>
      <c r="E126" s="162" t="s">
        <v>286</v>
      </c>
      <c r="F126" s="182" t="s">
        <v>307</v>
      </c>
      <c r="G126" s="182"/>
      <c r="H126" s="191" t="s">
        <v>217</v>
      </c>
      <c r="I126" s="190" t="s">
        <v>270</v>
      </c>
      <c r="J126" s="185">
        <v>49782.899250047252</v>
      </c>
      <c r="K126" s="189">
        <v>1</v>
      </c>
      <c r="L126" s="188">
        <v>45307</v>
      </c>
      <c r="M126" s="150">
        <v>1</v>
      </c>
      <c r="N126" s="150">
        <v>0</v>
      </c>
      <c r="O126" s="150">
        <f t="shared" si="220"/>
        <v>1</v>
      </c>
      <c r="P126" s="187"/>
      <c r="Q126" s="186">
        <v>1</v>
      </c>
      <c r="R126" s="152">
        <v>2</v>
      </c>
      <c r="S126" s="150">
        <v>0.28999999999999998</v>
      </c>
      <c r="T126" s="150">
        <v>0.71</v>
      </c>
      <c r="U126" s="150">
        <f t="shared" si="222"/>
        <v>1</v>
      </c>
      <c r="V126" s="147">
        <v>0</v>
      </c>
      <c r="W126" s="147">
        <f t="shared" si="223"/>
        <v>14437.040782513703</v>
      </c>
      <c r="X126" s="147">
        <f t="shared" si="224"/>
        <v>35345.858467533544</v>
      </c>
      <c r="Y126" s="185">
        <f t="shared" si="225"/>
        <v>49782.899250047245</v>
      </c>
      <c r="Z126">
        <v>874</v>
      </c>
      <c r="AA126" s="184">
        <f t="shared" si="226"/>
        <v>35345.858467533544</v>
      </c>
      <c r="AB126" s="184">
        <f t="shared" si="227"/>
        <v>35345.858467533544</v>
      </c>
      <c r="AC126" s="184">
        <f t="shared" si="228"/>
        <v>0</v>
      </c>
      <c r="AH126" s="260"/>
      <c r="AJ126" s="261">
        <f t="shared" si="233"/>
        <v>0</v>
      </c>
      <c r="AK126" s="261">
        <f t="shared" si="234"/>
        <v>1154.9632626010962</v>
      </c>
      <c r="AL126" s="261">
        <f t="shared" si="235"/>
        <v>2827.6686774026834</v>
      </c>
      <c r="AM126" s="185">
        <f t="shared" si="236"/>
        <v>3982.6319400037796</v>
      </c>
      <c r="AN126" s="261">
        <f>((+V126/($AM$98+$Y$178)*((('SCHG2-19'!$I$448*'SCHG2-19'!$K$15)+'SCHG2-19'!$I$448)*'SCHG2-19'!$M$15)))</f>
        <v>0</v>
      </c>
      <c r="AO126" s="261">
        <f>((+W126/($AM$98+$Y$178)*((('SCHG2-19'!$I$448*'SCHG2-19'!$K$15)+'SCHG2-19'!$I$448)*'SCHG2-19'!$M$15)))</f>
        <v>262.98753299950698</v>
      </c>
      <c r="AP126" s="261">
        <f>((+X126/($AM$98+$Y$178)*((('SCHG2-19'!$I$448*'SCHG2-19'!$K$15)+'SCHG2-19'!$I$448)*'SCHG2-19'!$M$15)))</f>
        <v>643.8660290677584</v>
      </c>
      <c r="AQ126" s="185">
        <f t="shared" si="231"/>
        <v>906.85356206726533</v>
      </c>
      <c r="AR126" s="261">
        <f>(+V126/($AM$98+$Y$178))*('SCHG2-19'!$M$448-'SCHG2-19'!$K$448-'IRR 202 Detail '!$BC$98-'IRR 202 Detail '!$AQ$178)</f>
        <v>0</v>
      </c>
      <c r="AS126" s="261">
        <f>(+W126/($AM$98+$Y$178))*('SCHG2-19'!$M$448-'SCHG2-19'!$K$448-'IRR 202 Detail '!$BC$98-'IRR 202 Detail '!$AQ$178)</f>
        <v>1014.9170026204977</v>
      </c>
      <c r="AT126" s="261">
        <f>(+X126/($AM$98+$Y$178))*('SCHG2-19'!$M$448-'SCHG2-19'!$K$448-'IRR 202 Detail '!$BC$98-'IRR 202 Detail '!$AQ$178)</f>
        <v>2484.7967995191493</v>
      </c>
      <c r="AU126" s="185">
        <f t="shared" si="232"/>
        <v>3499.7138021396468</v>
      </c>
      <c r="AV126" s="183"/>
      <c r="AW126" s="90"/>
      <c r="AX126" s="192"/>
      <c r="AY126" s="192"/>
      <c r="AZ126" s="192"/>
      <c r="BA126" s="192"/>
      <c r="BB126" s="192"/>
      <c r="BC126"/>
      <c r="BD126" s="183"/>
      <c r="BE126" s="90"/>
      <c r="BF126" s="192"/>
      <c r="BG126" s="192"/>
      <c r="BH126" s="192"/>
      <c r="BI126" s="192"/>
      <c r="BJ126" s="192"/>
      <c r="BK126"/>
    </row>
    <row r="127" spans="1:66" x14ac:dyDescent="0.25">
      <c r="C127" t="s">
        <v>306</v>
      </c>
      <c r="E127"/>
      <c r="F127" s="182"/>
      <c r="G127" s="182"/>
      <c r="H127" s="191" t="s">
        <v>222</v>
      </c>
      <c r="I127" s="190" t="s">
        <v>270</v>
      </c>
      <c r="J127" s="185">
        <v>81760.597151672264</v>
      </c>
      <c r="K127" s="189">
        <v>1</v>
      </c>
      <c r="L127" s="188">
        <v>45308</v>
      </c>
      <c r="M127" s="150">
        <v>1</v>
      </c>
      <c r="N127" s="150">
        <v>0</v>
      </c>
      <c r="O127" s="150">
        <f t="shared" si="220"/>
        <v>1</v>
      </c>
      <c r="P127" s="187"/>
      <c r="Q127" s="186">
        <f>((13-MONTH(L127)-$AI$5))/12</f>
        <v>1</v>
      </c>
      <c r="R127" s="152">
        <v>5</v>
      </c>
      <c r="S127" s="150">
        <v>0</v>
      </c>
      <c r="T127" s="150">
        <v>1</v>
      </c>
      <c r="U127" s="150">
        <f t="shared" si="222"/>
        <v>1</v>
      </c>
      <c r="V127" s="259">
        <v>0</v>
      </c>
      <c r="W127" s="259">
        <f t="shared" si="223"/>
        <v>0</v>
      </c>
      <c r="X127" s="259">
        <f t="shared" si="224"/>
        <v>81760.597151672264</v>
      </c>
      <c r="Y127" s="185">
        <f t="shared" si="225"/>
        <v>81760.597151672264</v>
      </c>
      <c r="Z127">
        <v>880</v>
      </c>
      <c r="AA127" s="184">
        <f t="shared" si="226"/>
        <v>81760.597151672264</v>
      </c>
      <c r="AB127" s="184">
        <f t="shared" si="227"/>
        <v>81760.597151672264</v>
      </c>
      <c r="AC127" s="184">
        <f t="shared" si="228"/>
        <v>0</v>
      </c>
      <c r="AH127" s="156"/>
      <c r="AJ127" s="261">
        <f t="shared" si="233"/>
        <v>0</v>
      </c>
      <c r="AK127" s="261">
        <f t="shared" si="234"/>
        <v>0</v>
      </c>
      <c r="AL127" s="261">
        <f t="shared" si="235"/>
        <v>6540.8477721337813</v>
      </c>
      <c r="AM127" s="185">
        <f t="shared" si="236"/>
        <v>6540.8477721337813</v>
      </c>
      <c r="AN127" s="261">
        <f>((+V127/($AM$98+$Y$178)*((('SCHG2-19'!$I$448*'SCHG2-19'!$K$15)+'SCHG2-19'!$I$448)*'SCHG2-19'!$M$15)))</f>
        <v>0</v>
      </c>
      <c r="AO127" s="261">
        <f>((+W127/($AM$98+$Y$178)*((('SCHG2-19'!$I$448*'SCHG2-19'!$K$15)+'SCHG2-19'!$I$448)*'SCHG2-19'!$M$15)))</f>
        <v>0</v>
      </c>
      <c r="AP127" s="261">
        <f>((+X127/($AM$98+$Y$178)*((('SCHG2-19'!$I$448*'SCHG2-19'!$K$15)+'SCHG2-19'!$I$448)*'SCHG2-19'!$M$15)))</f>
        <v>1489.3646187886563</v>
      </c>
      <c r="AQ127" s="185">
        <f t="shared" si="231"/>
        <v>1489.3646187886563</v>
      </c>
      <c r="AR127" s="261">
        <f>(+V127/($AM$98+$Y$178))*('SCHG2-19'!$M$448-'SCHG2-19'!$K$448-'IRR 202 Detail '!$BC$98-'IRR 202 Detail '!$AQ$178)</f>
        <v>0</v>
      </c>
      <c r="AS127" s="261">
        <f>(+W127/($AM$98+$Y$178))*('SCHG2-19'!$M$448-'SCHG2-19'!$K$448-'IRR 202 Detail '!$BC$98-'IRR 202 Detail '!$AQ$178)</f>
        <v>0</v>
      </c>
      <c r="AT127" s="261">
        <f>(+X127/($AM$98+$Y$178))*('SCHG2-19'!$M$448-'SCHG2-19'!$K$448-'IRR 202 Detail '!$BC$98-'IRR 202 Detail '!$AQ$178)</f>
        <v>5747.7305386671578</v>
      </c>
      <c r="AU127" s="185">
        <f t="shared" si="232"/>
        <v>5747.7305386671578</v>
      </c>
      <c r="AV127" s="156"/>
      <c r="AW127" s="156"/>
      <c r="AX127" s="159"/>
      <c r="AY127" s="156"/>
      <c r="AZ127" s="156"/>
      <c r="BA127" s="156"/>
      <c r="BB127" s="156"/>
      <c r="BC127"/>
      <c r="BD127" s="156"/>
      <c r="BE127" s="156"/>
      <c r="BF127" s="159"/>
      <c r="BG127" s="156"/>
      <c r="BH127" s="156"/>
      <c r="BI127" s="156"/>
      <c r="BJ127" s="156"/>
      <c r="BK127"/>
    </row>
    <row r="128" spans="1:66" x14ac:dyDescent="0.25">
      <c r="E128"/>
      <c r="F128" s="182"/>
      <c r="G128" s="182"/>
      <c r="H128" s="191" t="s">
        <v>223</v>
      </c>
      <c r="I128" s="190" t="s">
        <v>270</v>
      </c>
      <c r="J128" s="185">
        <v>59625.568350038251</v>
      </c>
      <c r="K128" s="189">
        <v>1</v>
      </c>
      <c r="L128" s="188">
        <v>45309</v>
      </c>
      <c r="M128" s="150">
        <v>1</v>
      </c>
      <c r="N128" s="150">
        <v>0</v>
      </c>
      <c r="O128" s="150">
        <f t="shared" si="220"/>
        <v>1</v>
      </c>
      <c r="P128" s="187"/>
      <c r="Q128" s="186">
        <f>((13-MONTH(L128)-$AI$5))/12</f>
        <v>1</v>
      </c>
      <c r="R128" s="152">
        <v>3</v>
      </c>
      <c r="S128" s="150">
        <v>0</v>
      </c>
      <c r="T128" s="150">
        <v>1</v>
      </c>
      <c r="U128" s="150">
        <f t="shared" si="222"/>
        <v>1</v>
      </c>
      <c r="V128" s="259">
        <v>0</v>
      </c>
      <c r="W128" s="259">
        <f t="shared" si="223"/>
        <v>0</v>
      </c>
      <c r="X128" s="259">
        <f t="shared" si="224"/>
        <v>59625.568350038251</v>
      </c>
      <c r="Y128" s="185">
        <f t="shared" si="225"/>
        <v>59625.568350038251</v>
      </c>
      <c r="Z128">
        <v>880</v>
      </c>
      <c r="AA128" s="184">
        <f t="shared" si="226"/>
        <v>59625.568350038251</v>
      </c>
      <c r="AB128" s="184">
        <f t="shared" si="227"/>
        <v>59625.568350038251</v>
      </c>
      <c r="AC128" s="184">
        <f t="shared" si="228"/>
        <v>0</v>
      </c>
      <c r="AH128" s="153"/>
      <c r="AI128" s="153"/>
      <c r="AJ128" s="261">
        <f t="shared" si="233"/>
        <v>0</v>
      </c>
      <c r="AK128" s="261">
        <f t="shared" si="234"/>
        <v>0</v>
      </c>
      <c r="AL128" s="261">
        <f t="shared" si="235"/>
        <v>4770.0454680030598</v>
      </c>
      <c r="AM128" s="185">
        <f t="shared" si="236"/>
        <v>4770.0454680030598</v>
      </c>
      <c r="AN128" s="261">
        <f>((+V128/($AM$98+$Y$178)*((('SCHG2-19'!$I$448*'SCHG2-19'!$K$15)+'SCHG2-19'!$I$448)*'SCHG2-19'!$M$15)))</f>
        <v>0</v>
      </c>
      <c r="AO128" s="261">
        <f>((+W128/($AM$98+$Y$178)*((('SCHG2-19'!$I$448*'SCHG2-19'!$K$15)+'SCHG2-19'!$I$448)*'SCHG2-19'!$M$15)))</f>
        <v>0</v>
      </c>
      <c r="AP128" s="261">
        <f>((+X128/($AM$98+$Y$178)*((('SCHG2-19'!$I$448*'SCHG2-19'!$K$15)+'SCHG2-19'!$I$448)*'SCHG2-19'!$M$15)))</f>
        <v>1086.1492573369171</v>
      </c>
      <c r="AQ128" s="185">
        <f t="shared" si="231"/>
        <v>1086.1492573369171</v>
      </c>
      <c r="AR128" s="261">
        <f>(+V128/($AM$98+$Y$178))*('SCHG2-19'!$M$448-'SCHG2-19'!$K$448-'IRR 202 Detail '!$BC$98-'IRR 202 Detail '!$AQ$178)</f>
        <v>0</v>
      </c>
      <c r="AS128" s="261">
        <f>(+W128/($AM$98+$Y$178))*('SCHG2-19'!$M$448-'SCHG2-19'!$K$448-'IRR 202 Detail '!$BC$98-'IRR 202 Detail '!$AQ$178)</f>
        <v>0</v>
      </c>
      <c r="AT128" s="261">
        <f>(+X128/($AM$98+$Y$178))*('SCHG2-19'!$M$448-'SCHG2-19'!$K$448-'IRR 202 Detail '!$BC$98-'IRR 202 Detail '!$AQ$178)</f>
        <v>4191.6486917915236</v>
      </c>
      <c r="AU128" s="185">
        <f t="shared" si="232"/>
        <v>4191.6486917915236</v>
      </c>
      <c r="AV128" s="153"/>
      <c r="AW128" s="153"/>
      <c r="AX128" s="153"/>
      <c r="AY128" s="153"/>
      <c r="AZ128" s="153"/>
      <c r="BA128" s="153"/>
      <c r="BB128" s="153"/>
      <c r="BC128"/>
      <c r="BD128" s="153"/>
      <c r="BE128" s="153"/>
      <c r="BF128" s="153"/>
      <c r="BG128" s="153"/>
      <c r="BH128" s="153"/>
      <c r="BI128" s="153"/>
      <c r="BJ128" s="153"/>
      <c r="BK128"/>
    </row>
    <row r="129" spans="1:63" ht="13.9" customHeight="1" x14ac:dyDescent="0.25">
      <c r="A129" s="88"/>
      <c r="B129" s="88"/>
      <c r="C129" t="s">
        <v>305</v>
      </c>
      <c r="D129" t="s">
        <v>304</v>
      </c>
      <c r="E129" s="162" t="s">
        <v>303</v>
      </c>
      <c r="F129" s="182" t="s">
        <v>302</v>
      </c>
      <c r="G129" s="182"/>
      <c r="H129" s="258" t="s">
        <v>367</v>
      </c>
      <c r="I129" s="257"/>
      <c r="J129" s="252">
        <f>SUM(J109:J128)</f>
        <v>1903890.8017531082</v>
      </c>
      <c r="K129" s="256">
        <f>SUM(K109:K128)</f>
        <v>33</v>
      </c>
      <c r="L129" s="255"/>
      <c r="M129" s="254"/>
      <c r="N129" s="254"/>
      <c r="O129" s="254"/>
      <c r="P129" s="254"/>
      <c r="Q129" s="254"/>
      <c r="R129" s="254"/>
      <c r="S129" s="253"/>
      <c r="T129" s="253"/>
      <c r="U129" s="253"/>
      <c r="V129" s="252">
        <f>SUM(V109:V128)</f>
        <v>0</v>
      </c>
      <c r="W129" s="252">
        <f>SUM(W109:W128)</f>
        <v>476130.12191584875</v>
      </c>
      <c r="X129" s="252">
        <f>SUM(X109:X128)</f>
        <v>1307084.0501922364</v>
      </c>
      <c r="Y129" s="252">
        <f>SUM(Y109:Y128)</f>
        <v>1783214.1721080856</v>
      </c>
      <c r="AA129" s="252">
        <f>SUM(AA109:AA128)</f>
        <v>1392764.4572402025</v>
      </c>
      <c r="AB129" s="252">
        <f>SUM(AB109:AB128)</f>
        <v>1392764.4572402025</v>
      </c>
      <c r="AC129" s="252">
        <f>SUM(AC109:AC128)</f>
        <v>0</v>
      </c>
      <c r="AH129" s="260"/>
      <c r="AJ129" s="252">
        <f t="shared" ref="AJ129:AU129" si="237">SUM(AJ109:AJ128)</f>
        <v>0</v>
      </c>
      <c r="AK129" s="252">
        <f t="shared" si="237"/>
        <v>38090.409753267901</v>
      </c>
      <c r="AL129" s="252">
        <f t="shared" si="237"/>
        <v>104566.72401537898</v>
      </c>
      <c r="AM129" s="252">
        <f t="shared" si="237"/>
        <v>142657.1337686468</v>
      </c>
      <c r="AN129" s="252">
        <f t="shared" si="237"/>
        <v>0</v>
      </c>
      <c r="AO129" s="252">
        <f t="shared" si="237"/>
        <v>8673.265389751261</v>
      </c>
      <c r="AP129" s="252">
        <f t="shared" si="237"/>
        <v>23810.060175171762</v>
      </c>
      <c r="AQ129" s="252">
        <f t="shared" si="237"/>
        <v>32483.32556492302</v>
      </c>
      <c r="AR129" s="252">
        <f t="shared" si="237"/>
        <v>0</v>
      </c>
      <c r="AS129" s="252">
        <f t="shared" si="237"/>
        <v>33471.717886775084</v>
      </c>
      <c r="AT129" s="252">
        <f t="shared" si="237"/>
        <v>91887.378194632154</v>
      </c>
      <c r="AU129" s="252">
        <f t="shared" si="237"/>
        <v>125359.09608140725</v>
      </c>
      <c r="AV129" s="183"/>
      <c r="AW129" s="90"/>
      <c r="AX129" s="192"/>
      <c r="AY129" s="192"/>
      <c r="AZ129" s="192"/>
      <c r="BA129" s="192"/>
      <c r="BB129" s="192"/>
      <c r="BC129"/>
      <c r="BD129" s="183"/>
      <c r="BE129" s="90"/>
      <c r="BF129" s="192"/>
      <c r="BG129" s="192"/>
      <c r="BH129" s="192"/>
      <c r="BI129" s="192"/>
      <c r="BJ129" s="192"/>
      <c r="BK129"/>
    </row>
    <row r="130" spans="1:63" x14ac:dyDescent="0.25">
      <c r="A130" s="88"/>
      <c r="B130" s="88"/>
      <c r="C130" t="s">
        <v>305</v>
      </c>
      <c r="D130" t="s">
        <v>304</v>
      </c>
      <c r="E130" s="162" t="s">
        <v>303</v>
      </c>
      <c r="F130" s="182" t="s">
        <v>302</v>
      </c>
      <c r="G130" s="143"/>
      <c r="H130" s="143"/>
      <c r="I130" s="212"/>
      <c r="J130" s="147"/>
      <c r="K130" s="154"/>
      <c r="L130" s="188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AH130" s="260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83"/>
      <c r="AW130" s="90"/>
      <c r="AX130" s="192"/>
      <c r="AY130" s="192"/>
      <c r="AZ130" s="192"/>
      <c r="BA130" s="192"/>
      <c r="BB130" s="192"/>
      <c r="BC130"/>
      <c r="BD130" s="183"/>
      <c r="BE130" s="90"/>
      <c r="BF130" s="192"/>
      <c r="BG130" s="192"/>
      <c r="BH130" s="192"/>
      <c r="BI130" s="192"/>
      <c r="BJ130" s="192"/>
      <c r="BK130"/>
    </row>
    <row r="131" spans="1:63" x14ac:dyDescent="0.25">
      <c r="A131" s="88"/>
      <c r="B131" s="88"/>
      <c r="C131" t="s">
        <v>305</v>
      </c>
      <c r="D131" t="s">
        <v>304</v>
      </c>
      <c r="E131" s="162" t="s">
        <v>303</v>
      </c>
      <c r="F131" s="182" t="s">
        <v>302</v>
      </c>
      <c r="G131" s="182"/>
      <c r="H131" s="191" t="s">
        <v>181</v>
      </c>
      <c r="I131" s="190" t="s">
        <v>270</v>
      </c>
      <c r="J131" s="185">
        <v>117361.40675655376</v>
      </c>
      <c r="K131" s="189">
        <v>1</v>
      </c>
      <c r="L131" s="188">
        <v>45309</v>
      </c>
      <c r="M131" s="150">
        <v>1</v>
      </c>
      <c r="N131" s="150">
        <v>0</v>
      </c>
      <c r="O131" s="150">
        <f t="shared" ref="O131:O137" si="238">M131+N131</f>
        <v>1</v>
      </c>
      <c r="P131" s="187"/>
      <c r="Q131" s="186">
        <f t="shared" ref="Q131:Q137" si="239">((13-MONTH(L131)-$AI$5))/12</f>
        <v>1</v>
      </c>
      <c r="R131" s="152">
        <v>7</v>
      </c>
      <c r="S131" s="150">
        <v>0.9</v>
      </c>
      <c r="T131" s="150">
        <v>0.1</v>
      </c>
      <c r="U131" s="150">
        <f t="shared" ref="U131:U137" si="240">+S131+T131</f>
        <v>1</v>
      </c>
      <c r="V131" s="147">
        <v>0</v>
      </c>
      <c r="W131" s="147">
        <f t="shared" ref="W131:W137" si="241">J131*M131*Q131*S131</f>
        <v>105625.26608089838</v>
      </c>
      <c r="X131" s="147">
        <f t="shared" ref="X131:X137" si="242">J131*M131*Q131*T131</f>
        <v>11736.140675655377</v>
      </c>
      <c r="Y131" s="185">
        <f t="shared" ref="Y131:Y137" si="243">V131+W131+X131</f>
        <v>117361.40675655376</v>
      </c>
      <c r="Z131">
        <v>870</v>
      </c>
      <c r="AA131" s="184">
        <f t="shared" ref="AA131:AA137" si="244">+J131*M131*T131</f>
        <v>11736.140675655377</v>
      </c>
      <c r="AB131" s="184">
        <f t="shared" ref="AB131:AC137" si="245">+J131*M131*T131</f>
        <v>11736.140675655377</v>
      </c>
      <c r="AC131" s="184">
        <f t="shared" si="245"/>
        <v>0</v>
      </c>
      <c r="AD131" s="90"/>
      <c r="AE131" s="90"/>
      <c r="AF131" s="90"/>
      <c r="AH131" s="260"/>
      <c r="AJ131" s="261">
        <f t="shared" ref="AJ131:AJ137" si="246">+V131*0.08</f>
        <v>0</v>
      </c>
      <c r="AK131" s="261">
        <f t="shared" ref="AK131:AK137" si="247">+W131*0.08</f>
        <v>8450.0212864718706</v>
      </c>
      <c r="AL131" s="261">
        <f t="shared" ref="AL131:AL137" si="248">+X131*0.08</f>
        <v>938.89125405243021</v>
      </c>
      <c r="AM131" s="185">
        <f t="shared" ref="AM131:AM137" si="249">AJ131+AK131+AL131</f>
        <v>9388.9125405243012</v>
      </c>
      <c r="AN131" s="261">
        <f>((+V131/($AM$98+$Y$178)*((('SCHG2-19'!$I$448*'SCHG2-19'!$K$15)+'SCHG2-19'!$I$448)*'SCHG2-19'!$M$15)))</f>
        <v>0</v>
      </c>
      <c r="AO131" s="261">
        <f>((+W131/($AM$98+$Y$178)*((('SCHG2-19'!$I$448*'SCHG2-19'!$K$15)+'SCHG2-19'!$I$448)*'SCHG2-19'!$M$15)))</f>
        <v>1924.0873921113484</v>
      </c>
      <c r="AP131" s="261">
        <f>((+X131/($AM$98+$Y$178)*((('SCHG2-19'!$I$448*'SCHG2-19'!$K$15)+'SCHG2-19'!$I$448)*'SCHG2-19'!$M$15)))</f>
        <v>213.78748801237205</v>
      </c>
      <c r="AQ131" s="185">
        <f t="shared" ref="AQ131:AQ137" si="250">AN131+AO131+AP131</f>
        <v>2137.8748801237207</v>
      </c>
      <c r="AR131" s="261">
        <f>(+V131/($AM$98+$Y$178))*('SCHG2-19'!$M$448-'SCHG2-19'!$K$448-'IRR 202 Detail '!$BC$98-'IRR 202 Detail '!$AQ$178)</f>
        <v>0</v>
      </c>
      <c r="AS131" s="261">
        <f>(+W131/($AM$98+$Y$178))*('SCHG2-19'!$M$448-'SCHG2-19'!$K$448-'IRR 202 Detail '!$BC$98-'IRR 202 Detail '!$AQ$178)</f>
        <v>7425.405252138703</v>
      </c>
      <c r="AT131" s="261">
        <f>(+X131/($AM$98+$Y$178))*('SCHG2-19'!$M$448-'SCHG2-19'!$K$448-'IRR 202 Detail '!$BC$98-'IRR 202 Detail '!$AQ$178)</f>
        <v>825.0450280154115</v>
      </c>
      <c r="AU131" s="185">
        <f t="shared" ref="AU131:AU137" si="251">AR131+AS131+AT131</f>
        <v>8250.4502801541148</v>
      </c>
      <c r="AV131" s="183"/>
      <c r="AW131" s="90"/>
      <c r="AX131" s="192"/>
      <c r="AY131" s="192"/>
      <c r="AZ131" s="192"/>
      <c r="BA131" s="192"/>
      <c r="BB131" s="192"/>
      <c r="BC131"/>
      <c r="BD131" s="183"/>
      <c r="BE131" s="90"/>
      <c r="BF131" s="192"/>
      <c r="BG131" s="192"/>
      <c r="BH131" s="192"/>
      <c r="BI131" s="192"/>
      <c r="BJ131" s="192"/>
      <c r="BK131"/>
    </row>
    <row r="132" spans="1:63" x14ac:dyDescent="0.25">
      <c r="A132" s="88"/>
      <c r="B132" s="88"/>
      <c r="C132" t="s">
        <v>305</v>
      </c>
      <c r="D132" t="s">
        <v>304</v>
      </c>
      <c r="E132" s="162" t="s">
        <v>303</v>
      </c>
      <c r="F132" s="182" t="s">
        <v>302</v>
      </c>
      <c r="G132" s="182"/>
      <c r="H132" s="191" t="s">
        <v>182</v>
      </c>
      <c r="I132" s="190" t="s">
        <v>270</v>
      </c>
      <c r="J132" s="185">
        <v>150224.78822787449</v>
      </c>
      <c r="K132" s="189">
        <v>1</v>
      </c>
      <c r="L132" s="188">
        <v>45309</v>
      </c>
      <c r="M132" s="150">
        <v>1</v>
      </c>
      <c r="N132" s="150">
        <v>0</v>
      </c>
      <c r="O132" s="150">
        <f t="shared" si="238"/>
        <v>1</v>
      </c>
      <c r="P132" s="187"/>
      <c r="Q132" s="186">
        <f t="shared" si="239"/>
        <v>1</v>
      </c>
      <c r="R132" s="152">
        <v>9</v>
      </c>
      <c r="S132" s="150">
        <v>0.9</v>
      </c>
      <c r="T132" s="150">
        <v>0.1</v>
      </c>
      <c r="U132" s="150">
        <f t="shared" si="240"/>
        <v>1</v>
      </c>
      <c r="V132" s="147">
        <v>0</v>
      </c>
      <c r="W132" s="147">
        <f t="shared" si="241"/>
        <v>135202.30940508706</v>
      </c>
      <c r="X132" s="147">
        <f t="shared" si="242"/>
        <v>15022.478822787451</v>
      </c>
      <c r="Y132" s="185">
        <f t="shared" si="243"/>
        <v>150224.78822787449</v>
      </c>
      <c r="Z132">
        <v>870</v>
      </c>
      <c r="AA132" s="184">
        <f t="shared" si="244"/>
        <v>15022.478822787451</v>
      </c>
      <c r="AB132" s="184">
        <f t="shared" si="245"/>
        <v>15022.478822787451</v>
      </c>
      <c r="AC132" s="184">
        <f t="shared" si="245"/>
        <v>0</v>
      </c>
      <c r="AH132" s="260"/>
      <c r="AJ132" s="261">
        <f t="shared" si="246"/>
        <v>0</v>
      </c>
      <c r="AK132" s="261">
        <f t="shared" si="247"/>
        <v>10816.184752406965</v>
      </c>
      <c r="AL132" s="261">
        <f t="shared" si="248"/>
        <v>1201.7983058229961</v>
      </c>
      <c r="AM132" s="185">
        <f t="shared" si="249"/>
        <v>12017.983058229962</v>
      </c>
      <c r="AN132" s="261">
        <f>((+V132/($AM$98+$Y$178)*((('SCHG2-19'!$I$448*'SCHG2-19'!$K$15)+'SCHG2-19'!$I$448)*'SCHG2-19'!$M$15)))</f>
        <v>0</v>
      </c>
      <c r="AO132" s="261">
        <f>((+W132/($AM$98+$Y$178)*((('SCHG2-19'!$I$448*'SCHG2-19'!$K$15)+'SCHG2-19'!$I$448)*'SCHG2-19'!$M$15)))</f>
        <v>2462.8677262826827</v>
      </c>
      <c r="AP132" s="261">
        <f>((+X132/($AM$98+$Y$178)*((('SCHG2-19'!$I$448*'SCHG2-19'!$K$15)+'SCHG2-19'!$I$448)*'SCHG2-19'!$M$15)))</f>
        <v>273.65196958696475</v>
      </c>
      <c r="AQ132" s="185">
        <f t="shared" si="250"/>
        <v>2736.5196958696474</v>
      </c>
      <c r="AR132" s="261">
        <f>(+V132/($AM$98+$Y$178))*('SCHG2-19'!$M$448-'SCHG2-19'!$K$448-'IRR 202 Detail '!$BC$98-'IRR 202 Detail '!$AQ$178)</f>
        <v>0</v>
      </c>
      <c r="AS132" s="261">
        <f>(+W132/($AM$98+$Y$178))*('SCHG2-19'!$M$448-'SCHG2-19'!$K$448-'IRR 202 Detail '!$BC$98-'IRR 202 Detail '!$AQ$178)</f>
        <v>9504.6571299418447</v>
      </c>
      <c r="AT132" s="261">
        <f>(+X132/($AM$98+$Y$178))*('SCHG2-19'!$M$448-'SCHG2-19'!$K$448-'IRR 202 Detail '!$BC$98-'IRR 202 Detail '!$AQ$178)</f>
        <v>1056.0730144379829</v>
      </c>
      <c r="AU132" s="185">
        <f t="shared" si="251"/>
        <v>10560.730144379828</v>
      </c>
      <c r="AV132" s="183"/>
      <c r="AW132" s="90"/>
      <c r="AX132" s="192"/>
      <c r="AY132" s="192"/>
      <c r="AZ132" s="192"/>
      <c r="BA132" s="192"/>
      <c r="BB132" s="192"/>
      <c r="BC132"/>
      <c r="BD132" s="183"/>
      <c r="BE132" s="90"/>
      <c r="BF132" s="192"/>
      <c r="BG132" s="192"/>
      <c r="BH132" s="192"/>
      <c r="BI132" s="192"/>
      <c r="BJ132" s="192"/>
      <c r="BK132"/>
    </row>
    <row r="133" spans="1:63" x14ac:dyDescent="0.25">
      <c r="A133" s="88"/>
      <c r="B133" s="88"/>
      <c r="C133" t="s">
        <v>305</v>
      </c>
      <c r="D133" t="s">
        <v>304</v>
      </c>
      <c r="E133" s="162" t="s">
        <v>303</v>
      </c>
      <c r="F133" s="182" t="s">
        <v>302</v>
      </c>
      <c r="G133" s="182"/>
      <c r="H133" s="191" t="s">
        <v>183</v>
      </c>
      <c r="I133" s="190" t="s">
        <v>270</v>
      </c>
      <c r="J133" s="185">
        <v>117361.40675655376</v>
      </c>
      <c r="K133" s="189">
        <v>1</v>
      </c>
      <c r="L133" s="188">
        <v>45309</v>
      </c>
      <c r="M133" s="150">
        <v>1</v>
      </c>
      <c r="N133" s="150">
        <v>0</v>
      </c>
      <c r="O133" s="150">
        <f t="shared" si="238"/>
        <v>1</v>
      </c>
      <c r="P133" s="187"/>
      <c r="Q133" s="186">
        <f t="shared" si="239"/>
        <v>1</v>
      </c>
      <c r="R133" s="152">
        <v>7</v>
      </c>
      <c r="S133" s="150">
        <v>0.9</v>
      </c>
      <c r="T133" s="150">
        <v>0.1</v>
      </c>
      <c r="U133" s="150">
        <f t="shared" si="240"/>
        <v>1</v>
      </c>
      <c r="V133" s="147">
        <v>0</v>
      </c>
      <c r="W133" s="147">
        <f t="shared" si="241"/>
        <v>105625.26608089838</v>
      </c>
      <c r="X133" s="147">
        <f t="shared" si="242"/>
        <v>11736.140675655377</v>
      </c>
      <c r="Y133" s="185">
        <f t="shared" si="243"/>
        <v>117361.40675655376</v>
      </c>
      <c r="Z133">
        <v>870</v>
      </c>
      <c r="AA133" s="184">
        <f t="shared" si="244"/>
        <v>11736.140675655377</v>
      </c>
      <c r="AB133" s="184">
        <f t="shared" si="245"/>
        <v>11736.140675655377</v>
      </c>
      <c r="AC133" s="184">
        <f t="shared" si="245"/>
        <v>0</v>
      </c>
      <c r="AH133" s="260"/>
      <c r="AJ133" s="261">
        <f t="shared" si="246"/>
        <v>0</v>
      </c>
      <c r="AK133" s="261">
        <f t="shared" si="247"/>
        <v>8450.0212864718706</v>
      </c>
      <c r="AL133" s="261">
        <f t="shared" si="248"/>
        <v>938.89125405243021</v>
      </c>
      <c r="AM133" s="185">
        <f t="shared" si="249"/>
        <v>9388.9125405243012</v>
      </c>
      <c r="AN133" s="261">
        <f>((+V133/($AM$98+$Y$178)*((('SCHG2-19'!$I$448*'SCHG2-19'!$K$15)+'SCHG2-19'!$I$448)*'SCHG2-19'!$M$15)))</f>
        <v>0</v>
      </c>
      <c r="AO133" s="261">
        <f>((+W133/($AM$98+$Y$178)*((('SCHG2-19'!$I$448*'SCHG2-19'!$K$15)+'SCHG2-19'!$I$448)*'SCHG2-19'!$M$15)))</f>
        <v>1924.0873921113484</v>
      </c>
      <c r="AP133" s="261">
        <f>((+X133/($AM$98+$Y$178)*((('SCHG2-19'!$I$448*'SCHG2-19'!$K$15)+'SCHG2-19'!$I$448)*'SCHG2-19'!$M$15)))</f>
        <v>213.78748801237205</v>
      </c>
      <c r="AQ133" s="185">
        <f t="shared" si="250"/>
        <v>2137.8748801237207</v>
      </c>
      <c r="AR133" s="261">
        <f>(+V133/($AM$98+$Y$178))*('SCHG2-19'!$M$448-'SCHG2-19'!$K$448-'IRR 202 Detail '!$BC$98-'IRR 202 Detail '!$AQ$178)</f>
        <v>0</v>
      </c>
      <c r="AS133" s="261">
        <f>(+W133/($AM$98+$Y$178))*('SCHG2-19'!$M$448-'SCHG2-19'!$K$448-'IRR 202 Detail '!$BC$98-'IRR 202 Detail '!$AQ$178)</f>
        <v>7425.405252138703</v>
      </c>
      <c r="AT133" s="261">
        <f>(+X133/($AM$98+$Y$178))*('SCHG2-19'!$M$448-'SCHG2-19'!$K$448-'IRR 202 Detail '!$BC$98-'IRR 202 Detail '!$AQ$178)</f>
        <v>825.0450280154115</v>
      </c>
      <c r="AU133" s="185">
        <f t="shared" si="251"/>
        <v>8250.4502801541148</v>
      </c>
      <c r="AV133" s="183"/>
      <c r="AW133" s="90"/>
      <c r="AX133" s="192"/>
      <c r="AY133" s="192"/>
      <c r="AZ133" s="192"/>
      <c r="BA133" s="192"/>
      <c r="BB133" s="192"/>
      <c r="BC133"/>
      <c r="BD133" s="183"/>
      <c r="BE133" s="90"/>
      <c r="BF133" s="192"/>
      <c r="BG133" s="192"/>
      <c r="BH133" s="192"/>
      <c r="BI133" s="192"/>
      <c r="BJ133" s="192"/>
      <c r="BK133"/>
    </row>
    <row r="134" spans="1:63" ht="30" x14ac:dyDescent="0.25">
      <c r="A134" s="88"/>
      <c r="B134" s="88"/>
      <c r="C134" t="s">
        <v>305</v>
      </c>
      <c r="D134" t="s">
        <v>304</v>
      </c>
      <c r="E134" s="162" t="s">
        <v>303</v>
      </c>
      <c r="F134" s="182" t="s">
        <v>302</v>
      </c>
      <c r="G134" s="182"/>
      <c r="H134" s="191" t="s">
        <v>184</v>
      </c>
      <c r="I134" s="190" t="s">
        <v>270</v>
      </c>
      <c r="J134" s="185">
        <v>150224.78822787449</v>
      </c>
      <c r="K134" s="189">
        <v>1</v>
      </c>
      <c r="L134" s="188">
        <v>45309</v>
      </c>
      <c r="M134" s="150">
        <v>1</v>
      </c>
      <c r="N134" s="150">
        <v>0</v>
      </c>
      <c r="O134" s="150">
        <f t="shared" si="238"/>
        <v>1</v>
      </c>
      <c r="P134" s="187"/>
      <c r="Q134" s="186">
        <f t="shared" si="239"/>
        <v>1</v>
      </c>
      <c r="R134" s="152">
        <v>9</v>
      </c>
      <c r="S134" s="150">
        <v>0.9</v>
      </c>
      <c r="T134" s="150">
        <v>0.1</v>
      </c>
      <c r="U134" s="150">
        <f t="shared" si="240"/>
        <v>1</v>
      </c>
      <c r="V134" s="147">
        <v>0</v>
      </c>
      <c r="W134" s="147">
        <f t="shared" si="241"/>
        <v>135202.30940508706</v>
      </c>
      <c r="X134" s="147">
        <f t="shared" si="242"/>
        <v>15022.478822787451</v>
      </c>
      <c r="Y134" s="185">
        <f t="shared" si="243"/>
        <v>150224.78822787449</v>
      </c>
      <c r="Z134">
        <v>870</v>
      </c>
      <c r="AA134" s="184">
        <f t="shared" si="244"/>
        <v>15022.478822787451</v>
      </c>
      <c r="AB134" s="184">
        <f t="shared" si="245"/>
        <v>15022.478822787451</v>
      </c>
      <c r="AC134" s="184">
        <f t="shared" si="245"/>
        <v>0</v>
      </c>
      <c r="AH134" s="260"/>
      <c r="AJ134" s="261">
        <f t="shared" si="246"/>
        <v>0</v>
      </c>
      <c r="AK134" s="261">
        <f t="shared" si="247"/>
        <v>10816.184752406965</v>
      </c>
      <c r="AL134" s="261">
        <f t="shared" si="248"/>
        <v>1201.7983058229961</v>
      </c>
      <c r="AM134" s="185">
        <f t="shared" si="249"/>
        <v>12017.983058229962</v>
      </c>
      <c r="AN134" s="261">
        <f>((+V134/($AM$98+$Y$178)*((('SCHG2-19'!$I$448*'SCHG2-19'!$K$15)+'SCHG2-19'!$I$448)*'SCHG2-19'!$M$15)))</f>
        <v>0</v>
      </c>
      <c r="AO134" s="261">
        <f>((+W134/($AM$98+$Y$178)*((('SCHG2-19'!$I$448*'SCHG2-19'!$K$15)+'SCHG2-19'!$I$448)*'SCHG2-19'!$M$15)))</f>
        <v>2462.8677262826827</v>
      </c>
      <c r="AP134" s="261">
        <f>((+X134/($AM$98+$Y$178)*((('SCHG2-19'!$I$448*'SCHG2-19'!$K$15)+'SCHG2-19'!$I$448)*'SCHG2-19'!$M$15)))</f>
        <v>273.65196958696475</v>
      </c>
      <c r="AQ134" s="185">
        <f t="shared" si="250"/>
        <v>2736.5196958696474</v>
      </c>
      <c r="AR134" s="261">
        <f>(+V134/($AM$98+$Y$178))*('SCHG2-19'!$M$448-'SCHG2-19'!$K$448-'IRR 202 Detail '!$BC$98-'IRR 202 Detail '!$AQ$178)</f>
        <v>0</v>
      </c>
      <c r="AS134" s="261">
        <f>(+W134/($AM$98+$Y$178))*('SCHG2-19'!$M$448-'SCHG2-19'!$K$448-'IRR 202 Detail '!$BC$98-'IRR 202 Detail '!$AQ$178)</f>
        <v>9504.6571299418447</v>
      </c>
      <c r="AT134" s="261">
        <f>(+X134/($AM$98+$Y$178))*('SCHG2-19'!$M$448-'SCHG2-19'!$K$448-'IRR 202 Detail '!$BC$98-'IRR 202 Detail '!$AQ$178)</f>
        <v>1056.0730144379829</v>
      </c>
      <c r="AU134" s="185">
        <f t="shared" si="251"/>
        <v>10560.730144379828</v>
      </c>
      <c r="AV134" s="183"/>
      <c r="AW134" s="90"/>
      <c r="AX134" s="192"/>
      <c r="AY134" s="192"/>
      <c r="AZ134" s="192"/>
      <c r="BA134" s="192"/>
      <c r="BB134" s="192"/>
      <c r="BC134"/>
      <c r="BD134" s="183"/>
      <c r="BE134" s="90"/>
      <c r="BF134" s="192"/>
      <c r="BG134" s="192"/>
      <c r="BH134" s="192"/>
      <c r="BI134" s="192"/>
      <c r="BJ134" s="192"/>
      <c r="BK134"/>
    </row>
    <row r="135" spans="1:63" x14ac:dyDescent="0.25">
      <c r="A135" s="88"/>
      <c r="B135" s="88"/>
      <c r="C135" t="s">
        <v>305</v>
      </c>
      <c r="D135" t="s">
        <v>304</v>
      </c>
      <c r="E135" s="162" t="s">
        <v>303</v>
      </c>
      <c r="F135" s="182" t="s">
        <v>302</v>
      </c>
      <c r="G135" s="182"/>
      <c r="H135" s="191" t="s">
        <v>185</v>
      </c>
      <c r="I135" s="190" t="s">
        <v>270</v>
      </c>
      <c r="J135" s="185">
        <v>234722.81351310751</v>
      </c>
      <c r="K135" s="189">
        <v>2</v>
      </c>
      <c r="L135" s="188">
        <v>45309</v>
      </c>
      <c r="M135" s="150">
        <v>1</v>
      </c>
      <c r="N135" s="150">
        <v>0</v>
      </c>
      <c r="O135" s="150">
        <f t="shared" si="238"/>
        <v>1</v>
      </c>
      <c r="P135" s="187"/>
      <c r="Q135" s="186">
        <f t="shared" si="239"/>
        <v>1</v>
      </c>
      <c r="R135" s="152">
        <v>7</v>
      </c>
      <c r="S135" s="150">
        <v>0.9</v>
      </c>
      <c r="T135" s="150">
        <v>0.1</v>
      </c>
      <c r="U135" s="150">
        <f t="shared" si="240"/>
        <v>1</v>
      </c>
      <c r="V135" s="147">
        <v>0</v>
      </c>
      <c r="W135" s="147">
        <f t="shared" si="241"/>
        <v>211250.53216179676</v>
      </c>
      <c r="X135" s="147">
        <f t="shared" si="242"/>
        <v>23472.281351310754</v>
      </c>
      <c r="Y135" s="185">
        <f t="shared" si="243"/>
        <v>234722.81351310751</v>
      </c>
      <c r="Z135">
        <v>870</v>
      </c>
      <c r="AA135" s="184">
        <f t="shared" si="244"/>
        <v>23472.281351310754</v>
      </c>
      <c r="AB135" s="184">
        <f t="shared" si="245"/>
        <v>23472.281351310754</v>
      </c>
      <c r="AC135" s="184">
        <f t="shared" si="245"/>
        <v>0</v>
      </c>
      <c r="AH135" s="260"/>
      <c r="AJ135" s="261">
        <f t="shared" si="246"/>
        <v>0</v>
      </c>
      <c r="AK135" s="261">
        <f t="shared" si="247"/>
        <v>16900.042572943741</v>
      </c>
      <c r="AL135" s="261">
        <f t="shared" si="248"/>
        <v>1877.7825081048604</v>
      </c>
      <c r="AM135" s="185">
        <f t="shared" si="249"/>
        <v>18777.825081048602</v>
      </c>
      <c r="AN135" s="261">
        <f>((+V135/($AM$98+$Y$178)*((('SCHG2-19'!$I$448*'SCHG2-19'!$K$15)+'SCHG2-19'!$I$448)*'SCHG2-19'!$M$15)))</f>
        <v>0</v>
      </c>
      <c r="AO135" s="261">
        <f>((+W135/($AM$98+$Y$178)*((('SCHG2-19'!$I$448*'SCHG2-19'!$K$15)+'SCHG2-19'!$I$448)*'SCHG2-19'!$M$15)))</f>
        <v>3848.1747842226969</v>
      </c>
      <c r="AP135" s="261">
        <f>((+X135/($AM$98+$Y$178)*((('SCHG2-19'!$I$448*'SCHG2-19'!$K$15)+'SCHG2-19'!$I$448)*'SCHG2-19'!$M$15)))</f>
        <v>427.5749760247441</v>
      </c>
      <c r="AQ135" s="185">
        <f t="shared" si="250"/>
        <v>4275.7497602474414</v>
      </c>
      <c r="AR135" s="261">
        <f>(+V135/($AM$98+$Y$178))*('SCHG2-19'!$M$448-'SCHG2-19'!$K$448-'IRR 202 Detail '!$BC$98-'IRR 202 Detail '!$AQ$178)</f>
        <v>0</v>
      </c>
      <c r="AS135" s="261">
        <f>(+W135/($AM$98+$Y$178))*('SCHG2-19'!$M$448-'SCHG2-19'!$K$448-'IRR 202 Detail '!$BC$98-'IRR 202 Detail '!$AQ$178)</f>
        <v>14850.810504277406</v>
      </c>
      <c r="AT135" s="261">
        <f>(+X135/($AM$98+$Y$178))*('SCHG2-19'!$M$448-'SCHG2-19'!$K$448-'IRR 202 Detail '!$BC$98-'IRR 202 Detail '!$AQ$178)</f>
        <v>1650.090056030823</v>
      </c>
      <c r="AU135" s="185">
        <f t="shared" si="251"/>
        <v>16500.90056030823</v>
      </c>
      <c r="AV135" s="183"/>
      <c r="AW135" s="90"/>
      <c r="AX135" s="192"/>
      <c r="AY135" s="192"/>
      <c r="AZ135" s="192"/>
      <c r="BA135" s="192"/>
      <c r="BB135" s="192"/>
      <c r="BC135"/>
      <c r="BD135" s="183"/>
      <c r="BE135" s="90"/>
      <c r="BF135" s="192"/>
      <c r="BG135" s="192"/>
      <c r="BH135" s="192"/>
      <c r="BI135" s="192"/>
      <c r="BJ135" s="192"/>
      <c r="BK135"/>
    </row>
    <row r="136" spans="1:63" x14ac:dyDescent="0.25">
      <c r="C136" t="s">
        <v>301</v>
      </c>
      <c r="E136" s="162"/>
      <c r="F136" s="182"/>
      <c r="G136" s="182"/>
      <c r="H136" s="191" t="s">
        <v>224</v>
      </c>
      <c r="I136" s="190" t="s">
        <v>270</v>
      </c>
      <c r="J136" s="185">
        <v>97580.565847941762</v>
      </c>
      <c r="K136" s="189">
        <v>1</v>
      </c>
      <c r="L136" s="188">
        <v>45309</v>
      </c>
      <c r="M136" s="150">
        <v>1</v>
      </c>
      <c r="N136" s="150">
        <v>0</v>
      </c>
      <c r="O136" s="150">
        <f t="shared" si="238"/>
        <v>1</v>
      </c>
      <c r="P136" s="187"/>
      <c r="Q136" s="186">
        <f t="shared" si="239"/>
        <v>1</v>
      </c>
      <c r="R136" s="152">
        <v>6</v>
      </c>
      <c r="S136" s="150">
        <v>0.24</v>
      </c>
      <c r="T136" s="150">
        <v>0.76</v>
      </c>
      <c r="U136" s="150">
        <f t="shared" si="240"/>
        <v>1</v>
      </c>
      <c r="V136" s="147">
        <v>0</v>
      </c>
      <c r="W136" s="147">
        <f t="shared" si="241"/>
        <v>23419.335803506023</v>
      </c>
      <c r="X136" s="147">
        <f t="shared" si="242"/>
        <v>74161.230044435739</v>
      </c>
      <c r="Y136" s="185">
        <f t="shared" si="243"/>
        <v>97580.565847941762</v>
      </c>
      <c r="Z136">
        <v>880</v>
      </c>
      <c r="AA136" s="184">
        <f t="shared" si="244"/>
        <v>74161.230044435739</v>
      </c>
      <c r="AB136" s="184">
        <f t="shared" si="245"/>
        <v>74161.230044435739</v>
      </c>
      <c r="AC136" s="184">
        <f t="shared" si="245"/>
        <v>0</v>
      </c>
      <c r="AH136" s="156"/>
      <c r="AJ136" s="261">
        <f t="shared" si="246"/>
        <v>0</v>
      </c>
      <c r="AK136" s="261">
        <f t="shared" si="247"/>
        <v>1873.5468642804819</v>
      </c>
      <c r="AL136" s="261">
        <f t="shared" si="248"/>
        <v>5932.8984035548592</v>
      </c>
      <c r="AM136" s="185">
        <f t="shared" si="249"/>
        <v>7806.4452678353409</v>
      </c>
      <c r="AN136" s="261">
        <f>((+V136/($AM$98+$Y$178)*((('SCHG2-19'!$I$448*'SCHG2-19'!$K$15)+'SCHG2-19'!$I$448)*'SCHG2-19'!$M$15)))</f>
        <v>0</v>
      </c>
      <c r="AO136" s="261">
        <f>((+W136/($AM$98+$Y$178)*((('SCHG2-19'!$I$448*'SCHG2-19'!$K$15)+'SCHG2-19'!$I$448)*'SCHG2-19'!$M$15)))</f>
        <v>426.6105111312641</v>
      </c>
      <c r="AP136" s="261">
        <f>((+X136/($AM$98+$Y$178)*((('SCHG2-19'!$I$448*'SCHG2-19'!$K$15)+'SCHG2-19'!$I$448)*'SCHG2-19'!$M$15)))</f>
        <v>1350.9332852490029</v>
      </c>
      <c r="AQ136" s="185">
        <f t="shared" si="250"/>
        <v>1777.5437963802669</v>
      </c>
      <c r="AR136" s="261">
        <f>(+V136/($AM$98+$Y$178))*('SCHG2-19'!$M$448-'SCHG2-19'!$K$448-'IRR 202 Detail '!$BC$98-'IRR 202 Detail '!$AQ$178)</f>
        <v>0</v>
      </c>
      <c r="AS136" s="261">
        <f>(+W136/($AM$98+$Y$178))*('SCHG2-19'!$M$448-'SCHG2-19'!$K$448-'IRR 202 Detail '!$BC$98-'IRR 202 Detail '!$AQ$178)</f>
        <v>1646.3680095609425</v>
      </c>
      <c r="AT136" s="261">
        <f>(+X136/($AM$98+$Y$178))*('SCHG2-19'!$M$448-'SCHG2-19'!$K$448-'IRR 202 Detail '!$BC$98-'IRR 202 Detail '!$AQ$178)</f>
        <v>5213.4986969429847</v>
      </c>
      <c r="AU136" s="185">
        <f t="shared" si="251"/>
        <v>6859.8667065039272</v>
      </c>
      <c r="AV136" s="156"/>
      <c r="AW136" s="156"/>
      <c r="AX136" s="156"/>
      <c r="AY136" s="156"/>
      <c r="AZ136" s="156"/>
      <c r="BA136" s="156"/>
      <c r="BB136" s="156"/>
      <c r="BC136"/>
      <c r="BD136" s="156"/>
      <c r="BE136" s="156"/>
      <c r="BF136" s="156"/>
      <c r="BG136" s="156"/>
      <c r="BH136" s="156"/>
      <c r="BI136" s="156"/>
      <c r="BJ136" s="156"/>
      <c r="BK136"/>
    </row>
    <row r="137" spans="1:63" x14ac:dyDescent="0.25">
      <c r="F137" s="182"/>
      <c r="G137" s="182"/>
      <c r="H137" s="191" t="s">
        <v>225</v>
      </c>
      <c r="I137" s="190" t="s">
        <v>270</v>
      </c>
      <c r="J137" s="185">
        <v>81760.597151672264</v>
      </c>
      <c r="K137" s="189">
        <v>1</v>
      </c>
      <c r="L137" s="188">
        <v>45309</v>
      </c>
      <c r="M137" s="150">
        <v>1</v>
      </c>
      <c r="N137" s="150">
        <v>0</v>
      </c>
      <c r="O137" s="150">
        <f t="shared" si="238"/>
        <v>1</v>
      </c>
      <c r="P137" s="187"/>
      <c r="Q137" s="186">
        <f t="shared" si="239"/>
        <v>1</v>
      </c>
      <c r="R137" s="152">
        <v>5</v>
      </c>
      <c r="S137" s="150">
        <v>0.24</v>
      </c>
      <c r="T137" s="150">
        <v>0.76</v>
      </c>
      <c r="U137" s="150">
        <f t="shared" si="240"/>
        <v>1</v>
      </c>
      <c r="V137" s="147">
        <v>0</v>
      </c>
      <c r="W137" s="147">
        <f t="shared" si="241"/>
        <v>19622.543316401341</v>
      </c>
      <c r="X137" s="147">
        <f t="shared" si="242"/>
        <v>62138.053835270919</v>
      </c>
      <c r="Y137" s="185">
        <f t="shared" si="243"/>
        <v>81760.597151672264</v>
      </c>
      <c r="Z137">
        <v>880</v>
      </c>
      <c r="AA137" s="184">
        <f t="shared" si="244"/>
        <v>62138.053835270919</v>
      </c>
      <c r="AB137" s="184">
        <f t="shared" si="245"/>
        <v>62138.053835270919</v>
      </c>
      <c r="AC137" s="184">
        <f t="shared" si="245"/>
        <v>0</v>
      </c>
      <c r="AJ137" s="261">
        <f t="shared" si="246"/>
        <v>0</v>
      </c>
      <c r="AK137" s="261">
        <f t="shared" si="247"/>
        <v>1569.8034653121074</v>
      </c>
      <c r="AL137" s="261">
        <f t="shared" si="248"/>
        <v>4971.0443068216737</v>
      </c>
      <c r="AM137" s="185">
        <f t="shared" si="249"/>
        <v>6540.8477721337813</v>
      </c>
      <c r="AN137" s="261">
        <f>((+V137/($AM$98+$Y$178)*((('SCHG2-19'!$I$448*'SCHG2-19'!$K$15)+'SCHG2-19'!$I$448)*'SCHG2-19'!$M$15)))</f>
        <v>0</v>
      </c>
      <c r="AO137" s="261">
        <f>((+W137/($AM$98+$Y$178)*((('SCHG2-19'!$I$448*'SCHG2-19'!$K$15)+'SCHG2-19'!$I$448)*'SCHG2-19'!$M$15)))</f>
        <v>357.4475085092775</v>
      </c>
      <c r="AP137" s="261">
        <f>((+X137/($AM$98+$Y$178)*((('SCHG2-19'!$I$448*'SCHG2-19'!$K$15)+'SCHG2-19'!$I$448)*'SCHG2-19'!$M$15)))</f>
        <v>1131.9171102793789</v>
      </c>
      <c r="AQ137" s="185">
        <f t="shared" si="250"/>
        <v>1489.3646187886563</v>
      </c>
      <c r="AR137" s="261">
        <f>(+V137/($AM$98+$Y$178))*('SCHG2-19'!$M$448-'SCHG2-19'!$K$448-'IRR 202 Detail '!$BC$98-'IRR 202 Detail '!$AQ$178)</f>
        <v>0</v>
      </c>
      <c r="AS137" s="261">
        <f>(+W137/($AM$98+$Y$178))*('SCHG2-19'!$M$448-'SCHG2-19'!$K$448-'IRR 202 Detail '!$BC$98-'IRR 202 Detail '!$AQ$178)</f>
        <v>1379.4553292801177</v>
      </c>
      <c r="AT137" s="261">
        <f>(+X137/($AM$98+$Y$178))*('SCHG2-19'!$M$448-'SCHG2-19'!$K$448-'IRR 202 Detail '!$BC$98-'IRR 202 Detail '!$AQ$178)</f>
        <v>4368.2752093870395</v>
      </c>
      <c r="AU137" s="185">
        <f t="shared" si="251"/>
        <v>5747.7305386671569</v>
      </c>
      <c r="AV137" s="183"/>
      <c r="AW137" s="90"/>
      <c r="AX137" s="183"/>
      <c r="AY137" s="154"/>
      <c r="AZ137" s="154"/>
      <c r="BA137" s="154"/>
      <c r="BB137" s="183"/>
      <c r="BC137"/>
      <c r="BD137" s="183"/>
      <c r="BE137" s="90"/>
      <c r="BF137" s="183"/>
      <c r="BG137" s="154"/>
      <c r="BH137" s="154"/>
      <c r="BI137" s="154"/>
      <c r="BJ137" s="183"/>
      <c r="BK137"/>
    </row>
    <row r="138" spans="1:63" x14ac:dyDescent="0.25">
      <c r="C138" t="s">
        <v>300</v>
      </c>
      <c r="D138" t="s">
        <v>300</v>
      </c>
      <c r="E138" s="162" t="s">
        <v>299</v>
      </c>
      <c r="F138" s="182" t="s">
        <v>298</v>
      </c>
      <c r="G138" s="182"/>
      <c r="H138" s="251" t="s">
        <v>368</v>
      </c>
      <c r="I138" s="250"/>
      <c r="J138" s="246">
        <f>SUM(J131:J137)</f>
        <v>949236.36648157798</v>
      </c>
      <c r="K138" s="249">
        <f>SUM(K131:K137)</f>
        <v>8</v>
      </c>
      <c r="L138" s="248"/>
      <c r="M138" s="248"/>
      <c r="N138" s="248"/>
      <c r="O138" s="248"/>
      <c r="P138" s="248"/>
      <c r="Q138" s="248"/>
      <c r="R138" s="248"/>
      <c r="S138" s="247"/>
      <c r="T138" s="247"/>
      <c r="U138" s="247"/>
      <c r="V138" s="246">
        <f>SUM(V131:V137)</f>
        <v>0</v>
      </c>
      <c r="W138" s="246">
        <f>SUM(W131:W137)</f>
        <v>735947.56225367496</v>
      </c>
      <c r="X138" s="246">
        <f>SUM(X131:X137)</f>
        <v>213288.80422790308</v>
      </c>
      <c r="Y138" s="246">
        <f>SUM(Y131:Y137)</f>
        <v>949236.36648157798</v>
      </c>
      <c r="AA138" s="246">
        <f>SUM(AA131:AA137)</f>
        <v>213288.80422790308</v>
      </c>
      <c r="AB138" s="246">
        <f>SUM(AB131:AB137)</f>
        <v>213288.80422790308</v>
      </c>
      <c r="AC138" s="246">
        <f>SUM(AC131:AC137)</f>
        <v>0</v>
      </c>
      <c r="AH138" s="260"/>
      <c r="AJ138" s="246">
        <f t="shared" ref="AJ138:AU138" si="252">SUM(AJ131:AJ137)</f>
        <v>0</v>
      </c>
      <c r="AK138" s="246">
        <f t="shared" si="252"/>
        <v>58875.804980294008</v>
      </c>
      <c r="AL138" s="246">
        <f t="shared" si="252"/>
        <v>17063.104338232246</v>
      </c>
      <c r="AM138" s="246">
        <f t="shared" si="252"/>
        <v>75938.909318526261</v>
      </c>
      <c r="AN138" s="246">
        <f t="shared" si="252"/>
        <v>0</v>
      </c>
      <c r="AO138" s="246">
        <f t="shared" si="252"/>
        <v>13406.143040651303</v>
      </c>
      <c r="AP138" s="246">
        <f t="shared" si="252"/>
        <v>3885.3042867517997</v>
      </c>
      <c r="AQ138" s="246">
        <f t="shared" si="252"/>
        <v>17291.447327403101</v>
      </c>
      <c r="AR138" s="246">
        <f t="shared" si="252"/>
        <v>0</v>
      </c>
      <c r="AS138" s="246">
        <f t="shared" si="252"/>
        <v>51736.758607279568</v>
      </c>
      <c r="AT138" s="246">
        <f t="shared" si="252"/>
        <v>14994.100047267635</v>
      </c>
      <c r="AU138" s="246">
        <f t="shared" si="252"/>
        <v>66730.858654547206</v>
      </c>
      <c r="AV138" s="183"/>
      <c r="AW138" s="90"/>
      <c r="AX138" s="192"/>
      <c r="AY138" s="192"/>
      <c r="AZ138" s="192"/>
      <c r="BA138" s="192"/>
      <c r="BB138" s="192"/>
      <c r="BC138"/>
      <c r="BD138" s="183"/>
      <c r="BE138" s="90"/>
      <c r="BF138" s="192"/>
      <c r="BG138" s="192"/>
      <c r="BH138" s="192"/>
      <c r="BI138" s="192"/>
      <c r="BJ138" s="192"/>
      <c r="BK138"/>
    </row>
    <row r="139" spans="1:63" x14ac:dyDescent="0.25">
      <c r="C139" t="s">
        <v>300</v>
      </c>
      <c r="D139" t="s">
        <v>300</v>
      </c>
      <c r="E139" s="162" t="s">
        <v>299</v>
      </c>
      <c r="F139" s="182" t="s">
        <v>298</v>
      </c>
      <c r="G139" s="143"/>
      <c r="H139" s="143"/>
      <c r="I139" s="236"/>
      <c r="J139" s="235"/>
      <c r="K139" s="154"/>
      <c r="L139" s="153"/>
      <c r="Q139" s="186"/>
      <c r="R139" s="152"/>
      <c r="S139" s="150"/>
      <c r="T139" s="150"/>
      <c r="U139" s="150"/>
      <c r="V139" s="147"/>
      <c r="W139" s="147"/>
      <c r="X139" s="147"/>
      <c r="Y139" s="235"/>
      <c r="AH139" s="260"/>
      <c r="AJ139" s="147"/>
      <c r="AK139" s="147"/>
      <c r="AL139" s="147"/>
      <c r="AM139" s="235"/>
      <c r="AN139" s="147"/>
      <c r="AO139" s="147"/>
      <c r="AP139" s="147"/>
      <c r="AQ139" s="235"/>
      <c r="AR139" s="147"/>
      <c r="AS139" s="147"/>
      <c r="AT139" s="147"/>
      <c r="AU139" s="235"/>
      <c r="AV139" s="183"/>
      <c r="AW139" s="90"/>
      <c r="AX139" s="192"/>
      <c r="AY139" s="192"/>
      <c r="AZ139" s="192"/>
      <c r="BA139" s="192"/>
      <c r="BB139" s="192"/>
      <c r="BC139"/>
      <c r="BD139" s="183"/>
      <c r="BE139" s="90"/>
      <c r="BF139" s="192"/>
      <c r="BG139" s="192"/>
      <c r="BH139" s="192"/>
      <c r="BI139" s="192"/>
      <c r="BJ139" s="192"/>
      <c r="BK139"/>
    </row>
    <row r="140" spans="1:63" x14ac:dyDescent="0.25">
      <c r="C140" t="s">
        <v>300</v>
      </c>
      <c r="D140" t="s">
        <v>300</v>
      </c>
      <c r="E140" s="162" t="s">
        <v>299</v>
      </c>
      <c r="F140" s="182" t="s">
        <v>298</v>
      </c>
      <c r="G140" s="182"/>
      <c r="H140" s="191" t="s">
        <v>250</v>
      </c>
      <c r="I140" s="190" t="s">
        <v>270</v>
      </c>
      <c r="J140" s="185">
        <v>134064.66757168801</v>
      </c>
      <c r="K140" s="244">
        <v>1</v>
      </c>
      <c r="L140" s="188">
        <v>45292</v>
      </c>
      <c r="M140" s="243">
        <v>0.75</v>
      </c>
      <c r="N140" s="243">
        <v>0.25</v>
      </c>
      <c r="O140" s="150">
        <f>M140+N140</f>
        <v>1</v>
      </c>
      <c r="P140" s="245" t="s">
        <v>297</v>
      </c>
      <c r="Q140" s="186">
        <f>((13-MONTH(L140)-$AI$5))/12</f>
        <v>1</v>
      </c>
      <c r="R140" s="244">
        <v>8</v>
      </c>
      <c r="S140" s="243">
        <v>0.75</v>
      </c>
      <c r="T140" s="243">
        <v>0.25</v>
      </c>
      <c r="U140" s="150">
        <f>+S140+T140</f>
        <v>1</v>
      </c>
      <c r="V140" s="147">
        <f>J140*N140*Q140</f>
        <v>33516.166892922003</v>
      </c>
      <c r="W140" s="147">
        <f>J140*M140*Q140*S140</f>
        <v>75411.375509074511</v>
      </c>
      <c r="X140" s="147">
        <f>J140*M140*Q140*T140</f>
        <v>25137.125169691502</v>
      </c>
      <c r="Y140" s="185">
        <f>V140+W140+X140</f>
        <v>134064.66757168801</v>
      </c>
      <c r="Z140">
        <v>920</v>
      </c>
      <c r="AA140" s="184">
        <f>+J140*M140*T140</f>
        <v>25137.125169691502</v>
      </c>
      <c r="AB140" s="184">
        <f t="shared" ref="AB140:AC144" si="253">+J140*M140*T140</f>
        <v>25137.125169691502</v>
      </c>
      <c r="AC140" s="184">
        <f t="shared" si="253"/>
        <v>0.25</v>
      </c>
      <c r="AH140" s="260"/>
      <c r="AJ140" s="261">
        <f t="shared" ref="AJ140:AJ144" si="254">+V140*0.08</f>
        <v>2681.2933514337601</v>
      </c>
      <c r="AK140" s="261">
        <f t="shared" ref="AK140:AK144" si="255">+W140*0.08</f>
        <v>6032.9100407259612</v>
      </c>
      <c r="AL140" s="261">
        <f t="shared" ref="AL140:AL144" si="256">+X140*0.08</f>
        <v>2010.9700135753203</v>
      </c>
      <c r="AM140" s="185">
        <f t="shared" ref="AM140:AM144" si="257">AJ140+AK140+AL140</f>
        <v>10725.173405735042</v>
      </c>
      <c r="AN140" s="261">
        <f>((+V140/($AM$98+$Y$178)*((('SCHG2-19'!$I$448*'SCHG2-19'!$K$15)+'SCHG2-19'!$I$448)*'SCHG2-19'!$M$15)))</f>
        <v>610.53606341857289</v>
      </c>
      <c r="AO140" s="261">
        <f>((+W140/($AM$98+$Y$178)*((('SCHG2-19'!$I$448*'SCHG2-19'!$K$15)+'SCHG2-19'!$I$448)*'SCHG2-19'!$M$15)))</f>
        <v>1373.706142691789</v>
      </c>
      <c r="AP140" s="261">
        <f>((+X140/($AM$98+$Y$178)*((('SCHG2-19'!$I$448*'SCHG2-19'!$K$15)+'SCHG2-19'!$I$448)*'SCHG2-19'!$M$15)))</f>
        <v>457.90204756392973</v>
      </c>
      <c r="AQ140" s="185">
        <f t="shared" ref="AQ140:AQ144" si="258">AN140+AO140+AP140</f>
        <v>2442.1442536742916</v>
      </c>
      <c r="AR140" s="261">
        <f>(+V140/($AM$98+$Y$178))*('SCHG2-19'!$M$448-'SCHG2-19'!$K$448-'IRR 202 Detail '!$BC$98-'IRR 202 Detail '!$AQ$178)</f>
        <v>2356.1703644623249</v>
      </c>
      <c r="AS140" s="261">
        <f>(+W140/($AM$98+$Y$178))*('SCHG2-19'!$M$448-'SCHG2-19'!$K$448-'IRR 202 Detail '!$BC$98-'IRR 202 Detail '!$AQ$178)</f>
        <v>5301.3833200402305</v>
      </c>
      <c r="AT140" s="261">
        <f>(+X140/($AM$98+$Y$178))*('SCHG2-19'!$M$448-'SCHG2-19'!$K$448-'IRR 202 Detail '!$BC$98-'IRR 202 Detail '!$AQ$178)</f>
        <v>1767.1277733467437</v>
      </c>
      <c r="AU140" s="185">
        <f t="shared" ref="AU140:AU144" si="259">AR140+AS140+AT140</f>
        <v>9424.6814578492995</v>
      </c>
      <c r="AV140" s="183"/>
      <c r="AW140" s="90"/>
      <c r="AX140" s="192"/>
      <c r="AY140" s="192"/>
      <c r="AZ140" s="192"/>
      <c r="BA140" s="192"/>
      <c r="BB140" s="192"/>
      <c r="BC140"/>
      <c r="BD140" s="183"/>
      <c r="BE140" s="90"/>
      <c r="BF140" s="192"/>
      <c r="BG140" s="192"/>
      <c r="BH140" s="192"/>
      <c r="BI140" s="192"/>
      <c r="BJ140" s="192"/>
      <c r="BK140"/>
    </row>
    <row r="141" spans="1:63" x14ac:dyDescent="0.25">
      <c r="C141" t="s">
        <v>300</v>
      </c>
      <c r="D141" t="s">
        <v>300</v>
      </c>
      <c r="E141" s="162" t="s">
        <v>299</v>
      </c>
      <c r="F141" s="182" t="s">
        <v>298</v>
      </c>
      <c r="G141" s="182"/>
      <c r="H141" s="191" t="s">
        <v>251</v>
      </c>
      <c r="I141" s="190" t="s">
        <v>270</v>
      </c>
      <c r="J141" s="185">
        <v>97580.565847941762</v>
      </c>
      <c r="K141" s="244">
        <v>1</v>
      </c>
      <c r="L141" s="188">
        <v>45292</v>
      </c>
      <c r="M141" s="243">
        <v>0.75</v>
      </c>
      <c r="N141" s="243">
        <v>0.25</v>
      </c>
      <c r="O141" s="150">
        <f>M141+N141</f>
        <v>1</v>
      </c>
      <c r="P141" s="245" t="s">
        <v>297</v>
      </c>
      <c r="Q141" s="186">
        <f>((13-MONTH(L141)-$AI$5))/12</f>
        <v>1</v>
      </c>
      <c r="R141" s="244">
        <v>6</v>
      </c>
      <c r="S141" s="243">
        <v>0.75</v>
      </c>
      <c r="T141" s="243">
        <v>0.25</v>
      </c>
      <c r="U141" s="150">
        <f>+S141+T141</f>
        <v>1</v>
      </c>
      <c r="V141" s="147">
        <f>J141*N141*Q141</f>
        <v>24395.14146198544</v>
      </c>
      <c r="W141" s="147">
        <f>J141*M141*Q141*S141</f>
        <v>54889.068289467235</v>
      </c>
      <c r="X141" s="147">
        <f>J141*M141*Q141*T141</f>
        <v>18296.356096489078</v>
      </c>
      <c r="Y141" s="185">
        <f>V141+W141+X141</f>
        <v>97580.565847941747</v>
      </c>
      <c r="Z141">
        <v>920</v>
      </c>
      <c r="AA141" s="184">
        <f>+J141*M141*T141</f>
        <v>18296.356096489078</v>
      </c>
      <c r="AB141" s="184">
        <f t="shared" si="253"/>
        <v>18296.356096489078</v>
      </c>
      <c r="AC141" s="184">
        <f t="shared" si="253"/>
        <v>0.25</v>
      </c>
      <c r="AH141" s="260"/>
      <c r="AJ141" s="261">
        <f t="shared" si="254"/>
        <v>1951.6113169588352</v>
      </c>
      <c r="AK141" s="261">
        <f t="shared" si="255"/>
        <v>4391.1254631573793</v>
      </c>
      <c r="AL141" s="261">
        <f t="shared" si="256"/>
        <v>1463.7084877191262</v>
      </c>
      <c r="AM141" s="185">
        <f t="shared" si="257"/>
        <v>7806.4452678353409</v>
      </c>
      <c r="AN141" s="261">
        <f>((+V141/($AM$98+$Y$178)*((('SCHG2-19'!$I$448*'SCHG2-19'!$K$15)+'SCHG2-19'!$I$448)*'SCHG2-19'!$M$15)))</f>
        <v>444.38594909506674</v>
      </c>
      <c r="AO141" s="261">
        <f>((+W141/($AM$98+$Y$178)*((('SCHG2-19'!$I$448*'SCHG2-19'!$K$15)+'SCHG2-19'!$I$448)*'SCHG2-19'!$M$15)))</f>
        <v>999.86838546390004</v>
      </c>
      <c r="AP141" s="261">
        <f>((+X141/($AM$98+$Y$178)*((('SCHG2-19'!$I$448*'SCHG2-19'!$K$15)+'SCHG2-19'!$I$448)*'SCHG2-19'!$M$15)))</f>
        <v>333.28946182130005</v>
      </c>
      <c r="AQ141" s="185">
        <f t="shared" si="258"/>
        <v>1777.5437963802669</v>
      </c>
      <c r="AR141" s="261">
        <f>(+V141/($AM$98+$Y$178))*('SCHG2-19'!$M$448-'SCHG2-19'!$K$448-'IRR 202 Detail '!$BC$98-'IRR 202 Detail '!$AQ$178)</f>
        <v>1714.9666766259816</v>
      </c>
      <c r="AS141" s="261">
        <f>(+W141/($AM$98+$Y$178))*('SCHG2-19'!$M$448-'SCHG2-19'!$K$448-'IRR 202 Detail '!$BC$98-'IRR 202 Detail '!$AQ$178)</f>
        <v>3858.6750224084581</v>
      </c>
      <c r="AT141" s="261">
        <f>(+X141/($AM$98+$Y$178))*('SCHG2-19'!$M$448-'SCHG2-19'!$K$448-'IRR 202 Detail '!$BC$98-'IRR 202 Detail '!$AQ$178)</f>
        <v>1286.2250074694862</v>
      </c>
      <c r="AU141" s="185">
        <f t="shared" si="259"/>
        <v>6859.8667065039263</v>
      </c>
      <c r="AV141" s="183"/>
      <c r="AW141" s="90"/>
      <c r="AX141" s="192"/>
      <c r="AY141" s="192"/>
      <c r="AZ141" s="192"/>
      <c r="BA141" s="192"/>
      <c r="BB141" s="192"/>
      <c r="BC141"/>
      <c r="BD141" s="183"/>
      <c r="BE141" s="90"/>
      <c r="BF141" s="192"/>
      <c r="BG141" s="192"/>
      <c r="BH141" s="192"/>
      <c r="BI141" s="192"/>
      <c r="BJ141" s="192"/>
      <c r="BK141"/>
    </row>
    <row r="142" spans="1:63" ht="30" x14ac:dyDescent="0.25">
      <c r="C142" t="s">
        <v>300</v>
      </c>
      <c r="D142" t="s">
        <v>300</v>
      </c>
      <c r="E142" s="162" t="s">
        <v>299</v>
      </c>
      <c r="F142" s="182" t="s">
        <v>298</v>
      </c>
      <c r="G142" s="182"/>
      <c r="H142" s="191" t="s">
        <v>395</v>
      </c>
      <c r="I142" s="190" t="s">
        <v>270</v>
      </c>
      <c r="J142" s="185">
        <v>150224.78822787449</v>
      </c>
      <c r="K142" s="189">
        <v>1</v>
      </c>
      <c r="L142" s="188">
        <v>45292</v>
      </c>
      <c r="M142" s="243">
        <v>0.5</v>
      </c>
      <c r="N142" s="243">
        <v>0.5</v>
      </c>
      <c r="O142" s="150">
        <f>M142+N142</f>
        <v>1</v>
      </c>
      <c r="P142" s="245" t="s">
        <v>297</v>
      </c>
      <c r="Q142" s="186">
        <f>((13-MONTH(L142)-$AI$5))/12</f>
        <v>1</v>
      </c>
      <c r="R142" s="244">
        <v>9</v>
      </c>
      <c r="S142" s="243">
        <v>0.5</v>
      </c>
      <c r="T142" s="243">
        <v>0.5</v>
      </c>
      <c r="U142" s="150">
        <f>+S142+T142</f>
        <v>1</v>
      </c>
      <c r="V142" s="147">
        <f>J142*N142*Q142</f>
        <v>75112.394113937247</v>
      </c>
      <c r="W142" s="147">
        <f>J142*M142*Q142*S142</f>
        <v>37556.197056968624</v>
      </c>
      <c r="X142" s="147">
        <f>J142*M142*Q142*T142</f>
        <v>37556.197056968624</v>
      </c>
      <c r="Y142" s="185">
        <f>V142+W142+X142</f>
        <v>150224.78822787449</v>
      </c>
      <c r="Z142">
        <v>920</v>
      </c>
      <c r="AA142" s="184">
        <f>+J142*M142*T142</f>
        <v>37556.197056968624</v>
      </c>
      <c r="AB142" s="184">
        <f t="shared" si="253"/>
        <v>37556.197056968624</v>
      </c>
      <c r="AC142" s="184">
        <f t="shared" si="253"/>
        <v>0.5</v>
      </c>
      <c r="AH142" s="260"/>
      <c r="AJ142" s="261">
        <f t="shared" si="254"/>
        <v>6008.99152911498</v>
      </c>
      <c r="AK142" s="261">
        <f t="shared" si="255"/>
        <v>3004.49576455749</v>
      </c>
      <c r="AL142" s="261">
        <f t="shared" si="256"/>
        <v>3004.49576455749</v>
      </c>
      <c r="AM142" s="185">
        <f t="shared" si="257"/>
        <v>12017.98305822996</v>
      </c>
      <c r="AN142" s="261">
        <f>((+V142/($AM$98+$Y$178)*((('SCHG2-19'!$I$448*'SCHG2-19'!$K$15)+'SCHG2-19'!$I$448)*'SCHG2-19'!$M$15)))</f>
        <v>1368.2598479348237</v>
      </c>
      <c r="AO142" s="261">
        <f>((+W142/($AM$98+$Y$178)*((('SCHG2-19'!$I$448*'SCHG2-19'!$K$15)+'SCHG2-19'!$I$448)*'SCHG2-19'!$M$15)))</f>
        <v>684.12992396741186</v>
      </c>
      <c r="AP142" s="261">
        <f>((+X142/($AM$98+$Y$178)*((('SCHG2-19'!$I$448*'SCHG2-19'!$K$15)+'SCHG2-19'!$I$448)*'SCHG2-19'!$M$15)))</f>
        <v>684.12992396741186</v>
      </c>
      <c r="AQ142" s="185">
        <f t="shared" si="258"/>
        <v>2736.5196958696474</v>
      </c>
      <c r="AR142" s="261">
        <f>(+V142/($AM$98+$Y$178))*('SCHG2-19'!$M$448-'SCHG2-19'!$K$448-'IRR 202 Detail '!$BC$98-'IRR 202 Detail '!$AQ$178)</f>
        <v>5280.3650721899139</v>
      </c>
      <c r="AS142" s="261">
        <f>(+W142/($AM$98+$Y$178))*('SCHG2-19'!$M$448-'SCHG2-19'!$K$448-'IRR 202 Detail '!$BC$98-'IRR 202 Detail '!$AQ$178)</f>
        <v>2640.182536094957</v>
      </c>
      <c r="AT142" s="261">
        <f>(+X142/($AM$98+$Y$178))*('SCHG2-19'!$M$448-'SCHG2-19'!$K$448-'IRR 202 Detail '!$BC$98-'IRR 202 Detail '!$AQ$178)</f>
        <v>2640.182536094957</v>
      </c>
      <c r="AU142" s="185">
        <f t="shared" si="259"/>
        <v>10560.730144379828</v>
      </c>
      <c r="AV142" s="183"/>
      <c r="AW142" s="90"/>
      <c r="AX142" s="192"/>
      <c r="AY142" s="192"/>
      <c r="AZ142" s="192"/>
      <c r="BA142" s="192"/>
      <c r="BB142" s="192"/>
      <c r="BC142"/>
      <c r="BD142" s="183"/>
      <c r="BE142" s="90"/>
      <c r="BF142" s="192"/>
      <c r="BG142" s="192"/>
      <c r="BH142" s="192"/>
      <c r="BI142" s="192"/>
      <c r="BJ142" s="192"/>
      <c r="BK142"/>
    </row>
    <row r="143" spans="1:63" x14ac:dyDescent="0.25">
      <c r="C143" t="s">
        <v>296</v>
      </c>
      <c r="E143" s="162"/>
      <c r="F143" s="182"/>
      <c r="G143" s="182"/>
      <c r="H143" s="191" t="s">
        <v>393</v>
      </c>
      <c r="I143" s="190" t="s">
        <v>270</v>
      </c>
      <c r="J143" s="185">
        <v>117361.40675655376</v>
      </c>
      <c r="K143" s="244">
        <v>1</v>
      </c>
      <c r="L143" s="188">
        <v>45292</v>
      </c>
      <c r="M143" s="243">
        <v>0.5</v>
      </c>
      <c r="N143" s="243">
        <v>0.5</v>
      </c>
      <c r="O143" s="150">
        <f>M143+N143</f>
        <v>1</v>
      </c>
      <c r="P143" s="245" t="s">
        <v>295</v>
      </c>
      <c r="Q143" s="186">
        <f>((13-MONTH(L143)-$AI$5))/12</f>
        <v>1</v>
      </c>
      <c r="R143" s="244">
        <v>7</v>
      </c>
      <c r="S143" s="243">
        <v>0.5</v>
      </c>
      <c r="T143" s="243">
        <v>0.5</v>
      </c>
      <c r="U143" s="150">
        <f>+S143+T143</f>
        <v>1</v>
      </c>
      <c r="V143" s="147">
        <f>J143*N143*Q143</f>
        <v>58680.703378276878</v>
      </c>
      <c r="W143" s="147">
        <f>J143*M143*Q143*S143</f>
        <v>29340.351689138439</v>
      </c>
      <c r="X143" s="147">
        <f>J143*M143*Q143*T143</f>
        <v>29340.351689138439</v>
      </c>
      <c r="Y143" s="185">
        <f>V143+W143+X143</f>
        <v>117361.40675655376</v>
      </c>
      <c r="Z143">
        <v>920</v>
      </c>
      <c r="AA143" s="184">
        <f>+J143*M143*T143</f>
        <v>29340.351689138439</v>
      </c>
      <c r="AB143" s="184">
        <f t="shared" si="253"/>
        <v>29340.351689138439</v>
      </c>
      <c r="AC143" s="184">
        <f t="shared" si="253"/>
        <v>0.5</v>
      </c>
      <c r="AH143" s="156"/>
      <c r="AJ143" s="261">
        <f t="shared" si="254"/>
        <v>4694.4562702621506</v>
      </c>
      <c r="AK143" s="261">
        <f t="shared" si="255"/>
        <v>2347.2281351310753</v>
      </c>
      <c r="AL143" s="261">
        <f t="shared" si="256"/>
        <v>2347.2281351310753</v>
      </c>
      <c r="AM143" s="185">
        <f t="shared" si="257"/>
        <v>9388.9125405243012</v>
      </c>
      <c r="AN143" s="261">
        <f>((+V143/($AM$98+$Y$178)*((('SCHG2-19'!$I$448*'SCHG2-19'!$K$15)+'SCHG2-19'!$I$448)*'SCHG2-19'!$M$15)))</f>
        <v>1068.9374400618601</v>
      </c>
      <c r="AO143" s="261">
        <f>((+W143/($AM$98+$Y$178)*((('SCHG2-19'!$I$448*'SCHG2-19'!$K$15)+'SCHG2-19'!$I$448)*'SCHG2-19'!$M$15)))</f>
        <v>534.46872003093006</v>
      </c>
      <c r="AP143" s="261">
        <f>((+X143/($AM$98+$Y$178)*((('SCHG2-19'!$I$448*'SCHG2-19'!$K$15)+'SCHG2-19'!$I$448)*'SCHG2-19'!$M$15)))</f>
        <v>534.46872003093006</v>
      </c>
      <c r="AQ143" s="185">
        <f t="shared" si="258"/>
        <v>2137.8748801237202</v>
      </c>
      <c r="AR143" s="261">
        <f>(+V143/($AM$98+$Y$178))*('SCHG2-19'!$M$448-'SCHG2-19'!$K$448-'IRR 202 Detail '!$BC$98-'IRR 202 Detail '!$AQ$178)</f>
        <v>4125.2251400770565</v>
      </c>
      <c r="AS143" s="261">
        <f>(+W143/($AM$98+$Y$178))*('SCHG2-19'!$M$448-'SCHG2-19'!$K$448-'IRR 202 Detail '!$BC$98-'IRR 202 Detail '!$AQ$178)</f>
        <v>2062.6125700385282</v>
      </c>
      <c r="AT143" s="261">
        <f>(+X143/($AM$98+$Y$178))*('SCHG2-19'!$M$448-'SCHG2-19'!$K$448-'IRR 202 Detail '!$BC$98-'IRR 202 Detail '!$AQ$178)</f>
        <v>2062.6125700385282</v>
      </c>
      <c r="AU143" s="185">
        <f t="shared" si="259"/>
        <v>8250.450280154113</v>
      </c>
      <c r="AV143" s="156"/>
      <c r="AW143" s="156"/>
      <c r="AX143" s="156"/>
      <c r="AY143" s="156"/>
      <c r="AZ143" s="156"/>
      <c r="BA143" s="156"/>
      <c r="BB143" s="156"/>
      <c r="BC143"/>
      <c r="BD143" s="156"/>
      <c r="BE143" s="156"/>
      <c r="BF143" s="156"/>
      <c r="BG143" s="156"/>
      <c r="BH143" s="156"/>
      <c r="BI143" s="156"/>
      <c r="BJ143" s="156"/>
      <c r="BK143"/>
    </row>
    <row r="144" spans="1:63" ht="30" x14ac:dyDescent="0.25">
      <c r="F144" s="182"/>
      <c r="G144" s="182"/>
      <c r="H144" s="191" t="s">
        <v>408</v>
      </c>
      <c r="I144" s="190" t="s">
        <v>270</v>
      </c>
      <c r="J144" s="185">
        <v>81760.597151672264</v>
      </c>
      <c r="K144" s="244">
        <v>1</v>
      </c>
      <c r="L144" s="188">
        <v>45292</v>
      </c>
      <c r="M144" s="243">
        <v>1</v>
      </c>
      <c r="N144" s="243">
        <v>0</v>
      </c>
      <c r="O144" s="150">
        <f>M144+N144</f>
        <v>1</v>
      </c>
      <c r="P144" s="245" t="s">
        <v>295</v>
      </c>
      <c r="Q144" s="186">
        <f>((13-MONTH(L144)-$AI$5))/12</f>
        <v>1</v>
      </c>
      <c r="R144" s="244">
        <v>5</v>
      </c>
      <c r="S144" s="243">
        <v>0.5</v>
      </c>
      <c r="T144" s="243">
        <v>0.5</v>
      </c>
      <c r="U144" s="150">
        <f>+S144+T144</f>
        <v>1</v>
      </c>
      <c r="V144" s="147">
        <f>J144*N144*Q144</f>
        <v>0</v>
      </c>
      <c r="W144" s="147">
        <f>J144*M144*Q144*S144</f>
        <v>40880.298575836132</v>
      </c>
      <c r="X144" s="147">
        <f>J144*M144*Q144*T144</f>
        <v>40880.298575836132</v>
      </c>
      <c r="Y144" s="185">
        <f>V144+W144+X144</f>
        <v>81760.597151672264</v>
      </c>
      <c r="Z144">
        <v>920</v>
      </c>
      <c r="AA144" s="184">
        <f>+J144*M144*T144</f>
        <v>40880.298575836132</v>
      </c>
      <c r="AB144" s="184">
        <f t="shared" si="253"/>
        <v>40880.298575836132</v>
      </c>
      <c r="AC144" s="184">
        <f t="shared" si="253"/>
        <v>0</v>
      </c>
      <c r="AJ144" s="261">
        <f t="shared" si="254"/>
        <v>0</v>
      </c>
      <c r="AK144" s="261">
        <f t="shared" si="255"/>
        <v>3270.4238860668906</v>
      </c>
      <c r="AL144" s="261">
        <f t="shared" si="256"/>
        <v>3270.4238860668906</v>
      </c>
      <c r="AM144" s="185">
        <f t="shared" si="257"/>
        <v>6540.8477721337813</v>
      </c>
      <c r="AN144" s="261">
        <f>((+V144/($AM$98+$Y$178)*((('SCHG2-19'!$I$448*'SCHG2-19'!$K$15)+'SCHG2-19'!$I$448)*'SCHG2-19'!$M$15)))</f>
        <v>0</v>
      </c>
      <c r="AO144" s="261">
        <f>((+W144/($AM$98+$Y$178)*((('SCHG2-19'!$I$448*'SCHG2-19'!$K$15)+'SCHG2-19'!$I$448)*'SCHG2-19'!$M$15)))</f>
        <v>744.68230939432817</v>
      </c>
      <c r="AP144" s="261">
        <f>((+X144/($AM$98+$Y$178)*((('SCHG2-19'!$I$448*'SCHG2-19'!$K$15)+'SCHG2-19'!$I$448)*'SCHG2-19'!$M$15)))</f>
        <v>744.68230939432817</v>
      </c>
      <c r="AQ144" s="185">
        <f t="shared" si="258"/>
        <v>1489.3646187886563</v>
      </c>
      <c r="AR144" s="261">
        <f>(+V144/($AM$98+$Y$178))*('SCHG2-19'!$M$448-'SCHG2-19'!$K$448-'IRR 202 Detail '!$BC$98-'IRR 202 Detail '!$AQ$178)</f>
        <v>0</v>
      </c>
      <c r="AS144" s="261">
        <f>(+W144/($AM$98+$Y$178))*('SCHG2-19'!$M$448-'SCHG2-19'!$K$448-'IRR 202 Detail '!$BC$98-'IRR 202 Detail '!$AQ$178)</f>
        <v>2873.8652693335789</v>
      </c>
      <c r="AT144" s="261">
        <f>(+X144/($AM$98+$Y$178))*('SCHG2-19'!$M$448-'SCHG2-19'!$K$448-'IRR 202 Detail '!$BC$98-'IRR 202 Detail '!$AQ$178)</f>
        <v>2873.8652693335789</v>
      </c>
      <c r="AU144" s="185">
        <f t="shared" si="259"/>
        <v>5747.7305386671578</v>
      </c>
      <c r="AV144" s="183"/>
      <c r="AW144" s="90"/>
      <c r="AX144" s="183"/>
      <c r="AY144" s="154"/>
      <c r="AZ144" s="154"/>
      <c r="BA144" s="154"/>
      <c r="BB144" s="183"/>
      <c r="BC144"/>
      <c r="BD144" s="183"/>
      <c r="BE144" s="90"/>
      <c r="BF144" s="183"/>
      <c r="BG144" s="154"/>
      <c r="BH144" s="154"/>
      <c r="BI144" s="154"/>
      <c r="BJ144" s="183"/>
      <c r="BK144"/>
    </row>
    <row r="145" spans="3:63" x14ac:dyDescent="0.25">
      <c r="C145" t="s">
        <v>294</v>
      </c>
      <c r="D145" t="s">
        <v>294</v>
      </c>
      <c r="E145" s="162" t="s">
        <v>281</v>
      </c>
      <c r="F145" s="182" t="s">
        <v>293</v>
      </c>
      <c r="G145" s="182"/>
      <c r="H145" s="242" t="s">
        <v>369</v>
      </c>
      <c r="I145" s="241"/>
      <c r="J145" s="237">
        <f>SUM(J140:J144)</f>
        <v>580992.02555573033</v>
      </c>
      <c r="K145" s="240">
        <f>SUM(K140:K144)</f>
        <v>5</v>
      </c>
      <c r="L145" s="239"/>
      <c r="M145" s="239"/>
      <c r="N145" s="239"/>
      <c r="O145" s="239"/>
      <c r="P145" s="239"/>
      <c r="Q145" s="239"/>
      <c r="R145" s="239"/>
      <c r="S145" s="238"/>
      <c r="T145" s="238"/>
      <c r="U145" s="238"/>
      <c r="V145" s="237">
        <f>SUM(V140:V144)</f>
        <v>191704.40584712155</v>
      </c>
      <c r="W145" s="237">
        <f>SUM(W140:W144)</f>
        <v>238077.29112048494</v>
      </c>
      <c r="X145" s="237">
        <f>SUM(X140:X144)</f>
        <v>151210.32858812378</v>
      </c>
      <c r="Y145" s="237">
        <f>SUM(Y140:Y144)</f>
        <v>580992.02555573022</v>
      </c>
      <c r="AA145" s="237">
        <f>SUM(AA140:AA144)</f>
        <v>151210.32858812378</v>
      </c>
      <c r="AB145" s="237">
        <f>SUM(AB140:AB144)</f>
        <v>151210.32858812378</v>
      </c>
      <c r="AC145" s="237">
        <f>SUM(AC140:AC144)</f>
        <v>1.5</v>
      </c>
      <c r="AH145" s="260"/>
      <c r="AJ145" s="237">
        <f t="shared" ref="AJ145:AU145" si="260">SUM(AJ140:AJ144)</f>
        <v>15336.352467769728</v>
      </c>
      <c r="AK145" s="237">
        <f t="shared" si="260"/>
        <v>19046.183289638797</v>
      </c>
      <c r="AL145" s="237">
        <f t="shared" si="260"/>
        <v>12096.826287049902</v>
      </c>
      <c r="AM145" s="237">
        <f t="shared" si="260"/>
        <v>46479.36204445843</v>
      </c>
      <c r="AN145" s="237">
        <f t="shared" si="260"/>
        <v>3492.1193005103232</v>
      </c>
      <c r="AO145" s="237">
        <f t="shared" si="260"/>
        <v>4336.8554815483594</v>
      </c>
      <c r="AP145" s="237">
        <f t="shared" si="260"/>
        <v>2754.4724627778996</v>
      </c>
      <c r="AQ145" s="237">
        <f t="shared" si="260"/>
        <v>10583.447244836583</v>
      </c>
      <c r="AR145" s="237">
        <f t="shared" si="260"/>
        <v>13476.727253355277</v>
      </c>
      <c r="AS145" s="237">
        <f t="shared" si="260"/>
        <v>16736.718717915752</v>
      </c>
      <c r="AT145" s="237">
        <f t="shared" si="260"/>
        <v>10630.013156283294</v>
      </c>
      <c r="AU145" s="237">
        <f t="shared" si="260"/>
        <v>40843.459127554328</v>
      </c>
      <c r="AV145" s="183"/>
      <c r="AW145" s="90"/>
      <c r="AX145" s="192"/>
      <c r="AY145" s="192"/>
      <c r="AZ145" s="192"/>
      <c r="BA145" s="192"/>
      <c r="BB145" s="192"/>
      <c r="BC145"/>
      <c r="BD145" s="183"/>
      <c r="BE145" s="90"/>
      <c r="BF145" s="192"/>
      <c r="BG145" s="192"/>
      <c r="BH145" s="192"/>
      <c r="BI145" s="192"/>
      <c r="BJ145" s="192"/>
      <c r="BK145"/>
    </row>
    <row r="146" spans="3:63" x14ac:dyDescent="0.25">
      <c r="C146" t="s">
        <v>294</v>
      </c>
      <c r="D146" t="s">
        <v>294</v>
      </c>
      <c r="E146" s="162" t="s">
        <v>281</v>
      </c>
      <c r="F146" s="182" t="s">
        <v>293</v>
      </c>
      <c r="G146" s="143"/>
      <c r="H146" s="143"/>
      <c r="I146" s="236"/>
      <c r="J146" s="235"/>
      <c r="K146" s="154"/>
      <c r="L146" s="153"/>
      <c r="Q146" s="186"/>
      <c r="R146" s="151"/>
      <c r="S146" s="150"/>
      <c r="T146" s="150"/>
      <c r="U146" s="150"/>
      <c r="V146" s="147"/>
      <c r="W146" s="147"/>
      <c r="X146" s="147"/>
      <c r="Y146" s="235"/>
      <c r="AH146" s="260"/>
      <c r="AJ146" s="147"/>
      <c r="AK146" s="147"/>
      <c r="AL146" s="147"/>
      <c r="AM146" s="235"/>
      <c r="AN146" s="147"/>
      <c r="AO146" s="147"/>
      <c r="AP146" s="147"/>
      <c r="AQ146" s="235"/>
      <c r="AR146" s="147"/>
      <c r="AS146" s="147"/>
      <c r="AT146" s="147"/>
      <c r="AU146" s="235"/>
      <c r="AV146" s="183"/>
      <c r="AW146" s="90"/>
      <c r="AX146" s="192"/>
      <c r="AY146" s="192"/>
      <c r="AZ146" s="192"/>
      <c r="BA146" s="192"/>
      <c r="BB146" s="192"/>
      <c r="BC146"/>
      <c r="BD146" s="183"/>
      <c r="BE146" s="90"/>
      <c r="BF146" s="192"/>
      <c r="BG146" s="192"/>
      <c r="BH146" s="192"/>
      <c r="BI146" s="192"/>
      <c r="BJ146" s="192"/>
      <c r="BK146"/>
    </row>
    <row r="147" spans="3:63" x14ac:dyDescent="0.25">
      <c r="C147" t="s">
        <v>294</v>
      </c>
      <c r="D147" t="s">
        <v>294</v>
      </c>
      <c r="E147" s="162" t="s">
        <v>281</v>
      </c>
      <c r="F147" s="182" t="s">
        <v>293</v>
      </c>
      <c r="G147" s="182"/>
      <c r="H147" s="191" t="s">
        <v>263</v>
      </c>
      <c r="I147" s="190" t="s">
        <v>270</v>
      </c>
      <c r="J147" s="185">
        <v>97580.565847941762</v>
      </c>
      <c r="K147" s="189">
        <v>1</v>
      </c>
      <c r="L147" s="188">
        <v>45444</v>
      </c>
      <c r="M147" s="150">
        <v>1</v>
      </c>
      <c r="N147" s="150">
        <v>0</v>
      </c>
      <c r="O147" s="150">
        <f>M147+N147</f>
        <v>1</v>
      </c>
      <c r="P147" s="187"/>
      <c r="Q147" s="186">
        <f>((13-MONTH(L147)-$AI$5))/12</f>
        <v>0.58333333333333337</v>
      </c>
      <c r="R147" s="152">
        <v>6</v>
      </c>
      <c r="S147" s="150">
        <v>0</v>
      </c>
      <c r="T147" s="150">
        <v>1</v>
      </c>
      <c r="U147" s="150">
        <f>+S147+T147</f>
        <v>1</v>
      </c>
      <c r="V147" s="147">
        <f>J147*N147*Q147</f>
        <v>0</v>
      </c>
      <c r="W147" s="147">
        <f>J147*M147*Q147*S147</f>
        <v>0</v>
      </c>
      <c r="X147" s="147">
        <f>J147*M147*Q147*T147</f>
        <v>56921.996744632699</v>
      </c>
      <c r="Y147" s="185">
        <f>V147+W147+X147</f>
        <v>56921.996744632699</v>
      </c>
      <c r="Z147">
        <v>925</v>
      </c>
      <c r="AA147" s="184">
        <f>+J147*M147*T147</f>
        <v>97580.565847941762</v>
      </c>
      <c r="AB147" s="184">
        <f t="shared" ref="AB147:AC151" si="261">+J147*M147*T147</f>
        <v>97580.565847941762</v>
      </c>
      <c r="AC147" s="184">
        <f t="shared" si="261"/>
        <v>0</v>
      </c>
      <c r="AH147" s="260"/>
      <c r="AJ147" s="261">
        <f t="shared" ref="AJ147:AJ151" si="262">+V147*0.08</f>
        <v>0</v>
      </c>
      <c r="AK147" s="261">
        <f t="shared" ref="AK147:AK151" si="263">+W147*0.08</f>
        <v>0</v>
      </c>
      <c r="AL147" s="261">
        <f t="shared" ref="AL147:AL151" si="264">+X147*0.08</f>
        <v>4553.7597395706161</v>
      </c>
      <c r="AM147" s="185">
        <f t="shared" ref="AM147:AM151" si="265">AJ147+AK147+AL147</f>
        <v>4553.7597395706161</v>
      </c>
      <c r="AN147" s="261">
        <f>((+V147/($AM$98+$Y$178)*((('SCHG2-19'!$I$448*'SCHG2-19'!$K$15)+'SCHG2-19'!$I$448)*'SCHG2-19'!$M$15)))</f>
        <v>0</v>
      </c>
      <c r="AO147" s="261">
        <f>((+W147/($AM$98+$Y$178)*((('SCHG2-19'!$I$448*'SCHG2-19'!$K$15)+'SCHG2-19'!$I$448)*'SCHG2-19'!$M$15)))</f>
        <v>0</v>
      </c>
      <c r="AP147" s="261">
        <f>((+X147/($AM$98+$Y$178)*((('SCHG2-19'!$I$448*'SCHG2-19'!$K$15)+'SCHG2-19'!$I$448)*'SCHG2-19'!$M$15)))</f>
        <v>1036.9005478884892</v>
      </c>
      <c r="AQ147" s="185">
        <f t="shared" ref="AQ147:AQ151" si="266">AN147+AO147+AP147</f>
        <v>1036.9005478884892</v>
      </c>
      <c r="AR147" s="261">
        <f>(+V147/($AM$98+$Y$178))*('SCHG2-19'!$M$448-'SCHG2-19'!$K$448-'IRR 202 Detail '!$BC$98-'IRR 202 Detail '!$AQ$178)</f>
        <v>0</v>
      </c>
      <c r="AS147" s="261">
        <f>(+W147/($AM$98+$Y$178))*('SCHG2-19'!$M$448-'SCHG2-19'!$K$448-'IRR 202 Detail '!$BC$98-'IRR 202 Detail '!$AQ$178)</f>
        <v>0</v>
      </c>
      <c r="AT147" s="261">
        <f>(+X147/($AM$98+$Y$178))*('SCHG2-19'!$M$448-'SCHG2-19'!$K$448-'IRR 202 Detail '!$BC$98-'IRR 202 Detail '!$AQ$178)</f>
        <v>4001.5889121272908</v>
      </c>
      <c r="AU147" s="185">
        <f t="shared" ref="AU147:AU151" si="267">AR147+AS147+AT147</f>
        <v>4001.5889121272908</v>
      </c>
      <c r="AV147" s="183"/>
      <c r="AW147" s="90"/>
      <c r="AX147" s="192"/>
      <c r="AY147" s="192"/>
      <c r="AZ147" s="192"/>
      <c r="BA147" s="192"/>
      <c r="BB147" s="192"/>
      <c r="BC147"/>
      <c r="BD147" s="183"/>
      <c r="BE147" s="90"/>
      <c r="BF147" s="192"/>
      <c r="BG147" s="192"/>
      <c r="BH147" s="192"/>
      <c r="BI147" s="192"/>
      <c r="BJ147" s="192"/>
      <c r="BK147"/>
    </row>
    <row r="148" spans="3:63" x14ac:dyDescent="0.25">
      <c r="C148" t="s">
        <v>294</v>
      </c>
      <c r="D148" t="s">
        <v>294</v>
      </c>
      <c r="E148" s="162" t="s">
        <v>281</v>
      </c>
      <c r="F148" s="182" t="s">
        <v>293</v>
      </c>
      <c r="G148" s="182"/>
      <c r="H148" s="191" t="s">
        <v>264</v>
      </c>
      <c r="I148" s="190" t="s">
        <v>270</v>
      </c>
      <c r="J148" s="185">
        <v>97580.565847941762</v>
      </c>
      <c r="K148" s="189">
        <v>1</v>
      </c>
      <c r="L148" s="188">
        <v>45292</v>
      </c>
      <c r="M148" s="150">
        <v>1</v>
      </c>
      <c r="N148" s="150">
        <v>0</v>
      </c>
      <c r="O148" s="150">
        <f>M148+N148</f>
        <v>1</v>
      </c>
      <c r="P148" s="187"/>
      <c r="Q148" s="186">
        <f>((13-MONTH(L148)-$AI$5))/12</f>
        <v>1</v>
      </c>
      <c r="R148" s="152">
        <v>6</v>
      </c>
      <c r="S148" s="150">
        <v>0</v>
      </c>
      <c r="T148" s="150">
        <v>1</v>
      </c>
      <c r="U148" s="150">
        <f>+S148+T148</f>
        <v>1</v>
      </c>
      <c r="V148" s="147">
        <f>J148*N148*Q148</f>
        <v>0</v>
      </c>
      <c r="W148" s="147">
        <f>J148*M148*Q148*S148</f>
        <v>0</v>
      </c>
      <c r="X148" s="147">
        <f>J148*M148*Q148*T148</f>
        <v>97580.565847941762</v>
      </c>
      <c r="Y148" s="185">
        <f>V148+W148+X148</f>
        <v>97580.565847941762</v>
      </c>
      <c r="Z148">
        <v>925</v>
      </c>
      <c r="AA148" s="184">
        <f>+J148*M148*T148</f>
        <v>97580.565847941762</v>
      </c>
      <c r="AB148" s="184">
        <f t="shared" si="261"/>
        <v>97580.565847941762</v>
      </c>
      <c r="AC148" s="184">
        <f t="shared" si="261"/>
        <v>0</v>
      </c>
      <c r="AH148" s="260"/>
      <c r="AJ148" s="261">
        <f t="shared" si="262"/>
        <v>0</v>
      </c>
      <c r="AK148" s="261">
        <f t="shared" si="263"/>
        <v>0</v>
      </c>
      <c r="AL148" s="261">
        <f t="shared" si="264"/>
        <v>7806.4452678353409</v>
      </c>
      <c r="AM148" s="185">
        <f t="shared" si="265"/>
        <v>7806.4452678353409</v>
      </c>
      <c r="AN148" s="261">
        <f>((+V148/($AM$98+$Y$178)*((('SCHG2-19'!$I$448*'SCHG2-19'!$K$15)+'SCHG2-19'!$I$448)*'SCHG2-19'!$M$15)))</f>
        <v>0</v>
      </c>
      <c r="AO148" s="261">
        <f>((+W148/($AM$98+$Y$178)*((('SCHG2-19'!$I$448*'SCHG2-19'!$K$15)+'SCHG2-19'!$I$448)*'SCHG2-19'!$M$15)))</f>
        <v>0</v>
      </c>
      <c r="AP148" s="261">
        <f>((+X148/($AM$98+$Y$178)*((('SCHG2-19'!$I$448*'SCHG2-19'!$K$15)+'SCHG2-19'!$I$448)*'SCHG2-19'!$M$15)))</f>
        <v>1777.5437963802669</v>
      </c>
      <c r="AQ148" s="185">
        <f t="shared" si="266"/>
        <v>1777.5437963802669</v>
      </c>
      <c r="AR148" s="261">
        <f>(+V148/($AM$98+$Y$178))*('SCHG2-19'!$M$448-'SCHG2-19'!$K$448-'IRR 202 Detail '!$BC$98-'IRR 202 Detail '!$AQ$178)</f>
        <v>0</v>
      </c>
      <c r="AS148" s="261">
        <f>(+W148/($AM$98+$Y$178))*('SCHG2-19'!$M$448-'SCHG2-19'!$K$448-'IRR 202 Detail '!$BC$98-'IRR 202 Detail '!$AQ$178)</f>
        <v>0</v>
      </c>
      <c r="AT148" s="261">
        <f>(+X148/($AM$98+$Y$178))*('SCHG2-19'!$M$448-'SCHG2-19'!$K$448-'IRR 202 Detail '!$BC$98-'IRR 202 Detail '!$AQ$178)</f>
        <v>6859.8667065039263</v>
      </c>
      <c r="AU148" s="185">
        <f t="shared" si="267"/>
        <v>6859.8667065039263</v>
      </c>
      <c r="AV148" s="183"/>
      <c r="AW148" s="90"/>
      <c r="AX148" s="192"/>
      <c r="AY148" s="192"/>
      <c r="AZ148" s="192"/>
      <c r="BA148" s="192"/>
      <c r="BB148" s="192"/>
      <c r="BC148"/>
      <c r="BD148" s="183"/>
      <c r="BE148" s="90"/>
      <c r="BF148" s="192"/>
      <c r="BG148" s="192"/>
      <c r="BH148" s="192"/>
      <c r="BI148" s="192"/>
      <c r="BJ148" s="192"/>
      <c r="BK148"/>
    </row>
    <row r="149" spans="3:63" x14ac:dyDescent="0.25">
      <c r="C149" t="s">
        <v>294</v>
      </c>
      <c r="D149" t="s">
        <v>294</v>
      </c>
      <c r="E149" s="162" t="s">
        <v>281</v>
      </c>
      <c r="F149" s="182" t="s">
        <v>293</v>
      </c>
      <c r="G149" s="182"/>
      <c r="H149" s="191" t="s">
        <v>265</v>
      </c>
      <c r="I149" s="190" t="s">
        <v>270</v>
      </c>
      <c r="J149" s="185">
        <v>97580.565847941762</v>
      </c>
      <c r="K149" s="189">
        <v>1</v>
      </c>
      <c r="L149" s="188">
        <v>45444</v>
      </c>
      <c r="M149" s="150">
        <v>1</v>
      </c>
      <c r="N149" s="150">
        <v>0</v>
      </c>
      <c r="O149" s="150">
        <f>M149+N149</f>
        <v>1</v>
      </c>
      <c r="P149" s="187"/>
      <c r="Q149" s="186">
        <f>((13-MONTH(L149)-$AI$5))/12</f>
        <v>0.58333333333333337</v>
      </c>
      <c r="R149" s="152">
        <v>6</v>
      </c>
      <c r="S149" s="150">
        <v>0</v>
      </c>
      <c r="T149" s="150">
        <v>1</v>
      </c>
      <c r="U149" s="150">
        <f>+S149+T149</f>
        <v>1</v>
      </c>
      <c r="V149" s="147">
        <f>J149*N149*Q149</f>
        <v>0</v>
      </c>
      <c r="W149" s="147">
        <f>J149*M149*Q149*S149</f>
        <v>0</v>
      </c>
      <c r="X149" s="147">
        <f>J149*M149*Q149*T149</f>
        <v>56921.996744632699</v>
      </c>
      <c r="Y149" s="185">
        <f>V149+W149+X149</f>
        <v>56921.996744632699</v>
      </c>
      <c r="Z149">
        <v>925</v>
      </c>
      <c r="AA149" s="184">
        <f>+J149*M149*T149</f>
        <v>97580.565847941762</v>
      </c>
      <c r="AB149" s="184">
        <f t="shared" si="261"/>
        <v>97580.565847941762</v>
      </c>
      <c r="AC149" s="184">
        <f t="shared" si="261"/>
        <v>0</v>
      </c>
      <c r="AH149" s="260"/>
      <c r="AJ149" s="261">
        <f t="shared" si="262"/>
        <v>0</v>
      </c>
      <c r="AK149" s="261">
        <f t="shared" si="263"/>
        <v>0</v>
      </c>
      <c r="AL149" s="261">
        <f t="shared" si="264"/>
        <v>4553.7597395706161</v>
      </c>
      <c r="AM149" s="185">
        <f t="shared" si="265"/>
        <v>4553.7597395706161</v>
      </c>
      <c r="AN149" s="261">
        <f>((+V149/($AM$98+$Y$178)*((('SCHG2-19'!$I$448*'SCHG2-19'!$K$15)+'SCHG2-19'!$I$448)*'SCHG2-19'!$M$15)))</f>
        <v>0</v>
      </c>
      <c r="AO149" s="261">
        <f>((+W149/($AM$98+$Y$178)*((('SCHG2-19'!$I$448*'SCHG2-19'!$K$15)+'SCHG2-19'!$I$448)*'SCHG2-19'!$M$15)))</f>
        <v>0</v>
      </c>
      <c r="AP149" s="261">
        <f>((+X149/($AM$98+$Y$178)*((('SCHG2-19'!$I$448*'SCHG2-19'!$K$15)+'SCHG2-19'!$I$448)*'SCHG2-19'!$M$15)))</f>
        <v>1036.9005478884892</v>
      </c>
      <c r="AQ149" s="185">
        <f t="shared" si="266"/>
        <v>1036.9005478884892</v>
      </c>
      <c r="AR149" s="261">
        <f>(+V149/($AM$98+$Y$178))*('SCHG2-19'!$M$448-'SCHG2-19'!$K$448-'IRR 202 Detail '!$BC$98-'IRR 202 Detail '!$AQ$178)</f>
        <v>0</v>
      </c>
      <c r="AS149" s="261">
        <f>(+W149/($AM$98+$Y$178))*('SCHG2-19'!$M$448-'SCHG2-19'!$K$448-'IRR 202 Detail '!$BC$98-'IRR 202 Detail '!$AQ$178)</f>
        <v>0</v>
      </c>
      <c r="AT149" s="261">
        <f>(+X149/($AM$98+$Y$178))*('SCHG2-19'!$M$448-'SCHG2-19'!$K$448-'IRR 202 Detail '!$BC$98-'IRR 202 Detail '!$AQ$178)</f>
        <v>4001.5889121272908</v>
      </c>
      <c r="AU149" s="185">
        <f t="shared" si="267"/>
        <v>4001.5889121272908</v>
      </c>
      <c r="AV149" s="183"/>
      <c r="AW149" s="90"/>
      <c r="AX149" s="192"/>
      <c r="AY149" s="192"/>
      <c r="AZ149" s="192"/>
      <c r="BA149" s="192"/>
      <c r="BB149" s="192"/>
      <c r="BC149"/>
      <c r="BD149" s="183"/>
      <c r="BE149" s="90"/>
      <c r="BF149" s="192"/>
      <c r="BG149" s="192"/>
      <c r="BH149" s="192"/>
      <c r="BI149" s="192"/>
      <c r="BJ149" s="192"/>
      <c r="BK149"/>
    </row>
    <row r="150" spans="3:63" x14ac:dyDescent="0.25">
      <c r="C150" t="s">
        <v>292</v>
      </c>
      <c r="E150" s="162"/>
      <c r="F150" s="182"/>
      <c r="G150" s="182"/>
      <c r="H150" s="191" t="s">
        <v>227</v>
      </c>
      <c r="I150" s="190" t="s">
        <v>270</v>
      </c>
      <c r="J150" s="185">
        <v>117361.40675655376</v>
      </c>
      <c r="K150" s="189">
        <v>1</v>
      </c>
      <c r="L150" s="188">
        <v>45292</v>
      </c>
      <c r="M150" s="150">
        <v>1</v>
      </c>
      <c r="N150" s="150">
        <v>0</v>
      </c>
      <c r="O150" s="150">
        <f>M150+N150</f>
        <v>1</v>
      </c>
      <c r="P150" s="187"/>
      <c r="Q150" s="186">
        <f>((13-MONTH(L150)-$AI$5))/12</f>
        <v>1</v>
      </c>
      <c r="R150" s="152">
        <v>7</v>
      </c>
      <c r="S150" s="150">
        <v>0</v>
      </c>
      <c r="T150" s="150">
        <v>1</v>
      </c>
      <c r="U150" s="150">
        <f>+S150+T150</f>
        <v>1</v>
      </c>
      <c r="V150" s="147">
        <f>J150*N150*Q150</f>
        <v>0</v>
      </c>
      <c r="W150" s="147">
        <f>J150*M150*Q150*S150</f>
        <v>0</v>
      </c>
      <c r="X150" s="147">
        <f>J150*M150*Q150*T150</f>
        <v>117361.40675655376</v>
      </c>
      <c r="Y150" s="185">
        <f>V150+W150+X150</f>
        <v>117361.40675655376</v>
      </c>
      <c r="Z150">
        <v>887</v>
      </c>
      <c r="AA150" s="184">
        <f>+J150*M150*T150</f>
        <v>117361.40675655376</v>
      </c>
      <c r="AB150" s="184">
        <f t="shared" si="261"/>
        <v>117361.40675655376</v>
      </c>
      <c r="AC150" s="184">
        <f t="shared" si="261"/>
        <v>0</v>
      </c>
      <c r="AH150" s="156"/>
      <c r="AJ150" s="261">
        <f t="shared" si="262"/>
        <v>0</v>
      </c>
      <c r="AK150" s="261">
        <f t="shared" si="263"/>
        <v>0</v>
      </c>
      <c r="AL150" s="261">
        <f t="shared" si="264"/>
        <v>9388.9125405243012</v>
      </c>
      <c r="AM150" s="185">
        <f t="shared" si="265"/>
        <v>9388.9125405243012</v>
      </c>
      <c r="AN150" s="261">
        <f>((+V150/($AM$98+$Y$178)*((('SCHG2-19'!$I$448*'SCHG2-19'!$K$15)+'SCHG2-19'!$I$448)*'SCHG2-19'!$M$15)))</f>
        <v>0</v>
      </c>
      <c r="AO150" s="261">
        <f>((+W150/($AM$98+$Y$178)*((('SCHG2-19'!$I$448*'SCHG2-19'!$K$15)+'SCHG2-19'!$I$448)*'SCHG2-19'!$M$15)))</f>
        <v>0</v>
      </c>
      <c r="AP150" s="261">
        <f>((+X150/($AM$98+$Y$178)*((('SCHG2-19'!$I$448*'SCHG2-19'!$K$15)+'SCHG2-19'!$I$448)*'SCHG2-19'!$M$15)))</f>
        <v>2137.8748801237202</v>
      </c>
      <c r="AQ150" s="185">
        <f t="shared" si="266"/>
        <v>2137.8748801237202</v>
      </c>
      <c r="AR150" s="261">
        <f>(+V150/($AM$98+$Y$178))*('SCHG2-19'!$M$448-'SCHG2-19'!$K$448-'IRR 202 Detail '!$BC$98-'IRR 202 Detail '!$AQ$178)</f>
        <v>0</v>
      </c>
      <c r="AS150" s="261">
        <f>(+W150/($AM$98+$Y$178))*('SCHG2-19'!$M$448-'SCHG2-19'!$K$448-'IRR 202 Detail '!$BC$98-'IRR 202 Detail '!$AQ$178)</f>
        <v>0</v>
      </c>
      <c r="AT150" s="261">
        <f>(+X150/($AM$98+$Y$178))*('SCHG2-19'!$M$448-'SCHG2-19'!$K$448-'IRR 202 Detail '!$BC$98-'IRR 202 Detail '!$AQ$178)</f>
        <v>8250.450280154113</v>
      </c>
      <c r="AU150" s="185">
        <f t="shared" si="267"/>
        <v>8250.450280154113</v>
      </c>
      <c r="AV150" s="156"/>
      <c r="AW150" s="156"/>
      <c r="AX150" s="156"/>
      <c r="AY150" s="156"/>
      <c r="AZ150" s="156"/>
      <c r="BA150" s="156"/>
      <c r="BB150" s="156"/>
      <c r="BC150"/>
      <c r="BD150" s="156"/>
      <c r="BE150" s="156"/>
      <c r="BF150" s="156"/>
      <c r="BG150" s="156"/>
      <c r="BH150" s="156"/>
      <c r="BI150" s="156"/>
      <c r="BJ150" s="156"/>
      <c r="BK150"/>
    </row>
    <row r="151" spans="3:63" x14ac:dyDescent="0.25">
      <c r="E151" s="162"/>
      <c r="F151" s="182"/>
      <c r="G151" s="182"/>
      <c r="H151" s="191" t="s">
        <v>266</v>
      </c>
      <c r="I151" s="190" t="s">
        <v>270</v>
      </c>
      <c r="J151" s="185">
        <v>97580.565847941762</v>
      </c>
      <c r="K151" s="189">
        <v>1</v>
      </c>
      <c r="L151" s="188">
        <v>45352</v>
      </c>
      <c r="M151" s="150">
        <v>1</v>
      </c>
      <c r="N151" s="150">
        <v>0</v>
      </c>
      <c r="O151" s="150">
        <f>M151+N151</f>
        <v>1</v>
      </c>
      <c r="P151" s="187"/>
      <c r="Q151" s="186">
        <f>((13-MONTH(L151)-$AI$5))/12</f>
        <v>0.83333333333333337</v>
      </c>
      <c r="R151" s="152">
        <v>6</v>
      </c>
      <c r="S151" s="150">
        <v>0.9</v>
      </c>
      <c r="T151" s="150">
        <v>0.1</v>
      </c>
      <c r="U151" s="150">
        <f>+S151+T151</f>
        <v>1</v>
      </c>
      <c r="V151" s="147">
        <f>J151*N151*Q151</f>
        <v>0</v>
      </c>
      <c r="W151" s="147">
        <f>J151*M151*Q151*S151</f>
        <v>73185.424385956328</v>
      </c>
      <c r="X151" s="147">
        <f>J151*M151*Q151*T151</f>
        <v>8131.7138206618147</v>
      </c>
      <c r="Y151" s="185">
        <f>V151+W151+X151</f>
        <v>81317.13820661814</v>
      </c>
      <c r="Z151">
        <v>925</v>
      </c>
      <c r="AA151" s="184">
        <f>+J151*M151*T151</f>
        <v>9758.0565847941762</v>
      </c>
      <c r="AB151" s="184">
        <f t="shared" si="261"/>
        <v>9758.0565847941762</v>
      </c>
      <c r="AC151" s="184">
        <f t="shared" si="261"/>
        <v>0</v>
      </c>
      <c r="AJ151" s="261">
        <f t="shared" si="262"/>
        <v>0</v>
      </c>
      <c r="AK151" s="261">
        <f t="shared" si="263"/>
        <v>5854.8339508765066</v>
      </c>
      <c r="AL151" s="261">
        <f t="shared" si="264"/>
        <v>650.53710565294523</v>
      </c>
      <c r="AM151" s="185">
        <f t="shared" si="265"/>
        <v>6505.3710565294514</v>
      </c>
      <c r="AN151" s="261">
        <f>((+V151/($AM$98+$Y$178)*((('SCHG2-19'!$I$448*'SCHG2-19'!$K$15)+'SCHG2-19'!$I$448)*'SCHG2-19'!$M$15)))</f>
        <v>0</v>
      </c>
      <c r="AO151" s="261">
        <f>((+W151/($AM$98+$Y$178)*((('SCHG2-19'!$I$448*'SCHG2-19'!$K$15)+'SCHG2-19'!$I$448)*'SCHG2-19'!$M$15)))</f>
        <v>1333.1578472852004</v>
      </c>
      <c r="AP151" s="261">
        <f>((+X151/($AM$98+$Y$178)*((('SCHG2-19'!$I$448*'SCHG2-19'!$K$15)+'SCHG2-19'!$I$448)*'SCHG2-19'!$M$15)))</f>
        <v>148.12864969835562</v>
      </c>
      <c r="AQ151" s="185">
        <f t="shared" si="266"/>
        <v>1481.2864969835559</v>
      </c>
      <c r="AR151" s="261">
        <f>(+V151/($AM$98+$Y$178))*('SCHG2-19'!$M$448-'SCHG2-19'!$K$448-'IRR 202 Detail '!$BC$98-'IRR 202 Detail '!$AQ$178)</f>
        <v>0</v>
      </c>
      <c r="AS151" s="261">
        <f>(+W151/($AM$98+$Y$178))*('SCHG2-19'!$M$448-'SCHG2-19'!$K$448-'IRR 202 Detail '!$BC$98-'IRR 202 Detail '!$AQ$178)</f>
        <v>5144.9000298779456</v>
      </c>
      <c r="AT151" s="261">
        <f>(+X151/($AM$98+$Y$178))*('SCHG2-19'!$M$448-'SCHG2-19'!$K$448-'IRR 202 Detail '!$BC$98-'IRR 202 Detail '!$AQ$178)</f>
        <v>571.6555588753273</v>
      </c>
      <c r="AU151" s="185">
        <f t="shared" si="267"/>
        <v>5716.5555887532728</v>
      </c>
      <c r="AV151" s="183"/>
      <c r="AW151" s="90"/>
      <c r="AX151" s="183"/>
      <c r="AY151" s="154"/>
      <c r="AZ151" s="154"/>
      <c r="BA151" s="154"/>
      <c r="BB151" s="183"/>
      <c r="BC151"/>
      <c r="BD151" s="183"/>
      <c r="BE151" s="90"/>
      <c r="BF151" s="183"/>
      <c r="BG151" s="154"/>
      <c r="BH151" s="154"/>
      <c r="BI151" s="154"/>
      <c r="BJ151" s="183"/>
      <c r="BK151"/>
    </row>
    <row r="152" spans="3:63" x14ac:dyDescent="0.25">
      <c r="C152" t="s">
        <v>291</v>
      </c>
      <c r="D152" t="s">
        <v>291</v>
      </c>
      <c r="E152" s="162" t="s">
        <v>290</v>
      </c>
      <c r="F152" s="182" t="s">
        <v>289</v>
      </c>
      <c r="G152" s="182"/>
      <c r="H152" s="234" t="s">
        <v>370</v>
      </c>
      <c r="I152" s="233"/>
      <c r="J152" s="227">
        <f>SUM(J147:J151)</f>
        <v>507683.67014832073</v>
      </c>
      <c r="K152" s="232">
        <f>SUM(K147:K151)</f>
        <v>5</v>
      </c>
      <c r="L152" s="229"/>
      <c r="M152" s="231"/>
      <c r="N152" s="231"/>
      <c r="O152" s="231"/>
      <c r="P152" s="231"/>
      <c r="Q152" s="230"/>
      <c r="R152" s="229"/>
      <c r="S152" s="228"/>
      <c r="T152" s="228"/>
      <c r="U152" s="228"/>
      <c r="V152" s="227">
        <f>SUM(V147:V151)</f>
        <v>0</v>
      </c>
      <c r="W152" s="227">
        <f>SUM(W147:W151)</f>
        <v>73185.424385956328</v>
      </c>
      <c r="X152" s="227">
        <f>SUM(X147:X151)</f>
        <v>336917.67991442274</v>
      </c>
      <c r="Y152" s="227">
        <f>SUM(Y147:Y151)</f>
        <v>410103.10430037905</v>
      </c>
      <c r="AA152" s="227">
        <f>SUM(AA147:AA151)</f>
        <v>419861.16088517319</v>
      </c>
      <c r="AB152" s="227">
        <f>SUM(AB147:AB151)</f>
        <v>419861.16088517319</v>
      </c>
      <c r="AC152" s="227">
        <f>SUM(AC147:AC151)</f>
        <v>0</v>
      </c>
      <c r="AH152" s="260"/>
      <c r="AJ152" s="227">
        <f t="shared" ref="AJ152:AU152" si="268">SUM(AJ147:AJ151)</f>
        <v>0</v>
      </c>
      <c r="AK152" s="227">
        <f t="shared" si="268"/>
        <v>5854.8339508765066</v>
      </c>
      <c r="AL152" s="227">
        <f t="shared" si="268"/>
        <v>26953.414393153816</v>
      </c>
      <c r="AM152" s="227">
        <f t="shared" si="268"/>
        <v>32808.248344030326</v>
      </c>
      <c r="AN152" s="227">
        <f t="shared" si="268"/>
        <v>0</v>
      </c>
      <c r="AO152" s="227">
        <f t="shared" si="268"/>
        <v>1333.1578472852004</v>
      </c>
      <c r="AP152" s="227">
        <f t="shared" si="268"/>
        <v>6137.3484219793208</v>
      </c>
      <c r="AQ152" s="227">
        <f t="shared" si="268"/>
        <v>7470.5062692645206</v>
      </c>
      <c r="AR152" s="227">
        <f t="shared" si="268"/>
        <v>0</v>
      </c>
      <c r="AS152" s="227">
        <f t="shared" si="268"/>
        <v>5144.9000298779456</v>
      </c>
      <c r="AT152" s="227">
        <f t="shared" si="268"/>
        <v>23685.150369787949</v>
      </c>
      <c r="AU152" s="227">
        <f t="shared" si="268"/>
        <v>28830.050399665892</v>
      </c>
      <c r="AV152" s="183"/>
      <c r="AW152" s="90"/>
      <c r="AX152" s="192"/>
      <c r="AY152" s="192"/>
      <c r="AZ152" s="192"/>
      <c r="BA152" s="192"/>
      <c r="BB152" s="192"/>
      <c r="BC152"/>
      <c r="BD152" s="183"/>
      <c r="BE152" s="90"/>
      <c r="BF152" s="192"/>
      <c r="BG152" s="192"/>
      <c r="BH152" s="192"/>
      <c r="BI152" s="192"/>
      <c r="BJ152" s="192"/>
      <c r="BK152"/>
    </row>
    <row r="153" spans="3:63" x14ac:dyDescent="0.25">
      <c r="C153" t="s">
        <v>291</v>
      </c>
      <c r="D153" t="s">
        <v>291</v>
      </c>
      <c r="E153" s="162" t="s">
        <v>290</v>
      </c>
      <c r="F153" s="182" t="s">
        <v>289</v>
      </c>
      <c r="G153" s="182"/>
      <c r="H153" s="143"/>
      <c r="I153" s="212"/>
      <c r="J153" s="147"/>
      <c r="K153" s="154"/>
      <c r="L153" s="153"/>
      <c r="Q153" s="186"/>
      <c r="R153" s="151"/>
      <c r="S153" s="150"/>
      <c r="T153" s="150"/>
      <c r="U153" s="150"/>
      <c r="V153" s="147"/>
      <c r="W153" s="147"/>
      <c r="X153" s="147"/>
      <c r="Y153" s="147"/>
      <c r="AH153" s="260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83"/>
      <c r="AW153" s="90"/>
      <c r="AX153" s="192"/>
      <c r="AY153" s="192"/>
      <c r="AZ153" s="192"/>
      <c r="BA153" s="192"/>
      <c r="BB153" s="192"/>
      <c r="BC153"/>
      <c r="BD153" s="183"/>
      <c r="BE153" s="90"/>
      <c r="BF153" s="192"/>
      <c r="BG153" s="192"/>
      <c r="BH153" s="192"/>
      <c r="BI153" s="192"/>
      <c r="BJ153" s="192"/>
      <c r="BK153"/>
    </row>
    <row r="154" spans="3:63" x14ac:dyDescent="0.25">
      <c r="C154" t="s">
        <v>291</v>
      </c>
      <c r="D154" t="s">
        <v>291</v>
      </c>
      <c r="E154" s="162" t="s">
        <v>290</v>
      </c>
      <c r="F154" s="182" t="s">
        <v>289</v>
      </c>
      <c r="G154" s="182"/>
      <c r="H154" s="191" t="s">
        <v>252</v>
      </c>
      <c r="I154" s="190" t="s">
        <v>270</v>
      </c>
      <c r="J154" s="185">
        <v>134064.66757168801</v>
      </c>
      <c r="K154" s="189">
        <v>1</v>
      </c>
      <c r="L154" s="188">
        <v>45292</v>
      </c>
      <c r="M154" s="150">
        <v>1</v>
      </c>
      <c r="N154" s="150">
        <v>0</v>
      </c>
      <c r="O154" s="150">
        <f t="shared" ref="O154:O160" si="269">M154+N154</f>
        <v>1</v>
      </c>
      <c r="P154" s="187"/>
      <c r="Q154" s="186">
        <f t="shared" ref="Q154:Q160" si="270">((13-MONTH(L154)-$AI$5))/12</f>
        <v>1</v>
      </c>
      <c r="R154" s="151">
        <v>8</v>
      </c>
      <c r="S154" s="150">
        <v>0</v>
      </c>
      <c r="T154" s="150">
        <v>1</v>
      </c>
      <c r="U154" s="150">
        <f t="shared" ref="U154:U160" si="271">+S154+T154</f>
        <v>1</v>
      </c>
      <c r="V154" s="147">
        <f t="shared" ref="V154:V160" si="272">J154*N154*Q154</f>
        <v>0</v>
      </c>
      <c r="W154" s="147">
        <f t="shared" ref="W154:W160" si="273">J154*M154*Q154*S154</f>
        <v>0</v>
      </c>
      <c r="X154" s="147">
        <f t="shared" ref="X154:X160" si="274">J154*M154*Q154*T154</f>
        <v>134064.66757168801</v>
      </c>
      <c r="Y154" s="185">
        <f t="shared" ref="Y154:Y160" si="275">V154+W154+X154</f>
        <v>134064.66757168801</v>
      </c>
      <c r="Z154">
        <v>920</v>
      </c>
      <c r="AA154" s="184">
        <f t="shared" ref="AA154:AA160" si="276">+J154*M154*T154</f>
        <v>134064.66757168801</v>
      </c>
      <c r="AB154" s="184">
        <f t="shared" ref="AB154:AC160" si="277">+J154*M154*T154</f>
        <v>134064.66757168801</v>
      </c>
      <c r="AC154" s="184">
        <f t="shared" si="277"/>
        <v>0</v>
      </c>
      <c r="AH154" s="260"/>
      <c r="AJ154" s="261">
        <f t="shared" ref="AJ154:AJ160" si="278">+V154*0.08</f>
        <v>0</v>
      </c>
      <c r="AK154" s="261">
        <f t="shared" ref="AK154:AK160" si="279">+W154*0.08</f>
        <v>0</v>
      </c>
      <c r="AL154" s="261">
        <f t="shared" ref="AL154:AL160" si="280">+X154*0.08</f>
        <v>10725.17340573504</v>
      </c>
      <c r="AM154" s="185">
        <f t="shared" ref="AM154:AM160" si="281">AJ154+AK154+AL154</f>
        <v>10725.17340573504</v>
      </c>
      <c r="AN154" s="261">
        <f>((+V154/($AM$98+$Y$178)*((('SCHG2-19'!$I$448*'SCHG2-19'!$K$15)+'SCHG2-19'!$I$448)*'SCHG2-19'!$M$15)))</f>
        <v>0</v>
      </c>
      <c r="AO154" s="261">
        <f>((+W154/($AM$98+$Y$178)*((('SCHG2-19'!$I$448*'SCHG2-19'!$K$15)+'SCHG2-19'!$I$448)*'SCHG2-19'!$M$15)))</f>
        <v>0</v>
      </c>
      <c r="AP154" s="261">
        <f>((+X154/($AM$98+$Y$178)*((('SCHG2-19'!$I$448*'SCHG2-19'!$K$15)+'SCHG2-19'!$I$448)*'SCHG2-19'!$M$15)))</f>
        <v>2442.1442536742916</v>
      </c>
      <c r="AQ154" s="185">
        <f t="shared" ref="AQ154:AQ160" si="282">AN154+AO154+AP154</f>
        <v>2442.1442536742916</v>
      </c>
      <c r="AR154" s="261">
        <f>(+V154/($AM$98+$Y$178))*('SCHG2-19'!$M$448-'SCHG2-19'!$K$448-'IRR 202 Detail '!$BC$98-'IRR 202 Detail '!$AQ$178)</f>
        <v>0</v>
      </c>
      <c r="AS154" s="261">
        <f>(+W154/($AM$98+$Y$178))*('SCHG2-19'!$M$448-'SCHG2-19'!$K$448-'IRR 202 Detail '!$BC$98-'IRR 202 Detail '!$AQ$178)</f>
        <v>0</v>
      </c>
      <c r="AT154" s="261">
        <f>(+X154/($AM$98+$Y$178))*('SCHG2-19'!$M$448-'SCHG2-19'!$K$448-'IRR 202 Detail '!$BC$98-'IRR 202 Detail '!$AQ$178)</f>
        <v>9424.6814578492995</v>
      </c>
      <c r="AU154" s="185">
        <f t="shared" ref="AU154:AU160" si="283">AR154+AS154+AT154</f>
        <v>9424.6814578492995</v>
      </c>
      <c r="AV154" s="183"/>
      <c r="AW154" s="90"/>
      <c r="AX154" s="192"/>
      <c r="AY154" s="192"/>
      <c r="AZ154" s="192"/>
      <c r="BA154" s="192"/>
      <c r="BB154" s="192"/>
      <c r="BC154"/>
      <c r="BD154" s="183"/>
      <c r="BE154" s="90"/>
      <c r="BF154" s="192"/>
      <c r="BG154" s="192"/>
      <c r="BH154" s="192"/>
      <c r="BI154" s="192"/>
      <c r="BJ154" s="192"/>
      <c r="BK154"/>
    </row>
    <row r="155" spans="3:63" x14ac:dyDescent="0.25">
      <c r="C155" t="s">
        <v>291</v>
      </c>
      <c r="D155" t="s">
        <v>291</v>
      </c>
      <c r="E155" s="162" t="s">
        <v>290</v>
      </c>
      <c r="F155" s="182" t="s">
        <v>289</v>
      </c>
      <c r="G155" s="182"/>
      <c r="H155" s="191" t="s">
        <v>253</v>
      </c>
      <c r="I155" s="190" t="s">
        <v>270</v>
      </c>
      <c r="J155" s="185">
        <v>81760.597151672264</v>
      </c>
      <c r="K155" s="189">
        <v>1</v>
      </c>
      <c r="L155" s="188">
        <v>45352</v>
      </c>
      <c r="M155" s="150">
        <v>1</v>
      </c>
      <c r="N155" s="150">
        <v>0</v>
      </c>
      <c r="O155" s="150">
        <f t="shared" si="269"/>
        <v>1</v>
      </c>
      <c r="P155" s="187"/>
      <c r="Q155" s="186">
        <f t="shared" si="270"/>
        <v>0.83333333333333337</v>
      </c>
      <c r="R155" s="151">
        <v>5</v>
      </c>
      <c r="S155" s="150">
        <v>0</v>
      </c>
      <c r="T155" s="150">
        <v>1</v>
      </c>
      <c r="U155" s="150">
        <f t="shared" si="271"/>
        <v>1</v>
      </c>
      <c r="V155" s="147">
        <f t="shared" si="272"/>
        <v>0</v>
      </c>
      <c r="W155" s="147">
        <f t="shared" si="273"/>
        <v>0</v>
      </c>
      <c r="X155" s="147">
        <f t="shared" si="274"/>
        <v>68133.830959726896</v>
      </c>
      <c r="Y155" s="185">
        <f t="shared" si="275"/>
        <v>68133.830959726896</v>
      </c>
      <c r="Z155">
        <v>920</v>
      </c>
      <c r="AA155" s="184">
        <f t="shared" si="276"/>
        <v>81760.597151672264</v>
      </c>
      <c r="AB155" s="184">
        <f t="shared" si="277"/>
        <v>81760.597151672264</v>
      </c>
      <c r="AC155" s="184">
        <f t="shared" si="277"/>
        <v>0</v>
      </c>
      <c r="AH155" s="260"/>
      <c r="AJ155" s="261">
        <f t="shared" si="278"/>
        <v>0</v>
      </c>
      <c r="AK155" s="261">
        <f t="shared" si="279"/>
        <v>0</v>
      </c>
      <c r="AL155" s="261">
        <f t="shared" si="280"/>
        <v>5450.7064767781521</v>
      </c>
      <c r="AM155" s="185">
        <f t="shared" si="281"/>
        <v>5450.7064767781521</v>
      </c>
      <c r="AN155" s="261">
        <f>((+V155/($AM$98+$Y$178)*((('SCHG2-19'!$I$448*'SCHG2-19'!$K$15)+'SCHG2-19'!$I$448)*'SCHG2-19'!$M$15)))</f>
        <v>0</v>
      </c>
      <c r="AO155" s="261">
        <f>((+W155/($AM$98+$Y$178)*((('SCHG2-19'!$I$448*'SCHG2-19'!$K$15)+'SCHG2-19'!$I$448)*'SCHG2-19'!$M$15)))</f>
        <v>0</v>
      </c>
      <c r="AP155" s="261">
        <f>((+X155/($AM$98+$Y$178)*((('SCHG2-19'!$I$448*'SCHG2-19'!$K$15)+'SCHG2-19'!$I$448)*'SCHG2-19'!$M$15)))</f>
        <v>1241.1371823238806</v>
      </c>
      <c r="AQ155" s="185">
        <f t="shared" si="282"/>
        <v>1241.1371823238806</v>
      </c>
      <c r="AR155" s="261">
        <f>(+V155/($AM$98+$Y$178))*('SCHG2-19'!$M$448-'SCHG2-19'!$K$448-'IRR 202 Detail '!$BC$98-'IRR 202 Detail '!$AQ$178)</f>
        <v>0</v>
      </c>
      <c r="AS155" s="261">
        <f>(+W155/($AM$98+$Y$178))*('SCHG2-19'!$M$448-'SCHG2-19'!$K$448-'IRR 202 Detail '!$BC$98-'IRR 202 Detail '!$AQ$178)</f>
        <v>0</v>
      </c>
      <c r="AT155" s="261">
        <f>(+X155/($AM$98+$Y$178))*('SCHG2-19'!$M$448-'SCHG2-19'!$K$448-'IRR 202 Detail '!$BC$98-'IRR 202 Detail '!$AQ$178)</f>
        <v>4789.7754488892988</v>
      </c>
      <c r="AU155" s="185">
        <f t="shared" si="283"/>
        <v>4789.7754488892988</v>
      </c>
      <c r="AV155" s="183"/>
      <c r="AW155" s="90"/>
      <c r="AX155" s="192"/>
      <c r="AY155" s="192"/>
      <c r="AZ155" s="192"/>
      <c r="BA155" s="192"/>
      <c r="BB155" s="192"/>
      <c r="BC155"/>
      <c r="BD155" s="183"/>
      <c r="BE155" s="90"/>
      <c r="BF155" s="192"/>
      <c r="BG155" s="192"/>
      <c r="BH155" s="192"/>
      <c r="BI155" s="192"/>
      <c r="BJ155" s="192"/>
      <c r="BK155"/>
    </row>
    <row r="156" spans="3:63" ht="30" x14ac:dyDescent="0.25">
      <c r="C156" t="s">
        <v>291</v>
      </c>
      <c r="D156" t="s">
        <v>291</v>
      </c>
      <c r="E156" s="162" t="s">
        <v>290</v>
      </c>
      <c r="F156" s="182" t="s">
        <v>289</v>
      </c>
      <c r="G156" s="182"/>
      <c r="H156" s="191" t="s">
        <v>254</v>
      </c>
      <c r="I156" s="190" t="s">
        <v>270</v>
      </c>
      <c r="J156" s="185">
        <v>81760.597151672264</v>
      </c>
      <c r="K156" s="189">
        <v>1</v>
      </c>
      <c r="L156" s="188">
        <v>45352</v>
      </c>
      <c r="M156" s="150">
        <v>1</v>
      </c>
      <c r="N156" s="150">
        <v>0</v>
      </c>
      <c r="O156" s="150">
        <f t="shared" si="269"/>
        <v>1</v>
      </c>
      <c r="P156" s="187"/>
      <c r="Q156" s="186">
        <f t="shared" si="270"/>
        <v>0.83333333333333337</v>
      </c>
      <c r="R156" s="151">
        <v>5</v>
      </c>
      <c r="S156" s="150">
        <v>0</v>
      </c>
      <c r="T156" s="150">
        <v>1</v>
      </c>
      <c r="U156" s="150">
        <f t="shared" si="271"/>
        <v>1</v>
      </c>
      <c r="V156" s="147">
        <f t="shared" si="272"/>
        <v>0</v>
      </c>
      <c r="W156" s="147">
        <f t="shared" si="273"/>
        <v>0</v>
      </c>
      <c r="X156" s="147">
        <f t="shared" si="274"/>
        <v>68133.830959726896</v>
      </c>
      <c r="Y156" s="185">
        <f t="shared" si="275"/>
        <v>68133.830959726896</v>
      </c>
      <c r="Z156">
        <v>920</v>
      </c>
      <c r="AA156" s="184">
        <f t="shared" si="276"/>
        <v>81760.597151672264</v>
      </c>
      <c r="AB156" s="184">
        <f t="shared" si="277"/>
        <v>81760.597151672264</v>
      </c>
      <c r="AC156" s="184">
        <f t="shared" si="277"/>
        <v>0</v>
      </c>
      <c r="AH156" s="260"/>
      <c r="AJ156" s="261">
        <f t="shared" si="278"/>
        <v>0</v>
      </c>
      <c r="AK156" s="261">
        <f t="shared" si="279"/>
        <v>0</v>
      </c>
      <c r="AL156" s="261">
        <f t="shared" si="280"/>
        <v>5450.7064767781521</v>
      </c>
      <c r="AM156" s="185">
        <f t="shared" si="281"/>
        <v>5450.7064767781521</v>
      </c>
      <c r="AN156" s="261">
        <f>((+V156/($AM$98+$Y$178)*((('SCHG2-19'!$I$448*'SCHG2-19'!$K$15)+'SCHG2-19'!$I$448)*'SCHG2-19'!$M$15)))</f>
        <v>0</v>
      </c>
      <c r="AO156" s="261">
        <f>((+W156/($AM$98+$Y$178)*((('SCHG2-19'!$I$448*'SCHG2-19'!$K$15)+'SCHG2-19'!$I$448)*'SCHG2-19'!$M$15)))</f>
        <v>0</v>
      </c>
      <c r="AP156" s="261">
        <f>((+X156/($AM$98+$Y$178)*((('SCHG2-19'!$I$448*'SCHG2-19'!$K$15)+'SCHG2-19'!$I$448)*'SCHG2-19'!$M$15)))</f>
        <v>1241.1371823238806</v>
      </c>
      <c r="AQ156" s="185">
        <f t="shared" si="282"/>
        <v>1241.1371823238806</v>
      </c>
      <c r="AR156" s="261">
        <f>(+V156/($AM$98+$Y$178))*('SCHG2-19'!$M$448-'SCHG2-19'!$K$448-'IRR 202 Detail '!$BC$98-'IRR 202 Detail '!$AQ$178)</f>
        <v>0</v>
      </c>
      <c r="AS156" s="261">
        <f>(+W156/($AM$98+$Y$178))*('SCHG2-19'!$M$448-'SCHG2-19'!$K$448-'IRR 202 Detail '!$BC$98-'IRR 202 Detail '!$AQ$178)</f>
        <v>0</v>
      </c>
      <c r="AT156" s="261">
        <f>(+X156/($AM$98+$Y$178))*('SCHG2-19'!$M$448-'SCHG2-19'!$K$448-'IRR 202 Detail '!$BC$98-'IRR 202 Detail '!$AQ$178)</f>
        <v>4789.7754488892988</v>
      </c>
      <c r="AU156" s="185">
        <f t="shared" si="283"/>
        <v>4789.7754488892988</v>
      </c>
      <c r="AV156" s="183"/>
      <c r="AW156" s="90"/>
      <c r="AX156" s="192"/>
      <c r="AY156" s="192"/>
      <c r="AZ156" s="192"/>
      <c r="BA156" s="192"/>
      <c r="BB156" s="192"/>
      <c r="BC156"/>
      <c r="BD156" s="183"/>
      <c r="BE156" s="90"/>
      <c r="BF156" s="192"/>
      <c r="BG156" s="192"/>
      <c r="BH156" s="192"/>
      <c r="BI156" s="192"/>
      <c r="BJ156" s="192"/>
      <c r="BK156"/>
    </row>
    <row r="157" spans="3:63" x14ac:dyDescent="0.25">
      <c r="C157" t="s">
        <v>291</v>
      </c>
      <c r="D157" t="s">
        <v>291</v>
      </c>
      <c r="E157" s="162" t="s">
        <v>290</v>
      </c>
      <c r="F157" s="182" t="s">
        <v>289</v>
      </c>
      <c r="G157" s="182"/>
      <c r="H157" s="191" t="s">
        <v>255</v>
      </c>
      <c r="I157" s="190" t="s">
        <v>270</v>
      </c>
      <c r="J157" s="185">
        <v>97580.565847941762</v>
      </c>
      <c r="K157" s="189">
        <v>1</v>
      </c>
      <c r="L157" s="188">
        <v>45352</v>
      </c>
      <c r="M157" s="150">
        <v>1</v>
      </c>
      <c r="N157" s="150">
        <v>0</v>
      </c>
      <c r="O157" s="150">
        <f t="shared" si="269"/>
        <v>1</v>
      </c>
      <c r="P157" s="187"/>
      <c r="Q157" s="186">
        <f t="shared" si="270"/>
        <v>0.83333333333333337</v>
      </c>
      <c r="R157" s="151">
        <v>6</v>
      </c>
      <c r="S157" s="150">
        <v>0</v>
      </c>
      <c r="T157" s="150">
        <v>1</v>
      </c>
      <c r="U157" s="150">
        <f t="shared" si="271"/>
        <v>1</v>
      </c>
      <c r="V157" s="147">
        <f t="shared" si="272"/>
        <v>0</v>
      </c>
      <c r="W157" s="147">
        <f t="shared" si="273"/>
        <v>0</v>
      </c>
      <c r="X157" s="147">
        <f t="shared" si="274"/>
        <v>81317.13820661814</v>
      </c>
      <c r="Y157" s="185">
        <f t="shared" si="275"/>
        <v>81317.13820661814</v>
      </c>
      <c r="Z157">
        <v>920</v>
      </c>
      <c r="AA157" s="184">
        <f t="shared" si="276"/>
        <v>97580.565847941762</v>
      </c>
      <c r="AB157" s="184">
        <f t="shared" si="277"/>
        <v>97580.565847941762</v>
      </c>
      <c r="AC157" s="184">
        <f t="shared" si="277"/>
        <v>0</v>
      </c>
      <c r="AH157" s="260"/>
      <c r="AJ157" s="261">
        <f t="shared" si="278"/>
        <v>0</v>
      </c>
      <c r="AK157" s="261">
        <f t="shared" si="279"/>
        <v>0</v>
      </c>
      <c r="AL157" s="261">
        <f t="shared" si="280"/>
        <v>6505.3710565294514</v>
      </c>
      <c r="AM157" s="185">
        <f t="shared" si="281"/>
        <v>6505.3710565294514</v>
      </c>
      <c r="AN157" s="261">
        <f>((+V157/($AM$98+$Y$178)*((('SCHG2-19'!$I$448*'SCHG2-19'!$K$15)+'SCHG2-19'!$I$448)*'SCHG2-19'!$M$15)))</f>
        <v>0</v>
      </c>
      <c r="AO157" s="261">
        <f>((+W157/($AM$98+$Y$178)*((('SCHG2-19'!$I$448*'SCHG2-19'!$K$15)+'SCHG2-19'!$I$448)*'SCHG2-19'!$M$15)))</f>
        <v>0</v>
      </c>
      <c r="AP157" s="261">
        <f>((+X157/($AM$98+$Y$178)*((('SCHG2-19'!$I$448*'SCHG2-19'!$K$15)+'SCHG2-19'!$I$448)*'SCHG2-19'!$M$15)))</f>
        <v>1481.2864969835562</v>
      </c>
      <c r="AQ157" s="185">
        <f t="shared" si="282"/>
        <v>1481.2864969835562</v>
      </c>
      <c r="AR157" s="261">
        <f>(+V157/($AM$98+$Y$178))*('SCHG2-19'!$M$448-'SCHG2-19'!$K$448-'IRR 202 Detail '!$BC$98-'IRR 202 Detail '!$AQ$178)</f>
        <v>0</v>
      </c>
      <c r="AS157" s="261">
        <f>(+W157/($AM$98+$Y$178))*('SCHG2-19'!$M$448-'SCHG2-19'!$K$448-'IRR 202 Detail '!$BC$98-'IRR 202 Detail '!$AQ$178)</f>
        <v>0</v>
      </c>
      <c r="AT157" s="261">
        <f>(+X157/($AM$98+$Y$178))*('SCHG2-19'!$M$448-'SCHG2-19'!$K$448-'IRR 202 Detail '!$BC$98-'IRR 202 Detail '!$AQ$178)</f>
        <v>5716.5555887532728</v>
      </c>
      <c r="AU157" s="185">
        <f t="shared" si="283"/>
        <v>5716.5555887532728</v>
      </c>
      <c r="AV157" s="183"/>
      <c r="AW157" s="90"/>
      <c r="AX157" s="192"/>
      <c r="AY157" s="192"/>
      <c r="AZ157" s="192"/>
      <c r="BA157" s="192"/>
      <c r="BB157" s="192"/>
      <c r="BC157"/>
      <c r="BD157" s="183"/>
      <c r="BE157" s="90"/>
      <c r="BF157" s="192"/>
      <c r="BG157" s="192"/>
      <c r="BH157" s="192"/>
      <c r="BI157" s="192"/>
      <c r="BJ157" s="192"/>
      <c r="BK157"/>
    </row>
    <row r="158" spans="3:63" x14ac:dyDescent="0.25">
      <c r="C158" t="s">
        <v>291</v>
      </c>
      <c r="D158" t="s">
        <v>291</v>
      </c>
      <c r="E158" s="162" t="s">
        <v>290</v>
      </c>
      <c r="F158" s="182" t="s">
        <v>289</v>
      </c>
      <c r="G158" s="182"/>
      <c r="H158" s="191" t="s">
        <v>256</v>
      </c>
      <c r="I158" s="190" t="s">
        <v>270</v>
      </c>
      <c r="J158" s="185">
        <v>45089.243401797001</v>
      </c>
      <c r="K158" s="189">
        <v>1</v>
      </c>
      <c r="L158" s="188">
        <v>45292</v>
      </c>
      <c r="M158" s="150">
        <v>1</v>
      </c>
      <c r="N158" s="150">
        <v>0</v>
      </c>
      <c r="O158" s="150">
        <f t="shared" si="269"/>
        <v>1</v>
      </c>
      <c r="P158" s="187"/>
      <c r="Q158" s="186">
        <f t="shared" si="270"/>
        <v>1</v>
      </c>
      <c r="R158" s="151">
        <v>1</v>
      </c>
      <c r="S158" s="150">
        <v>0</v>
      </c>
      <c r="T158" s="150">
        <v>1</v>
      </c>
      <c r="U158" s="150">
        <f t="shared" si="271"/>
        <v>1</v>
      </c>
      <c r="V158" s="147">
        <f t="shared" si="272"/>
        <v>0</v>
      </c>
      <c r="W158" s="147">
        <f t="shared" si="273"/>
        <v>0</v>
      </c>
      <c r="X158" s="147">
        <f t="shared" si="274"/>
        <v>45089.243401797001</v>
      </c>
      <c r="Y158" s="185">
        <f t="shared" si="275"/>
        <v>45089.243401797001</v>
      </c>
      <c r="Z158">
        <v>920</v>
      </c>
      <c r="AA158" s="184">
        <f t="shared" si="276"/>
        <v>45089.243401797001</v>
      </c>
      <c r="AB158" s="184">
        <f t="shared" si="277"/>
        <v>45089.243401797001</v>
      </c>
      <c r="AC158" s="184">
        <f t="shared" si="277"/>
        <v>0</v>
      </c>
      <c r="AH158" s="260"/>
      <c r="AJ158" s="261">
        <f t="shared" si="278"/>
        <v>0</v>
      </c>
      <c r="AK158" s="261">
        <f t="shared" si="279"/>
        <v>0</v>
      </c>
      <c r="AL158" s="261">
        <f t="shared" si="280"/>
        <v>3607.13947214376</v>
      </c>
      <c r="AM158" s="185">
        <f t="shared" si="281"/>
        <v>3607.13947214376</v>
      </c>
      <c r="AN158" s="261">
        <f>((+V158/($AM$98+$Y$178)*((('SCHG2-19'!$I$448*'SCHG2-19'!$K$15)+'SCHG2-19'!$I$448)*'SCHG2-19'!$M$15)))</f>
        <v>0</v>
      </c>
      <c r="AO158" s="261">
        <f>((+W158/($AM$98+$Y$178)*((('SCHG2-19'!$I$448*'SCHG2-19'!$K$15)+'SCHG2-19'!$I$448)*'SCHG2-19'!$M$15)))</f>
        <v>0</v>
      </c>
      <c r="AP158" s="261">
        <f>((+X158/($AM$98+$Y$178)*((('SCHG2-19'!$I$448*'SCHG2-19'!$K$15)+'SCHG2-19'!$I$448)*'SCHG2-19'!$M$15)))</f>
        <v>821.35314748264182</v>
      </c>
      <c r="AQ158" s="185">
        <f t="shared" si="282"/>
        <v>821.35314748264182</v>
      </c>
      <c r="AR158" s="261">
        <f>(+V158/($AM$98+$Y$178))*('SCHG2-19'!$M$448-'SCHG2-19'!$K$448-'IRR 202 Detail '!$BC$98-'IRR 202 Detail '!$AQ$178)</f>
        <v>0</v>
      </c>
      <c r="AS158" s="261">
        <f>(+W158/($AM$98+$Y$178))*('SCHG2-19'!$M$448-'SCHG2-19'!$K$448-'IRR 202 Detail '!$BC$98-'IRR 202 Detail '!$AQ$178)</f>
        <v>0</v>
      </c>
      <c r="AT158" s="261">
        <f>(+X158/($AM$98+$Y$178))*('SCHG2-19'!$M$448-'SCHG2-19'!$K$448-'IRR 202 Detail '!$BC$98-'IRR 202 Detail '!$AQ$178)</f>
        <v>3169.7520602147974</v>
      </c>
      <c r="AU158" s="185">
        <f t="shared" si="283"/>
        <v>3169.7520602147974</v>
      </c>
      <c r="AV158" s="183"/>
      <c r="AW158" s="90"/>
      <c r="AX158" s="192"/>
      <c r="AY158" s="192"/>
      <c r="AZ158" s="192"/>
      <c r="BA158" s="192"/>
      <c r="BB158" s="192"/>
      <c r="BC158"/>
      <c r="BD158" s="183"/>
      <c r="BE158" s="90"/>
      <c r="BF158" s="192"/>
      <c r="BG158" s="192"/>
      <c r="BH158" s="192"/>
      <c r="BI158" s="192"/>
      <c r="BJ158" s="192"/>
      <c r="BK158"/>
    </row>
    <row r="159" spans="3:63" x14ac:dyDescent="0.25">
      <c r="C159" t="s">
        <v>288</v>
      </c>
      <c r="E159" s="162"/>
      <c r="F159" s="182"/>
      <c r="G159" s="182"/>
      <c r="H159" s="191" t="s">
        <v>257</v>
      </c>
      <c r="I159" s="190" t="s">
        <v>270</v>
      </c>
      <c r="J159" s="185">
        <v>81760.597151672264</v>
      </c>
      <c r="K159" s="189">
        <v>1</v>
      </c>
      <c r="L159" s="188">
        <v>45292</v>
      </c>
      <c r="M159" s="150">
        <v>1</v>
      </c>
      <c r="N159" s="150">
        <v>0</v>
      </c>
      <c r="O159" s="150">
        <f t="shared" si="269"/>
        <v>1</v>
      </c>
      <c r="P159" s="187"/>
      <c r="Q159" s="186">
        <f t="shared" si="270"/>
        <v>1</v>
      </c>
      <c r="R159" s="151">
        <v>5</v>
      </c>
      <c r="S159" s="150">
        <v>0</v>
      </c>
      <c r="T159" s="150">
        <v>1</v>
      </c>
      <c r="U159" s="150">
        <f t="shared" si="271"/>
        <v>1</v>
      </c>
      <c r="V159" s="147">
        <f t="shared" si="272"/>
        <v>0</v>
      </c>
      <c r="W159" s="147">
        <f t="shared" si="273"/>
        <v>0</v>
      </c>
      <c r="X159" s="147">
        <f t="shared" si="274"/>
        <v>81760.597151672264</v>
      </c>
      <c r="Y159" s="185">
        <f t="shared" si="275"/>
        <v>81760.597151672264</v>
      </c>
      <c r="Z159">
        <v>920</v>
      </c>
      <c r="AA159" s="184">
        <f t="shared" si="276"/>
        <v>81760.597151672264</v>
      </c>
      <c r="AB159" s="184">
        <f t="shared" si="277"/>
        <v>81760.597151672264</v>
      </c>
      <c r="AC159" s="184">
        <f t="shared" si="277"/>
        <v>0</v>
      </c>
      <c r="AH159" s="284"/>
      <c r="AJ159" s="261">
        <f t="shared" si="278"/>
        <v>0</v>
      </c>
      <c r="AK159" s="261">
        <f t="shared" si="279"/>
        <v>0</v>
      </c>
      <c r="AL159" s="261">
        <f t="shared" si="280"/>
        <v>6540.8477721337813</v>
      </c>
      <c r="AM159" s="185">
        <f t="shared" si="281"/>
        <v>6540.8477721337813</v>
      </c>
      <c r="AN159" s="261">
        <f>((+V159/($AM$98+$Y$178)*((('SCHG2-19'!$I$448*'SCHG2-19'!$K$15)+'SCHG2-19'!$I$448)*'SCHG2-19'!$M$15)))</f>
        <v>0</v>
      </c>
      <c r="AO159" s="261">
        <f>((+W159/($AM$98+$Y$178)*((('SCHG2-19'!$I$448*'SCHG2-19'!$K$15)+'SCHG2-19'!$I$448)*'SCHG2-19'!$M$15)))</f>
        <v>0</v>
      </c>
      <c r="AP159" s="261">
        <f>((+X159/($AM$98+$Y$178)*((('SCHG2-19'!$I$448*'SCHG2-19'!$K$15)+'SCHG2-19'!$I$448)*'SCHG2-19'!$M$15)))</f>
        <v>1489.3646187886563</v>
      </c>
      <c r="AQ159" s="185">
        <f t="shared" si="282"/>
        <v>1489.3646187886563</v>
      </c>
      <c r="AR159" s="261">
        <f>(+V159/($AM$98+$Y$178))*('SCHG2-19'!$M$448-'SCHG2-19'!$K$448-'IRR 202 Detail '!$BC$98-'IRR 202 Detail '!$AQ$178)</f>
        <v>0</v>
      </c>
      <c r="AS159" s="261">
        <f>(+W159/($AM$98+$Y$178))*('SCHG2-19'!$M$448-'SCHG2-19'!$K$448-'IRR 202 Detail '!$BC$98-'IRR 202 Detail '!$AQ$178)</f>
        <v>0</v>
      </c>
      <c r="AT159" s="261">
        <f>(+X159/($AM$98+$Y$178))*('SCHG2-19'!$M$448-'SCHG2-19'!$K$448-'IRR 202 Detail '!$BC$98-'IRR 202 Detail '!$AQ$178)</f>
        <v>5747.7305386671578</v>
      </c>
      <c r="AU159" s="185">
        <f t="shared" si="283"/>
        <v>5747.7305386671578</v>
      </c>
      <c r="AV159" s="284"/>
      <c r="AW159" s="284"/>
      <c r="AX159" s="156"/>
      <c r="AY159" s="284"/>
      <c r="AZ159" s="284"/>
      <c r="BA159" s="284"/>
      <c r="BB159" s="284"/>
      <c r="BC159"/>
      <c r="BD159" s="284"/>
      <c r="BE159" s="284"/>
      <c r="BF159" s="156"/>
      <c r="BG159" s="284"/>
      <c r="BH159" s="284"/>
      <c r="BI159" s="284"/>
      <c r="BJ159" s="284"/>
      <c r="BK159"/>
    </row>
    <row r="160" spans="3:63" x14ac:dyDescent="0.25">
      <c r="E160" s="162"/>
      <c r="F160" s="182"/>
      <c r="G160" s="182"/>
      <c r="H160" s="191" t="s">
        <v>258</v>
      </c>
      <c r="I160" s="190" t="s">
        <v>270</v>
      </c>
      <c r="J160" s="185">
        <v>45089.243401797001</v>
      </c>
      <c r="K160" s="189">
        <v>1</v>
      </c>
      <c r="L160" s="188">
        <v>45292</v>
      </c>
      <c r="M160" s="150">
        <v>1</v>
      </c>
      <c r="N160" s="150">
        <v>0</v>
      </c>
      <c r="O160" s="150">
        <f t="shared" si="269"/>
        <v>1</v>
      </c>
      <c r="P160" s="187"/>
      <c r="Q160" s="186">
        <f t="shared" si="270"/>
        <v>1</v>
      </c>
      <c r="R160" s="151">
        <v>1</v>
      </c>
      <c r="S160" s="150">
        <v>0</v>
      </c>
      <c r="T160" s="150">
        <v>1</v>
      </c>
      <c r="U160" s="150">
        <f t="shared" si="271"/>
        <v>1</v>
      </c>
      <c r="V160" s="147">
        <f t="shared" si="272"/>
        <v>0</v>
      </c>
      <c r="W160" s="147">
        <f t="shared" si="273"/>
        <v>0</v>
      </c>
      <c r="X160" s="147">
        <f t="shared" si="274"/>
        <v>45089.243401797001</v>
      </c>
      <c r="Y160" s="185">
        <f t="shared" si="275"/>
        <v>45089.243401797001</v>
      </c>
      <c r="Z160">
        <v>920</v>
      </c>
      <c r="AA160" s="184">
        <f t="shared" si="276"/>
        <v>45089.243401797001</v>
      </c>
      <c r="AB160" s="184">
        <f t="shared" si="277"/>
        <v>45089.243401797001</v>
      </c>
      <c r="AC160" s="184">
        <f t="shared" si="277"/>
        <v>0</v>
      </c>
      <c r="AJ160" s="261">
        <f t="shared" si="278"/>
        <v>0</v>
      </c>
      <c r="AK160" s="261">
        <f t="shared" si="279"/>
        <v>0</v>
      </c>
      <c r="AL160" s="261">
        <f t="shared" si="280"/>
        <v>3607.13947214376</v>
      </c>
      <c r="AM160" s="185">
        <f t="shared" si="281"/>
        <v>3607.13947214376</v>
      </c>
      <c r="AN160" s="261">
        <f>((+V160/($AM$98+$Y$178)*((('SCHG2-19'!$I$448*'SCHG2-19'!$K$15)+'SCHG2-19'!$I$448)*'SCHG2-19'!$M$15)))</f>
        <v>0</v>
      </c>
      <c r="AO160" s="261">
        <f>((+W160/($AM$98+$Y$178)*((('SCHG2-19'!$I$448*'SCHG2-19'!$K$15)+'SCHG2-19'!$I$448)*'SCHG2-19'!$M$15)))</f>
        <v>0</v>
      </c>
      <c r="AP160" s="261">
        <f>((+X160/($AM$98+$Y$178)*((('SCHG2-19'!$I$448*'SCHG2-19'!$K$15)+'SCHG2-19'!$I$448)*'SCHG2-19'!$M$15)))</f>
        <v>821.35314748264182</v>
      </c>
      <c r="AQ160" s="185">
        <f t="shared" si="282"/>
        <v>821.35314748264182</v>
      </c>
      <c r="AR160" s="261">
        <f>(+V160/($AM$98+$Y$178))*('SCHG2-19'!$M$448-'SCHG2-19'!$K$448-'IRR 202 Detail '!$BC$98-'IRR 202 Detail '!$AQ$178)</f>
        <v>0</v>
      </c>
      <c r="AS160" s="261">
        <f>(+W160/($AM$98+$Y$178))*('SCHG2-19'!$M$448-'SCHG2-19'!$K$448-'IRR 202 Detail '!$BC$98-'IRR 202 Detail '!$AQ$178)</f>
        <v>0</v>
      </c>
      <c r="AT160" s="261">
        <f>(+X160/($AM$98+$Y$178))*('SCHG2-19'!$M$448-'SCHG2-19'!$K$448-'IRR 202 Detail '!$BC$98-'IRR 202 Detail '!$AQ$178)</f>
        <v>3169.7520602147974</v>
      </c>
      <c r="AU160" s="185">
        <f t="shared" si="283"/>
        <v>3169.7520602147974</v>
      </c>
      <c r="AV160" s="183"/>
      <c r="AW160" s="90"/>
      <c r="AX160" s="183"/>
      <c r="AY160" s="154"/>
      <c r="AZ160" s="154"/>
      <c r="BA160" s="154"/>
      <c r="BB160" s="183"/>
      <c r="BC160"/>
      <c r="BD160" s="183"/>
      <c r="BE160" s="90"/>
      <c r="BF160" s="183"/>
      <c r="BG160" s="154"/>
      <c r="BH160" s="154"/>
      <c r="BI160" s="154"/>
      <c r="BJ160" s="183"/>
      <c r="BK160"/>
    </row>
    <row r="161" spans="3:63" x14ac:dyDescent="0.25">
      <c r="C161" t="s">
        <v>287</v>
      </c>
      <c r="D161" t="s">
        <v>287</v>
      </c>
      <c r="E161" s="162" t="s">
        <v>286</v>
      </c>
      <c r="F161" s="182" t="s">
        <v>285</v>
      </c>
      <c r="G161" s="182"/>
      <c r="H161" s="226" t="s">
        <v>371</v>
      </c>
      <c r="I161" s="225"/>
      <c r="J161" s="220">
        <f>SUM(J154:J160)</f>
        <v>567105.51167824061</v>
      </c>
      <c r="K161" s="224">
        <f>SUM(K154:K160)</f>
        <v>7</v>
      </c>
      <c r="L161" s="222"/>
      <c r="M161" s="223"/>
      <c r="N161" s="223"/>
      <c r="O161" s="223"/>
      <c r="P161" s="223"/>
      <c r="Q161" s="222"/>
      <c r="R161" s="222"/>
      <c r="S161" s="221"/>
      <c r="T161" s="221"/>
      <c r="U161" s="221"/>
      <c r="V161" s="220">
        <f>SUM(V154:V160)</f>
        <v>0</v>
      </c>
      <c r="W161" s="220">
        <f>SUM(W154:W160)</f>
        <v>0</v>
      </c>
      <c r="X161" s="220">
        <f>SUM(X154:X160)</f>
        <v>523588.55165302625</v>
      </c>
      <c r="Y161" s="220">
        <f>SUM(Y154:Y160)</f>
        <v>523588.55165302625</v>
      </c>
      <c r="AA161" s="220">
        <f>SUM(AA154:AA160)</f>
        <v>567105.51167824061</v>
      </c>
      <c r="AB161" s="220">
        <f>SUM(AB154:AB160)</f>
        <v>567105.51167824061</v>
      </c>
      <c r="AC161" s="220">
        <f>SUM(AC154:AC160)</f>
        <v>0</v>
      </c>
      <c r="AH161" s="260"/>
      <c r="AJ161" s="220">
        <f t="shared" ref="AJ161:AU161" si="284">SUM(AJ154:AJ160)</f>
        <v>0</v>
      </c>
      <c r="AK161" s="220">
        <f t="shared" si="284"/>
        <v>0</v>
      </c>
      <c r="AL161" s="220">
        <f t="shared" si="284"/>
        <v>41887.084132242104</v>
      </c>
      <c r="AM161" s="220">
        <f t="shared" si="284"/>
        <v>41887.084132242104</v>
      </c>
      <c r="AN161" s="220">
        <f t="shared" si="284"/>
        <v>0</v>
      </c>
      <c r="AO161" s="220">
        <f t="shared" si="284"/>
        <v>0</v>
      </c>
      <c r="AP161" s="220">
        <f t="shared" si="284"/>
        <v>9537.7760290595488</v>
      </c>
      <c r="AQ161" s="220">
        <f t="shared" si="284"/>
        <v>9537.7760290595488</v>
      </c>
      <c r="AR161" s="220">
        <f t="shared" si="284"/>
        <v>0</v>
      </c>
      <c r="AS161" s="220">
        <f t="shared" si="284"/>
        <v>0</v>
      </c>
      <c r="AT161" s="220">
        <f t="shared" si="284"/>
        <v>36808.022603477919</v>
      </c>
      <c r="AU161" s="220">
        <f t="shared" si="284"/>
        <v>36808.022603477919</v>
      </c>
      <c r="AV161" s="183"/>
      <c r="AW161" s="90"/>
      <c r="AX161" s="192"/>
      <c r="AY161" s="192"/>
      <c r="AZ161" s="192"/>
      <c r="BA161" s="192"/>
      <c r="BB161" s="192"/>
      <c r="BC161"/>
      <c r="BD161" s="183"/>
      <c r="BE161" s="90"/>
      <c r="BF161" s="192"/>
      <c r="BG161" s="192"/>
      <c r="BH161" s="192"/>
      <c r="BI161" s="192"/>
      <c r="BJ161" s="192"/>
      <c r="BK161"/>
    </row>
    <row r="162" spans="3:63" x14ac:dyDescent="0.25">
      <c r="C162" t="s">
        <v>284</v>
      </c>
      <c r="E162" s="162"/>
      <c r="F162" s="182"/>
      <c r="G162" s="182"/>
      <c r="H162" s="143"/>
      <c r="I162" s="212"/>
      <c r="J162" s="147"/>
      <c r="K162" s="154"/>
      <c r="Q162" s="186"/>
      <c r="R162" s="151"/>
      <c r="S162" s="150"/>
      <c r="T162" s="150"/>
      <c r="U162" s="150"/>
      <c r="V162" s="147"/>
      <c r="W162" s="147"/>
      <c r="X162" s="147"/>
      <c r="Y162" s="147"/>
      <c r="AH162" s="156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56"/>
      <c r="AW162" s="156"/>
      <c r="AX162" s="156"/>
      <c r="AY162" s="156"/>
      <c r="AZ162" s="156"/>
      <c r="BA162" s="156"/>
      <c r="BB162" s="156"/>
      <c r="BC162"/>
      <c r="BD162" s="156"/>
      <c r="BE162" s="156"/>
      <c r="BF162" s="156"/>
      <c r="BG162" s="156"/>
      <c r="BH162" s="156"/>
      <c r="BI162" s="156"/>
      <c r="BJ162" s="156"/>
      <c r="BK162"/>
    </row>
    <row r="163" spans="3:63" x14ac:dyDescent="0.25">
      <c r="E163" s="162"/>
      <c r="F163" s="182"/>
      <c r="G163" s="182"/>
      <c r="H163" s="191" t="s">
        <v>283</v>
      </c>
      <c r="I163" s="190" t="s">
        <v>270</v>
      </c>
      <c r="J163" s="185">
        <v>0</v>
      </c>
      <c r="K163" s="189">
        <v>0</v>
      </c>
      <c r="L163" s="188">
        <v>45292</v>
      </c>
      <c r="M163" s="150">
        <v>1</v>
      </c>
      <c r="N163" s="150">
        <v>0</v>
      </c>
      <c r="O163" s="150">
        <f>M163+N163</f>
        <v>1</v>
      </c>
      <c r="P163" s="187"/>
      <c r="Q163" s="186">
        <f>((13-MONTH(L163)-$AI$5))/12</f>
        <v>1</v>
      </c>
      <c r="R163" s="151">
        <v>5</v>
      </c>
      <c r="S163" s="150">
        <v>0</v>
      </c>
      <c r="T163" s="150">
        <v>1</v>
      </c>
      <c r="U163" s="150">
        <f>+S163+T163</f>
        <v>1</v>
      </c>
      <c r="V163" s="147">
        <f>J163*N163*Q163</f>
        <v>0</v>
      </c>
      <c r="W163" s="147">
        <f>J163*M163*Q163*S163</f>
        <v>0</v>
      </c>
      <c r="X163" s="147">
        <f>J163*M163*Q163*T163</f>
        <v>0</v>
      </c>
      <c r="Y163" s="185">
        <f>V163+W163+X163</f>
        <v>0</v>
      </c>
      <c r="Z163">
        <v>920</v>
      </c>
      <c r="AA163" s="184">
        <f>+J163*M163*T163</f>
        <v>0</v>
      </c>
      <c r="AB163" s="184">
        <f>+J163*M163*T163</f>
        <v>0</v>
      </c>
      <c r="AC163" s="184">
        <f>+K163*N163*U163</f>
        <v>0</v>
      </c>
      <c r="AJ163" s="261">
        <f>+V163*0.08</f>
        <v>0</v>
      </c>
      <c r="AK163" s="261">
        <f t="shared" ref="AK163" si="285">+W163*0.08</f>
        <v>0</v>
      </c>
      <c r="AL163" s="261">
        <f t="shared" ref="AL163" si="286">+X163*0.08</f>
        <v>0</v>
      </c>
      <c r="AM163" s="185">
        <f t="shared" ref="AM163" si="287">AJ163+AK163+AL163</f>
        <v>0</v>
      </c>
      <c r="AN163" s="261">
        <f>((+V163/($AM$98+$Y$178)*((('SCHG2-19'!$I$448*'SCHG2-19'!$K$15)+'SCHG2-19'!$I$448)*'SCHG2-19'!$M$15)))</f>
        <v>0</v>
      </c>
      <c r="AO163" s="261">
        <f>((+W163/($AM$98+$Y$178)*((('SCHG2-19'!$I$448*'SCHG2-19'!$K$15)+'SCHG2-19'!$I$448)*'SCHG2-19'!$M$15)))</f>
        <v>0</v>
      </c>
      <c r="AP163" s="261">
        <f>((+X163/($AM$98+$Y$178)*((('SCHG2-19'!$I$448*'SCHG2-19'!$K$15)+'SCHG2-19'!$I$448)*'SCHG2-19'!$M$15)))</f>
        <v>0</v>
      </c>
      <c r="AQ163" s="185">
        <f t="shared" ref="AQ163" si="288">AN163+AO163+AP163</f>
        <v>0</v>
      </c>
      <c r="AR163" s="261">
        <f>(+V163/($AM$98+$Y$178))*('SCHG2-19'!$M$448-'SCHG2-19'!$K$448-'IRR 202 Detail '!$BC$98-'IRR 202 Detail '!$AQ$178)</f>
        <v>0</v>
      </c>
      <c r="AS163" s="261">
        <f>(+W163/($AM$98+$Y$178))*('SCHG2-19'!$M$448-'SCHG2-19'!$K$448-'IRR 202 Detail '!$BC$98-'IRR 202 Detail '!$AQ$178)</f>
        <v>0</v>
      </c>
      <c r="AT163" s="261">
        <f>(+X163/($AM$98+$Y$178))*('SCHG2-19'!$M$448-'SCHG2-19'!$K$448-'IRR 202 Detail '!$BC$98-'IRR 202 Detail '!$AQ$178)</f>
        <v>0</v>
      </c>
      <c r="AU163" s="185">
        <f t="shared" ref="AU163" si="289">AR163+AS163+AT163</f>
        <v>0</v>
      </c>
      <c r="AV163" s="183"/>
      <c r="AW163" s="90"/>
      <c r="AX163" s="183"/>
      <c r="AY163" s="154"/>
      <c r="AZ163" s="154"/>
      <c r="BA163" s="154"/>
      <c r="BB163" s="183"/>
      <c r="BC163"/>
      <c r="BD163" s="183"/>
      <c r="BE163" s="90"/>
      <c r="BF163" s="183"/>
      <c r="BG163" s="154"/>
      <c r="BH163" s="154"/>
      <c r="BI163" s="154"/>
      <c r="BJ163" s="183"/>
      <c r="BK163"/>
    </row>
    <row r="164" spans="3:63" x14ac:dyDescent="0.25">
      <c r="C164" s="83" t="s">
        <v>282</v>
      </c>
      <c r="D164" s="83" t="s">
        <v>282</v>
      </c>
      <c r="E164" s="162" t="s">
        <v>281</v>
      </c>
      <c r="F164" s="182" t="s">
        <v>280</v>
      </c>
      <c r="G164" s="182"/>
      <c r="H164" s="219" t="s">
        <v>372</v>
      </c>
      <c r="I164" s="218"/>
      <c r="J164" s="213">
        <f>SUM(J163:J163)</f>
        <v>0</v>
      </c>
      <c r="K164" s="217">
        <f>SUM(K163:K163)</f>
        <v>0</v>
      </c>
      <c r="L164" s="215"/>
      <c r="M164" s="216"/>
      <c r="N164" s="216"/>
      <c r="O164" s="216"/>
      <c r="P164" s="216"/>
      <c r="Q164" s="215"/>
      <c r="R164" s="215"/>
      <c r="S164" s="214"/>
      <c r="T164" s="214"/>
      <c r="U164" s="214"/>
      <c r="V164" s="213">
        <f>SUM(V163:V163)</f>
        <v>0</v>
      </c>
      <c r="W164" s="213">
        <f>SUM(W163:W163)</f>
        <v>0</v>
      </c>
      <c r="X164" s="213">
        <f>SUM(X163:X163)</f>
        <v>0</v>
      </c>
      <c r="Y164" s="213">
        <f>SUM(Y163:Y163)</f>
        <v>0</v>
      </c>
      <c r="AA164" s="213">
        <f>SUM(AA163:AA163)</f>
        <v>0</v>
      </c>
      <c r="AB164" s="213">
        <f>SUM(AB163:AB163)</f>
        <v>0</v>
      </c>
      <c r="AC164" s="213">
        <f>SUM(AC163:AC163)</f>
        <v>0</v>
      </c>
      <c r="AH164" s="260"/>
      <c r="AJ164" s="213">
        <f t="shared" ref="AJ164:AU164" si="290">SUM(AJ163:AJ163)</f>
        <v>0</v>
      </c>
      <c r="AK164" s="213">
        <f t="shared" si="290"/>
        <v>0</v>
      </c>
      <c r="AL164" s="213">
        <f t="shared" si="290"/>
        <v>0</v>
      </c>
      <c r="AM164" s="213">
        <f t="shared" si="290"/>
        <v>0</v>
      </c>
      <c r="AN164" s="213">
        <f t="shared" si="290"/>
        <v>0</v>
      </c>
      <c r="AO164" s="213">
        <f t="shared" si="290"/>
        <v>0</v>
      </c>
      <c r="AP164" s="213">
        <f t="shared" si="290"/>
        <v>0</v>
      </c>
      <c r="AQ164" s="213">
        <f t="shared" si="290"/>
        <v>0</v>
      </c>
      <c r="AR164" s="213">
        <f t="shared" si="290"/>
        <v>0</v>
      </c>
      <c r="AS164" s="213">
        <f t="shared" si="290"/>
        <v>0</v>
      </c>
      <c r="AT164" s="213">
        <f t="shared" si="290"/>
        <v>0</v>
      </c>
      <c r="AU164" s="213">
        <f t="shared" si="290"/>
        <v>0</v>
      </c>
      <c r="AV164" s="183"/>
      <c r="AW164" s="90"/>
      <c r="AX164" s="192"/>
      <c r="AY164" s="192"/>
      <c r="AZ164" s="192"/>
      <c r="BA164" s="192"/>
      <c r="BB164" s="192"/>
      <c r="BC164"/>
      <c r="BD164" s="183"/>
      <c r="BE164" s="90"/>
      <c r="BF164" s="192"/>
      <c r="BG164" s="192"/>
      <c r="BH164" s="192"/>
      <c r="BI164" s="192"/>
      <c r="BJ164" s="192"/>
      <c r="BK164"/>
    </row>
    <row r="165" spans="3:63" x14ac:dyDescent="0.25">
      <c r="C165" s="83" t="s">
        <v>282</v>
      </c>
      <c r="D165" s="83" t="s">
        <v>282</v>
      </c>
      <c r="E165" s="162" t="s">
        <v>281</v>
      </c>
      <c r="F165" s="182" t="s">
        <v>280</v>
      </c>
      <c r="G165" s="182"/>
      <c r="H165" s="143"/>
      <c r="I165" s="212"/>
      <c r="J165" s="147"/>
      <c r="K165" s="154"/>
      <c r="Q165" s="186"/>
      <c r="R165" s="151"/>
      <c r="S165" s="150"/>
      <c r="T165" s="150"/>
      <c r="U165" s="150"/>
      <c r="V165" s="147"/>
      <c r="W165" s="147"/>
      <c r="X165" s="147"/>
      <c r="Y165" s="147"/>
      <c r="AH165" s="260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83"/>
      <c r="AW165" s="90"/>
      <c r="AX165" s="192"/>
      <c r="AY165" s="192"/>
      <c r="AZ165" s="192"/>
      <c r="BA165" s="192"/>
      <c r="BB165" s="192"/>
      <c r="BC165"/>
      <c r="BD165" s="183"/>
      <c r="BE165" s="90"/>
      <c r="BF165" s="192"/>
      <c r="BG165" s="192"/>
      <c r="BH165" s="192"/>
      <c r="BI165" s="192"/>
      <c r="BJ165" s="192"/>
      <c r="BK165"/>
    </row>
    <row r="166" spans="3:63" x14ac:dyDescent="0.25">
      <c r="C166" t="s">
        <v>279</v>
      </c>
      <c r="D166" s="83"/>
      <c r="E166" s="162"/>
      <c r="F166" s="182"/>
      <c r="G166" s="182"/>
      <c r="H166" s="191" t="s">
        <v>259</v>
      </c>
      <c r="I166" s="190" t="s">
        <v>270</v>
      </c>
      <c r="J166" s="185">
        <v>59625.568350038251</v>
      </c>
      <c r="K166" s="189">
        <v>1</v>
      </c>
      <c r="L166" s="188">
        <v>45292</v>
      </c>
      <c r="M166" s="150">
        <v>0.8</v>
      </c>
      <c r="N166" s="150">
        <v>0.2</v>
      </c>
      <c r="O166" s="150">
        <f>M166+N166</f>
        <v>1</v>
      </c>
      <c r="P166" s="187" t="s">
        <v>278</v>
      </c>
      <c r="Q166" s="186">
        <f>((13-MONTH(L166)-$AI$5))/12</f>
        <v>1</v>
      </c>
      <c r="R166" s="151">
        <v>3</v>
      </c>
      <c r="S166" s="150">
        <v>0</v>
      </c>
      <c r="T166" s="150">
        <v>1</v>
      </c>
      <c r="U166" s="150">
        <f>+S166+T166</f>
        <v>1</v>
      </c>
      <c r="V166" s="147">
        <f>J166*N166*Q166</f>
        <v>11925.113670007651</v>
      </c>
      <c r="W166" s="147">
        <f>J166*M166*Q166*S166</f>
        <v>0</v>
      </c>
      <c r="X166" s="147">
        <f>J166*M166*Q166*T166</f>
        <v>47700.454680030605</v>
      </c>
      <c r="Y166" s="185">
        <f>V166+W166+X166</f>
        <v>59625.568350038258</v>
      </c>
      <c r="Z166">
        <v>920</v>
      </c>
      <c r="AA166" s="184">
        <f>+J166*M166*T166</f>
        <v>47700.454680030605</v>
      </c>
      <c r="AB166" s="184">
        <f>+J166*M166*T166</f>
        <v>47700.454680030605</v>
      </c>
      <c r="AC166" s="184">
        <f>+K166*N166*U166</f>
        <v>0.2</v>
      </c>
      <c r="AH166" s="156"/>
      <c r="AI166" s="143"/>
      <c r="AJ166" s="261">
        <f t="shared" ref="AJ166:AJ167" si="291">+V166*0.08</f>
        <v>954.00909360061212</v>
      </c>
      <c r="AK166" s="261">
        <f t="shared" ref="AK166:AK167" si="292">+W166*0.08</f>
        <v>0</v>
      </c>
      <c r="AL166" s="261">
        <f t="shared" ref="AL166:AL167" si="293">+X166*0.08</f>
        <v>3816.0363744024485</v>
      </c>
      <c r="AM166" s="185">
        <f t="shared" ref="AM166:AM167" si="294">AJ166+AK166+AL166</f>
        <v>4770.0454680030607</v>
      </c>
      <c r="AN166" s="261">
        <f>((+V166/($AM$98+$Y$178)*((('SCHG2-19'!$I$448*'SCHG2-19'!$K$15)+'SCHG2-19'!$I$448)*'SCHG2-19'!$M$15)))</f>
        <v>217.22985146738344</v>
      </c>
      <c r="AO166" s="261">
        <f>((+W166/($AM$98+$Y$178)*((('SCHG2-19'!$I$448*'SCHG2-19'!$K$15)+'SCHG2-19'!$I$448)*'SCHG2-19'!$M$15)))</f>
        <v>0</v>
      </c>
      <c r="AP166" s="261">
        <f>((+X166/($AM$98+$Y$178)*((('SCHG2-19'!$I$448*'SCHG2-19'!$K$15)+'SCHG2-19'!$I$448)*'SCHG2-19'!$M$15)))</f>
        <v>868.91940586953376</v>
      </c>
      <c r="AQ166" s="185">
        <f t="shared" ref="AQ166:AQ167" si="295">AN166+AO166+AP166</f>
        <v>1086.1492573369171</v>
      </c>
      <c r="AR166" s="261">
        <f>(+V166/($AM$98+$Y$178))*('SCHG2-19'!$M$448-'SCHG2-19'!$K$448-'IRR 202 Detail '!$BC$98-'IRR 202 Detail '!$AQ$178)</f>
        <v>838.32973835830467</v>
      </c>
      <c r="AS166" s="261">
        <f>(+W166/($AM$98+$Y$178))*('SCHG2-19'!$M$448-'SCHG2-19'!$K$448-'IRR 202 Detail '!$BC$98-'IRR 202 Detail '!$AQ$178)</f>
        <v>0</v>
      </c>
      <c r="AT166" s="261">
        <f>(+X166/($AM$98+$Y$178))*('SCHG2-19'!$M$448-'SCHG2-19'!$K$448-'IRR 202 Detail '!$BC$98-'IRR 202 Detail '!$AQ$178)</f>
        <v>3353.3189534332187</v>
      </c>
      <c r="AU166" s="185">
        <f t="shared" ref="AU166:AU167" si="296">AR166+AS166+AT166</f>
        <v>4191.6486917915236</v>
      </c>
      <c r="AV166" s="156"/>
      <c r="AW166" s="156"/>
      <c r="AX166" s="156"/>
      <c r="AY166" s="156"/>
      <c r="AZ166" s="156"/>
      <c r="BA166" s="156"/>
      <c r="BB166" s="156"/>
      <c r="BC166"/>
      <c r="BD166" s="156"/>
      <c r="BE166" s="156"/>
      <c r="BF166" s="156"/>
      <c r="BG166" s="156"/>
      <c r="BH166" s="156"/>
      <c r="BI166" s="156"/>
      <c r="BJ166" s="156"/>
      <c r="BK166"/>
    </row>
    <row r="167" spans="3:63" x14ac:dyDescent="0.25">
      <c r="C167" s="83"/>
      <c r="D167" s="83"/>
      <c r="E167" s="162"/>
      <c r="F167" s="182"/>
      <c r="G167" s="182"/>
      <c r="H167" s="191" t="s">
        <v>260</v>
      </c>
      <c r="I167" s="190" t="s">
        <v>270</v>
      </c>
      <c r="J167" s="185">
        <v>195161.13169588352</v>
      </c>
      <c r="K167" s="189">
        <v>2</v>
      </c>
      <c r="L167" s="188">
        <v>45292</v>
      </c>
      <c r="M167" s="150">
        <v>0.7</v>
      </c>
      <c r="N167" s="150">
        <v>0.3</v>
      </c>
      <c r="O167" s="150">
        <f>M167+N167</f>
        <v>1</v>
      </c>
      <c r="P167" s="187" t="s">
        <v>278</v>
      </c>
      <c r="Q167" s="186">
        <f>((13-MONTH(L167)-$AI$5))/12</f>
        <v>1</v>
      </c>
      <c r="R167" s="151">
        <v>6</v>
      </c>
      <c r="S167" s="150">
        <v>0</v>
      </c>
      <c r="T167" s="150">
        <v>1</v>
      </c>
      <c r="U167" s="150">
        <f>+S167+T167</f>
        <v>1</v>
      </c>
      <c r="V167" s="147">
        <f>J167*N167*Q167</f>
        <v>58548.339508765057</v>
      </c>
      <c r="W167" s="147">
        <f>J167*M167*Q167*S167</f>
        <v>0</v>
      </c>
      <c r="X167" s="147">
        <f>J167*M167*Q167*T167</f>
        <v>136612.79218711847</v>
      </c>
      <c r="Y167" s="185">
        <f>V167+W167+X167</f>
        <v>195161.13169588352</v>
      </c>
      <c r="Z167">
        <v>920</v>
      </c>
      <c r="AA167" s="184">
        <f>+J167*M167*T167</f>
        <v>136612.79218711847</v>
      </c>
      <c r="AB167" s="184">
        <f>+J167*M167*T167</f>
        <v>136612.79218711847</v>
      </c>
      <c r="AC167" s="184">
        <f>+K167*N167*U167</f>
        <v>0.6</v>
      </c>
      <c r="AH167" s="150"/>
      <c r="AI167" s="143"/>
      <c r="AJ167" s="261">
        <f t="shared" si="291"/>
        <v>4683.8671607012047</v>
      </c>
      <c r="AK167" s="261">
        <f t="shared" si="292"/>
        <v>0</v>
      </c>
      <c r="AL167" s="261">
        <f t="shared" si="293"/>
        <v>10929.023374969478</v>
      </c>
      <c r="AM167" s="185">
        <f t="shared" si="294"/>
        <v>15612.890535670682</v>
      </c>
      <c r="AN167" s="261">
        <f>((+V167/($AM$98+$Y$178)*((('SCHG2-19'!$I$448*'SCHG2-19'!$K$15)+'SCHG2-19'!$I$448)*'SCHG2-19'!$M$15)))</f>
        <v>1066.5262778281603</v>
      </c>
      <c r="AO167" s="261">
        <f>((+W167/($AM$98+$Y$178)*((('SCHG2-19'!$I$448*'SCHG2-19'!$K$15)+'SCHG2-19'!$I$448)*'SCHG2-19'!$M$15)))</f>
        <v>0</v>
      </c>
      <c r="AP167" s="261">
        <f>((+X167/($AM$98+$Y$178)*((('SCHG2-19'!$I$448*'SCHG2-19'!$K$15)+'SCHG2-19'!$I$448)*'SCHG2-19'!$M$15)))</f>
        <v>2488.561314932374</v>
      </c>
      <c r="AQ167" s="185">
        <f t="shared" si="295"/>
        <v>3555.0875927605343</v>
      </c>
      <c r="AR167" s="261">
        <f>(+V167/($AM$98+$Y$178))*('SCHG2-19'!$M$448-'SCHG2-19'!$K$448-'IRR 202 Detail '!$BC$98-'IRR 202 Detail '!$AQ$178)</f>
        <v>4115.9200239023558</v>
      </c>
      <c r="AS167" s="261">
        <f>(+W167/($AM$98+$Y$178))*('SCHG2-19'!$M$448-'SCHG2-19'!$K$448-'IRR 202 Detail '!$BC$98-'IRR 202 Detail '!$AQ$178)</f>
        <v>0</v>
      </c>
      <c r="AT167" s="261">
        <f>(+X167/($AM$98+$Y$178))*('SCHG2-19'!$M$448-'SCHG2-19'!$K$448-'IRR 202 Detail '!$BC$98-'IRR 202 Detail '!$AQ$178)</f>
        <v>9603.8133891054986</v>
      </c>
      <c r="AU167" s="185">
        <f t="shared" si="296"/>
        <v>13719.733413007854</v>
      </c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</row>
    <row r="168" spans="3:63" x14ac:dyDescent="0.25">
      <c r="C168" t="s">
        <v>277</v>
      </c>
      <c r="D168" t="s">
        <v>277</v>
      </c>
      <c r="E168" s="162" t="s">
        <v>276</v>
      </c>
      <c r="F168" s="182" t="s">
        <v>275</v>
      </c>
      <c r="G168" s="182"/>
      <c r="H168" s="211" t="s">
        <v>373</v>
      </c>
      <c r="I168" s="210"/>
      <c r="J168" s="205">
        <f>SUM(J166:J167)</f>
        <v>254786.70004592178</v>
      </c>
      <c r="K168" s="209">
        <f>SUM(K166:K167)</f>
        <v>3</v>
      </c>
      <c r="L168" s="207"/>
      <c r="M168" s="208"/>
      <c r="N168" s="208"/>
      <c r="O168" s="208"/>
      <c r="P168" s="208"/>
      <c r="Q168" s="207"/>
      <c r="R168" s="207"/>
      <c r="S168" s="206"/>
      <c r="T168" s="206"/>
      <c r="U168" s="206"/>
      <c r="V168" s="205">
        <f>SUM(V166:V167)</f>
        <v>70473.453178772703</v>
      </c>
      <c r="W168" s="205">
        <f>SUM(W166:W167)</f>
        <v>0</v>
      </c>
      <c r="X168" s="205">
        <f>SUM(X166:X167)</f>
        <v>184313.24686714908</v>
      </c>
      <c r="Y168" s="205">
        <f>SUM(Y166:Y167)</f>
        <v>254786.70004592178</v>
      </c>
      <c r="AA168" s="205">
        <f>SUM(AA166:AA167)</f>
        <v>184313.24686714908</v>
      </c>
      <c r="AB168" s="205">
        <f>SUM(AB166:AB167)</f>
        <v>184313.24686714908</v>
      </c>
      <c r="AC168" s="205">
        <f>SUM(AC166:AC167)</f>
        <v>0.8</v>
      </c>
      <c r="AH168" s="260"/>
      <c r="AJ168" s="205">
        <f t="shared" ref="AJ168:AU168" si="297">SUM(AJ166:AJ167)</f>
        <v>5637.8762543018165</v>
      </c>
      <c r="AK168" s="205">
        <f t="shared" si="297"/>
        <v>0</v>
      </c>
      <c r="AL168" s="205">
        <f t="shared" si="297"/>
        <v>14745.059749371927</v>
      </c>
      <c r="AM168" s="205">
        <f t="shared" si="297"/>
        <v>20382.936003673742</v>
      </c>
      <c r="AN168" s="205">
        <f t="shared" si="297"/>
        <v>1283.7561292955438</v>
      </c>
      <c r="AO168" s="205">
        <f t="shared" si="297"/>
        <v>0</v>
      </c>
      <c r="AP168" s="205">
        <f t="shared" si="297"/>
        <v>3357.4807208019079</v>
      </c>
      <c r="AQ168" s="205">
        <f t="shared" si="297"/>
        <v>4641.2368500974517</v>
      </c>
      <c r="AR168" s="205">
        <f t="shared" si="297"/>
        <v>4954.2497622606606</v>
      </c>
      <c r="AS168" s="205">
        <f t="shared" si="297"/>
        <v>0</v>
      </c>
      <c r="AT168" s="205">
        <f t="shared" si="297"/>
        <v>12957.132342538716</v>
      </c>
      <c r="AU168" s="205">
        <f t="shared" si="297"/>
        <v>17911.382104799377</v>
      </c>
      <c r="AV168" s="183"/>
      <c r="AW168" s="90"/>
      <c r="AX168" s="192"/>
      <c r="AY168" s="192"/>
      <c r="AZ168" s="192"/>
      <c r="BA168" s="192"/>
      <c r="BB168" s="192"/>
      <c r="BC168"/>
      <c r="BD168" s="183"/>
      <c r="BE168" s="90"/>
      <c r="BF168" s="192"/>
      <c r="BG168" s="192"/>
      <c r="BH168" s="192"/>
      <c r="BI168" s="192"/>
      <c r="BJ168" s="192"/>
      <c r="BK168"/>
    </row>
    <row r="169" spans="3:63" x14ac:dyDescent="0.25">
      <c r="C169" t="s">
        <v>277</v>
      </c>
      <c r="D169" t="s">
        <v>277</v>
      </c>
      <c r="E169" s="162" t="s">
        <v>276</v>
      </c>
      <c r="F169" s="182" t="s">
        <v>275</v>
      </c>
      <c r="G169" s="182"/>
      <c r="H169" s="187"/>
      <c r="I169" s="190"/>
      <c r="J169" s="185"/>
      <c r="K169" s="189"/>
      <c r="L169" s="204"/>
      <c r="M169" s="150"/>
      <c r="N169" s="150"/>
      <c r="O169" s="150"/>
      <c r="P169" s="187"/>
      <c r="Q169" s="186"/>
      <c r="R169" s="152"/>
      <c r="S169" s="150"/>
      <c r="T169" s="150"/>
      <c r="U169" s="150"/>
      <c r="V169" s="150"/>
      <c r="W169" s="150"/>
      <c r="X169" s="150"/>
      <c r="Y169" s="150"/>
      <c r="AH169" s="26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83"/>
      <c r="AW169" s="90"/>
      <c r="AX169" s="192"/>
      <c r="AY169" s="192"/>
      <c r="AZ169" s="192"/>
      <c r="BA169" s="192"/>
      <c r="BB169" s="192"/>
      <c r="BC169"/>
      <c r="BD169" s="183"/>
      <c r="BE169" s="90"/>
      <c r="BF169" s="192"/>
      <c r="BG169" s="192"/>
      <c r="BH169" s="192"/>
      <c r="BI169" s="192"/>
      <c r="BJ169" s="192"/>
      <c r="BK169"/>
    </row>
    <row r="170" spans="3:63" x14ac:dyDescent="0.25">
      <c r="C170" t="s">
        <v>275</v>
      </c>
      <c r="E170" s="162"/>
      <c r="F170" s="143"/>
      <c r="G170" s="182"/>
      <c r="H170" s="191" t="s">
        <v>245</v>
      </c>
      <c r="I170" s="190" t="s">
        <v>270</v>
      </c>
      <c r="J170" s="185">
        <v>45089.243401797001</v>
      </c>
      <c r="K170" s="189">
        <v>1</v>
      </c>
      <c r="L170" s="188">
        <v>45292</v>
      </c>
      <c r="M170" s="150">
        <v>1</v>
      </c>
      <c r="N170" s="150">
        <v>0</v>
      </c>
      <c r="O170" s="150">
        <f>M170+N170</f>
        <v>1</v>
      </c>
      <c r="P170" s="187"/>
      <c r="Q170" s="186">
        <f>((13-MONTH(L170)-$AI$5))/12</f>
        <v>1</v>
      </c>
      <c r="R170" s="152">
        <v>1</v>
      </c>
      <c r="S170" s="150">
        <v>0</v>
      </c>
      <c r="T170" s="150">
        <v>1</v>
      </c>
      <c r="U170" s="150">
        <f>+S170+T170</f>
        <v>1</v>
      </c>
      <c r="V170" s="147">
        <f>J170*N170*Q170</f>
        <v>0</v>
      </c>
      <c r="W170" s="147">
        <f>J170*M170*Q170*S170</f>
        <v>0</v>
      </c>
      <c r="X170" s="147">
        <f>J170*M170*Q170*T170</f>
        <v>45089.243401797001</v>
      </c>
      <c r="Y170" s="185">
        <f>V170+W170+X170</f>
        <v>45089.243401797001</v>
      </c>
      <c r="Z170">
        <v>920</v>
      </c>
      <c r="AA170" s="184">
        <f>+J170*M170*T170</f>
        <v>45089.243401797001</v>
      </c>
      <c r="AB170" s="184">
        <f>+J170*M170*T170</f>
        <v>45089.243401797001</v>
      </c>
      <c r="AC170" s="184">
        <f>+K170*N170*U170</f>
        <v>0</v>
      </c>
      <c r="AH170" s="156"/>
      <c r="AI170" s="282"/>
      <c r="AJ170" s="261">
        <f t="shared" ref="AJ170:AJ171" si="298">+V170*0.08</f>
        <v>0</v>
      </c>
      <c r="AK170" s="261">
        <f t="shared" ref="AK170:AK171" si="299">+W170*0.08</f>
        <v>0</v>
      </c>
      <c r="AL170" s="261">
        <f t="shared" ref="AL170:AL171" si="300">+X170*0.08</f>
        <v>3607.13947214376</v>
      </c>
      <c r="AM170" s="185">
        <f t="shared" ref="AM170:AM171" si="301">AJ170+AK170+AL170</f>
        <v>3607.13947214376</v>
      </c>
      <c r="AN170" s="261">
        <f>((+V170/($AM$98+$Y$178)*((('SCHG2-19'!$I$448*'SCHG2-19'!$K$15)+'SCHG2-19'!$I$448)*'SCHG2-19'!$M$15)))</f>
        <v>0</v>
      </c>
      <c r="AO170" s="261">
        <f>((+W170/($AM$98+$Y$178)*((('SCHG2-19'!$I$448*'SCHG2-19'!$K$15)+'SCHG2-19'!$I$448)*'SCHG2-19'!$M$15)))</f>
        <v>0</v>
      </c>
      <c r="AP170" s="261">
        <f>((+X170/($AM$98+$Y$178)*((('SCHG2-19'!$I$448*'SCHG2-19'!$K$15)+'SCHG2-19'!$I$448)*'SCHG2-19'!$M$15)))</f>
        <v>821.35314748264182</v>
      </c>
      <c r="AQ170" s="185">
        <f t="shared" ref="AQ170:AQ171" si="302">AN170+AO170+AP170</f>
        <v>821.35314748264182</v>
      </c>
      <c r="AR170" s="261">
        <f>(+V170/($AM$98+$Y$178))*('SCHG2-19'!$M$448-'SCHG2-19'!$K$448-'IRR 202 Detail '!$BC$98-'IRR 202 Detail '!$AQ$178)</f>
        <v>0</v>
      </c>
      <c r="AS170" s="261">
        <f>(+W170/($AM$98+$Y$178))*('SCHG2-19'!$M$448-'SCHG2-19'!$K$448-'IRR 202 Detail '!$BC$98-'IRR 202 Detail '!$AQ$178)</f>
        <v>0</v>
      </c>
      <c r="AT170" s="261">
        <f>(+X170/($AM$98+$Y$178))*('SCHG2-19'!$M$448-'SCHG2-19'!$K$448-'IRR 202 Detail '!$BC$98-'IRR 202 Detail '!$AQ$178)</f>
        <v>3169.7520602147974</v>
      </c>
      <c r="AU170" s="185">
        <f t="shared" ref="AU170:AU171" si="303">AR170+AS170+AT170</f>
        <v>3169.7520602147974</v>
      </c>
      <c r="AV170" s="156"/>
      <c r="AW170" s="156"/>
      <c r="AX170" s="156"/>
      <c r="AY170" s="156"/>
      <c r="AZ170" s="156"/>
      <c r="BA170" s="156"/>
      <c r="BB170" s="156"/>
      <c r="BC170"/>
      <c r="BD170" s="156"/>
      <c r="BE170" s="156"/>
      <c r="BF170" s="156"/>
      <c r="BG170" s="156"/>
      <c r="BH170" s="156"/>
      <c r="BI170" s="156"/>
      <c r="BJ170" s="156"/>
      <c r="BK170"/>
    </row>
    <row r="171" spans="3:63" x14ac:dyDescent="0.25">
      <c r="E171" s="162"/>
      <c r="F171" s="182"/>
      <c r="G171" s="182"/>
      <c r="H171" s="191" t="s">
        <v>261</v>
      </c>
      <c r="I171" s="190" t="s">
        <v>270</v>
      </c>
      <c r="J171" s="185">
        <v>70806.975947883009</v>
      </c>
      <c r="K171" s="189">
        <v>1</v>
      </c>
      <c r="L171" s="188">
        <v>45292</v>
      </c>
      <c r="M171" s="150">
        <v>1</v>
      </c>
      <c r="N171" s="150">
        <v>0</v>
      </c>
      <c r="O171" s="150">
        <f>M171+N171</f>
        <v>1</v>
      </c>
      <c r="P171" s="187"/>
      <c r="Q171" s="186">
        <f>((13-MONTH(L171)-$AI$5))/12</f>
        <v>1</v>
      </c>
      <c r="R171" s="152">
        <v>4</v>
      </c>
      <c r="S171" s="150">
        <v>0</v>
      </c>
      <c r="T171" s="150">
        <v>1</v>
      </c>
      <c r="U171" s="150">
        <f>+S171+T171</f>
        <v>1</v>
      </c>
      <c r="V171" s="147">
        <f>J171*N171*Q171</f>
        <v>0</v>
      </c>
      <c r="W171" s="147">
        <f>J171*M171*Q171*S171</f>
        <v>0</v>
      </c>
      <c r="X171" s="147">
        <f>J171*M171*Q171*T171</f>
        <v>70806.975947883009</v>
      </c>
      <c r="Y171" s="185">
        <f>V171+W171+X171</f>
        <v>70806.975947883009</v>
      </c>
      <c r="Z171">
        <v>920</v>
      </c>
      <c r="AA171" s="184">
        <f>+J171*M171*T171</f>
        <v>70806.975947883009</v>
      </c>
      <c r="AB171" s="184">
        <f>+J171*M171*T171</f>
        <v>70806.975947883009</v>
      </c>
      <c r="AC171" s="184">
        <f>+K171*N171*U171</f>
        <v>0</v>
      </c>
      <c r="AJ171" s="261">
        <f t="shared" si="298"/>
        <v>0</v>
      </c>
      <c r="AK171" s="261">
        <f t="shared" si="299"/>
        <v>0</v>
      </c>
      <c r="AL171" s="261">
        <f t="shared" si="300"/>
        <v>5664.5580758306405</v>
      </c>
      <c r="AM171" s="185">
        <f t="shared" si="301"/>
        <v>5664.5580758306405</v>
      </c>
      <c r="AN171" s="261">
        <f>((+V171/($AM$98+$Y$178)*((('SCHG2-19'!$I$448*'SCHG2-19'!$K$15)+'SCHG2-19'!$I$448)*'SCHG2-19'!$M$15)))</f>
        <v>0</v>
      </c>
      <c r="AO171" s="261">
        <f>((+W171/($AM$98+$Y$178)*((('SCHG2-19'!$I$448*'SCHG2-19'!$K$15)+'SCHG2-19'!$I$448)*'SCHG2-19'!$M$15)))</f>
        <v>0</v>
      </c>
      <c r="AP171" s="261">
        <f>((+X171/($AM$98+$Y$178)*((('SCHG2-19'!$I$448*'SCHG2-19'!$K$15)+'SCHG2-19'!$I$448)*'SCHG2-19'!$M$15)))</f>
        <v>1289.831635458394</v>
      </c>
      <c r="AQ171" s="185">
        <f t="shared" si="302"/>
        <v>1289.831635458394</v>
      </c>
      <c r="AR171" s="261">
        <f>(+V171/($AM$98+$Y$178))*('SCHG2-19'!$M$448-'SCHG2-19'!$K$448-'IRR 202 Detail '!$BC$98-'IRR 202 Detail '!$AQ$178)</f>
        <v>0</v>
      </c>
      <c r="AS171" s="261">
        <f>(+W171/($AM$98+$Y$178))*('SCHG2-19'!$M$448-'SCHG2-19'!$K$448-'IRR 202 Detail '!$BC$98-'IRR 202 Detail '!$AQ$178)</f>
        <v>0</v>
      </c>
      <c r="AT171" s="261">
        <f>(+X171/($AM$98+$Y$178))*('SCHG2-19'!$M$448-'SCHG2-19'!$K$448-'IRR 202 Detail '!$BC$98-'IRR 202 Detail '!$AQ$178)</f>
        <v>4977.6962520386151</v>
      </c>
      <c r="AU171" s="185">
        <f t="shared" si="303"/>
        <v>4977.6962520386151</v>
      </c>
      <c r="AV171" s="183"/>
      <c r="AW171" s="90"/>
      <c r="AX171" s="183"/>
      <c r="AY171" s="283"/>
      <c r="AZ171" s="283"/>
      <c r="BA171" s="283"/>
      <c r="BB171" s="183"/>
      <c r="BC171"/>
      <c r="BD171" s="183"/>
      <c r="BE171" s="90"/>
      <c r="BF171" s="183"/>
      <c r="BG171" s="283"/>
      <c r="BH171" s="283"/>
      <c r="BI171" s="283"/>
      <c r="BJ171" s="183"/>
      <c r="BK171"/>
    </row>
    <row r="172" spans="3:63" x14ac:dyDescent="0.25">
      <c r="C172" t="s">
        <v>274</v>
      </c>
      <c r="D172" t="s">
        <v>274</v>
      </c>
      <c r="E172" s="162" t="s">
        <v>272</v>
      </c>
      <c r="F172" s="182" t="s">
        <v>271</v>
      </c>
      <c r="G172" s="182"/>
      <c r="H172" s="203" t="s">
        <v>374</v>
      </c>
      <c r="I172" s="202"/>
      <c r="J172" s="196">
        <f>SUM(J170:J171)</f>
        <v>115896.21934968</v>
      </c>
      <c r="K172" s="201">
        <f>SUM(K170:K171)</f>
        <v>2</v>
      </c>
      <c r="L172" s="198"/>
      <c r="M172" s="200"/>
      <c r="N172" s="200"/>
      <c r="O172" s="200"/>
      <c r="P172" s="200"/>
      <c r="Q172" s="199"/>
      <c r="R172" s="198"/>
      <c r="S172" s="197"/>
      <c r="T172" s="197"/>
      <c r="U172" s="197"/>
      <c r="V172" s="196">
        <f>SUM(V170:V171)</f>
        <v>0</v>
      </c>
      <c r="W172" s="196">
        <f>SUM(W170:W171)</f>
        <v>0</v>
      </c>
      <c r="X172" s="196">
        <f>SUM(X170:X171)</f>
        <v>115896.21934968</v>
      </c>
      <c r="Y172" s="196">
        <f>SUM(Y170:Y171)</f>
        <v>115896.21934968</v>
      </c>
      <c r="AA172" s="196">
        <f>SUM(AA170:AA171)</f>
        <v>115896.21934968</v>
      </c>
      <c r="AB172" s="196">
        <f>SUM(AB170:AB171)</f>
        <v>115896.21934968</v>
      </c>
      <c r="AC172" s="196">
        <f>SUM(AC170:AC171)</f>
        <v>0</v>
      </c>
      <c r="AH172" s="260"/>
      <c r="AJ172" s="196">
        <f t="shared" ref="AJ172:AU172" si="304">SUM(AJ170:AJ171)</f>
        <v>0</v>
      </c>
      <c r="AK172" s="196">
        <f t="shared" si="304"/>
        <v>0</v>
      </c>
      <c r="AL172" s="196">
        <f t="shared" si="304"/>
        <v>9271.6975479743996</v>
      </c>
      <c r="AM172" s="196">
        <f t="shared" si="304"/>
        <v>9271.6975479743996</v>
      </c>
      <c r="AN172" s="196">
        <f t="shared" si="304"/>
        <v>0</v>
      </c>
      <c r="AO172" s="196">
        <f t="shared" si="304"/>
        <v>0</v>
      </c>
      <c r="AP172" s="196">
        <f t="shared" si="304"/>
        <v>2111.1847829410358</v>
      </c>
      <c r="AQ172" s="196">
        <f t="shared" si="304"/>
        <v>2111.1847829410358</v>
      </c>
      <c r="AR172" s="196">
        <f t="shared" si="304"/>
        <v>0</v>
      </c>
      <c r="AS172" s="196">
        <f t="shared" si="304"/>
        <v>0</v>
      </c>
      <c r="AT172" s="196">
        <f t="shared" si="304"/>
        <v>8147.448312253413</v>
      </c>
      <c r="AU172" s="196">
        <f t="shared" si="304"/>
        <v>8147.448312253413</v>
      </c>
      <c r="AV172" s="183"/>
      <c r="AW172" s="90"/>
      <c r="AX172" s="192"/>
      <c r="AY172" s="192"/>
      <c r="AZ172" s="192"/>
      <c r="BA172" s="192"/>
      <c r="BB172" s="192"/>
      <c r="BC172"/>
      <c r="BD172" s="183"/>
      <c r="BE172" s="90"/>
      <c r="BF172" s="192"/>
      <c r="BG172" s="192"/>
      <c r="BH172" s="192"/>
      <c r="BI172" s="192"/>
      <c r="BJ172" s="192"/>
      <c r="BK172"/>
    </row>
    <row r="173" spans="3:63" x14ac:dyDescent="0.25">
      <c r="C173" t="s">
        <v>274</v>
      </c>
      <c r="D173" t="s">
        <v>273</v>
      </c>
      <c r="E173" s="162" t="s">
        <v>272</v>
      </c>
      <c r="F173" s="182" t="s">
        <v>271</v>
      </c>
      <c r="G173" s="182"/>
      <c r="H173" s="143"/>
      <c r="I173" s="195"/>
      <c r="J173" s="193"/>
      <c r="K173" s="194"/>
      <c r="L173" s="153"/>
      <c r="Q173" s="186"/>
      <c r="R173" s="151"/>
      <c r="S173" s="150"/>
      <c r="T173" s="150"/>
      <c r="U173" s="150"/>
      <c r="V173" s="193"/>
      <c r="W173" s="193"/>
      <c r="X173" s="193"/>
      <c r="Y173" s="193"/>
      <c r="AH173" s="260"/>
      <c r="AJ173" s="193"/>
      <c r="AK173" s="193"/>
      <c r="AL173" s="193"/>
      <c r="AM173" s="193"/>
      <c r="AN173" s="193"/>
      <c r="AO173" s="193"/>
      <c r="AP173" s="193"/>
      <c r="AQ173" s="193"/>
      <c r="AR173" s="193"/>
      <c r="AS173" s="193"/>
      <c r="AT173" s="193"/>
      <c r="AU173" s="193"/>
      <c r="AV173" s="183"/>
      <c r="AW173" s="90"/>
      <c r="AX173" s="192"/>
      <c r="AY173" s="192"/>
      <c r="AZ173" s="192"/>
      <c r="BA173" s="192"/>
      <c r="BB173" s="192"/>
      <c r="BC173"/>
      <c r="BD173" s="183"/>
      <c r="BE173" s="90"/>
      <c r="BF173" s="192"/>
      <c r="BG173" s="192"/>
      <c r="BH173" s="192"/>
      <c r="BI173" s="192"/>
      <c r="BJ173" s="192"/>
      <c r="BK173"/>
    </row>
    <row r="174" spans="3:63" x14ac:dyDescent="0.25">
      <c r="C174" t="s">
        <v>271</v>
      </c>
      <c r="E174" s="162"/>
      <c r="F174" s="162"/>
      <c r="G174" s="182"/>
      <c r="H174" s="191" t="s">
        <v>392</v>
      </c>
      <c r="I174" s="190" t="s">
        <v>270</v>
      </c>
      <c r="J174" s="185">
        <v>163521.19430334453</v>
      </c>
      <c r="K174" s="189">
        <v>2</v>
      </c>
      <c r="L174" s="188">
        <v>45292</v>
      </c>
      <c r="M174" s="150">
        <v>1</v>
      </c>
      <c r="N174" s="150">
        <v>0</v>
      </c>
      <c r="O174" s="150">
        <f>M174+N174</f>
        <v>1</v>
      </c>
      <c r="P174" s="187"/>
      <c r="Q174" s="186">
        <f>((13-MONTH(L174)-$AI$5))/12</f>
        <v>1</v>
      </c>
      <c r="R174" s="151">
        <v>5</v>
      </c>
      <c r="S174" s="150">
        <v>0.85</v>
      </c>
      <c r="T174" s="150">
        <v>0.15</v>
      </c>
      <c r="U174" s="150">
        <f>+S174+T174</f>
        <v>1</v>
      </c>
      <c r="V174" s="147">
        <f>J174*N174*Q174</f>
        <v>0</v>
      </c>
      <c r="W174" s="147">
        <f>J174*M174*Q174*S174</f>
        <v>138993.01515784283</v>
      </c>
      <c r="X174" s="147">
        <f>J174*M174*Q174*T174</f>
        <v>24528.179145501679</v>
      </c>
      <c r="Y174" s="185">
        <f>V174+W174+X174</f>
        <v>163521.19430334453</v>
      </c>
      <c r="Z174">
        <v>920</v>
      </c>
      <c r="AA174" s="184">
        <f>+J174*M174*T174</f>
        <v>24528.179145501679</v>
      </c>
      <c r="AB174" s="184">
        <f>+J174*M174*T174</f>
        <v>24528.179145501679</v>
      </c>
      <c r="AC174" s="184">
        <f>+K174*N174*U174</f>
        <v>0</v>
      </c>
      <c r="AH174" s="156"/>
      <c r="AJ174" s="261">
        <f t="shared" ref="AJ174:AJ175" si="305">+V174*0.08</f>
        <v>0</v>
      </c>
      <c r="AK174" s="261">
        <f t="shared" ref="AK174:AK175" si="306">+W174*0.08</f>
        <v>11119.441212627427</v>
      </c>
      <c r="AL174" s="261">
        <f t="shared" ref="AL174:AL175" si="307">+X174*0.08</f>
        <v>1962.2543316401343</v>
      </c>
      <c r="AM174" s="185">
        <f t="shared" ref="AM174:AM175" si="308">AJ174+AK174+AL174</f>
        <v>13081.695544267561</v>
      </c>
      <c r="AN174" s="261">
        <f>((+V174/($AM$98+$Y$178)*((('SCHG2-19'!$I$448*'SCHG2-19'!$K$15)+'SCHG2-19'!$I$448)*'SCHG2-19'!$M$15)))</f>
        <v>0</v>
      </c>
      <c r="AO174" s="261">
        <f>((+W174/($AM$98+$Y$178)*((('SCHG2-19'!$I$448*'SCHG2-19'!$K$15)+'SCHG2-19'!$I$448)*'SCHG2-19'!$M$15)))</f>
        <v>2531.9198519407155</v>
      </c>
      <c r="AP174" s="261">
        <f>((+X174/($AM$98+$Y$178)*((('SCHG2-19'!$I$448*'SCHG2-19'!$K$15)+'SCHG2-19'!$I$448)*'SCHG2-19'!$M$15)))</f>
        <v>446.80938563659691</v>
      </c>
      <c r="AQ174" s="185">
        <f t="shared" ref="AQ174:AQ175" si="309">AN174+AO174+AP174</f>
        <v>2978.7292375773122</v>
      </c>
      <c r="AR174" s="261">
        <f>(+V174/($AM$98+$Y$178))*('SCHG2-19'!$M$448-'SCHG2-19'!$K$448-'IRR 202 Detail '!$BC$98-'IRR 202 Detail '!$AQ$178)</f>
        <v>0</v>
      </c>
      <c r="AS174" s="261">
        <f>(+W174/($AM$98+$Y$178))*('SCHG2-19'!$M$448-'SCHG2-19'!$K$448-'IRR 202 Detail '!$BC$98-'IRR 202 Detail '!$AQ$178)</f>
        <v>9771.1419157341661</v>
      </c>
      <c r="AT174" s="261">
        <f>(+X174/($AM$98+$Y$178))*('SCHG2-19'!$M$448-'SCHG2-19'!$K$448-'IRR 202 Detail '!$BC$98-'IRR 202 Detail '!$AQ$178)</f>
        <v>1724.3191616001473</v>
      </c>
      <c r="AU174" s="185">
        <f t="shared" ref="AU174:AU175" si="310">AR174+AS174+AT174</f>
        <v>11495.461077334314</v>
      </c>
      <c r="AV174" s="156"/>
      <c r="AW174" s="156"/>
      <c r="AX174" s="156"/>
      <c r="AY174" s="156"/>
      <c r="AZ174" s="156"/>
      <c r="BA174" s="156"/>
      <c r="BB174" s="156"/>
      <c r="BC174"/>
      <c r="BD174" s="156"/>
      <c r="BE174" s="156"/>
      <c r="BF174" s="156"/>
      <c r="BG174" s="156"/>
      <c r="BH174" s="156"/>
      <c r="BI174" s="156"/>
      <c r="BJ174" s="156"/>
      <c r="BK174"/>
    </row>
    <row r="175" spans="3:63" x14ac:dyDescent="0.25">
      <c r="E175" s="162"/>
      <c r="F175" s="162"/>
      <c r="G175" s="182"/>
      <c r="H175" s="191" t="s">
        <v>391</v>
      </c>
      <c r="I175" s="190" t="s">
        <v>270</v>
      </c>
      <c r="J175" s="185">
        <v>117361.40675655376</v>
      </c>
      <c r="K175" s="189">
        <v>1</v>
      </c>
      <c r="L175" s="188">
        <v>45292</v>
      </c>
      <c r="M175" s="150">
        <v>1</v>
      </c>
      <c r="N175" s="150">
        <v>0</v>
      </c>
      <c r="O175" s="150">
        <f>M175+N175</f>
        <v>1</v>
      </c>
      <c r="P175" s="187"/>
      <c r="Q175" s="186">
        <f>((13-MONTH(L175)-$AI$5))/12</f>
        <v>1</v>
      </c>
      <c r="R175" s="151">
        <v>7</v>
      </c>
      <c r="S175" s="150">
        <v>0.85</v>
      </c>
      <c r="T175" s="150">
        <v>0.15</v>
      </c>
      <c r="U175" s="150">
        <f>+S175+T175</f>
        <v>1</v>
      </c>
      <c r="V175" s="147">
        <f>J175*N175*Q175</f>
        <v>0</v>
      </c>
      <c r="W175" s="147">
        <f>J175*M175*Q175*S175</f>
        <v>99757.195743070683</v>
      </c>
      <c r="X175" s="147">
        <f>J175*M175*Q175*T175</f>
        <v>17604.211013483062</v>
      </c>
      <c r="Y175" s="185">
        <f>V175+W175+X175</f>
        <v>117361.40675655374</v>
      </c>
      <c r="Z175">
        <v>920</v>
      </c>
      <c r="AA175" s="184">
        <f>+J175*M175*T175</f>
        <v>17604.211013483062</v>
      </c>
      <c r="AB175" s="184">
        <f>+J175*M175*T175</f>
        <v>17604.211013483062</v>
      </c>
      <c r="AC175" s="184">
        <f>+K175*N175*U175</f>
        <v>0</v>
      </c>
      <c r="AJ175" s="261">
        <f t="shared" si="305"/>
        <v>0</v>
      </c>
      <c r="AK175" s="261">
        <f t="shared" si="306"/>
        <v>7980.5756594456552</v>
      </c>
      <c r="AL175" s="261">
        <f t="shared" si="307"/>
        <v>1408.3368810786449</v>
      </c>
      <c r="AM175" s="185">
        <f t="shared" si="308"/>
        <v>9388.9125405242994</v>
      </c>
      <c r="AN175" s="261">
        <f>((+V175/($AM$98+$Y$178)*((('SCHG2-19'!$I$448*'SCHG2-19'!$K$15)+'SCHG2-19'!$I$448)*'SCHG2-19'!$M$15)))</f>
        <v>0</v>
      </c>
      <c r="AO175" s="261">
        <f>((+W175/($AM$98+$Y$178)*((('SCHG2-19'!$I$448*'SCHG2-19'!$K$15)+'SCHG2-19'!$I$448)*'SCHG2-19'!$M$15)))</f>
        <v>1817.1936481051621</v>
      </c>
      <c r="AP175" s="261">
        <f>((+X175/($AM$98+$Y$178)*((('SCHG2-19'!$I$448*'SCHG2-19'!$K$15)+'SCHG2-19'!$I$448)*'SCHG2-19'!$M$15)))</f>
        <v>320.68123201855803</v>
      </c>
      <c r="AQ175" s="185">
        <f t="shared" si="309"/>
        <v>2137.8748801237202</v>
      </c>
      <c r="AR175" s="261">
        <f>(+V175/($AM$98+$Y$178))*('SCHG2-19'!$M$448-'SCHG2-19'!$K$448-'IRR 202 Detail '!$BC$98-'IRR 202 Detail '!$AQ$178)</f>
        <v>0</v>
      </c>
      <c r="AS175" s="261">
        <f>(+W175/($AM$98+$Y$178))*('SCHG2-19'!$M$448-'SCHG2-19'!$K$448-'IRR 202 Detail '!$BC$98-'IRR 202 Detail '!$AQ$178)</f>
        <v>7012.8827381309966</v>
      </c>
      <c r="AT175" s="261">
        <f>(+X175/($AM$98+$Y$178))*('SCHG2-19'!$M$448-'SCHG2-19'!$K$448-'IRR 202 Detail '!$BC$98-'IRR 202 Detail '!$AQ$178)</f>
        <v>1237.5675420231171</v>
      </c>
      <c r="AU175" s="185">
        <f t="shared" si="310"/>
        <v>8250.450280154113</v>
      </c>
      <c r="AV175" s="183"/>
      <c r="AW175" s="90"/>
      <c r="AX175" s="183"/>
      <c r="AY175" s="154"/>
      <c r="AZ175" s="154"/>
      <c r="BA175" s="154"/>
      <c r="BB175" s="183"/>
      <c r="BC175"/>
      <c r="BD175" s="183"/>
      <c r="BE175" s="90"/>
      <c r="BF175" s="183"/>
      <c r="BG175" s="154"/>
      <c r="BH175" s="154"/>
      <c r="BI175" s="154"/>
      <c r="BJ175" s="183"/>
      <c r="BK175"/>
    </row>
    <row r="176" spans="3:63" x14ac:dyDescent="0.25">
      <c r="E176" s="162"/>
      <c r="F176" s="143"/>
      <c r="G176" s="182"/>
      <c r="H176" s="181" t="s">
        <v>376</v>
      </c>
      <c r="I176" s="180"/>
      <c r="J176" s="176">
        <f>SUM(J174:J175)</f>
        <v>280882.60105989827</v>
      </c>
      <c r="K176" s="179">
        <f>SUM(K174:K175)</f>
        <v>3</v>
      </c>
      <c r="L176" s="178"/>
      <c r="M176" s="178"/>
      <c r="N176" s="178"/>
      <c r="O176" s="178"/>
      <c r="P176" s="178"/>
      <c r="Q176" s="178"/>
      <c r="R176" s="178"/>
      <c r="S176" s="177"/>
      <c r="T176" s="177"/>
      <c r="U176" s="177"/>
      <c r="V176" s="176">
        <f>SUM(V174:V175)</f>
        <v>0</v>
      </c>
      <c r="W176" s="176">
        <f>SUM(W174:W175)</f>
        <v>238750.21090091352</v>
      </c>
      <c r="X176" s="176">
        <f>SUM(X174:X175)</f>
        <v>42132.390158984737</v>
      </c>
      <c r="Y176" s="176">
        <f>SUM(Y174:Y175)</f>
        <v>280882.60105989827</v>
      </c>
      <c r="AA176" s="176">
        <f>SUM(AA174:AA175)</f>
        <v>42132.390158984737</v>
      </c>
      <c r="AB176" s="176">
        <f>SUM(AB174:AB175)</f>
        <v>42132.390158984737</v>
      </c>
      <c r="AC176" s="176">
        <f>SUM(AC174:AC175)</f>
        <v>0</v>
      </c>
      <c r="AH176" s="156"/>
      <c r="AJ176" s="176">
        <f t="shared" ref="AJ176:AU176" si="311">SUM(AJ174:AJ175)</f>
        <v>0</v>
      </c>
      <c r="AK176" s="176">
        <f t="shared" si="311"/>
        <v>19100.016872073084</v>
      </c>
      <c r="AL176" s="176">
        <f t="shared" si="311"/>
        <v>3370.5912127187794</v>
      </c>
      <c r="AM176" s="176">
        <f t="shared" si="311"/>
        <v>22470.60808479186</v>
      </c>
      <c r="AN176" s="176">
        <f t="shared" si="311"/>
        <v>0</v>
      </c>
      <c r="AO176" s="176">
        <f t="shared" si="311"/>
        <v>4349.113500045878</v>
      </c>
      <c r="AP176" s="176">
        <f t="shared" si="311"/>
        <v>767.49061765515489</v>
      </c>
      <c r="AQ176" s="176">
        <f t="shared" si="311"/>
        <v>5116.604117701032</v>
      </c>
      <c r="AR176" s="176">
        <f t="shared" si="311"/>
        <v>0</v>
      </c>
      <c r="AS176" s="176">
        <f t="shared" si="311"/>
        <v>16784.024653865163</v>
      </c>
      <c r="AT176" s="176">
        <f t="shared" si="311"/>
        <v>2961.8867036232641</v>
      </c>
      <c r="AU176" s="176">
        <f t="shared" si="311"/>
        <v>19745.911357488425</v>
      </c>
      <c r="AV176" s="156"/>
      <c r="AW176" s="156"/>
      <c r="AX176" s="156"/>
      <c r="AY176" s="156"/>
      <c r="AZ176" s="156"/>
      <c r="BA176" s="156"/>
      <c r="BB176" s="156"/>
      <c r="BC176"/>
      <c r="BD176" s="156"/>
      <c r="BE176" s="156"/>
      <c r="BF176" s="156"/>
      <c r="BG176" s="156"/>
      <c r="BH176" s="156"/>
      <c r="BI176" s="156"/>
      <c r="BJ176" s="156"/>
      <c r="BK176"/>
    </row>
    <row r="177" spans="5:63" x14ac:dyDescent="0.25">
      <c r="E177" s="162"/>
      <c r="F177" s="143"/>
      <c r="G177" s="149"/>
      <c r="H177" s="143"/>
      <c r="I177" s="175"/>
      <c r="J177" s="160"/>
      <c r="K177" s="154"/>
      <c r="L177" s="160"/>
      <c r="M177" s="160"/>
      <c r="N177" s="160"/>
      <c r="O177" s="160"/>
      <c r="P177" s="160"/>
      <c r="Q177" s="174"/>
      <c r="R177" s="158"/>
      <c r="S177" s="173"/>
      <c r="T177" s="173"/>
      <c r="U177" s="173"/>
      <c r="V177" s="160"/>
      <c r="W177" s="160"/>
      <c r="X177" s="160"/>
      <c r="Y177" s="160"/>
      <c r="AH177" s="156"/>
      <c r="AJ177" s="160"/>
      <c r="AK177" s="160"/>
      <c r="AL177" s="160"/>
      <c r="AM177" s="160"/>
      <c r="AN177" s="160"/>
      <c r="AO177" s="160"/>
      <c r="AP177" s="160"/>
      <c r="AQ177" s="160"/>
      <c r="AR177" s="160"/>
      <c r="AS177" s="160"/>
      <c r="AT177" s="160"/>
      <c r="AU177" s="160"/>
      <c r="AV177" s="172"/>
      <c r="AW177" s="172"/>
      <c r="AX177" s="171"/>
      <c r="AY177" s="171"/>
      <c r="AZ177" s="171"/>
      <c r="BA177" s="171"/>
      <c r="BB177" s="171"/>
      <c r="BC177"/>
      <c r="BD177" s="172"/>
      <c r="BE177" s="172"/>
      <c r="BF177" s="171"/>
      <c r="BG177" s="171"/>
      <c r="BH177" s="171"/>
      <c r="BI177" s="171"/>
      <c r="BJ177" s="171"/>
      <c r="BK177"/>
    </row>
    <row r="178" spans="5:63" ht="15.75" thickBot="1" x14ac:dyDescent="0.3">
      <c r="E178" s="162"/>
      <c r="F178" s="162"/>
      <c r="G178" s="149"/>
      <c r="H178" s="170" t="s">
        <v>407</v>
      </c>
      <c r="I178" s="169"/>
      <c r="J178" s="163">
        <f>+J129+J138+J152+J161+J164+J168+J172+J176+J145</f>
        <v>5160473.8960724771</v>
      </c>
      <c r="K178" s="168">
        <f>+K129+K138+K152+K161+K164+K168+K172+K176+K145</f>
        <v>66</v>
      </c>
      <c r="L178" s="165"/>
      <c r="M178" s="167"/>
      <c r="N178" s="167"/>
      <c r="O178" s="167"/>
      <c r="P178" s="167"/>
      <c r="Q178" s="166"/>
      <c r="R178" s="165"/>
      <c r="S178" s="164"/>
      <c r="T178" s="164"/>
      <c r="U178" s="164"/>
      <c r="V178" s="163">
        <f>+V129+V138+V152+V161+V164+V168+V172+V176+V145</f>
        <v>262177.85902589426</v>
      </c>
      <c r="W178" s="163">
        <f>+W129+W138+W152+W161+W164+W168+W172+W176+W145</f>
        <v>1762090.6105768783</v>
      </c>
      <c r="X178" s="163">
        <f>+X129+X138+X152+X161+X164+X168+X172+X176+X145</f>
        <v>2874431.2709515262</v>
      </c>
      <c r="Y178" s="163">
        <f>+Y129+Y138+Y152+Y161+Y164+Y168+Y172+Y176+Y145</f>
        <v>4898699.7405542992</v>
      </c>
      <c r="AA178" s="163">
        <f>+AA129+AA138+AA152+AA161+AA164+AA168+AA172+AA176+AA145</f>
        <v>3086572.118995457</v>
      </c>
      <c r="AB178" s="163">
        <f>+AB129+AB138+AB152+AB161+AB164+AB168+AB172+AB176+AB145</f>
        <v>3086572.118995457</v>
      </c>
      <c r="AC178" s="163">
        <f>+AC129+AC138+AC152+AC161+AC164+AC168+AC172+AC176+AC145</f>
        <v>2.2999999999999998</v>
      </c>
      <c r="AJ178" s="163">
        <f t="shared" ref="AJ178:AU178" si="312">+AJ129+AJ138+AJ152+AJ161+AJ164+AJ168+AJ172+AJ176+AJ145</f>
        <v>20974.228722071544</v>
      </c>
      <c r="AK178" s="163">
        <f t="shared" si="312"/>
        <v>140967.24884615029</v>
      </c>
      <c r="AL178" s="163">
        <f t="shared" si="312"/>
        <v>229954.50167612213</v>
      </c>
      <c r="AM178" s="163">
        <f t="shared" si="312"/>
        <v>391895.97924434399</v>
      </c>
      <c r="AN178" s="163">
        <f t="shared" si="312"/>
        <v>4775.8754298058666</v>
      </c>
      <c r="AO178" s="163">
        <f t="shared" si="312"/>
        <v>32098.535259282002</v>
      </c>
      <c r="AP178" s="163">
        <f t="shared" si="312"/>
        <v>52361.117497138424</v>
      </c>
      <c r="AQ178" s="163">
        <f t="shared" si="312"/>
        <v>89235.528186226307</v>
      </c>
      <c r="AR178" s="163">
        <f t="shared" si="312"/>
        <v>18430.977015615936</v>
      </c>
      <c r="AS178" s="163">
        <f t="shared" si="312"/>
        <v>123874.11989571351</v>
      </c>
      <c r="AT178" s="163">
        <f t="shared" si="312"/>
        <v>202071.13172986434</v>
      </c>
      <c r="AU178" s="163">
        <f t="shared" si="312"/>
        <v>344376.22864119383</v>
      </c>
      <c r="AV178"/>
      <c r="AW178"/>
      <c r="AX178" s="155"/>
      <c r="AY178" s="155"/>
      <c r="AZ178" s="155"/>
      <c r="BA178" s="155"/>
      <c r="BB178" s="155"/>
      <c r="BC178"/>
      <c r="BD178"/>
      <c r="BE178"/>
      <c r="BF178" s="155"/>
      <c r="BG178" s="155"/>
      <c r="BH178" s="155"/>
      <c r="BI178" s="155"/>
      <c r="BJ178" s="155"/>
      <c r="BK178"/>
    </row>
    <row r="179" spans="5:63" ht="15.75" thickTop="1" x14ac:dyDescent="0.25">
      <c r="E179" s="162"/>
      <c r="F179" s="143"/>
      <c r="G179" s="149"/>
      <c r="H179" s="288"/>
      <c r="I179" s="161"/>
      <c r="J179" s="156"/>
      <c r="L179" s="158"/>
      <c r="M179" s="160"/>
      <c r="N179" s="160"/>
      <c r="O179" s="160"/>
      <c r="P179" s="160"/>
      <c r="Q179" s="159"/>
      <c r="R179" s="158"/>
      <c r="S179" s="157"/>
      <c r="T179" s="157"/>
      <c r="U179" s="157"/>
      <c r="V179" s="156"/>
      <c r="W179" s="156"/>
      <c r="X179" s="156"/>
      <c r="Y179" s="156"/>
      <c r="AM179" s="155"/>
      <c r="AN179"/>
      <c r="AO179"/>
      <c r="AP179" s="155"/>
      <c r="AQ179" s="155"/>
      <c r="AR179" s="155"/>
      <c r="AS179" s="155"/>
      <c r="AT179" s="155"/>
      <c r="AU179"/>
      <c r="AV179"/>
      <c r="AW179"/>
      <c r="AX179" s="155"/>
      <c r="AY179" s="155"/>
      <c r="AZ179" s="155"/>
      <c r="BA179" s="155"/>
      <c r="BB179" s="155"/>
      <c r="BC179"/>
      <c r="BD179"/>
      <c r="BE179"/>
      <c r="BF179" s="155"/>
      <c r="BG179" s="155"/>
      <c r="BH179" s="155"/>
      <c r="BI179" s="155"/>
      <c r="BJ179" s="155"/>
      <c r="BK179"/>
    </row>
    <row r="180" spans="5:63" x14ac:dyDescent="0.25">
      <c r="G180" s="149"/>
      <c r="H180" s="304" t="s">
        <v>457</v>
      </c>
      <c r="I180" s="304"/>
      <c r="J180" s="304"/>
      <c r="K180" s="305"/>
      <c r="L180" s="306"/>
      <c r="M180" s="304"/>
      <c r="N180" s="304"/>
      <c r="O180" s="304"/>
      <c r="P180" s="304"/>
      <c r="Q180" s="307"/>
      <c r="R180" s="308"/>
      <c r="S180" s="309"/>
      <c r="T180" s="309"/>
      <c r="U180" s="309"/>
      <c r="V180" s="304"/>
      <c r="W180" s="304"/>
      <c r="X180" s="303">
        <f>+X98-'SCHG2-19c to 19e'!F172+'SCHG2-19c to 19e'!F71</f>
        <v>4.0017766878008842E-11</v>
      </c>
      <c r="AG180" s="142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</row>
    <row r="181" spans="5:63" x14ac:dyDescent="0.25">
      <c r="G181" s="149"/>
      <c r="H181" s="304" t="s">
        <v>458</v>
      </c>
      <c r="I181" s="310"/>
      <c r="J181" s="310"/>
      <c r="K181" s="310"/>
      <c r="L181" s="310"/>
      <c r="M181" s="311"/>
      <c r="N181" s="311"/>
      <c r="O181" s="311"/>
      <c r="P181" s="311"/>
      <c r="Q181" s="312"/>
      <c r="R181" s="304"/>
      <c r="S181" s="304"/>
      <c r="T181" s="304"/>
      <c r="U181" s="304"/>
      <c r="V181" s="304"/>
      <c r="W181" s="304"/>
      <c r="X181" s="303">
        <f>+X178+AL98-'SCHG2-19c to 19e'!I172+'SCHG2-19c to 19e'!I71</f>
        <v>-0.20000000030267984</v>
      </c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</row>
    <row r="182" spans="5:63" x14ac:dyDescent="0.25">
      <c r="X182" s="260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</row>
    <row r="183" spans="5:63" x14ac:dyDescent="0.25">
      <c r="X183" s="146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</row>
    <row r="184" spans="5:63" x14ac:dyDescent="0.25">
      <c r="K184" s="145"/>
    </row>
  </sheetData>
  <protectedRanges>
    <protectedRange sqref="V84:Y84 L102:L104 M33:Y33 K100:K104 V169:Y169 L99:N100 R69:U70 K32:K33 AI31 R72:U84 K72:K73 S71:U71 M101:N104 K61:K64 K90:K92 K83:K84 K95:K97 BP68:BR68 BP60:BR60 BP6:BR6 BP71:BR71 M130:Y130 K180 L179:N180 R90:U108 R145:U146 AI128 K153 M181:N1048576 K129:K130 K172:K173 K168:K169 K176:K178 R1:U6 K66:K70 R172:U1048576 S170:U171 K75:K81 K155:K156 J161 S147:U151 AH127 AH159 K143:K146 S85:U89 H61:H94 K158:K166 K138:K141 S131:U144 R152:U169 S109:U128 M109:N129 P131:P1048576 M131:N178 V161:Y161 R129:Y129 AH30 AA32:AF32 BM30:BN31 R32:Y32 P1:P32 P34:P129 M7:N32 S7:U31 M34:N98 F1:F1048576 S34:U68 K182:L1048576 H96:H130 K105:N108 L1:N6 K1:K4 K6 H4:H56 AA129:AC129 AA161:AC161 BP30:BR31 BP78:BR78 BP95:BR95 BP90:BR90 BP75:BR75 BC106 AV127:AW128 AV159:AW159 BB159 BB127 AY137:BA137 AY159:BA160 AY127:BA128 AY175:BA175 AY171:BA171 AY163:BA163 AY151:BA151 AY144:BA144 AY106:BA106 BK106:BN106 AJ84:BK84 AJ32:BK33 BD127:BE128 BD159:BE159 BJ159 BJ127 BG137:BI137 BG159:BI160 BG127:BI128 BG175:BI175 BG171:BI171 BG163:BI163 BG151:BI151 BG144:BI144 BG106:BI106 AJ169:AU169 AJ161:AU161 AJ129:AU130 H138:H1048576" name="Range1"/>
    <protectedRange sqref="L145:L146 L69:L70" name="Range1_2"/>
    <protectedRange sqref="K119" name="Range1_21"/>
    <protectedRange sqref="K11" name="Range1_1_2"/>
    <protectedRange sqref="K85" name="Range1_23"/>
  </protectedRanges>
  <mergeCells count="14">
    <mergeCell ref="S3:U3"/>
    <mergeCell ref="V4:Y4"/>
    <mergeCell ref="S105:U105"/>
    <mergeCell ref="V106:Y106"/>
    <mergeCell ref="AJ4:AM4"/>
    <mergeCell ref="AJ106:AM106"/>
    <mergeCell ref="AZ4:BC4"/>
    <mergeCell ref="AV4:AY4"/>
    <mergeCell ref="AN106:AQ106"/>
    <mergeCell ref="BD4:BG4"/>
    <mergeCell ref="BH4:BK4"/>
    <mergeCell ref="AR106:AU106"/>
    <mergeCell ref="AN4:AQ4"/>
    <mergeCell ref="AR4:AU4"/>
  </mergeCells>
  <conditionalFormatting sqref="D34">
    <cfRule type="expression" dxfId="55" priority="104">
      <formula>#REF!="Y"</formula>
    </cfRule>
    <cfRule type="expression" dxfId="54" priority="103">
      <formula>#REF!="E"</formula>
    </cfRule>
  </conditionalFormatting>
  <conditionalFormatting sqref="D37">
    <cfRule type="expression" dxfId="53" priority="89">
      <formula>#REF!="E"</formula>
    </cfRule>
    <cfRule type="expression" dxfId="52" priority="90">
      <formula>#REF!="Y"</formula>
    </cfRule>
  </conditionalFormatting>
  <conditionalFormatting sqref="D42:D43">
    <cfRule type="expression" dxfId="51" priority="85">
      <formula>#REF!="E"</formula>
    </cfRule>
    <cfRule type="expression" dxfId="50" priority="86">
      <formula>#REF!="Y"</formula>
    </cfRule>
  </conditionalFormatting>
  <conditionalFormatting sqref="D55:D56">
    <cfRule type="expression" dxfId="49" priority="83">
      <formula>#REF!="E"</formula>
    </cfRule>
    <cfRule type="expression" dxfId="48" priority="84">
      <formula>#REF!="Y"</formula>
    </cfRule>
  </conditionalFormatting>
  <conditionalFormatting sqref="D57:D58">
    <cfRule type="expression" dxfId="47" priority="101">
      <formula>#REF!="E"</formula>
    </cfRule>
    <cfRule type="expression" dxfId="46" priority="102">
      <formula>#REF!="Y"</formula>
    </cfRule>
  </conditionalFormatting>
  <conditionalFormatting sqref="D10:F11">
    <cfRule type="expression" dxfId="45" priority="116">
      <formula>$L11="Y"</formula>
    </cfRule>
    <cfRule type="expression" dxfId="44" priority="115">
      <formula>$L11="E"</formula>
    </cfRule>
  </conditionalFormatting>
  <conditionalFormatting sqref="D12:F13 E14:F27 F30:F31 E32:F55 E59:F59 F60 E61:F66 E67 F67:F68 E69:F88 E89 AI89 E90:F95 E96:E98 F98 E111:F126 F127:F128 E129:F136 F137 E138:F142 E143 F143:F144 E145:F169 E170 AI170 E171:F175 E176:E178 F178">
    <cfRule type="expression" dxfId="43" priority="96">
      <formula>$L14="Y"</formula>
    </cfRule>
  </conditionalFormatting>
  <conditionalFormatting sqref="D107:F110">
    <cfRule type="expression" dxfId="42" priority="40">
      <formula>$L109="Y"</formula>
    </cfRule>
    <cfRule type="expression" dxfId="41" priority="39">
      <formula>$L109="E"</formula>
    </cfRule>
  </conditionalFormatting>
  <conditionalFormatting sqref="D7:G9">
    <cfRule type="expression" dxfId="40" priority="50">
      <formula>$L7="Y"</formula>
    </cfRule>
    <cfRule type="expression" dxfId="39" priority="49">
      <formula>$L7="E"</formula>
    </cfRule>
  </conditionalFormatting>
  <conditionalFormatting sqref="E99 G101">
    <cfRule type="expression" dxfId="38" priority="110">
      <formula>#REF!="Y"</formula>
    </cfRule>
    <cfRule type="expression" dxfId="37" priority="109">
      <formula>#REF!="E"</formula>
    </cfRule>
  </conditionalFormatting>
  <conditionalFormatting sqref="E179">
    <cfRule type="expression" dxfId="36" priority="111">
      <formula>$L190="E"</formula>
    </cfRule>
    <cfRule type="expression" dxfId="35" priority="112">
      <formula>$L190="Y"</formula>
    </cfRule>
  </conditionalFormatting>
  <conditionalFormatting sqref="E28:F29 E56:F58">
    <cfRule type="expression" dxfId="34" priority="113">
      <formula>$L31="E"</formula>
    </cfRule>
    <cfRule type="expression" dxfId="33" priority="114">
      <formula>$L31="Y"</formula>
    </cfRule>
  </conditionalFormatting>
  <conditionalFormatting sqref="F127">
    <cfRule type="expression" dxfId="32" priority="41">
      <formula>$L129="E"</formula>
    </cfRule>
    <cfRule type="expression" dxfId="31" priority="42">
      <formula>$L129="Y"</formula>
    </cfRule>
  </conditionalFormatting>
  <conditionalFormatting sqref="F127:F128 D12:F13 E14:F27 F30:F31 E32:F55 E59:F59 F60 E61:F66 E67 F67:F68 E69:F88 E89 AI89 E90:F95 E96:E98 F98 E111:F126 E129:F136 F137 E138:F142 E143 F143:F144 E145:F169 E170 AI170 E171:F175 E176:E178 F178">
    <cfRule type="expression" dxfId="30" priority="95">
      <formula>$L14="E"</formula>
    </cfRule>
  </conditionalFormatting>
  <conditionalFormatting sqref="G10:G32">
    <cfRule type="expression" dxfId="29" priority="3">
      <formula>$L10="E"</formula>
    </cfRule>
    <cfRule type="expression" dxfId="28" priority="4">
      <formula>$L10="Y"</formula>
    </cfRule>
  </conditionalFormatting>
  <conditionalFormatting sqref="G34:G38 G40:G44 D129:D135">
    <cfRule type="expression" dxfId="27" priority="105">
      <formula>#REF!="E"</formula>
    </cfRule>
    <cfRule type="expression" dxfId="26" priority="106">
      <formula>#REF!="Y"</formula>
    </cfRule>
  </conditionalFormatting>
  <conditionalFormatting sqref="G39">
    <cfRule type="expression" dxfId="25" priority="8">
      <formula>$L39="Y"</formula>
    </cfRule>
    <cfRule type="expression" dxfId="24" priority="7">
      <formula>$L39="E"</formula>
    </cfRule>
  </conditionalFormatting>
  <conditionalFormatting sqref="G45">
    <cfRule type="expression" dxfId="23" priority="98">
      <formula>$L45="Y"</formula>
    </cfRule>
    <cfRule type="expression" dxfId="22" priority="97">
      <formula>$L45="E"</formula>
    </cfRule>
  </conditionalFormatting>
  <conditionalFormatting sqref="G46:G49 D54">
    <cfRule type="expression" dxfId="21" priority="94">
      <formula>#REF!="Y"</formula>
    </cfRule>
    <cfRule type="expression" dxfId="20" priority="93">
      <formula>#REF!="E"</formula>
    </cfRule>
  </conditionalFormatting>
  <conditionalFormatting sqref="G50:G61">
    <cfRule type="expression" dxfId="19" priority="51">
      <formula>$L50="E"</formula>
    </cfRule>
    <cfRule type="expression" dxfId="18" priority="52">
      <formula>$L50="Y"</formula>
    </cfRule>
  </conditionalFormatting>
  <conditionalFormatting sqref="G63:G69">
    <cfRule type="expression" dxfId="17" priority="82">
      <formula>$L63="Y"</formula>
    </cfRule>
    <cfRule type="expression" dxfId="16" priority="81">
      <formula>$L63="E"</formula>
    </cfRule>
  </conditionalFormatting>
  <conditionalFormatting sqref="G71:G100">
    <cfRule type="expression" dxfId="15" priority="62">
      <formula>$L71="Y"</formula>
    </cfRule>
    <cfRule type="expression" dxfId="14" priority="61">
      <formula>$L71="E"</formula>
    </cfRule>
  </conditionalFormatting>
  <conditionalFormatting sqref="G109:G129">
    <cfRule type="expression" dxfId="13" priority="20">
      <formula>$L109="Y"</formula>
    </cfRule>
    <cfRule type="expression" dxfId="12" priority="19">
      <formula>$L109="E"</formula>
    </cfRule>
  </conditionalFormatting>
  <conditionalFormatting sqref="G131:G138">
    <cfRule type="expression" dxfId="11" priority="12">
      <formula>$L131="Y"</formula>
    </cfRule>
    <cfRule type="expression" dxfId="10" priority="11">
      <formula>$L131="E"</formula>
    </cfRule>
  </conditionalFormatting>
  <conditionalFormatting sqref="G140:G145">
    <cfRule type="expression" dxfId="9" priority="37">
      <formula>$L140="E"</formula>
    </cfRule>
    <cfRule type="expression" dxfId="8" priority="38">
      <formula>$L140="Y"</formula>
    </cfRule>
  </conditionalFormatting>
  <conditionalFormatting sqref="G147:G180">
    <cfRule type="expression" dxfId="7" priority="16">
      <formula>$L147="Y"</formula>
    </cfRule>
    <cfRule type="expression" dxfId="6" priority="15">
      <formula>$L147="E"</formula>
    </cfRule>
  </conditionalFormatting>
  <conditionalFormatting sqref="G181">
    <cfRule type="expression" dxfId="5" priority="47">
      <formula>$L190="E"</formula>
    </cfRule>
    <cfRule type="expression" dxfId="4" priority="48">
      <formula>$L190="Y"</formula>
    </cfRule>
  </conditionalFormatting>
  <conditionalFormatting sqref="H99">
    <cfRule type="expression" dxfId="3" priority="2">
      <formula>$L98="Y"</formula>
    </cfRule>
    <cfRule type="expression" dxfId="2" priority="1">
      <formula>$L98="E"</formula>
    </cfRule>
  </conditionalFormatting>
  <conditionalFormatting sqref="H179">
    <cfRule type="expression" dxfId="1" priority="46">
      <formula>$L178="Y"</formula>
    </cfRule>
    <cfRule type="expression" dxfId="0" priority="45">
      <formula>$L178="E"</formula>
    </cfRule>
  </conditionalFormatting>
  <pageMargins left="0.7" right="0.7" top="0.75" bottom="0.75" header="0.3" footer="0.3"/>
  <pageSetup scale="40" fitToHeight="0" orientation="landscape" horizontalDpi="90" verticalDpi="90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FE08-00EE-43D1-8796-86E3BEACEA0C}">
  <sheetPr syncVertical="1" syncRef="A334" transitionEvaluation="1" transitionEntry="1">
    <tabColor rgb="FFFF0000"/>
  </sheetPr>
  <dimension ref="A1:AS595"/>
  <sheetViews>
    <sheetView topLeftCell="A334" zoomScale="80" zoomScaleNormal="80" zoomScaleSheetLayoutView="59" workbookViewId="0">
      <selection activeCell="K449" sqref="K449"/>
    </sheetView>
  </sheetViews>
  <sheetFormatPr defaultColWidth="14.42578125" defaultRowHeight="12.75" x14ac:dyDescent="0.2"/>
  <cols>
    <col min="1" max="1" width="5.28515625" style="2" customWidth="1"/>
    <col min="2" max="2" width="14.42578125" style="2"/>
    <col min="3" max="3" width="26.5703125" style="2" customWidth="1"/>
    <col min="4" max="4" width="1.5703125" style="2" customWidth="1"/>
    <col min="5" max="5" width="15.140625" style="2" bestFit="1" customWidth="1"/>
    <col min="6" max="6" width="1.5703125" style="2" customWidth="1"/>
    <col min="7" max="7" width="16.5703125" style="2" bestFit="1" customWidth="1"/>
    <col min="8" max="8" width="1.5703125" style="2" customWidth="1"/>
    <col min="9" max="9" width="16.5703125" style="2" bestFit="1" customWidth="1"/>
    <col min="10" max="10" width="1.5703125" style="2" customWidth="1"/>
    <col min="11" max="11" width="14.42578125" style="2"/>
    <col min="12" max="12" width="1.5703125" style="2" customWidth="1"/>
    <col min="13" max="13" width="16.5703125" style="2" bestFit="1" customWidth="1"/>
    <col min="14" max="14" width="1.5703125" style="2" customWidth="1"/>
    <col min="15" max="15" width="25.28515625" style="3" customWidth="1"/>
    <col min="16" max="16" width="25.28515625" style="1" customWidth="1"/>
    <col min="17" max="17" width="3.28515625" style="2" customWidth="1"/>
    <col min="18" max="19" width="2.5703125" style="2" customWidth="1"/>
    <col min="20" max="20" width="28.85546875" style="2" customWidth="1"/>
    <col min="21" max="21" width="27.28515625" style="2" customWidth="1"/>
    <col min="22" max="23" width="14.42578125" style="2"/>
    <col min="24" max="27" width="0" style="2" hidden="1" customWidth="1"/>
    <col min="28" max="256" width="14.42578125" style="2"/>
    <col min="257" max="257" width="5.28515625" style="2" customWidth="1"/>
    <col min="258" max="258" width="14.42578125" style="2"/>
    <col min="259" max="259" width="19.42578125" style="2" customWidth="1"/>
    <col min="260" max="260" width="1.5703125" style="2" customWidth="1"/>
    <col min="261" max="261" width="14.42578125" style="2"/>
    <col min="262" max="262" width="1.5703125" style="2" customWidth="1"/>
    <col min="263" max="263" width="14.42578125" style="2"/>
    <col min="264" max="264" width="1.5703125" style="2" customWidth="1"/>
    <col min="265" max="265" width="14.42578125" style="2"/>
    <col min="266" max="266" width="1.5703125" style="2" customWidth="1"/>
    <col min="267" max="267" width="14.42578125" style="2"/>
    <col min="268" max="268" width="1.5703125" style="2" customWidth="1"/>
    <col min="269" max="269" width="14.42578125" style="2"/>
    <col min="270" max="270" width="1.5703125" style="2" customWidth="1"/>
    <col min="271" max="271" width="23.5703125" style="2" customWidth="1"/>
    <col min="272" max="275" width="12.28515625" style="2" customWidth="1"/>
    <col min="276" max="276" width="30.5703125" style="2" customWidth="1"/>
    <col min="277" max="277" width="16.28515625" style="2" customWidth="1"/>
    <col min="278" max="512" width="14.42578125" style="2"/>
    <col min="513" max="513" width="5.28515625" style="2" customWidth="1"/>
    <col min="514" max="514" width="14.42578125" style="2"/>
    <col min="515" max="515" width="19.42578125" style="2" customWidth="1"/>
    <col min="516" max="516" width="1.5703125" style="2" customWidth="1"/>
    <col min="517" max="517" width="14.42578125" style="2"/>
    <col min="518" max="518" width="1.5703125" style="2" customWidth="1"/>
    <col min="519" max="519" width="14.42578125" style="2"/>
    <col min="520" max="520" width="1.5703125" style="2" customWidth="1"/>
    <col min="521" max="521" width="14.42578125" style="2"/>
    <col min="522" max="522" width="1.5703125" style="2" customWidth="1"/>
    <col min="523" max="523" width="14.42578125" style="2"/>
    <col min="524" max="524" width="1.5703125" style="2" customWidth="1"/>
    <col min="525" max="525" width="14.42578125" style="2"/>
    <col min="526" max="526" width="1.5703125" style="2" customWidth="1"/>
    <col min="527" max="527" width="23.5703125" style="2" customWidth="1"/>
    <col min="528" max="531" width="12.28515625" style="2" customWidth="1"/>
    <col min="532" max="532" width="30.5703125" style="2" customWidth="1"/>
    <col min="533" max="533" width="16.28515625" style="2" customWidth="1"/>
    <col min="534" max="768" width="14.42578125" style="2"/>
    <col min="769" max="769" width="5.28515625" style="2" customWidth="1"/>
    <col min="770" max="770" width="14.42578125" style="2"/>
    <col min="771" max="771" width="19.42578125" style="2" customWidth="1"/>
    <col min="772" max="772" width="1.5703125" style="2" customWidth="1"/>
    <col min="773" max="773" width="14.42578125" style="2"/>
    <col min="774" max="774" width="1.5703125" style="2" customWidth="1"/>
    <col min="775" max="775" width="14.42578125" style="2"/>
    <col min="776" max="776" width="1.5703125" style="2" customWidth="1"/>
    <col min="777" max="777" width="14.42578125" style="2"/>
    <col min="778" max="778" width="1.5703125" style="2" customWidth="1"/>
    <col min="779" max="779" width="14.42578125" style="2"/>
    <col min="780" max="780" width="1.5703125" style="2" customWidth="1"/>
    <col min="781" max="781" width="14.42578125" style="2"/>
    <col min="782" max="782" width="1.5703125" style="2" customWidth="1"/>
    <col min="783" max="783" width="23.5703125" style="2" customWidth="1"/>
    <col min="784" max="787" width="12.28515625" style="2" customWidth="1"/>
    <col min="788" max="788" width="30.5703125" style="2" customWidth="1"/>
    <col min="789" max="789" width="16.28515625" style="2" customWidth="1"/>
    <col min="790" max="1024" width="14.42578125" style="2"/>
    <col min="1025" max="1025" width="5.28515625" style="2" customWidth="1"/>
    <col min="1026" max="1026" width="14.42578125" style="2"/>
    <col min="1027" max="1027" width="19.42578125" style="2" customWidth="1"/>
    <col min="1028" max="1028" width="1.5703125" style="2" customWidth="1"/>
    <col min="1029" max="1029" width="14.42578125" style="2"/>
    <col min="1030" max="1030" width="1.5703125" style="2" customWidth="1"/>
    <col min="1031" max="1031" width="14.42578125" style="2"/>
    <col min="1032" max="1032" width="1.5703125" style="2" customWidth="1"/>
    <col min="1033" max="1033" width="14.42578125" style="2"/>
    <col min="1034" max="1034" width="1.5703125" style="2" customWidth="1"/>
    <col min="1035" max="1035" width="14.42578125" style="2"/>
    <col min="1036" max="1036" width="1.5703125" style="2" customWidth="1"/>
    <col min="1037" max="1037" width="14.42578125" style="2"/>
    <col min="1038" max="1038" width="1.5703125" style="2" customWidth="1"/>
    <col min="1039" max="1039" width="23.5703125" style="2" customWidth="1"/>
    <col min="1040" max="1043" width="12.28515625" style="2" customWidth="1"/>
    <col min="1044" max="1044" width="30.5703125" style="2" customWidth="1"/>
    <col min="1045" max="1045" width="16.28515625" style="2" customWidth="1"/>
    <col min="1046" max="1280" width="14.42578125" style="2"/>
    <col min="1281" max="1281" width="5.28515625" style="2" customWidth="1"/>
    <col min="1282" max="1282" width="14.42578125" style="2"/>
    <col min="1283" max="1283" width="19.42578125" style="2" customWidth="1"/>
    <col min="1284" max="1284" width="1.5703125" style="2" customWidth="1"/>
    <col min="1285" max="1285" width="14.42578125" style="2"/>
    <col min="1286" max="1286" width="1.5703125" style="2" customWidth="1"/>
    <col min="1287" max="1287" width="14.42578125" style="2"/>
    <col min="1288" max="1288" width="1.5703125" style="2" customWidth="1"/>
    <col min="1289" max="1289" width="14.42578125" style="2"/>
    <col min="1290" max="1290" width="1.5703125" style="2" customWidth="1"/>
    <col min="1291" max="1291" width="14.42578125" style="2"/>
    <col min="1292" max="1292" width="1.5703125" style="2" customWidth="1"/>
    <col min="1293" max="1293" width="14.42578125" style="2"/>
    <col min="1294" max="1294" width="1.5703125" style="2" customWidth="1"/>
    <col min="1295" max="1295" width="23.5703125" style="2" customWidth="1"/>
    <col min="1296" max="1299" width="12.28515625" style="2" customWidth="1"/>
    <col min="1300" max="1300" width="30.5703125" style="2" customWidth="1"/>
    <col min="1301" max="1301" width="16.28515625" style="2" customWidth="1"/>
    <col min="1302" max="1536" width="14.42578125" style="2"/>
    <col min="1537" max="1537" width="5.28515625" style="2" customWidth="1"/>
    <col min="1538" max="1538" width="14.42578125" style="2"/>
    <col min="1539" max="1539" width="19.42578125" style="2" customWidth="1"/>
    <col min="1540" max="1540" width="1.5703125" style="2" customWidth="1"/>
    <col min="1541" max="1541" width="14.42578125" style="2"/>
    <col min="1542" max="1542" width="1.5703125" style="2" customWidth="1"/>
    <col min="1543" max="1543" width="14.42578125" style="2"/>
    <col min="1544" max="1544" width="1.5703125" style="2" customWidth="1"/>
    <col min="1545" max="1545" width="14.42578125" style="2"/>
    <col min="1546" max="1546" width="1.5703125" style="2" customWidth="1"/>
    <col min="1547" max="1547" width="14.42578125" style="2"/>
    <col min="1548" max="1548" width="1.5703125" style="2" customWidth="1"/>
    <col min="1549" max="1549" width="14.42578125" style="2"/>
    <col min="1550" max="1550" width="1.5703125" style="2" customWidth="1"/>
    <col min="1551" max="1551" width="23.5703125" style="2" customWidth="1"/>
    <col min="1552" max="1555" width="12.28515625" style="2" customWidth="1"/>
    <col min="1556" max="1556" width="30.5703125" style="2" customWidth="1"/>
    <col min="1557" max="1557" width="16.28515625" style="2" customWidth="1"/>
    <col min="1558" max="1792" width="14.42578125" style="2"/>
    <col min="1793" max="1793" width="5.28515625" style="2" customWidth="1"/>
    <col min="1794" max="1794" width="14.42578125" style="2"/>
    <col min="1795" max="1795" width="19.42578125" style="2" customWidth="1"/>
    <col min="1796" max="1796" width="1.5703125" style="2" customWidth="1"/>
    <col min="1797" max="1797" width="14.42578125" style="2"/>
    <col min="1798" max="1798" width="1.5703125" style="2" customWidth="1"/>
    <col min="1799" max="1799" width="14.42578125" style="2"/>
    <col min="1800" max="1800" width="1.5703125" style="2" customWidth="1"/>
    <col min="1801" max="1801" width="14.42578125" style="2"/>
    <col min="1802" max="1802" width="1.5703125" style="2" customWidth="1"/>
    <col min="1803" max="1803" width="14.42578125" style="2"/>
    <col min="1804" max="1804" width="1.5703125" style="2" customWidth="1"/>
    <col min="1805" max="1805" width="14.42578125" style="2"/>
    <col min="1806" max="1806" width="1.5703125" style="2" customWidth="1"/>
    <col min="1807" max="1807" width="23.5703125" style="2" customWidth="1"/>
    <col min="1808" max="1811" width="12.28515625" style="2" customWidth="1"/>
    <col min="1812" max="1812" width="30.5703125" style="2" customWidth="1"/>
    <col min="1813" max="1813" width="16.28515625" style="2" customWidth="1"/>
    <col min="1814" max="2048" width="14.42578125" style="2"/>
    <col min="2049" max="2049" width="5.28515625" style="2" customWidth="1"/>
    <col min="2050" max="2050" width="14.42578125" style="2"/>
    <col min="2051" max="2051" width="19.42578125" style="2" customWidth="1"/>
    <col min="2052" max="2052" width="1.5703125" style="2" customWidth="1"/>
    <col min="2053" max="2053" width="14.42578125" style="2"/>
    <col min="2054" max="2054" width="1.5703125" style="2" customWidth="1"/>
    <col min="2055" max="2055" width="14.42578125" style="2"/>
    <col min="2056" max="2056" width="1.5703125" style="2" customWidth="1"/>
    <col min="2057" max="2057" width="14.42578125" style="2"/>
    <col min="2058" max="2058" width="1.5703125" style="2" customWidth="1"/>
    <col min="2059" max="2059" width="14.42578125" style="2"/>
    <col min="2060" max="2060" width="1.5703125" style="2" customWidth="1"/>
    <col min="2061" max="2061" width="14.42578125" style="2"/>
    <col min="2062" max="2062" width="1.5703125" style="2" customWidth="1"/>
    <col min="2063" max="2063" width="23.5703125" style="2" customWidth="1"/>
    <col min="2064" max="2067" width="12.28515625" style="2" customWidth="1"/>
    <col min="2068" max="2068" width="30.5703125" style="2" customWidth="1"/>
    <col min="2069" max="2069" width="16.28515625" style="2" customWidth="1"/>
    <col min="2070" max="2304" width="14.42578125" style="2"/>
    <col min="2305" max="2305" width="5.28515625" style="2" customWidth="1"/>
    <col min="2306" max="2306" width="14.42578125" style="2"/>
    <col min="2307" max="2307" width="19.42578125" style="2" customWidth="1"/>
    <col min="2308" max="2308" width="1.5703125" style="2" customWidth="1"/>
    <col min="2309" max="2309" width="14.42578125" style="2"/>
    <col min="2310" max="2310" width="1.5703125" style="2" customWidth="1"/>
    <col min="2311" max="2311" width="14.42578125" style="2"/>
    <col min="2312" max="2312" width="1.5703125" style="2" customWidth="1"/>
    <col min="2313" max="2313" width="14.42578125" style="2"/>
    <col min="2314" max="2314" width="1.5703125" style="2" customWidth="1"/>
    <col min="2315" max="2315" width="14.42578125" style="2"/>
    <col min="2316" max="2316" width="1.5703125" style="2" customWidth="1"/>
    <col min="2317" max="2317" width="14.42578125" style="2"/>
    <col min="2318" max="2318" width="1.5703125" style="2" customWidth="1"/>
    <col min="2319" max="2319" width="23.5703125" style="2" customWidth="1"/>
    <col min="2320" max="2323" width="12.28515625" style="2" customWidth="1"/>
    <col min="2324" max="2324" width="30.5703125" style="2" customWidth="1"/>
    <col min="2325" max="2325" width="16.28515625" style="2" customWidth="1"/>
    <col min="2326" max="2560" width="14.42578125" style="2"/>
    <col min="2561" max="2561" width="5.28515625" style="2" customWidth="1"/>
    <col min="2562" max="2562" width="14.42578125" style="2"/>
    <col min="2563" max="2563" width="19.42578125" style="2" customWidth="1"/>
    <col min="2564" max="2564" width="1.5703125" style="2" customWidth="1"/>
    <col min="2565" max="2565" width="14.42578125" style="2"/>
    <col min="2566" max="2566" width="1.5703125" style="2" customWidth="1"/>
    <col min="2567" max="2567" width="14.42578125" style="2"/>
    <col min="2568" max="2568" width="1.5703125" style="2" customWidth="1"/>
    <col min="2569" max="2569" width="14.42578125" style="2"/>
    <col min="2570" max="2570" width="1.5703125" style="2" customWidth="1"/>
    <col min="2571" max="2571" width="14.42578125" style="2"/>
    <col min="2572" max="2572" width="1.5703125" style="2" customWidth="1"/>
    <col min="2573" max="2573" width="14.42578125" style="2"/>
    <col min="2574" max="2574" width="1.5703125" style="2" customWidth="1"/>
    <col min="2575" max="2575" width="23.5703125" style="2" customWidth="1"/>
    <col min="2576" max="2579" width="12.28515625" style="2" customWidth="1"/>
    <col min="2580" max="2580" width="30.5703125" style="2" customWidth="1"/>
    <col min="2581" max="2581" width="16.28515625" style="2" customWidth="1"/>
    <col min="2582" max="2816" width="14.42578125" style="2"/>
    <col min="2817" max="2817" width="5.28515625" style="2" customWidth="1"/>
    <col min="2818" max="2818" width="14.42578125" style="2"/>
    <col min="2819" max="2819" width="19.42578125" style="2" customWidth="1"/>
    <col min="2820" max="2820" width="1.5703125" style="2" customWidth="1"/>
    <col min="2821" max="2821" width="14.42578125" style="2"/>
    <col min="2822" max="2822" width="1.5703125" style="2" customWidth="1"/>
    <col min="2823" max="2823" width="14.42578125" style="2"/>
    <col min="2824" max="2824" width="1.5703125" style="2" customWidth="1"/>
    <col min="2825" max="2825" width="14.42578125" style="2"/>
    <col min="2826" max="2826" width="1.5703125" style="2" customWidth="1"/>
    <col min="2827" max="2827" width="14.42578125" style="2"/>
    <col min="2828" max="2828" width="1.5703125" style="2" customWidth="1"/>
    <col min="2829" max="2829" width="14.42578125" style="2"/>
    <col min="2830" max="2830" width="1.5703125" style="2" customWidth="1"/>
    <col min="2831" max="2831" width="23.5703125" style="2" customWidth="1"/>
    <col min="2832" max="2835" width="12.28515625" style="2" customWidth="1"/>
    <col min="2836" max="2836" width="30.5703125" style="2" customWidth="1"/>
    <col min="2837" max="2837" width="16.28515625" style="2" customWidth="1"/>
    <col min="2838" max="3072" width="14.42578125" style="2"/>
    <col min="3073" max="3073" width="5.28515625" style="2" customWidth="1"/>
    <col min="3074" max="3074" width="14.42578125" style="2"/>
    <col min="3075" max="3075" width="19.42578125" style="2" customWidth="1"/>
    <col min="3076" max="3076" width="1.5703125" style="2" customWidth="1"/>
    <col min="3077" max="3077" width="14.42578125" style="2"/>
    <col min="3078" max="3078" width="1.5703125" style="2" customWidth="1"/>
    <col min="3079" max="3079" width="14.42578125" style="2"/>
    <col min="3080" max="3080" width="1.5703125" style="2" customWidth="1"/>
    <col min="3081" max="3081" width="14.42578125" style="2"/>
    <col min="3082" max="3082" width="1.5703125" style="2" customWidth="1"/>
    <col min="3083" max="3083" width="14.42578125" style="2"/>
    <col min="3084" max="3084" width="1.5703125" style="2" customWidth="1"/>
    <col min="3085" max="3085" width="14.42578125" style="2"/>
    <col min="3086" max="3086" width="1.5703125" style="2" customWidth="1"/>
    <col min="3087" max="3087" width="23.5703125" style="2" customWidth="1"/>
    <col min="3088" max="3091" width="12.28515625" style="2" customWidth="1"/>
    <col min="3092" max="3092" width="30.5703125" style="2" customWidth="1"/>
    <col min="3093" max="3093" width="16.28515625" style="2" customWidth="1"/>
    <col min="3094" max="3328" width="14.42578125" style="2"/>
    <col min="3329" max="3329" width="5.28515625" style="2" customWidth="1"/>
    <col min="3330" max="3330" width="14.42578125" style="2"/>
    <col min="3331" max="3331" width="19.42578125" style="2" customWidth="1"/>
    <col min="3332" max="3332" width="1.5703125" style="2" customWidth="1"/>
    <col min="3333" max="3333" width="14.42578125" style="2"/>
    <col min="3334" max="3334" width="1.5703125" style="2" customWidth="1"/>
    <col min="3335" max="3335" width="14.42578125" style="2"/>
    <col min="3336" max="3336" width="1.5703125" style="2" customWidth="1"/>
    <col min="3337" max="3337" width="14.42578125" style="2"/>
    <col min="3338" max="3338" width="1.5703125" style="2" customWidth="1"/>
    <col min="3339" max="3339" width="14.42578125" style="2"/>
    <col min="3340" max="3340" width="1.5703125" style="2" customWidth="1"/>
    <col min="3341" max="3341" width="14.42578125" style="2"/>
    <col min="3342" max="3342" width="1.5703125" style="2" customWidth="1"/>
    <col min="3343" max="3343" width="23.5703125" style="2" customWidth="1"/>
    <col min="3344" max="3347" width="12.28515625" style="2" customWidth="1"/>
    <col min="3348" max="3348" width="30.5703125" style="2" customWidth="1"/>
    <col min="3349" max="3349" width="16.28515625" style="2" customWidth="1"/>
    <col min="3350" max="3584" width="14.42578125" style="2"/>
    <col min="3585" max="3585" width="5.28515625" style="2" customWidth="1"/>
    <col min="3586" max="3586" width="14.42578125" style="2"/>
    <col min="3587" max="3587" width="19.42578125" style="2" customWidth="1"/>
    <col min="3588" max="3588" width="1.5703125" style="2" customWidth="1"/>
    <col min="3589" max="3589" width="14.42578125" style="2"/>
    <col min="3590" max="3590" width="1.5703125" style="2" customWidth="1"/>
    <col min="3591" max="3591" width="14.42578125" style="2"/>
    <col min="3592" max="3592" width="1.5703125" style="2" customWidth="1"/>
    <col min="3593" max="3593" width="14.42578125" style="2"/>
    <col min="3594" max="3594" width="1.5703125" style="2" customWidth="1"/>
    <col min="3595" max="3595" width="14.42578125" style="2"/>
    <col min="3596" max="3596" width="1.5703125" style="2" customWidth="1"/>
    <col min="3597" max="3597" width="14.42578125" style="2"/>
    <col min="3598" max="3598" width="1.5703125" style="2" customWidth="1"/>
    <col min="3599" max="3599" width="23.5703125" style="2" customWidth="1"/>
    <col min="3600" max="3603" width="12.28515625" style="2" customWidth="1"/>
    <col min="3604" max="3604" width="30.5703125" style="2" customWidth="1"/>
    <col min="3605" max="3605" width="16.28515625" style="2" customWidth="1"/>
    <col min="3606" max="3840" width="14.42578125" style="2"/>
    <col min="3841" max="3841" width="5.28515625" style="2" customWidth="1"/>
    <col min="3842" max="3842" width="14.42578125" style="2"/>
    <col min="3843" max="3843" width="19.42578125" style="2" customWidth="1"/>
    <col min="3844" max="3844" width="1.5703125" style="2" customWidth="1"/>
    <col min="3845" max="3845" width="14.42578125" style="2"/>
    <col min="3846" max="3846" width="1.5703125" style="2" customWidth="1"/>
    <col min="3847" max="3847" width="14.42578125" style="2"/>
    <col min="3848" max="3848" width="1.5703125" style="2" customWidth="1"/>
    <col min="3849" max="3849" width="14.42578125" style="2"/>
    <col min="3850" max="3850" width="1.5703125" style="2" customWidth="1"/>
    <col min="3851" max="3851" width="14.42578125" style="2"/>
    <col min="3852" max="3852" width="1.5703125" style="2" customWidth="1"/>
    <col min="3853" max="3853" width="14.42578125" style="2"/>
    <col min="3854" max="3854" width="1.5703125" style="2" customWidth="1"/>
    <col min="3855" max="3855" width="23.5703125" style="2" customWidth="1"/>
    <col min="3856" max="3859" width="12.28515625" style="2" customWidth="1"/>
    <col min="3860" max="3860" width="30.5703125" style="2" customWidth="1"/>
    <col min="3861" max="3861" width="16.28515625" style="2" customWidth="1"/>
    <col min="3862" max="4096" width="14.42578125" style="2"/>
    <col min="4097" max="4097" width="5.28515625" style="2" customWidth="1"/>
    <col min="4098" max="4098" width="14.42578125" style="2"/>
    <col min="4099" max="4099" width="19.42578125" style="2" customWidth="1"/>
    <col min="4100" max="4100" width="1.5703125" style="2" customWidth="1"/>
    <col min="4101" max="4101" width="14.42578125" style="2"/>
    <col min="4102" max="4102" width="1.5703125" style="2" customWidth="1"/>
    <col min="4103" max="4103" width="14.42578125" style="2"/>
    <col min="4104" max="4104" width="1.5703125" style="2" customWidth="1"/>
    <col min="4105" max="4105" width="14.42578125" style="2"/>
    <col min="4106" max="4106" width="1.5703125" style="2" customWidth="1"/>
    <col min="4107" max="4107" width="14.42578125" style="2"/>
    <col min="4108" max="4108" width="1.5703125" style="2" customWidth="1"/>
    <col min="4109" max="4109" width="14.42578125" style="2"/>
    <col min="4110" max="4110" width="1.5703125" style="2" customWidth="1"/>
    <col min="4111" max="4111" width="23.5703125" style="2" customWidth="1"/>
    <col min="4112" max="4115" width="12.28515625" style="2" customWidth="1"/>
    <col min="4116" max="4116" width="30.5703125" style="2" customWidth="1"/>
    <col min="4117" max="4117" width="16.28515625" style="2" customWidth="1"/>
    <col min="4118" max="4352" width="14.42578125" style="2"/>
    <col min="4353" max="4353" width="5.28515625" style="2" customWidth="1"/>
    <col min="4354" max="4354" width="14.42578125" style="2"/>
    <col min="4355" max="4355" width="19.42578125" style="2" customWidth="1"/>
    <col min="4356" max="4356" width="1.5703125" style="2" customWidth="1"/>
    <col min="4357" max="4357" width="14.42578125" style="2"/>
    <col min="4358" max="4358" width="1.5703125" style="2" customWidth="1"/>
    <col min="4359" max="4359" width="14.42578125" style="2"/>
    <col min="4360" max="4360" width="1.5703125" style="2" customWidth="1"/>
    <col min="4361" max="4361" width="14.42578125" style="2"/>
    <col min="4362" max="4362" width="1.5703125" style="2" customWidth="1"/>
    <col min="4363" max="4363" width="14.42578125" style="2"/>
    <col min="4364" max="4364" width="1.5703125" style="2" customWidth="1"/>
    <col min="4365" max="4365" width="14.42578125" style="2"/>
    <col min="4366" max="4366" width="1.5703125" style="2" customWidth="1"/>
    <col min="4367" max="4367" width="23.5703125" style="2" customWidth="1"/>
    <col min="4368" max="4371" width="12.28515625" style="2" customWidth="1"/>
    <col min="4372" max="4372" width="30.5703125" style="2" customWidth="1"/>
    <col min="4373" max="4373" width="16.28515625" style="2" customWidth="1"/>
    <col min="4374" max="4608" width="14.42578125" style="2"/>
    <col min="4609" max="4609" width="5.28515625" style="2" customWidth="1"/>
    <col min="4610" max="4610" width="14.42578125" style="2"/>
    <col min="4611" max="4611" width="19.42578125" style="2" customWidth="1"/>
    <col min="4612" max="4612" width="1.5703125" style="2" customWidth="1"/>
    <col min="4613" max="4613" width="14.42578125" style="2"/>
    <col min="4614" max="4614" width="1.5703125" style="2" customWidth="1"/>
    <col min="4615" max="4615" width="14.42578125" style="2"/>
    <col min="4616" max="4616" width="1.5703125" style="2" customWidth="1"/>
    <col min="4617" max="4617" width="14.42578125" style="2"/>
    <col min="4618" max="4618" width="1.5703125" style="2" customWidth="1"/>
    <col min="4619" max="4619" width="14.42578125" style="2"/>
    <col min="4620" max="4620" width="1.5703125" style="2" customWidth="1"/>
    <col min="4621" max="4621" width="14.42578125" style="2"/>
    <col min="4622" max="4622" width="1.5703125" style="2" customWidth="1"/>
    <col min="4623" max="4623" width="23.5703125" style="2" customWidth="1"/>
    <col min="4624" max="4627" width="12.28515625" style="2" customWidth="1"/>
    <col min="4628" max="4628" width="30.5703125" style="2" customWidth="1"/>
    <col min="4629" max="4629" width="16.28515625" style="2" customWidth="1"/>
    <col min="4630" max="4864" width="14.42578125" style="2"/>
    <col min="4865" max="4865" width="5.28515625" style="2" customWidth="1"/>
    <col min="4866" max="4866" width="14.42578125" style="2"/>
    <col min="4867" max="4867" width="19.42578125" style="2" customWidth="1"/>
    <col min="4868" max="4868" width="1.5703125" style="2" customWidth="1"/>
    <col min="4869" max="4869" width="14.42578125" style="2"/>
    <col min="4870" max="4870" width="1.5703125" style="2" customWidth="1"/>
    <col min="4871" max="4871" width="14.42578125" style="2"/>
    <col min="4872" max="4872" width="1.5703125" style="2" customWidth="1"/>
    <col min="4873" max="4873" width="14.42578125" style="2"/>
    <col min="4874" max="4874" width="1.5703125" style="2" customWidth="1"/>
    <col min="4875" max="4875" width="14.42578125" style="2"/>
    <col min="4876" max="4876" width="1.5703125" style="2" customWidth="1"/>
    <col min="4877" max="4877" width="14.42578125" style="2"/>
    <col min="4878" max="4878" width="1.5703125" style="2" customWidth="1"/>
    <col min="4879" max="4879" width="23.5703125" style="2" customWidth="1"/>
    <col min="4880" max="4883" width="12.28515625" style="2" customWidth="1"/>
    <col min="4884" max="4884" width="30.5703125" style="2" customWidth="1"/>
    <col min="4885" max="4885" width="16.28515625" style="2" customWidth="1"/>
    <col min="4886" max="5120" width="14.42578125" style="2"/>
    <col min="5121" max="5121" width="5.28515625" style="2" customWidth="1"/>
    <col min="5122" max="5122" width="14.42578125" style="2"/>
    <col min="5123" max="5123" width="19.42578125" style="2" customWidth="1"/>
    <col min="5124" max="5124" width="1.5703125" style="2" customWidth="1"/>
    <col min="5125" max="5125" width="14.42578125" style="2"/>
    <col min="5126" max="5126" width="1.5703125" style="2" customWidth="1"/>
    <col min="5127" max="5127" width="14.42578125" style="2"/>
    <col min="5128" max="5128" width="1.5703125" style="2" customWidth="1"/>
    <col min="5129" max="5129" width="14.42578125" style="2"/>
    <col min="5130" max="5130" width="1.5703125" style="2" customWidth="1"/>
    <col min="5131" max="5131" width="14.42578125" style="2"/>
    <col min="5132" max="5132" width="1.5703125" style="2" customWidth="1"/>
    <col min="5133" max="5133" width="14.42578125" style="2"/>
    <col min="5134" max="5134" width="1.5703125" style="2" customWidth="1"/>
    <col min="5135" max="5135" width="23.5703125" style="2" customWidth="1"/>
    <col min="5136" max="5139" width="12.28515625" style="2" customWidth="1"/>
    <col min="5140" max="5140" width="30.5703125" style="2" customWidth="1"/>
    <col min="5141" max="5141" width="16.28515625" style="2" customWidth="1"/>
    <col min="5142" max="5376" width="14.42578125" style="2"/>
    <col min="5377" max="5377" width="5.28515625" style="2" customWidth="1"/>
    <col min="5378" max="5378" width="14.42578125" style="2"/>
    <col min="5379" max="5379" width="19.42578125" style="2" customWidth="1"/>
    <col min="5380" max="5380" width="1.5703125" style="2" customWidth="1"/>
    <col min="5381" max="5381" width="14.42578125" style="2"/>
    <col min="5382" max="5382" width="1.5703125" style="2" customWidth="1"/>
    <col min="5383" max="5383" width="14.42578125" style="2"/>
    <col min="5384" max="5384" width="1.5703125" style="2" customWidth="1"/>
    <col min="5385" max="5385" width="14.42578125" style="2"/>
    <col min="5386" max="5386" width="1.5703125" style="2" customWidth="1"/>
    <col min="5387" max="5387" width="14.42578125" style="2"/>
    <col min="5388" max="5388" width="1.5703125" style="2" customWidth="1"/>
    <col min="5389" max="5389" width="14.42578125" style="2"/>
    <col min="5390" max="5390" width="1.5703125" style="2" customWidth="1"/>
    <col min="5391" max="5391" width="23.5703125" style="2" customWidth="1"/>
    <col min="5392" max="5395" width="12.28515625" style="2" customWidth="1"/>
    <col min="5396" max="5396" width="30.5703125" style="2" customWidth="1"/>
    <col min="5397" max="5397" width="16.28515625" style="2" customWidth="1"/>
    <col min="5398" max="5632" width="14.42578125" style="2"/>
    <col min="5633" max="5633" width="5.28515625" style="2" customWidth="1"/>
    <col min="5634" max="5634" width="14.42578125" style="2"/>
    <col min="5635" max="5635" width="19.42578125" style="2" customWidth="1"/>
    <col min="5636" max="5636" width="1.5703125" style="2" customWidth="1"/>
    <col min="5637" max="5637" width="14.42578125" style="2"/>
    <col min="5638" max="5638" width="1.5703125" style="2" customWidth="1"/>
    <col min="5639" max="5639" width="14.42578125" style="2"/>
    <col min="5640" max="5640" width="1.5703125" style="2" customWidth="1"/>
    <col min="5641" max="5641" width="14.42578125" style="2"/>
    <col min="5642" max="5642" width="1.5703125" style="2" customWidth="1"/>
    <col min="5643" max="5643" width="14.42578125" style="2"/>
    <col min="5644" max="5644" width="1.5703125" style="2" customWidth="1"/>
    <col min="5645" max="5645" width="14.42578125" style="2"/>
    <col min="5646" max="5646" width="1.5703125" style="2" customWidth="1"/>
    <col min="5647" max="5647" width="23.5703125" style="2" customWidth="1"/>
    <col min="5648" max="5651" width="12.28515625" style="2" customWidth="1"/>
    <col min="5652" max="5652" width="30.5703125" style="2" customWidth="1"/>
    <col min="5653" max="5653" width="16.28515625" style="2" customWidth="1"/>
    <col min="5654" max="5888" width="14.42578125" style="2"/>
    <col min="5889" max="5889" width="5.28515625" style="2" customWidth="1"/>
    <col min="5890" max="5890" width="14.42578125" style="2"/>
    <col min="5891" max="5891" width="19.42578125" style="2" customWidth="1"/>
    <col min="5892" max="5892" width="1.5703125" style="2" customWidth="1"/>
    <col min="5893" max="5893" width="14.42578125" style="2"/>
    <col min="5894" max="5894" width="1.5703125" style="2" customWidth="1"/>
    <col min="5895" max="5895" width="14.42578125" style="2"/>
    <col min="5896" max="5896" width="1.5703125" style="2" customWidth="1"/>
    <col min="5897" max="5897" width="14.42578125" style="2"/>
    <col min="5898" max="5898" width="1.5703125" style="2" customWidth="1"/>
    <col min="5899" max="5899" width="14.42578125" style="2"/>
    <col min="5900" max="5900" width="1.5703125" style="2" customWidth="1"/>
    <col min="5901" max="5901" width="14.42578125" style="2"/>
    <col min="5902" max="5902" width="1.5703125" style="2" customWidth="1"/>
    <col min="5903" max="5903" width="23.5703125" style="2" customWidth="1"/>
    <col min="5904" max="5907" width="12.28515625" style="2" customWidth="1"/>
    <col min="5908" max="5908" width="30.5703125" style="2" customWidth="1"/>
    <col min="5909" max="5909" width="16.28515625" style="2" customWidth="1"/>
    <col min="5910" max="6144" width="14.42578125" style="2"/>
    <col min="6145" max="6145" width="5.28515625" style="2" customWidth="1"/>
    <col min="6146" max="6146" width="14.42578125" style="2"/>
    <col min="6147" max="6147" width="19.42578125" style="2" customWidth="1"/>
    <col min="6148" max="6148" width="1.5703125" style="2" customWidth="1"/>
    <col min="6149" max="6149" width="14.42578125" style="2"/>
    <col min="6150" max="6150" width="1.5703125" style="2" customWidth="1"/>
    <col min="6151" max="6151" width="14.42578125" style="2"/>
    <col min="6152" max="6152" width="1.5703125" style="2" customWidth="1"/>
    <col min="6153" max="6153" width="14.42578125" style="2"/>
    <col min="6154" max="6154" width="1.5703125" style="2" customWidth="1"/>
    <col min="6155" max="6155" width="14.42578125" style="2"/>
    <col min="6156" max="6156" width="1.5703125" style="2" customWidth="1"/>
    <col min="6157" max="6157" width="14.42578125" style="2"/>
    <col min="6158" max="6158" width="1.5703125" style="2" customWidth="1"/>
    <col min="6159" max="6159" width="23.5703125" style="2" customWidth="1"/>
    <col min="6160" max="6163" width="12.28515625" style="2" customWidth="1"/>
    <col min="6164" max="6164" width="30.5703125" style="2" customWidth="1"/>
    <col min="6165" max="6165" width="16.28515625" style="2" customWidth="1"/>
    <col min="6166" max="6400" width="14.42578125" style="2"/>
    <col min="6401" max="6401" width="5.28515625" style="2" customWidth="1"/>
    <col min="6402" max="6402" width="14.42578125" style="2"/>
    <col min="6403" max="6403" width="19.42578125" style="2" customWidth="1"/>
    <col min="6404" max="6404" width="1.5703125" style="2" customWidth="1"/>
    <col min="6405" max="6405" width="14.42578125" style="2"/>
    <col min="6406" max="6406" width="1.5703125" style="2" customWidth="1"/>
    <col min="6407" max="6407" width="14.42578125" style="2"/>
    <col min="6408" max="6408" width="1.5703125" style="2" customWidth="1"/>
    <col min="6409" max="6409" width="14.42578125" style="2"/>
    <col min="6410" max="6410" width="1.5703125" style="2" customWidth="1"/>
    <col min="6411" max="6411" width="14.42578125" style="2"/>
    <col min="6412" max="6412" width="1.5703125" style="2" customWidth="1"/>
    <col min="6413" max="6413" width="14.42578125" style="2"/>
    <col min="6414" max="6414" width="1.5703125" style="2" customWidth="1"/>
    <col min="6415" max="6415" width="23.5703125" style="2" customWidth="1"/>
    <col min="6416" max="6419" width="12.28515625" style="2" customWidth="1"/>
    <col min="6420" max="6420" width="30.5703125" style="2" customWidth="1"/>
    <col min="6421" max="6421" width="16.28515625" style="2" customWidth="1"/>
    <col min="6422" max="6656" width="14.42578125" style="2"/>
    <col min="6657" max="6657" width="5.28515625" style="2" customWidth="1"/>
    <col min="6658" max="6658" width="14.42578125" style="2"/>
    <col min="6659" max="6659" width="19.42578125" style="2" customWidth="1"/>
    <col min="6660" max="6660" width="1.5703125" style="2" customWidth="1"/>
    <col min="6661" max="6661" width="14.42578125" style="2"/>
    <col min="6662" max="6662" width="1.5703125" style="2" customWidth="1"/>
    <col min="6663" max="6663" width="14.42578125" style="2"/>
    <col min="6664" max="6664" width="1.5703125" style="2" customWidth="1"/>
    <col min="6665" max="6665" width="14.42578125" style="2"/>
    <col min="6666" max="6666" width="1.5703125" style="2" customWidth="1"/>
    <col min="6667" max="6667" width="14.42578125" style="2"/>
    <col min="6668" max="6668" width="1.5703125" style="2" customWidth="1"/>
    <col min="6669" max="6669" width="14.42578125" style="2"/>
    <col min="6670" max="6670" width="1.5703125" style="2" customWidth="1"/>
    <col min="6671" max="6671" width="23.5703125" style="2" customWidth="1"/>
    <col min="6672" max="6675" width="12.28515625" style="2" customWidth="1"/>
    <col min="6676" max="6676" width="30.5703125" style="2" customWidth="1"/>
    <col min="6677" max="6677" width="16.28515625" style="2" customWidth="1"/>
    <col min="6678" max="6912" width="14.42578125" style="2"/>
    <col min="6913" max="6913" width="5.28515625" style="2" customWidth="1"/>
    <col min="6914" max="6914" width="14.42578125" style="2"/>
    <col min="6915" max="6915" width="19.42578125" style="2" customWidth="1"/>
    <col min="6916" max="6916" width="1.5703125" style="2" customWidth="1"/>
    <col min="6917" max="6917" width="14.42578125" style="2"/>
    <col min="6918" max="6918" width="1.5703125" style="2" customWidth="1"/>
    <col min="6919" max="6919" width="14.42578125" style="2"/>
    <col min="6920" max="6920" width="1.5703125" style="2" customWidth="1"/>
    <col min="6921" max="6921" width="14.42578125" style="2"/>
    <col min="6922" max="6922" width="1.5703125" style="2" customWidth="1"/>
    <col min="6923" max="6923" width="14.42578125" style="2"/>
    <col min="6924" max="6924" width="1.5703125" style="2" customWidth="1"/>
    <col min="6925" max="6925" width="14.42578125" style="2"/>
    <col min="6926" max="6926" width="1.5703125" style="2" customWidth="1"/>
    <col min="6927" max="6927" width="23.5703125" style="2" customWidth="1"/>
    <col min="6928" max="6931" width="12.28515625" style="2" customWidth="1"/>
    <col min="6932" max="6932" width="30.5703125" style="2" customWidth="1"/>
    <col min="6933" max="6933" width="16.28515625" style="2" customWidth="1"/>
    <col min="6934" max="7168" width="14.42578125" style="2"/>
    <col min="7169" max="7169" width="5.28515625" style="2" customWidth="1"/>
    <col min="7170" max="7170" width="14.42578125" style="2"/>
    <col min="7171" max="7171" width="19.42578125" style="2" customWidth="1"/>
    <col min="7172" max="7172" width="1.5703125" style="2" customWidth="1"/>
    <col min="7173" max="7173" width="14.42578125" style="2"/>
    <col min="7174" max="7174" width="1.5703125" style="2" customWidth="1"/>
    <col min="7175" max="7175" width="14.42578125" style="2"/>
    <col min="7176" max="7176" width="1.5703125" style="2" customWidth="1"/>
    <col min="7177" max="7177" width="14.42578125" style="2"/>
    <col min="7178" max="7178" width="1.5703125" style="2" customWidth="1"/>
    <col min="7179" max="7179" width="14.42578125" style="2"/>
    <col min="7180" max="7180" width="1.5703125" style="2" customWidth="1"/>
    <col min="7181" max="7181" width="14.42578125" style="2"/>
    <col min="7182" max="7182" width="1.5703125" style="2" customWidth="1"/>
    <col min="7183" max="7183" width="23.5703125" style="2" customWidth="1"/>
    <col min="7184" max="7187" width="12.28515625" style="2" customWidth="1"/>
    <col min="7188" max="7188" width="30.5703125" style="2" customWidth="1"/>
    <col min="7189" max="7189" width="16.28515625" style="2" customWidth="1"/>
    <col min="7190" max="7424" width="14.42578125" style="2"/>
    <col min="7425" max="7425" width="5.28515625" style="2" customWidth="1"/>
    <col min="7426" max="7426" width="14.42578125" style="2"/>
    <col min="7427" max="7427" width="19.42578125" style="2" customWidth="1"/>
    <col min="7428" max="7428" width="1.5703125" style="2" customWidth="1"/>
    <col min="7429" max="7429" width="14.42578125" style="2"/>
    <col min="7430" max="7430" width="1.5703125" style="2" customWidth="1"/>
    <col min="7431" max="7431" width="14.42578125" style="2"/>
    <col min="7432" max="7432" width="1.5703125" style="2" customWidth="1"/>
    <col min="7433" max="7433" width="14.42578125" style="2"/>
    <col min="7434" max="7434" width="1.5703125" style="2" customWidth="1"/>
    <col min="7435" max="7435" width="14.42578125" style="2"/>
    <col min="7436" max="7436" width="1.5703125" style="2" customWidth="1"/>
    <col min="7437" max="7437" width="14.42578125" style="2"/>
    <col min="7438" max="7438" width="1.5703125" style="2" customWidth="1"/>
    <col min="7439" max="7439" width="23.5703125" style="2" customWidth="1"/>
    <col min="7440" max="7443" width="12.28515625" style="2" customWidth="1"/>
    <col min="7444" max="7444" width="30.5703125" style="2" customWidth="1"/>
    <col min="7445" max="7445" width="16.28515625" style="2" customWidth="1"/>
    <col min="7446" max="7680" width="14.42578125" style="2"/>
    <col min="7681" max="7681" width="5.28515625" style="2" customWidth="1"/>
    <col min="7682" max="7682" width="14.42578125" style="2"/>
    <col min="7683" max="7683" width="19.42578125" style="2" customWidth="1"/>
    <col min="7684" max="7684" width="1.5703125" style="2" customWidth="1"/>
    <col min="7685" max="7685" width="14.42578125" style="2"/>
    <col min="7686" max="7686" width="1.5703125" style="2" customWidth="1"/>
    <col min="7687" max="7687" width="14.42578125" style="2"/>
    <col min="7688" max="7688" width="1.5703125" style="2" customWidth="1"/>
    <col min="7689" max="7689" width="14.42578125" style="2"/>
    <col min="7690" max="7690" width="1.5703125" style="2" customWidth="1"/>
    <col min="7691" max="7691" width="14.42578125" style="2"/>
    <col min="7692" max="7692" width="1.5703125" style="2" customWidth="1"/>
    <col min="7693" max="7693" width="14.42578125" style="2"/>
    <col min="7694" max="7694" width="1.5703125" style="2" customWidth="1"/>
    <col min="7695" max="7695" width="23.5703125" style="2" customWidth="1"/>
    <col min="7696" max="7699" width="12.28515625" style="2" customWidth="1"/>
    <col min="7700" max="7700" width="30.5703125" style="2" customWidth="1"/>
    <col min="7701" max="7701" width="16.28515625" style="2" customWidth="1"/>
    <col min="7702" max="7936" width="14.42578125" style="2"/>
    <col min="7937" max="7937" width="5.28515625" style="2" customWidth="1"/>
    <col min="7938" max="7938" width="14.42578125" style="2"/>
    <col min="7939" max="7939" width="19.42578125" style="2" customWidth="1"/>
    <col min="7940" max="7940" width="1.5703125" style="2" customWidth="1"/>
    <col min="7941" max="7941" width="14.42578125" style="2"/>
    <col min="7942" max="7942" width="1.5703125" style="2" customWidth="1"/>
    <col min="7943" max="7943" width="14.42578125" style="2"/>
    <col min="7944" max="7944" width="1.5703125" style="2" customWidth="1"/>
    <col min="7945" max="7945" width="14.42578125" style="2"/>
    <col min="7946" max="7946" width="1.5703125" style="2" customWidth="1"/>
    <col min="7947" max="7947" width="14.42578125" style="2"/>
    <col min="7948" max="7948" width="1.5703125" style="2" customWidth="1"/>
    <col min="7949" max="7949" width="14.42578125" style="2"/>
    <col min="7950" max="7950" width="1.5703125" style="2" customWidth="1"/>
    <col min="7951" max="7951" width="23.5703125" style="2" customWidth="1"/>
    <col min="7952" max="7955" width="12.28515625" style="2" customWidth="1"/>
    <col min="7956" max="7956" width="30.5703125" style="2" customWidth="1"/>
    <col min="7957" max="7957" width="16.28515625" style="2" customWidth="1"/>
    <col min="7958" max="8192" width="14.42578125" style="2"/>
    <col min="8193" max="8193" width="5.28515625" style="2" customWidth="1"/>
    <col min="8194" max="8194" width="14.42578125" style="2"/>
    <col min="8195" max="8195" width="19.42578125" style="2" customWidth="1"/>
    <col min="8196" max="8196" width="1.5703125" style="2" customWidth="1"/>
    <col min="8197" max="8197" width="14.42578125" style="2"/>
    <col min="8198" max="8198" width="1.5703125" style="2" customWidth="1"/>
    <col min="8199" max="8199" width="14.42578125" style="2"/>
    <col min="8200" max="8200" width="1.5703125" style="2" customWidth="1"/>
    <col min="8201" max="8201" width="14.42578125" style="2"/>
    <col min="8202" max="8202" width="1.5703125" style="2" customWidth="1"/>
    <col min="8203" max="8203" width="14.42578125" style="2"/>
    <col min="8204" max="8204" width="1.5703125" style="2" customWidth="1"/>
    <col min="8205" max="8205" width="14.42578125" style="2"/>
    <col min="8206" max="8206" width="1.5703125" style="2" customWidth="1"/>
    <col min="8207" max="8207" width="23.5703125" style="2" customWidth="1"/>
    <col min="8208" max="8211" width="12.28515625" style="2" customWidth="1"/>
    <col min="8212" max="8212" width="30.5703125" style="2" customWidth="1"/>
    <col min="8213" max="8213" width="16.28515625" style="2" customWidth="1"/>
    <col min="8214" max="8448" width="14.42578125" style="2"/>
    <col min="8449" max="8449" width="5.28515625" style="2" customWidth="1"/>
    <col min="8450" max="8450" width="14.42578125" style="2"/>
    <col min="8451" max="8451" width="19.42578125" style="2" customWidth="1"/>
    <col min="8452" max="8452" width="1.5703125" style="2" customWidth="1"/>
    <col min="8453" max="8453" width="14.42578125" style="2"/>
    <col min="8454" max="8454" width="1.5703125" style="2" customWidth="1"/>
    <col min="8455" max="8455" width="14.42578125" style="2"/>
    <col min="8456" max="8456" width="1.5703125" style="2" customWidth="1"/>
    <col min="8457" max="8457" width="14.42578125" style="2"/>
    <col min="8458" max="8458" width="1.5703125" style="2" customWidth="1"/>
    <col min="8459" max="8459" width="14.42578125" style="2"/>
    <col min="8460" max="8460" width="1.5703125" style="2" customWidth="1"/>
    <col min="8461" max="8461" width="14.42578125" style="2"/>
    <col min="8462" max="8462" width="1.5703125" style="2" customWidth="1"/>
    <col min="8463" max="8463" width="23.5703125" style="2" customWidth="1"/>
    <col min="8464" max="8467" width="12.28515625" style="2" customWidth="1"/>
    <col min="8468" max="8468" width="30.5703125" style="2" customWidth="1"/>
    <col min="8469" max="8469" width="16.28515625" style="2" customWidth="1"/>
    <col min="8470" max="8704" width="14.42578125" style="2"/>
    <col min="8705" max="8705" width="5.28515625" style="2" customWidth="1"/>
    <col min="8706" max="8706" width="14.42578125" style="2"/>
    <col min="8707" max="8707" width="19.42578125" style="2" customWidth="1"/>
    <col min="8708" max="8708" width="1.5703125" style="2" customWidth="1"/>
    <col min="8709" max="8709" width="14.42578125" style="2"/>
    <col min="8710" max="8710" width="1.5703125" style="2" customWidth="1"/>
    <col min="8711" max="8711" width="14.42578125" style="2"/>
    <col min="8712" max="8712" width="1.5703125" style="2" customWidth="1"/>
    <col min="8713" max="8713" width="14.42578125" style="2"/>
    <col min="8714" max="8714" width="1.5703125" style="2" customWidth="1"/>
    <col min="8715" max="8715" width="14.42578125" style="2"/>
    <col min="8716" max="8716" width="1.5703125" style="2" customWidth="1"/>
    <col min="8717" max="8717" width="14.42578125" style="2"/>
    <col min="8718" max="8718" width="1.5703125" style="2" customWidth="1"/>
    <col min="8719" max="8719" width="23.5703125" style="2" customWidth="1"/>
    <col min="8720" max="8723" width="12.28515625" style="2" customWidth="1"/>
    <col min="8724" max="8724" width="30.5703125" style="2" customWidth="1"/>
    <col min="8725" max="8725" width="16.28515625" style="2" customWidth="1"/>
    <col min="8726" max="8960" width="14.42578125" style="2"/>
    <col min="8961" max="8961" width="5.28515625" style="2" customWidth="1"/>
    <col min="8962" max="8962" width="14.42578125" style="2"/>
    <col min="8963" max="8963" width="19.42578125" style="2" customWidth="1"/>
    <col min="8964" max="8964" width="1.5703125" style="2" customWidth="1"/>
    <col min="8965" max="8965" width="14.42578125" style="2"/>
    <col min="8966" max="8966" width="1.5703125" style="2" customWidth="1"/>
    <col min="8967" max="8967" width="14.42578125" style="2"/>
    <col min="8968" max="8968" width="1.5703125" style="2" customWidth="1"/>
    <col min="8969" max="8969" width="14.42578125" style="2"/>
    <col min="8970" max="8970" width="1.5703125" style="2" customWidth="1"/>
    <col min="8971" max="8971" width="14.42578125" style="2"/>
    <col min="8972" max="8972" width="1.5703125" style="2" customWidth="1"/>
    <col min="8973" max="8973" width="14.42578125" style="2"/>
    <col min="8974" max="8974" width="1.5703125" style="2" customWidth="1"/>
    <col min="8975" max="8975" width="23.5703125" style="2" customWidth="1"/>
    <col min="8976" max="8979" width="12.28515625" style="2" customWidth="1"/>
    <col min="8980" max="8980" width="30.5703125" style="2" customWidth="1"/>
    <col min="8981" max="8981" width="16.28515625" style="2" customWidth="1"/>
    <col min="8982" max="9216" width="14.42578125" style="2"/>
    <col min="9217" max="9217" width="5.28515625" style="2" customWidth="1"/>
    <col min="9218" max="9218" width="14.42578125" style="2"/>
    <col min="9219" max="9219" width="19.42578125" style="2" customWidth="1"/>
    <col min="9220" max="9220" width="1.5703125" style="2" customWidth="1"/>
    <col min="9221" max="9221" width="14.42578125" style="2"/>
    <col min="9222" max="9222" width="1.5703125" style="2" customWidth="1"/>
    <col min="9223" max="9223" width="14.42578125" style="2"/>
    <col min="9224" max="9224" width="1.5703125" style="2" customWidth="1"/>
    <col min="9225" max="9225" width="14.42578125" style="2"/>
    <col min="9226" max="9226" width="1.5703125" style="2" customWidth="1"/>
    <col min="9227" max="9227" width="14.42578125" style="2"/>
    <col min="9228" max="9228" width="1.5703125" style="2" customWidth="1"/>
    <col min="9229" max="9229" width="14.42578125" style="2"/>
    <col min="9230" max="9230" width="1.5703125" style="2" customWidth="1"/>
    <col min="9231" max="9231" width="23.5703125" style="2" customWidth="1"/>
    <col min="9232" max="9235" width="12.28515625" style="2" customWidth="1"/>
    <col min="9236" max="9236" width="30.5703125" style="2" customWidth="1"/>
    <col min="9237" max="9237" width="16.28515625" style="2" customWidth="1"/>
    <col min="9238" max="9472" width="14.42578125" style="2"/>
    <col min="9473" max="9473" width="5.28515625" style="2" customWidth="1"/>
    <col min="9474" max="9474" width="14.42578125" style="2"/>
    <col min="9475" max="9475" width="19.42578125" style="2" customWidth="1"/>
    <col min="9476" max="9476" width="1.5703125" style="2" customWidth="1"/>
    <col min="9477" max="9477" width="14.42578125" style="2"/>
    <col min="9478" max="9478" width="1.5703125" style="2" customWidth="1"/>
    <col min="9479" max="9479" width="14.42578125" style="2"/>
    <col min="9480" max="9480" width="1.5703125" style="2" customWidth="1"/>
    <col min="9481" max="9481" width="14.42578125" style="2"/>
    <col min="9482" max="9482" width="1.5703125" style="2" customWidth="1"/>
    <col min="9483" max="9483" width="14.42578125" style="2"/>
    <col min="9484" max="9484" width="1.5703125" style="2" customWidth="1"/>
    <col min="9485" max="9485" width="14.42578125" style="2"/>
    <col min="9486" max="9486" width="1.5703125" style="2" customWidth="1"/>
    <col min="9487" max="9487" width="23.5703125" style="2" customWidth="1"/>
    <col min="9488" max="9491" width="12.28515625" style="2" customWidth="1"/>
    <col min="9492" max="9492" width="30.5703125" style="2" customWidth="1"/>
    <col min="9493" max="9493" width="16.28515625" style="2" customWidth="1"/>
    <col min="9494" max="9728" width="14.42578125" style="2"/>
    <col min="9729" max="9729" width="5.28515625" style="2" customWidth="1"/>
    <col min="9730" max="9730" width="14.42578125" style="2"/>
    <col min="9731" max="9731" width="19.42578125" style="2" customWidth="1"/>
    <col min="9732" max="9732" width="1.5703125" style="2" customWidth="1"/>
    <col min="9733" max="9733" width="14.42578125" style="2"/>
    <col min="9734" max="9734" width="1.5703125" style="2" customWidth="1"/>
    <col min="9735" max="9735" width="14.42578125" style="2"/>
    <col min="9736" max="9736" width="1.5703125" style="2" customWidth="1"/>
    <col min="9737" max="9737" width="14.42578125" style="2"/>
    <col min="9738" max="9738" width="1.5703125" style="2" customWidth="1"/>
    <col min="9739" max="9739" width="14.42578125" style="2"/>
    <col min="9740" max="9740" width="1.5703125" style="2" customWidth="1"/>
    <col min="9741" max="9741" width="14.42578125" style="2"/>
    <col min="9742" max="9742" width="1.5703125" style="2" customWidth="1"/>
    <col min="9743" max="9743" width="23.5703125" style="2" customWidth="1"/>
    <col min="9744" max="9747" width="12.28515625" style="2" customWidth="1"/>
    <col min="9748" max="9748" width="30.5703125" style="2" customWidth="1"/>
    <col min="9749" max="9749" width="16.28515625" style="2" customWidth="1"/>
    <col min="9750" max="9984" width="14.42578125" style="2"/>
    <col min="9985" max="9985" width="5.28515625" style="2" customWidth="1"/>
    <col min="9986" max="9986" width="14.42578125" style="2"/>
    <col min="9987" max="9987" width="19.42578125" style="2" customWidth="1"/>
    <col min="9988" max="9988" width="1.5703125" style="2" customWidth="1"/>
    <col min="9989" max="9989" width="14.42578125" style="2"/>
    <col min="9990" max="9990" width="1.5703125" style="2" customWidth="1"/>
    <col min="9991" max="9991" width="14.42578125" style="2"/>
    <col min="9992" max="9992" width="1.5703125" style="2" customWidth="1"/>
    <col min="9993" max="9993" width="14.42578125" style="2"/>
    <col min="9994" max="9994" width="1.5703125" style="2" customWidth="1"/>
    <col min="9995" max="9995" width="14.42578125" style="2"/>
    <col min="9996" max="9996" width="1.5703125" style="2" customWidth="1"/>
    <col min="9997" max="9997" width="14.42578125" style="2"/>
    <col min="9998" max="9998" width="1.5703125" style="2" customWidth="1"/>
    <col min="9999" max="9999" width="23.5703125" style="2" customWidth="1"/>
    <col min="10000" max="10003" width="12.28515625" style="2" customWidth="1"/>
    <col min="10004" max="10004" width="30.5703125" style="2" customWidth="1"/>
    <col min="10005" max="10005" width="16.28515625" style="2" customWidth="1"/>
    <col min="10006" max="10240" width="14.42578125" style="2"/>
    <col min="10241" max="10241" width="5.28515625" style="2" customWidth="1"/>
    <col min="10242" max="10242" width="14.42578125" style="2"/>
    <col min="10243" max="10243" width="19.42578125" style="2" customWidth="1"/>
    <col min="10244" max="10244" width="1.5703125" style="2" customWidth="1"/>
    <col min="10245" max="10245" width="14.42578125" style="2"/>
    <col min="10246" max="10246" width="1.5703125" style="2" customWidth="1"/>
    <col min="10247" max="10247" width="14.42578125" style="2"/>
    <col min="10248" max="10248" width="1.5703125" style="2" customWidth="1"/>
    <col min="10249" max="10249" width="14.42578125" style="2"/>
    <col min="10250" max="10250" width="1.5703125" style="2" customWidth="1"/>
    <col min="10251" max="10251" width="14.42578125" style="2"/>
    <col min="10252" max="10252" width="1.5703125" style="2" customWidth="1"/>
    <col min="10253" max="10253" width="14.42578125" style="2"/>
    <col min="10254" max="10254" width="1.5703125" style="2" customWidth="1"/>
    <col min="10255" max="10255" width="23.5703125" style="2" customWidth="1"/>
    <col min="10256" max="10259" width="12.28515625" style="2" customWidth="1"/>
    <col min="10260" max="10260" width="30.5703125" style="2" customWidth="1"/>
    <col min="10261" max="10261" width="16.28515625" style="2" customWidth="1"/>
    <col min="10262" max="10496" width="14.42578125" style="2"/>
    <col min="10497" max="10497" width="5.28515625" style="2" customWidth="1"/>
    <col min="10498" max="10498" width="14.42578125" style="2"/>
    <col min="10499" max="10499" width="19.42578125" style="2" customWidth="1"/>
    <col min="10500" max="10500" width="1.5703125" style="2" customWidth="1"/>
    <col min="10501" max="10501" width="14.42578125" style="2"/>
    <col min="10502" max="10502" width="1.5703125" style="2" customWidth="1"/>
    <col min="10503" max="10503" width="14.42578125" style="2"/>
    <col min="10504" max="10504" width="1.5703125" style="2" customWidth="1"/>
    <col min="10505" max="10505" width="14.42578125" style="2"/>
    <col min="10506" max="10506" width="1.5703125" style="2" customWidth="1"/>
    <col min="10507" max="10507" width="14.42578125" style="2"/>
    <col min="10508" max="10508" width="1.5703125" style="2" customWidth="1"/>
    <col min="10509" max="10509" width="14.42578125" style="2"/>
    <col min="10510" max="10510" width="1.5703125" style="2" customWidth="1"/>
    <col min="10511" max="10511" width="23.5703125" style="2" customWidth="1"/>
    <col min="10512" max="10515" width="12.28515625" style="2" customWidth="1"/>
    <col min="10516" max="10516" width="30.5703125" style="2" customWidth="1"/>
    <col min="10517" max="10517" width="16.28515625" style="2" customWidth="1"/>
    <col min="10518" max="10752" width="14.42578125" style="2"/>
    <col min="10753" max="10753" width="5.28515625" style="2" customWidth="1"/>
    <col min="10754" max="10754" width="14.42578125" style="2"/>
    <col min="10755" max="10755" width="19.42578125" style="2" customWidth="1"/>
    <col min="10756" max="10756" width="1.5703125" style="2" customWidth="1"/>
    <col min="10757" max="10757" width="14.42578125" style="2"/>
    <col min="10758" max="10758" width="1.5703125" style="2" customWidth="1"/>
    <col min="10759" max="10759" width="14.42578125" style="2"/>
    <col min="10760" max="10760" width="1.5703125" style="2" customWidth="1"/>
    <col min="10761" max="10761" width="14.42578125" style="2"/>
    <col min="10762" max="10762" width="1.5703125" style="2" customWidth="1"/>
    <col min="10763" max="10763" width="14.42578125" style="2"/>
    <col min="10764" max="10764" width="1.5703125" style="2" customWidth="1"/>
    <col min="10765" max="10765" width="14.42578125" style="2"/>
    <col min="10766" max="10766" width="1.5703125" style="2" customWidth="1"/>
    <col min="10767" max="10767" width="23.5703125" style="2" customWidth="1"/>
    <col min="10768" max="10771" width="12.28515625" style="2" customWidth="1"/>
    <col min="10772" max="10772" width="30.5703125" style="2" customWidth="1"/>
    <col min="10773" max="10773" width="16.28515625" style="2" customWidth="1"/>
    <col min="10774" max="11008" width="14.42578125" style="2"/>
    <col min="11009" max="11009" width="5.28515625" style="2" customWidth="1"/>
    <col min="11010" max="11010" width="14.42578125" style="2"/>
    <col min="11011" max="11011" width="19.42578125" style="2" customWidth="1"/>
    <col min="11012" max="11012" width="1.5703125" style="2" customWidth="1"/>
    <col min="11013" max="11013" width="14.42578125" style="2"/>
    <col min="11014" max="11014" width="1.5703125" style="2" customWidth="1"/>
    <col min="11015" max="11015" width="14.42578125" style="2"/>
    <col min="11016" max="11016" width="1.5703125" style="2" customWidth="1"/>
    <col min="11017" max="11017" width="14.42578125" style="2"/>
    <col min="11018" max="11018" width="1.5703125" style="2" customWidth="1"/>
    <col min="11019" max="11019" width="14.42578125" style="2"/>
    <col min="11020" max="11020" width="1.5703125" style="2" customWidth="1"/>
    <col min="11021" max="11021" width="14.42578125" style="2"/>
    <col min="11022" max="11022" width="1.5703125" style="2" customWidth="1"/>
    <col min="11023" max="11023" width="23.5703125" style="2" customWidth="1"/>
    <col min="11024" max="11027" width="12.28515625" style="2" customWidth="1"/>
    <col min="11028" max="11028" width="30.5703125" style="2" customWidth="1"/>
    <col min="11029" max="11029" width="16.28515625" style="2" customWidth="1"/>
    <col min="11030" max="11264" width="14.42578125" style="2"/>
    <col min="11265" max="11265" width="5.28515625" style="2" customWidth="1"/>
    <col min="11266" max="11266" width="14.42578125" style="2"/>
    <col min="11267" max="11267" width="19.42578125" style="2" customWidth="1"/>
    <col min="11268" max="11268" width="1.5703125" style="2" customWidth="1"/>
    <col min="11269" max="11269" width="14.42578125" style="2"/>
    <col min="11270" max="11270" width="1.5703125" style="2" customWidth="1"/>
    <col min="11271" max="11271" width="14.42578125" style="2"/>
    <col min="11272" max="11272" width="1.5703125" style="2" customWidth="1"/>
    <col min="11273" max="11273" width="14.42578125" style="2"/>
    <col min="11274" max="11274" width="1.5703125" style="2" customWidth="1"/>
    <col min="11275" max="11275" width="14.42578125" style="2"/>
    <col min="11276" max="11276" width="1.5703125" style="2" customWidth="1"/>
    <col min="11277" max="11277" width="14.42578125" style="2"/>
    <col min="11278" max="11278" width="1.5703125" style="2" customWidth="1"/>
    <col min="11279" max="11279" width="23.5703125" style="2" customWidth="1"/>
    <col min="11280" max="11283" width="12.28515625" style="2" customWidth="1"/>
    <col min="11284" max="11284" width="30.5703125" style="2" customWidth="1"/>
    <col min="11285" max="11285" width="16.28515625" style="2" customWidth="1"/>
    <col min="11286" max="11520" width="14.42578125" style="2"/>
    <col min="11521" max="11521" width="5.28515625" style="2" customWidth="1"/>
    <col min="11522" max="11522" width="14.42578125" style="2"/>
    <col min="11523" max="11523" width="19.42578125" style="2" customWidth="1"/>
    <col min="11524" max="11524" width="1.5703125" style="2" customWidth="1"/>
    <col min="11525" max="11525" width="14.42578125" style="2"/>
    <col min="11526" max="11526" width="1.5703125" style="2" customWidth="1"/>
    <col min="11527" max="11527" width="14.42578125" style="2"/>
    <col min="11528" max="11528" width="1.5703125" style="2" customWidth="1"/>
    <col min="11529" max="11529" width="14.42578125" style="2"/>
    <col min="11530" max="11530" width="1.5703125" style="2" customWidth="1"/>
    <col min="11531" max="11531" width="14.42578125" style="2"/>
    <col min="11532" max="11532" width="1.5703125" style="2" customWidth="1"/>
    <col min="11533" max="11533" width="14.42578125" style="2"/>
    <col min="11534" max="11534" width="1.5703125" style="2" customWidth="1"/>
    <col min="11535" max="11535" width="23.5703125" style="2" customWidth="1"/>
    <col min="11536" max="11539" width="12.28515625" style="2" customWidth="1"/>
    <col min="11540" max="11540" width="30.5703125" style="2" customWidth="1"/>
    <col min="11541" max="11541" width="16.28515625" style="2" customWidth="1"/>
    <col min="11542" max="11776" width="14.42578125" style="2"/>
    <col min="11777" max="11777" width="5.28515625" style="2" customWidth="1"/>
    <col min="11778" max="11778" width="14.42578125" style="2"/>
    <col min="11779" max="11779" width="19.42578125" style="2" customWidth="1"/>
    <col min="11780" max="11780" width="1.5703125" style="2" customWidth="1"/>
    <col min="11781" max="11781" width="14.42578125" style="2"/>
    <col min="11782" max="11782" width="1.5703125" style="2" customWidth="1"/>
    <col min="11783" max="11783" width="14.42578125" style="2"/>
    <col min="11784" max="11784" width="1.5703125" style="2" customWidth="1"/>
    <col min="11785" max="11785" width="14.42578125" style="2"/>
    <col min="11786" max="11786" width="1.5703125" style="2" customWidth="1"/>
    <col min="11787" max="11787" width="14.42578125" style="2"/>
    <col min="11788" max="11788" width="1.5703125" style="2" customWidth="1"/>
    <col min="11789" max="11789" width="14.42578125" style="2"/>
    <col min="11790" max="11790" width="1.5703125" style="2" customWidth="1"/>
    <col min="11791" max="11791" width="23.5703125" style="2" customWidth="1"/>
    <col min="11792" max="11795" width="12.28515625" style="2" customWidth="1"/>
    <col min="11796" max="11796" width="30.5703125" style="2" customWidth="1"/>
    <col min="11797" max="11797" width="16.28515625" style="2" customWidth="1"/>
    <col min="11798" max="12032" width="14.42578125" style="2"/>
    <col min="12033" max="12033" width="5.28515625" style="2" customWidth="1"/>
    <col min="12034" max="12034" width="14.42578125" style="2"/>
    <col min="12035" max="12035" width="19.42578125" style="2" customWidth="1"/>
    <col min="12036" max="12036" width="1.5703125" style="2" customWidth="1"/>
    <col min="12037" max="12037" width="14.42578125" style="2"/>
    <col min="12038" max="12038" width="1.5703125" style="2" customWidth="1"/>
    <col min="12039" max="12039" width="14.42578125" style="2"/>
    <col min="12040" max="12040" width="1.5703125" style="2" customWidth="1"/>
    <col min="12041" max="12041" width="14.42578125" style="2"/>
    <col min="12042" max="12042" width="1.5703125" style="2" customWidth="1"/>
    <col min="12043" max="12043" width="14.42578125" style="2"/>
    <col min="12044" max="12044" width="1.5703125" style="2" customWidth="1"/>
    <col min="12045" max="12045" width="14.42578125" style="2"/>
    <col min="12046" max="12046" width="1.5703125" style="2" customWidth="1"/>
    <col min="12047" max="12047" width="23.5703125" style="2" customWidth="1"/>
    <col min="12048" max="12051" width="12.28515625" style="2" customWidth="1"/>
    <col min="12052" max="12052" width="30.5703125" style="2" customWidth="1"/>
    <col min="12053" max="12053" width="16.28515625" style="2" customWidth="1"/>
    <col min="12054" max="12288" width="14.42578125" style="2"/>
    <col min="12289" max="12289" width="5.28515625" style="2" customWidth="1"/>
    <col min="12290" max="12290" width="14.42578125" style="2"/>
    <col min="12291" max="12291" width="19.42578125" style="2" customWidth="1"/>
    <col min="12292" max="12292" width="1.5703125" style="2" customWidth="1"/>
    <col min="12293" max="12293" width="14.42578125" style="2"/>
    <col min="12294" max="12294" width="1.5703125" style="2" customWidth="1"/>
    <col min="12295" max="12295" width="14.42578125" style="2"/>
    <col min="12296" max="12296" width="1.5703125" style="2" customWidth="1"/>
    <col min="12297" max="12297" width="14.42578125" style="2"/>
    <col min="12298" max="12298" width="1.5703125" style="2" customWidth="1"/>
    <col min="12299" max="12299" width="14.42578125" style="2"/>
    <col min="12300" max="12300" width="1.5703125" style="2" customWidth="1"/>
    <col min="12301" max="12301" width="14.42578125" style="2"/>
    <col min="12302" max="12302" width="1.5703125" style="2" customWidth="1"/>
    <col min="12303" max="12303" width="23.5703125" style="2" customWidth="1"/>
    <col min="12304" max="12307" width="12.28515625" style="2" customWidth="1"/>
    <col min="12308" max="12308" width="30.5703125" style="2" customWidth="1"/>
    <col min="12309" max="12309" width="16.28515625" style="2" customWidth="1"/>
    <col min="12310" max="12544" width="14.42578125" style="2"/>
    <col min="12545" max="12545" width="5.28515625" style="2" customWidth="1"/>
    <col min="12546" max="12546" width="14.42578125" style="2"/>
    <col min="12547" max="12547" width="19.42578125" style="2" customWidth="1"/>
    <col min="12548" max="12548" width="1.5703125" style="2" customWidth="1"/>
    <col min="12549" max="12549" width="14.42578125" style="2"/>
    <col min="12550" max="12550" width="1.5703125" style="2" customWidth="1"/>
    <col min="12551" max="12551" width="14.42578125" style="2"/>
    <col min="12552" max="12552" width="1.5703125" style="2" customWidth="1"/>
    <col min="12553" max="12553" width="14.42578125" style="2"/>
    <col min="12554" max="12554" width="1.5703125" style="2" customWidth="1"/>
    <col min="12555" max="12555" width="14.42578125" style="2"/>
    <col min="12556" max="12556" width="1.5703125" style="2" customWidth="1"/>
    <col min="12557" max="12557" width="14.42578125" style="2"/>
    <col min="12558" max="12558" width="1.5703125" style="2" customWidth="1"/>
    <col min="12559" max="12559" width="23.5703125" style="2" customWidth="1"/>
    <col min="12560" max="12563" width="12.28515625" style="2" customWidth="1"/>
    <col min="12564" max="12564" width="30.5703125" style="2" customWidth="1"/>
    <col min="12565" max="12565" width="16.28515625" style="2" customWidth="1"/>
    <col min="12566" max="12800" width="14.42578125" style="2"/>
    <col min="12801" max="12801" width="5.28515625" style="2" customWidth="1"/>
    <col min="12802" max="12802" width="14.42578125" style="2"/>
    <col min="12803" max="12803" width="19.42578125" style="2" customWidth="1"/>
    <col min="12804" max="12804" width="1.5703125" style="2" customWidth="1"/>
    <col min="12805" max="12805" width="14.42578125" style="2"/>
    <col min="12806" max="12806" width="1.5703125" style="2" customWidth="1"/>
    <col min="12807" max="12807" width="14.42578125" style="2"/>
    <col min="12808" max="12808" width="1.5703125" style="2" customWidth="1"/>
    <col min="12809" max="12809" width="14.42578125" style="2"/>
    <col min="12810" max="12810" width="1.5703125" style="2" customWidth="1"/>
    <col min="12811" max="12811" width="14.42578125" style="2"/>
    <col min="12812" max="12812" width="1.5703125" style="2" customWidth="1"/>
    <col min="12813" max="12813" width="14.42578125" style="2"/>
    <col min="12814" max="12814" width="1.5703125" style="2" customWidth="1"/>
    <col min="12815" max="12815" width="23.5703125" style="2" customWidth="1"/>
    <col min="12816" max="12819" width="12.28515625" style="2" customWidth="1"/>
    <col min="12820" max="12820" width="30.5703125" style="2" customWidth="1"/>
    <col min="12821" max="12821" width="16.28515625" style="2" customWidth="1"/>
    <col min="12822" max="13056" width="14.42578125" style="2"/>
    <col min="13057" max="13057" width="5.28515625" style="2" customWidth="1"/>
    <col min="13058" max="13058" width="14.42578125" style="2"/>
    <col min="13059" max="13059" width="19.42578125" style="2" customWidth="1"/>
    <col min="13060" max="13060" width="1.5703125" style="2" customWidth="1"/>
    <col min="13061" max="13061" width="14.42578125" style="2"/>
    <col min="13062" max="13062" width="1.5703125" style="2" customWidth="1"/>
    <col min="13063" max="13063" width="14.42578125" style="2"/>
    <col min="13064" max="13064" width="1.5703125" style="2" customWidth="1"/>
    <col min="13065" max="13065" width="14.42578125" style="2"/>
    <col min="13066" max="13066" width="1.5703125" style="2" customWidth="1"/>
    <col min="13067" max="13067" width="14.42578125" style="2"/>
    <col min="13068" max="13068" width="1.5703125" style="2" customWidth="1"/>
    <col min="13069" max="13069" width="14.42578125" style="2"/>
    <col min="13070" max="13070" width="1.5703125" style="2" customWidth="1"/>
    <col min="13071" max="13071" width="23.5703125" style="2" customWidth="1"/>
    <col min="13072" max="13075" width="12.28515625" style="2" customWidth="1"/>
    <col min="13076" max="13076" width="30.5703125" style="2" customWidth="1"/>
    <col min="13077" max="13077" width="16.28515625" style="2" customWidth="1"/>
    <col min="13078" max="13312" width="14.42578125" style="2"/>
    <col min="13313" max="13313" width="5.28515625" style="2" customWidth="1"/>
    <col min="13314" max="13314" width="14.42578125" style="2"/>
    <col min="13315" max="13315" width="19.42578125" style="2" customWidth="1"/>
    <col min="13316" max="13316" width="1.5703125" style="2" customWidth="1"/>
    <col min="13317" max="13317" width="14.42578125" style="2"/>
    <col min="13318" max="13318" width="1.5703125" style="2" customWidth="1"/>
    <col min="13319" max="13319" width="14.42578125" style="2"/>
    <col min="13320" max="13320" width="1.5703125" style="2" customWidth="1"/>
    <col min="13321" max="13321" width="14.42578125" style="2"/>
    <col min="13322" max="13322" width="1.5703125" style="2" customWidth="1"/>
    <col min="13323" max="13323" width="14.42578125" style="2"/>
    <col min="13324" max="13324" width="1.5703125" style="2" customWidth="1"/>
    <col min="13325" max="13325" width="14.42578125" style="2"/>
    <col min="13326" max="13326" width="1.5703125" style="2" customWidth="1"/>
    <col min="13327" max="13327" width="23.5703125" style="2" customWidth="1"/>
    <col min="13328" max="13331" width="12.28515625" style="2" customWidth="1"/>
    <col min="13332" max="13332" width="30.5703125" style="2" customWidth="1"/>
    <col min="13333" max="13333" width="16.28515625" style="2" customWidth="1"/>
    <col min="13334" max="13568" width="14.42578125" style="2"/>
    <col min="13569" max="13569" width="5.28515625" style="2" customWidth="1"/>
    <col min="13570" max="13570" width="14.42578125" style="2"/>
    <col min="13571" max="13571" width="19.42578125" style="2" customWidth="1"/>
    <col min="13572" max="13572" width="1.5703125" style="2" customWidth="1"/>
    <col min="13573" max="13573" width="14.42578125" style="2"/>
    <col min="13574" max="13574" width="1.5703125" style="2" customWidth="1"/>
    <col min="13575" max="13575" width="14.42578125" style="2"/>
    <col min="13576" max="13576" width="1.5703125" style="2" customWidth="1"/>
    <col min="13577" max="13577" width="14.42578125" style="2"/>
    <col min="13578" max="13578" width="1.5703125" style="2" customWidth="1"/>
    <col min="13579" max="13579" width="14.42578125" style="2"/>
    <col min="13580" max="13580" width="1.5703125" style="2" customWidth="1"/>
    <col min="13581" max="13581" width="14.42578125" style="2"/>
    <col min="13582" max="13582" width="1.5703125" style="2" customWidth="1"/>
    <col min="13583" max="13583" width="23.5703125" style="2" customWidth="1"/>
    <col min="13584" max="13587" width="12.28515625" style="2" customWidth="1"/>
    <col min="13588" max="13588" width="30.5703125" style="2" customWidth="1"/>
    <col min="13589" max="13589" width="16.28515625" style="2" customWidth="1"/>
    <col min="13590" max="13824" width="14.42578125" style="2"/>
    <col min="13825" max="13825" width="5.28515625" style="2" customWidth="1"/>
    <col min="13826" max="13826" width="14.42578125" style="2"/>
    <col min="13827" max="13827" width="19.42578125" style="2" customWidth="1"/>
    <col min="13828" max="13828" width="1.5703125" style="2" customWidth="1"/>
    <col min="13829" max="13829" width="14.42578125" style="2"/>
    <col min="13830" max="13830" width="1.5703125" style="2" customWidth="1"/>
    <col min="13831" max="13831" width="14.42578125" style="2"/>
    <col min="13832" max="13832" width="1.5703125" style="2" customWidth="1"/>
    <col min="13833" max="13833" width="14.42578125" style="2"/>
    <col min="13834" max="13834" width="1.5703125" style="2" customWidth="1"/>
    <col min="13835" max="13835" width="14.42578125" style="2"/>
    <col min="13836" max="13836" width="1.5703125" style="2" customWidth="1"/>
    <col min="13837" max="13837" width="14.42578125" style="2"/>
    <col min="13838" max="13838" width="1.5703125" style="2" customWidth="1"/>
    <col min="13839" max="13839" width="23.5703125" style="2" customWidth="1"/>
    <col min="13840" max="13843" width="12.28515625" style="2" customWidth="1"/>
    <col min="13844" max="13844" width="30.5703125" style="2" customWidth="1"/>
    <col min="13845" max="13845" width="16.28515625" style="2" customWidth="1"/>
    <col min="13846" max="14080" width="14.42578125" style="2"/>
    <col min="14081" max="14081" width="5.28515625" style="2" customWidth="1"/>
    <col min="14082" max="14082" width="14.42578125" style="2"/>
    <col min="14083" max="14083" width="19.42578125" style="2" customWidth="1"/>
    <col min="14084" max="14084" width="1.5703125" style="2" customWidth="1"/>
    <col min="14085" max="14085" width="14.42578125" style="2"/>
    <col min="14086" max="14086" width="1.5703125" style="2" customWidth="1"/>
    <col min="14087" max="14087" width="14.42578125" style="2"/>
    <col min="14088" max="14088" width="1.5703125" style="2" customWidth="1"/>
    <col min="14089" max="14089" width="14.42578125" style="2"/>
    <col min="14090" max="14090" width="1.5703125" style="2" customWidth="1"/>
    <col min="14091" max="14091" width="14.42578125" style="2"/>
    <col min="14092" max="14092" width="1.5703125" style="2" customWidth="1"/>
    <col min="14093" max="14093" width="14.42578125" style="2"/>
    <col min="14094" max="14094" width="1.5703125" style="2" customWidth="1"/>
    <col min="14095" max="14095" width="23.5703125" style="2" customWidth="1"/>
    <col min="14096" max="14099" width="12.28515625" style="2" customWidth="1"/>
    <col min="14100" max="14100" width="30.5703125" style="2" customWidth="1"/>
    <col min="14101" max="14101" width="16.28515625" style="2" customWidth="1"/>
    <col min="14102" max="14336" width="14.42578125" style="2"/>
    <col min="14337" max="14337" width="5.28515625" style="2" customWidth="1"/>
    <col min="14338" max="14338" width="14.42578125" style="2"/>
    <col min="14339" max="14339" width="19.42578125" style="2" customWidth="1"/>
    <col min="14340" max="14340" width="1.5703125" style="2" customWidth="1"/>
    <col min="14341" max="14341" width="14.42578125" style="2"/>
    <col min="14342" max="14342" width="1.5703125" style="2" customWidth="1"/>
    <col min="14343" max="14343" width="14.42578125" style="2"/>
    <col min="14344" max="14344" width="1.5703125" style="2" customWidth="1"/>
    <col min="14345" max="14345" width="14.42578125" style="2"/>
    <col min="14346" max="14346" width="1.5703125" style="2" customWidth="1"/>
    <col min="14347" max="14347" width="14.42578125" style="2"/>
    <col min="14348" max="14348" width="1.5703125" style="2" customWidth="1"/>
    <col min="14349" max="14349" width="14.42578125" style="2"/>
    <col min="14350" max="14350" width="1.5703125" style="2" customWidth="1"/>
    <col min="14351" max="14351" width="23.5703125" style="2" customWidth="1"/>
    <col min="14352" max="14355" width="12.28515625" style="2" customWidth="1"/>
    <col min="14356" max="14356" width="30.5703125" style="2" customWidth="1"/>
    <col min="14357" max="14357" width="16.28515625" style="2" customWidth="1"/>
    <col min="14358" max="14592" width="14.42578125" style="2"/>
    <col min="14593" max="14593" width="5.28515625" style="2" customWidth="1"/>
    <col min="14594" max="14594" width="14.42578125" style="2"/>
    <col min="14595" max="14595" width="19.42578125" style="2" customWidth="1"/>
    <col min="14596" max="14596" width="1.5703125" style="2" customWidth="1"/>
    <col min="14597" max="14597" width="14.42578125" style="2"/>
    <col min="14598" max="14598" width="1.5703125" style="2" customWidth="1"/>
    <col min="14599" max="14599" width="14.42578125" style="2"/>
    <col min="14600" max="14600" width="1.5703125" style="2" customWidth="1"/>
    <col min="14601" max="14601" width="14.42578125" style="2"/>
    <col min="14602" max="14602" width="1.5703125" style="2" customWidth="1"/>
    <col min="14603" max="14603" width="14.42578125" style="2"/>
    <col min="14604" max="14604" width="1.5703125" style="2" customWidth="1"/>
    <col min="14605" max="14605" width="14.42578125" style="2"/>
    <col min="14606" max="14606" width="1.5703125" style="2" customWidth="1"/>
    <col min="14607" max="14607" width="23.5703125" style="2" customWidth="1"/>
    <col min="14608" max="14611" width="12.28515625" style="2" customWidth="1"/>
    <col min="14612" max="14612" width="30.5703125" style="2" customWidth="1"/>
    <col min="14613" max="14613" width="16.28515625" style="2" customWidth="1"/>
    <col min="14614" max="14848" width="14.42578125" style="2"/>
    <col min="14849" max="14849" width="5.28515625" style="2" customWidth="1"/>
    <col min="14850" max="14850" width="14.42578125" style="2"/>
    <col min="14851" max="14851" width="19.42578125" style="2" customWidth="1"/>
    <col min="14852" max="14852" width="1.5703125" style="2" customWidth="1"/>
    <col min="14853" max="14853" width="14.42578125" style="2"/>
    <col min="14854" max="14854" width="1.5703125" style="2" customWidth="1"/>
    <col min="14855" max="14855" width="14.42578125" style="2"/>
    <col min="14856" max="14856" width="1.5703125" style="2" customWidth="1"/>
    <col min="14857" max="14857" width="14.42578125" style="2"/>
    <col min="14858" max="14858" width="1.5703125" style="2" customWidth="1"/>
    <col min="14859" max="14859" width="14.42578125" style="2"/>
    <col min="14860" max="14860" width="1.5703125" style="2" customWidth="1"/>
    <col min="14861" max="14861" width="14.42578125" style="2"/>
    <col min="14862" max="14862" width="1.5703125" style="2" customWidth="1"/>
    <col min="14863" max="14863" width="23.5703125" style="2" customWidth="1"/>
    <col min="14864" max="14867" width="12.28515625" style="2" customWidth="1"/>
    <col min="14868" max="14868" width="30.5703125" style="2" customWidth="1"/>
    <col min="14869" max="14869" width="16.28515625" style="2" customWidth="1"/>
    <col min="14870" max="15104" width="14.42578125" style="2"/>
    <col min="15105" max="15105" width="5.28515625" style="2" customWidth="1"/>
    <col min="15106" max="15106" width="14.42578125" style="2"/>
    <col min="15107" max="15107" width="19.42578125" style="2" customWidth="1"/>
    <col min="15108" max="15108" width="1.5703125" style="2" customWidth="1"/>
    <col min="15109" max="15109" width="14.42578125" style="2"/>
    <col min="15110" max="15110" width="1.5703125" style="2" customWidth="1"/>
    <col min="15111" max="15111" width="14.42578125" style="2"/>
    <col min="15112" max="15112" width="1.5703125" style="2" customWidth="1"/>
    <col min="15113" max="15113" width="14.42578125" style="2"/>
    <col min="15114" max="15114" width="1.5703125" style="2" customWidth="1"/>
    <col min="15115" max="15115" width="14.42578125" style="2"/>
    <col min="15116" max="15116" width="1.5703125" style="2" customWidth="1"/>
    <col min="15117" max="15117" width="14.42578125" style="2"/>
    <col min="15118" max="15118" width="1.5703125" style="2" customWidth="1"/>
    <col min="15119" max="15119" width="23.5703125" style="2" customWidth="1"/>
    <col min="15120" max="15123" width="12.28515625" style="2" customWidth="1"/>
    <col min="15124" max="15124" width="30.5703125" style="2" customWidth="1"/>
    <col min="15125" max="15125" width="16.28515625" style="2" customWidth="1"/>
    <col min="15126" max="15360" width="14.42578125" style="2"/>
    <col min="15361" max="15361" width="5.28515625" style="2" customWidth="1"/>
    <col min="15362" max="15362" width="14.42578125" style="2"/>
    <col min="15363" max="15363" width="19.42578125" style="2" customWidth="1"/>
    <col min="15364" max="15364" width="1.5703125" style="2" customWidth="1"/>
    <col min="15365" max="15365" width="14.42578125" style="2"/>
    <col min="15366" max="15366" width="1.5703125" style="2" customWidth="1"/>
    <col min="15367" max="15367" width="14.42578125" style="2"/>
    <col min="15368" max="15368" width="1.5703125" style="2" customWidth="1"/>
    <col min="15369" max="15369" width="14.42578125" style="2"/>
    <col min="15370" max="15370" width="1.5703125" style="2" customWidth="1"/>
    <col min="15371" max="15371" width="14.42578125" style="2"/>
    <col min="15372" max="15372" width="1.5703125" style="2" customWidth="1"/>
    <col min="15373" max="15373" width="14.42578125" style="2"/>
    <col min="15374" max="15374" width="1.5703125" style="2" customWidth="1"/>
    <col min="15375" max="15375" width="23.5703125" style="2" customWidth="1"/>
    <col min="15376" max="15379" width="12.28515625" style="2" customWidth="1"/>
    <col min="15380" max="15380" width="30.5703125" style="2" customWidth="1"/>
    <col min="15381" max="15381" width="16.28515625" style="2" customWidth="1"/>
    <col min="15382" max="15616" width="14.42578125" style="2"/>
    <col min="15617" max="15617" width="5.28515625" style="2" customWidth="1"/>
    <col min="15618" max="15618" width="14.42578125" style="2"/>
    <col min="15619" max="15619" width="19.42578125" style="2" customWidth="1"/>
    <col min="15620" max="15620" width="1.5703125" style="2" customWidth="1"/>
    <col min="15621" max="15621" width="14.42578125" style="2"/>
    <col min="15622" max="15622" width="1.5703125" style="2" customWidth="1"/>
    <col min="15623" max="15623" width="14.42578125" style="2"/>
    <col min="15624" max="15624" width="1.5703125" style="2" customWidth="1"/>
    <col min="15625" max="15625" width="14.42578125" style="2"/>
    <col min="15626" max="15626" width="1.5703125" style="2" customWidth="1"/>
    <col min="15627" max="15627" width="14.42578125" style="2"/>
    <col min="15628" max="15628" width="1.5703125" style="2" customWidth="1"/>
    <col min="15629" max="15629" width="14.42578125" style="2"/>
    <col min="15630" max="15630" width="1.5703125" style="2" customWidth="1"/>
    <col min="15631" max="15631" width="23.5703125" style="2" customWidth="1"/>
    <col min="15632" max="15635" width="12.28515625" style="2" customWidth="1"/>
    <col min="15636" max="15636" width="30.5703125" style="2" customWidth="1"/>
    <col min="15637" max="15637" width="16.28515625" style="2" customWidth="1"/>
    <col min="15638" max="15872" width="14.42578125" style="2"/>
    <col min="15873" max="15873" width="5.28515625" style="2" customWidth="1"/>
    <col min="15874" max="15874" width="14.42578125" style="2"/>
    <col min="15875" max="15875" width="19.42578125" style="2" customWidth="1"/>
    <col min="15876" max="15876" width="1.5703125" style="2" customWidth="1"/>
    <col min="15877" max="15877" width="14.42578125" style="2"/>
    <col min="15878" max="15878" width="1.5703125" style="2" customWidth="1"/>
    <col min="15879" max="15879" width="14.42578125" style="2"/>
    <col min="15880" max="15880" width="1.5703125" style="2" customWidth="1"/>
    <col min="15881" max="15881" width="14.42578125" style="2"/>
    <col min="15882" max="15882" width="1.5703125" style="2" customWidth="1"/>
    <col min="15883" max="15883" width="14.42578125" style="2"/>
    <col min="15884" max="15884" width="1.5703125" style="2" customWidth="1"/>
    <col min="15885" max="15885" width="14.42578125" style="2"/>
    <col min="15886" max="15886" width="1.5703125" style="2" customWidth="1"/>
    <col min="15887" max="15887" width="23.5703125" style="2" customWidth="1"/>
    <col min="15888" max="15891" width="12.28515625" style="2" customWidth="1"/>
    <col min="15892" max="15892" width="30.5703125" style="2" customWidth="1"/>
    <col min="15893" max="15893" width="16.28515625" style="2" customWidth="1"/>
    <col min="15894" max="16128" width="14.42578125" style="2"/>
    <col min="16129" max="16129" width="5.28515625" style="2" customWidth="1"/>
    <col min="16130" max="16130" width="14.42578125" style="2"/>
    <col min="16131" max="16131" width="19.42578125" style="2" customWidth="1"/>
    <col min="16132" max="16132" width="1.5703125" style="2" customWidth="1"/>
    <col min="16133" max="16133" width="14.42578125" style="2"/>
    <col min="16134" max="16134" width="1.5703125" style="2" customWidth="1"/>
    <col min="16135" max="16135" width="14.42578125" style="2"/>
    <col min="16136" max="16136" width="1.5703125" style="2" customWidth="1"/>
    <col min="16137" max="16137" width="14.42578125" style="2"/>
    <col min="16138" max="16138" width="1.5703125" style="2" customWidth="1"/>
    <col min="16139" max="16139" width="14.42578125" style="2"/>
    <col min="16140" max="16140" width="1.5703125" style="2" customWidth="1"/>
    <col min="16141" max="16141" width="14.42578125" style="2"/>
    <col min="16142" max="16142" width="1.5703125" style="2" customWidth="1"/>
    <col min="16143" max="16143" width="23.5703125" style="2" customWidth="1"/>
    <col min="16144" max="16147" width="12.28515625" style="2" customWidth="1"/>
    <col min="16148" max="16148" width="30.5703125" style="2" customWidth="1"/>
    <col min="16149" max="16149" width="16.28515625" style="2" customWidth="1"/>
    <col min="16150" max="16384" width="14.42578125" style="2"/>
  </cols>
  <sheetData>
    <row r="1" spans="1:45" x14ac:dyDescent="0.2">
      <c r="A1" s="1" t="s">
        <v>0</v>
      </c>
      <c r="I1" s="1"/>
      <c r="J1" s="1"/>
      <c r="O1" s="3" t="s">
        <v>1</v>
      </c>
      <c r="T1" s="1" t="s">
        <v>89</v>
      </c>
      <c r="AR1" s="1" t="s">
        <v>2</v>
      </c>
    </row>
    <row r="2" spans="1:4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29"/>
      <c r="P2" s="78"/>
      <c r="Q2" s="77"/>
      <c r="R2" s="77"/>
      <c r="S2" s="77"/>
      <c r="T2" s="77"/>
      <c r="U2" s="77"/>
    </row>
    <row r="3" spans="1:45" x14ac:dyDescent="0.2">
      <c r="A3" s="1" t="s">
        <v>3</v>
      </c>
      <c r="O3" s="3" t="s">
        <v>4</v>
      </c>
      <c r="T3" s="1" t="s">
        <v>5</v>
      </c>
    </row>
    <row r="4" spans="1:45" x14ac:dyDescent="0.2">
      <c r="O4" s="3" t="s">
        <v>6</v>
      </c>
      <c r="T4" s="1" t="s">
        <v>7</v>
      </c>
      <c r="U4" s="4" t="s">
        <v>79</v>
      </c>
      <c r="AP4" s="1" t="s">
        <v>8</v>
      </c>
      <c r="AQ4" s="1" t="s">
        <v>9</v>
      </c>
      <c r="AS4" s="1" t="s">
        <v>10</v>
      </c>
    </row>
    <row r="5" spans="1:45" x14ac:dyDescent="0.2">
      <c r="A5" s="1" t="s">
        <v>11</v>
      </c>
      <c r="C5" s="1" t="s">
        <v>85</v>
      </c>
      <c r="O5" s="3" t="s">
        <v>12</v>
      </c>
      <c r="T5" s="1" t="s">
        <v>13</v>
      </c>
      <c r="U5" s="4" t="s">
        <v>80</v>
      </c>
    </row>
    <row r="6" spans="1:45" x14ac:dyDescent="0.2">
      <c r="T6" s="2" t="s">
        <v>14</v>
      </c>
      <c r="U6" s="4" t="s">
        <v>83</v>
      </c>
      <c r="AP6" s="1" t="s">
        <v>15</v>
      </c>
      <c r="AQ6" s="1" t="s">
        <v>16</v>
      </c>
      <c r="AS6" s="1" t="s">
        <v>17</v>
      </c>
    </row>
    <row r="7" spans="1:45" x14ac:dyDescent="0.2">
      <c r="A7" s="68" t="s">
        <v>82</v>
      </c>
      <c r="C7" s="5" t="s">
        <v>88</v>
      </c>
      <c r="K7" s="1"/>
      <c r="L7" s="1"/>
      <c r="M7" s="1"/>
      <c r="N7" s="1"/>
      <c r="Q7" s="6"/>
      <c r="T7" s="2" t="s">
        <v>18</v>
      </c>
      <c r="U7" s="2" t="s">
        <v>86</v>
      </c>
      <c r="AQ7" s="1" t="s">
        <v>19</v>
      </c>
    </row>
    <row r="8" spans="1:45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29"/>
      <c r="P8" s="78"/>
      <c r="Q8" s="77"/>
      <c r="R8" s="77"/>
      <c r="S8" s="77"/>
      <c r="T8" s="77"/>
      <c r="U8" s="8" t="s">
        <v>416</v>
      </c>
    </row>
    <row r="9" spans="1:45" x14ac:dyDescent="0.2">
      <c r="J9" s="3"/>
      <c r="K9" s="3" t="s">
        <v>20</v>
      </c>
      <c r="L9" s="3"/>
      <c r="M9" s="3" t="s">
        <v>21</v>
      </c>
      <c r="N9" s="3"/>
    </row>
    <row r="10" spans="1:45" ht="13.5" thickBot="1" x14ac:dyDescent="0.25">
      <c r="J10" s="3"/>
      <c r="K10" s="3" t="s">
        <v>22</v>
      </c>
      <c r="L10" s="3"/>
      <c r="M10" s="3" t="s">
        <v>23</v>
      </c>
      <c r="N10" s="3"/>
      <c r="X10" s="7"/>
    </row>
    <row r="11" spans="1:45" x14ac:dyDescent="0.2">
      <c r="C11" s="8" t="s">
        <v>24</v>
      </c>
      <c r="J11" s="9"/>
      <c r="K11" s="10" t="s">
        <v>81</v>
      </c>
      <c r="L11" s="3"/>
      <c r="M11" s="10" t="s">
        <v>84</v>
      </c>
      <c r="N11" s="9"/>
      <c r="X11" s="11"/>
      <c r="Y11" s="12"/>
      <c r="Z11" s="12"/>
      <c r="AA11" s="13"/>
    </row>
    <row r="12" spans="1:45" x14ac:dyDescent="0.2">
      <c r="B12" s="9" t="s">
        <v>25</v>
      </c>
      <c r="C12" s="2" t="s">
        <v>26</v>
      </c>
      <c r="J12" s="14"/>
      <c r="K12" s="71">
        <v>0.05</v>
      </c>
      <c r="L12" s="71"/>
      <c r="M12" s="71">
        <v>0.05</v>
      </c>
      <c r="N12" s="9"/>
      <c r="O12" s="15"/>
      <c r="X12" s="16"/>
      <c r="Y12" s="17"/>
      <c r="Z12" s="17"/>
      <c r="AA12" s="18"/>
    </row>
    <row r="13" spans="1:45" x14ac:dyDescent="0.2">
      <c r="B13" s="9" t="s">
        <v>27</v>
      </c>
      <c r="C13" s="4" t="s">
        <v>28</v>
      </c>
      <c r="J13" s="14"/>
      <c r="K13" s="71">
        <f>ROUND((1+K16)*(1+K12)-1,4)</f>
        <v>0.09</v>
      </c>
      <c r="L13" s="71"/>
      <c r="M13" s="71">
        <f>ROUND((1+M16)*(1+M12)-1,4)</f>
        <v>8.3900000000000002E-2</v>
      </c>
      <c r="N13" s="14"/>
      <c r="X13" s="19"/>
      <c r="Y13" s="20"/>
      <c r="Z13" s="21"/>
      <c r="AA13" s="22"/>
    </row>
    <row r="14" spans="1:45" x14ac:dyDescent="0.2">
      <c r="B14" s="9" t="s">
        <v>29</v>
      </c>
      <c r="C14" s="2" t="s">
        <v>30</v>
      </c>
      <c r="J14" s="14"/>
      <c r="K14" s="71">
        <f>ROUND((1+K16)*(1+K15)-1,4)</f>
        <v>6.7199999999999996E-2</v>
      </c>
      <c r="L14" s="71"/>
      <c r="M14" s="71">
        <f>ROUND((1+M16)*(1+M15)-1,4)</f>
        <v>5.5E-2</v>
      </c>
      <c r="N14" s="14"/>
      <c r="X14" s="16"/>
      <c r="Z14" s="14"/>
      <c r="AA14" s="23"/>
    </row>
    <row r="15" spans="1:45" ht="13.5" thickBot="1" x14ac:dyDescent="0.25">
      <c r="B15" s="9" t="s">
        <v>31</v>
      </c>
      <c r="C15" s="2" t="s">
        <v>32</v>
      </c>
      <c r="K15" s="71">
        <v>2.8000000000000001E-2</v>
      </c>
      <c r="L15" s="71"/>
      <c r="M15" s="71">
        <v>2.1999999999999999E-2</v>
      </c>
      <c r="O15" s="24"/>
      <c r="X15" s="25"/>
      <c r="Y15" s="26"/>
      <c r="Z15" s="26"/>
      <c r="AA15" s="27"/>
    </row>
    <row r="16" spans="1:45" x14ac:dyDescent="0.2">
      <c r="B16" s="9"/>
      <c r="C16" s="2" t="s">
        <v>33</v>
      </c>
      <c r="J16" s="14"/>
      <c r="K16" s="70">
        <v>3.8124459181492654E-2</v>
      </c>
      <c r="L16" s="70"/>
      <c r="M16" s="70">
        <v>3.2294481525399821E-2</v>
      </c>
      <c r="N16" s="14"/>
      <c r="O16" s="24"/>
    </row>
    <row r="17" spans="1:29" x14ac:dyDescent="0.2">
      <c r="E17" s="3"/>
    </row>
    <row r="18" spans="1:29" x14ac:dyDescent="0.2">
      <c r="A18" s="3" t="s">
        <v>34</v>
      </c>
      <c r="E18" s="3" t="s">
        <v>35</v>
      </c>
      <c r="F18" s="3"/>
      <c r="G18" s="3"/>
      <c r="H18" s="3"/>
      <c r="I18" s="3" t="s">
        <v>36</v>
      </c>
      <c r="J18" s="3"/>
      <c r="K18" s="3"/>
      <c r="L18" s="3"/>
      <c r="M18" s="3" t="s">
        <v>21</v>
      </c>
      <c r="N18" s="3"/>
      <c r="O18" s="3" t="s">
        <v>37</v>
      </c>
      <c r="Y18" s="28"/>
    </row>
    <row r="19" spans="1:29" x14ac:dyDescent="0.2">
      <c r="A19" s="29" t="s">
        <v>38</v>
      </c>
      <c r="B19" s="29" t="s">
        <v>39</v>
      </c>
      <c r="E19" s="29" t="s">
        <v>40</v>
      </c>
      <c r="F19" s="3"/>
      <c r="G19" s="29" t="s">
        <v>41</v>
      </c>
      <c r="H19" s="3"/>
      <c r="I19" s="29" t="s">
        <v>40</v>
      </c>
      <c r="J19" s="3"/>
      <c r="K19" s="29" t="s">
        <v>42</v>
      </c>
      <c r="L19" s="3"/>
      <c r="M19" s="29" t="s">
        <v>23</v>
      </c>
      <c r="N19" s="3"/>
      <c r="O19" s="29" t="s">
        <v>43</v>
      </c>
      <c r="P19" s="29" t="s">
        <v>105</v>
      </c>
      <c r="W19" s="17"/>
      <c r="X19" s="21"/>
      <c r="Y19" s="17"/>
      <c r="Z19" s="17"/>
      <c r="AA19" s="4"/>
      <c r="AB19" s="21"/>
      <c r="AC19" s="21"/>
    </row>
    <row r="20" spans="1:29" x14ac:dyDescent="0.2">
      <c r="A20" s="3"/>
      <c r="E20" s="30"/>
      <c r="X20" s="17"/>
      <c r="Y20" s="21"/>
      <c r="Z20" s="21"/>
      <c r="AA20" s="21"/>
      <c r="AB20" s="17"/>
    </row>
    <row r="21" spans="1:29" x14ac:dyDescent="0.2">
      <c r="A21" s="3">
        <v>1</v>
      </c>
      <c r="B21" s="2">
        <v>407</v>
      </c>
      <c r="C21" s="2" t="s">
        <v>44</v>
      </c>
      <c r="E21" s="32">
        <v>0</v>
      </c>
      <c r="F21" s="31"/>
      <c r="G21" s="32">
        <v>0</v>
      </c>
      <c r="H21" s="31"/>
      <c r="I21" s="32">
        <f>E21+G21</f>
        <v>0</v>
      </c>
      <c r="J21" s="31"/>
      <c r="K21" s="32">
        <v>0</v>
      </c>
      <c r="L21" s="31"/>
      <c r="M21" s="32">
        <v>0</v>
      </c>
      <c r="X21" s="17"/>
      <c r="Y21" s="21"/>
      <c r="Z21" s="21"/>
      <c r="AA21" s="21"/>
      <c r="AB21" s="17"/>
    </row>
    <row r="22" spans="1:29" x14ac:dyDescent="0.2">
      <c r="A22" s="3">
        <f t="shared" ref="A22:A86" si="0">A21+1</f>
        <v>2</v>
      </c>
      <c r="C22" s="2" t="s">
        <v>45</v>
      </c>
      <c r="E22" s="32">
        <v>0</v>
      </c>
      <c r="F22" s="31"/>
      <c r="G22" s="31">
        <v>0</v>
      </c>
      <c r="H22" s="31"/>
      <c r="I22" s="32">
        <f>E22+G22</f>
        <v>0</v>
      </c>
      <c r="J22" s="31"/>
      <c r="K22" s="32">
        <v>0</v>
      </c>
      <c r="L22" s="31"/>
      <c r="M22" s="32">
        <v>0</v>
      </c>
      <c r="X22" s="17"/>
      <c r="Y22" s="21"/>
      <c r="Z22" s="21"/>
      <c r="AA22" s="21"/>
      <c r="AB22" s="17"/>
    </row>
    <row r="23" spans="1:29" x14ac:dyDescent="0.2">
      <c r="A23" s="3">
        <f t="shared" si="0"/>
        <v>3</v>
      </c>
      <c r="C23" s="1" t="s">
        <v>46</v>
      </c>
      <c r="E23" s="32">
        <v>0</v>
      </c>
      <c r="F23" s="31"/>
      <c r="G23" s="32">
        <v>0</v>
      </c>
      <c r="H23" s="31"/>
      <c r="I23" s="32">
        <f>E23+G23</f>
        <v>0</v>
      </c>
      <c r="J23" s="31"/>
      <c r="K23" s="32">
        <v>0</v>
      </c>
      <c r="L23" s="31"/>
      <c r="M23" s="32">
        <v>0</v>
      </c>
      <c r="X23" s="17"/>
      <c r="Y23" s="21"/>
      <c r="Z23" s="21"/>
      <c r="AA23" s="21"/>
      <c r="AB23" s="17"/>
    </row>
    <row r="24" spans="1:29" ht="14.25" customHeight="1" x14ac:dyDescent="0.2">
      <c r="A24" s="3">
        <f t="shared" si="0"/>
        <v>4</v>
      </c>
      <c r="C24" s="1" t="s">
        <v>47</v>
      </c>
      <c r="E24" s="31">
        <v>6568588</v>
      </c>
      <c r="F24" s="31"/>
      <c r="G24" s="31">
        <v>-7673249.2000000002</v>
      </c>
      <c r="H24" s="31"/>
      <c r="I24" s="32">
        <f>E24+G24</f>
        <v>-1104661.2000000002</v>
      </c>
      <c r="J24" s="31"/>
      <c r="K24" s="32">
        <f>'SCHG2-19b'!G14</f>
        <v>-1166806.8585516</v>
      </c>
      <c r="L24" s="31"/>
      <c r="M24" s="32">
        <f>'SCHG2-19b'!I14</f>
        <v>388935.61951679998</v>
      </c>
      <c r="O24" s="3" t="s">
        <v>383</v>
      </c>
      <c r="X24" s="17"/>
      <c r="Y24" s="21"/>
      <c r="Z24" s="21"/>
      <c r="AA24" s="21"/>
      <c r="AB24" s="17"/>
    </row>
    <row r="25" spans="1:29" ht="2.25" customHeight="1" x14ac:dyDescent="0.2">
      <c r="A25" s="3"/>
      <c r="C25" s="1"/>
      <c r="E25" s="31"/>
      <c r="F25" s="31"/>
      <c r="G25" s="31"/>
      <c r="H25" s="31"/>
      <c r="I25" s="32"/>
      <c r="J25" s="31"/>
      <c r="K25" s="32"/>
      <c r="L25" s="31"/>
      <c r="M25" s="32"/>
      <c r="X25" s="17"/>
      <c r="Y25" s="21"/>
      <c r="Z25" s="21"/>
      <c r="AA25" s="21"/>
      <c r="AB25" s="17"/>
    </row>
    <row r="26" spans="1:29" x14ac:dyDescent="0.2">
      <c r="A26" s="3">
        <f>A24+1</f>
        <v>5</v>
      </c>
      <c r="C26" s="2" t="s">
        <v>48</v>
      </c>
      <c r="E26" s="33">
        <f>SUM(E21:E24)</f>
        <v>6568588</v>
      </c>
      <c r="F26" s="31"/>
      <c r="G26" s="33">
        <f>SUM(G21:G24)</f>
        <v>-7673249.2000000002</v>
      </c>
      <c r="H26" s="31"/>
      <c r="I26" s="33">
        <f>SUM(I21:I24)</f>
        <v>-1104661.2000000002</v>
      </c>
      <c r="J26" s="31"/>
      <c r="K26" s="33">
        <f>SUM(K21:K24)</f>
        <v>-1166806.8585516</v>
      </c>
      <c r="L26" s="31"/>
      <c r="M26" s="33">
        <f>SUM(M21:M24)</f>
        <v>388935.61951679998</v>
      </c>
      <c r="P26" s="3" t="s">
        <v>112</v>
      </c>
      <c r="X26" s="17"/>
      <c r="Y26" s="21"/>
      <c r="Z26" s="21"/>
      <c r="AA26" s="21"/>
      <c r="AB26" s="17"/>
    </row>
    <row r="27" spans="1:29" x14ac:dyDescent="0.2">
      <c r="E27" s="31"/>
      <c r="X27" s="17"/>
      <c r="Y27" s="21"/>
      <c r="Z27" s="21"/>
      <c r="AA27" s="21"/>
      <c r="AB27" s="17"/>
    </row>
    <row r="28" spans="1:29" x14ac:dyDescent="0.2">
      <c r="A28" s="3">
        <f>A26+1</f>
        <v>6</v>
      </c>
      <c r="B28" s="2">
        <v>413</v>
      </c>
      <c r="C28" s="2" t="s">
        <v>44</v>
      </c>
      <c r="E28" s="31">
        <v>0</v>
      </c>
      <c r="F28" s="31"/>
      <c r="G28" s="31">
        <v>0</v>
      </c>
      <c r="H28" s="31"/>
      <c r="I28" s="32">
        <f>E28+G28</f>
        <v>0</v>
      </c>
      <c r="J28" s="31"/>
      <c r="K28" s="32">
        <v>0</v>
      </c>
      <c r="L28" s="31"/>
      <c r="M28" s="32">
        <v>0</v>
      </c>
      <c r="X28" s="17"/>
      <c r="Y28" s="21"/>
      <c r="Z28" s="21"/>
      <c r="AA28" s="21"/>
      <c r="AB28" s="17"/>
    </row>
    <row r="29" spans="1:29" x14ac:dyDescent="0.2">
      <c r="A29" s="3">
        <f t="shared" si="0"/>
        <v>7</v>
      </c>
      <c r="C29" s="2" t="s">
        <v>45</v>
      </c>
      <c r="E29" s="31">
        <v>0</v>
      </c>
      <c r="F29" s="31"/>
      <c r="G29" s="31">
        <v>0</v>
      </c>
      <c r="H29" s="31"/>
      <c r="I29" s="32">
        <f>E29+G29</f>
        <v>0</v>
      </c>
      <c r="J29" s="31"/>
      <c r="K29" s="32">
        <v>0</v>
      </c>
      <c r="L29" s="31"/>
      <c r="M29" s="32">
        <v>0</v>
      </c>
      <c r="X29" s="17"/>
      <c r="Y29" s="21"/>
      <c r="Z29" s="21"/>
      <c r="AA29" s="21"/>
      <c r="AB29" s="17"/>
    </row>
    <row r="30" spans="1:29" x14ac:dyDescent="0.2">
      <c r="A30" s="3">
        <f t="shared" si="0"/>
        <v>8</v>
      </c>
      <c r="C30" s="1" t="s">
        <v>46</v>
      </c>
      <c r="E30" s="31">
        <v>0</v>
      </c>
      <c r="F30" s="31"/>
      <c r="G30" s="31">
        <v>0</v>
      </c>
      <c r="H30" s="31"/>
      <c r="I30" s="32">
        <f>E30+G30</f>
        <v>0</v>
      </c>
      <c r="J30" s="31"/>
      <c r="K30" s="32">
        <v>0</v>
      </c>
      <c r="L30" s="31"/>
      <c r="M30" s="32">
        <v>0</v>
      </c>
      <c r="X30" s="17"/>
      <c r="Y30" s="21"/>
      <c r="Z30" s="21"/>
      <c r="AA30" s="21"/>
      <c r="AB30" s="17"/>
    </row>
    <row r="31" spans="1:29" x14ac:dyDescent="0.2">
      <c r="A31" s="3">
        <f t="shared" si="0"/>
        <v>9</v>
      </c>
      <c r="C31" s="1" t="s">
        <v>47</v>
      </c>
      <c r="E31" s="31">
        <v>379967.48</v>
      </c>
      <c r="F31" s="31"/>
      <c r="G31" s="31">
        <v>0</v>
      </c>
      <c r="H31" s="31"/>
      <c r="I31" s="32">
        <f>E31+G31</f>
        <v>379967.48</v>
      </c>
      <c r="J31" s="31"/>
      <c r="K31" s="32">
        <f>'SCHG2-19b'!G16</f>
        <v>25000</v>
      </c>
      <c r="L31" s="31"/>
      <c r="M31" s="32">
        <f>'SCHG2-19b'!I16</f>
        <v>25550</v>
      </c>
      <c r="O31" s="3" t="s">
        <v>383</v>
      </c>
      <c r="W31" s="1"/>
      <c r="X31" s="17"/>
      <c r="Y31" s="21"/>
      <c r="Z31" s="21"/>
      <c r="AA31" s="21"/>
      <c r="AB31" s="300">
        <f>M31-I31</f>
        <v>-354417.48</v>
      </c>
    </row>
    <row r="32" spans="1:29" ht="3" customHeight="1" x14ac:dyDescent="0.2">
      <c r="A32" s="3"/>
      <c r="C32" s="1"/>
      <c r="E32" s="31"/>
      <c r="F32" s="31"/>
      <c r="G32" s="31"/>
      <c r="H32" s="31"/>
      <c r="I32" s="32"/>
      <c r="J32" s="31"/>
      <c r="K32" s="32"/>
      <c r="L32" s="31"/>
      <c r="M32" s="32"/>
      <c r="W32" s="1"/>
      <c r="X32" s="17"/>
      <c r="Y32" s="21"/>
      <c r="Z32" s="21"/>
      <c r="AA32" s="21"/>
      <c r="AB32" s="17"/>
    </row>
    <row r="33" spans="1:28" x14ac:dyDescent="0.2">
      <c r="A33" s="3">
        <f>A31+1</f>
        <v>10</v>
      </c>
      <c r="C33" s="2" t="s">
        <v>48</v>
      </c>
      <c r="E33" s="33">
        <f>SUM(E28:E31)</f>
        <v>379967.48</v>
      </c>
      <c r="F33" s="31"/>
      <c r="G33" s="33">
        <f>SUM(G28:G31)</f>
        <v>0</v>
      </c>
      <c r="H33" s="31"/>
      <c r="I33" s="33">
        <f>SUM(I28:I31)</f>
        <v>379967.48</v>
      </c>
      <c r="J33" s="31"/>
      <c r="K33" s="33">
        <f>SUM(K28:K31)</f>
        <v>25000</v>
      </c>
      <c r="L33" s="31"/>
      <c r="M33" s="33">
        <f>SUM(M28:M31)</f>
        <v>25550</v>
      </c>
      <c r="P33" s="3" t="s">
        <v>115</v>
      </c>
      <c r="X33" s="17"/>
      <c r="Y33" s="21"/>
      <c r="Z33" s="21"/>
      <c r="AA33" s="21"/>
      <c r="AB33" s="17"/>
    </row>
    <row r="34" spans="1:28" x14ac:dyDescent="0.2">
      <c r="A34" s="3"/>
      <c r="E34" s="30"/>
      <c r="X34" s="17"/>
      <c r="Y34" s="21"/>
      <c r="Z34" s="21"/>
      <c r="AA34" s="21"/>
      <c r="AB34" s="17"/>
    </row>
    <row r="35" spans="1:28" x14ac:dyDescent="0.2">
      <c r="A35" s="3"/>
      <c r="B35" s="34" t="s">
        <v>49</v>
      </c>
      <c r="C35" s="34"/>
      <c r="D35" s="34"/>
      <c r="E35" s="30"/>
      <c r="X35" s="17"/>
      <c r="Y35" s="21"/>
      <c r="Z35" s="21"/>
      <c r="AA35" s="21"/>
      <c r="AB35" s="17"/>
    </row>
    <row r="36" spans="1:28" x14ac:dyDescent="0.2">
      <c r="A36" s="3"/>
      <c r="E36" s="30"/>
      <c r="X36" s="17"/>
      <c r="Y36" s="21"/>
      <c r="Z36" s="21"/>
      <c r="AA36" s="21"/>
      <c r="AB36" s="17"/>
    </row>
    <row r="37" spans="1:28" x14ac:dyDescent="0.2">
      <c r="A37" s="3">
        <f>A33+1</f>
        <v>11</v>
      </c>
      <c r="B37" s="2">
        <v>841</v>
      </c>
      <c r="C37" s="2" t="s">
        <v>44</v>
      </c>
      <c r="E37" s="31">
        <v>0</v>
      </c>
      <c r="F37" s="31"/>
      <c r="G37" s="31">
        <v>0</v>
      </c>
      <c r="H37" s="31"/>
      <c r="I37" s="32">
        <f>E37+G37</f>
        <v>0</v>
      </c>
      <c r="J37" s="31"/>
      <c r="K37" s="32">
        <v>0</v>
      </c>
      <c r="L37" s="31"/>
      <c r="M37" s="32">
        <v>0</v>
      </c>
      <c r="N37" s="31"/>
      <c r="O37" s="9"/>
      <c r="X37" s="17"/>
      <c r="Y37" s="21"/>
      <c r="Z37" s="21"/>
      <c r="AA37" s="21"/>
      <c r="AB37" s="17"/>
    </row>
    <row r="38" spans="1:28" x14ac:dyDescent="0.2">
      <c r="A38" s="3">
        <f t="shared" si="0"/>
        <v>12</v>
      </c>
      <c r="C38" s="2" t="s">
        <v>45</v>
      </c>
      <c r="E38" s="31">
        <v>0</v>
      </c>
      <c r="F38" s="31"/>
      <c r="G38" s="31">
        <v>0</v>
      </c>
      <c r="H38" s="31"/>
      <c r="I38" s="32">
        <f>E38+G38</f>
        <v>0</v>
      </c>
      <c r="J38" s="31"/>
      <c r="K38" s="32">
        <v>0</v>
      </c>
      <c r="L38" s="31"/>
      <c r="M38" s="32">
        <v>0</v>
      </c>
      <c r="N38" s="31"/>
      <c r="O38" s="9"/>
      <c r="X38" s="17"/>
      <c r="Y38" s="21"/>
      <c r="Z38" s="21"/>
      <c r="AA38" s="21"/>
      <c r="AB38" s="17"/>
    </row>
    <row r="39" spans="1:28" x14ac:dyDescent="0.2">
      <c r="A39" s="3">
        <f t="shared" si="0"/>
        <v>13</v>
      </c>
      <c r="C39" s="1" t="s">
        <v>46</v>
      </c>
      <c r="E39" s="31">
        <v>0</v>
      </c>
      <c r="F39" s="31"/>
      <c r="G39" s="31">
        <v>0</v>
      </c>
      <c r="H39" s="31"/>
      <c r="I39" s="32">
        <f>E39+G39</f>
        <v>0</v>
      </c>
      <c r="J39" s="31"/>
      <c r="K39" s="32">
        <v>0</v>
      </c>
      <c r="L39" s="31"/>
      <c r="M39" s="32">
        <v>0</v>
      </c>
      <c r="N39" s="31"/>
      <c r="X39" s="17"/>
      <c r="Y39" s="21"/>
      <c r="Z39" s="21"/>
      <c r="AA39" s="21"/>
      <c r="AB39" s="17"/>
    </row>
    <row r="40" spans="1:28" x14ac:dyDescent="0.2">
      <c r="A40" s="3">
        <f t="shared" si="0"/>
        <v>14</v>
      </c>
      <c r="C40" s="1" t="s">
        <v>47</v>
      </c>
      <c r="E40" s="31">
        <v>0</v>
      </c>
      <c r="F40" s="31"/>
      <c r="G40" s="31">
        <v>0</v>
      </c>
      <c r="H40" s="31"/>
      <c r="I40" s="32">
        <f>E40+G40</f>
        <v>0</v>
      </c>
      <c r="J40" s="31"/>
      <c r="K40" s="32">
        <v>0</v>
      </c>
      <c r="L40" s="31"/>
      <c r="M40" s="32">
        <v>0</v>
      </c>
      <c r="N40" s="31"/>
      <c r="W40" s="1"/>
      <c r="X40" s="17"/>
      <c r="Y40" s="21"/>
      <c r="Z40" s="21"/>
      <c r="AA40" s="21"/>
      <c r="AB40" s="17"/>
    </row>
    <row r="41" spans="1:28" ht="3" customHeight="1" x14ac:dyDescent="0.2">
      <c r="A41" s="3"/>
      <c r="C41" s="1"/>
      <c r="E41" s="31"/>
      <c r="F41" s="31"/>
      <c r="G41" s="31"/>
      <c r="H41" s="31"/>
      <c r="I41" s="32"/>
      <c r="J41" s="31"/>
      <c r="K41" s="32"/>
      <c r="L41" s="31"/>
      <c r="M41" s="32"/>
      <c r="N41" s="31"/>
      <c r="W41" s="1"/>
      <c r="X41" s="17"/>
      <c r="Y41" s="21"/>
      <c r="Z41" s="21"/>
      <c r="AA41" s="21"/>
      <c r="AB41" s="17"/>
    </row>
    <row r="42" spans="1:28" x14ac:dyDescent="0.2">
      <c r="A42" s="3">
        <f>A40+1</f>
        <v>15</v>
      </c>
      <c r="C42" s="2" t="s">
        <v>48</v>
      </c>
      <c r="E42" s="33">
        <f>SUM(E37:E40)</f>
        <v>0</v>
      </c>
      <c r="F42" s="31"/>
      <c r="G42" s="33">
        <f>SUM(G37:G40)</f>
        <v>0</v>
      </c>
      <c r="H42" s="31"/>
      <c r="I42" s="33">
        <f>SUM(I37:I40)</f>
        <v>0</v>
      </c>
      <c r="J42" s="31"/>
      <c r="K42" s="33">
        <f>SUM(K37:K40)</f>
        <v>0</v>
      </c>
      <c r="L42" s="31"/>
      <c r="M42" s="33">
        <f>SUM(M37:M40)</f>
        <v>0</v>
      </c>
      <c r="N42" s="31"/>
      <c r="X42" s="17"/>
      <c r="Y42" s="21"/>
      <c r="Z42" s="21"/>
      <c r="AA42" s="21"/>
      <c r="AB42" s="17"/>
    </row>
    <row r="43" spans="1:28" x14ac:dyDescent="0.2">
      <c r="A43" s="3"/>
      <c r="E43" s="35"/>
      <c r="X43" s="17"/>
      <c r="Y43" s="21"/>
      <c r="Z43" s="21"/>
      <c r="AA43" s="21"/>
      <c r="AB43" s="17"/>
    </row>
    <row r="44" spans="1:28" x14ac:dyDescent="0.2">
      <c r="A44" s="3"/>
      <c r="B44" s="34" t="s">
        <v>50</v>
      </c>
      <c r="C44" s="34"/>
      <c r="D44" s="34"/>
      <c r="Z44" s="14"/>
      <c r="AA44" s="14"/>
    </row>
    <row r="45" spans="1:28" x14ac:dyDescent="0.2">
      <c r="A45" s="3"/>
      <c r="B45" s="36"/>
      <c r="C45" s="36"/>
      <c r="D45" s="36"/>
      <c r="Z45" s="14"/>
      <c r="AA45" s="14"/>
    </row>
    <row r="46" spans="1:28" x14ac:dyDescent="0.2">
      <c r="A46" s="3"/>
      <c r="B46" s="34" t="s">
        <v>51</v>
      </c>
      <c r="C46" s="34"/>
      <c r="D46" s="34"/>
      <c r="Z46" s="14"/>
      <c r="AA46" s="14"/>
    </row>
    <row r="47" spans="1:28" x14ac:dyDescent="0.2">
      <c r="A47" s="3"/>
      <c r="E47" s="31"/>
      <c r="F47" s="31"/>
      <c r="G47" s="31"/>
      <c r="H47" s="31"/>
      <c r="I47" s="31"/>
      <c r="J47" s="31"/>
      <c r="K47" s="31"/>
      <c r="L47" s="31"/>
      <c r="M47" s="31"/>
      <c r="N47" s="31"/>
      <c r="Y47" s="14"/>
      <c r="Z47" s="14"/>
      <c r="AA47" s="14"/>
      <c r="AB47" s="14"/>
    </row>
    <row r="48" spans="1:28" x14ac:dyDescent="0.2">
      <c r="A48" s="3">
        <f>A42+1</f>
        <v>16</v>
      </c>
      <c r="B48" s="2">
        <v>870</v>
      </c>
      <c r="C48" s="2" t="s">
        <v>44</v>
      </c>
      <c r="E48" s="31">
        <v>1275040.6000000003</v>
      </c>
      <c r="F48" s="31"/>
      <c r="G48" s="31">
        <v>0</v>
      </c>
      <c r="H48" s="31"/>
      <c r="I48" s="32">
        <f>E48+G48</f>
        <v>1275040.6000000003</v>
      </c>
      <c r="J48" s="31"/>
      <c r="K48" s="32">
        <f>IF($O48=1,I48*(1+K$12),IF($O48=2,I48*(1+K$13),IF($O48=3,I48*(1+K$14),IF($O48=4,I48*(1+K$15)))))</f>
        <v>1338792.6300000004</v>
      </c>
      <c r="L48" s="31"/>
      <c r="M48" s="32">
        <f>IF($O48=1,K48*(1+M$12),IF($O48=2,K48*(1+M$13),IF($O48=3,K48*(1+M$14),IF($O48=4,K48*(1+M$15)))))</f>
        <v>1405732.2615000005</v>
      </c>
      <c r="N48" s="31"/>
      <c r="O48" s="9">
        <v>1</v>
      </c>
    </row>
    <row r="49" spans="1:28" x14ac:dyDescent="0.2">
      <c r="A49" s="3">
        <f t="shared" si="0"/>
        <v>17</v>
      </c>
      <c r="C49" s="2" t="s">
        <v>45</v>
      </c>
      <c r="E49" s="31">
        <v>408255.72999999975</v>
      </c>
      <c r="F49" s="31"/>
      <c r="G49" s="31">
        <v>0</v>
      </c>
      <c r="H49" s="31"/>
      <c r="I49" s="32">
        <f>E49+G49</f>
        <v>408255.72999999975</v>
      </c>
      <c r="J49" s="31"/>
      <c r="K49" s="32">
        <f>IF($O49=1,I49*(1+K$12),IF($O49=2,I49*(1+K$13),IF($O49=3,I49*(1+K$14),IF($O49=4,I49*(1+K$15)))))</f>
        <v>435690.51505599968</v>
      </c>
      <c r="L49" s="31"/>
      <c r="M49" s="32">
        <f>IF($O49=1,K49*(1+M$12),IF($O49=2,K49*(1+M$13),IF($O49=3,K49*(1+M$14),IF($O49=4,K49*(1+M$15)))))</f>
        <v>459653.49338407966</v>
      </c>
      <c r="N49" s="31"/>
      <c r="O49" s="9">
        <v>3</v>
      </c>
      <c r="Y49" s="21"/>
      <c r="Z49" s="21"/>
    </row>
    <row r="50" spans="1:28" x14ac:dyDescent="0.2">
      <c r="A50" s="3">
        <f t="shared" si="0"/>
        <v>18</v>
      </c>
      <c r="C50" s="1" t="s">
        <v>46</v>
      </c>
      <c r="E50" s="31">
        <v>0</v>
      </c>
      <c r="F50" s="31"/>
      <c r="G50" s="31">
        <v>0</v>
      </c>
      <c r="H50" s="31"/>
      <c r="I50" s="32">
        <f>E50+G50</f>
        <v>0</v>
      </c>
      <c r="J50" s="31"/>
      <c r="K50" s="32">
        <f>'SCHG2-19c to 19e'!F34</f>
        <v>94293.876612061023</v>
      </c>
      <c r="L50" s="31"/>
      <c r="M50" s="32">
        <f>'SCHG2-19c to 19e'!I34</f>
        <v>270523.74218398507</v>
      </c>
      <c r="N50" s="31"/>
      <c r="O50" s="3" t="s">
        <v>384</v>
      </c>
      <c r="P50" s="38"/>
    </row>
    <row r="51" spans="1:28" ht="13.5" customHeight="1" x14ac:dyDescent="0.2">
      <c r="A51" s="3">
        <f t="shared" si="0"/>
        <v>19</v>
      </c>
      <c r="C51" s="1" t="s">
        <v>47</v>
      </c>
      <c r="E51" s="31">
        <v>0</v>
      </c>
      <c r="F51" s="31"/>
      <c r="G51" s="31">
        <v>0</v>
      </c>
      <c r="H51" s="31"/>
      <c r="I51" s="32">
        <f>E51+G51</f>
        <v>0</v>
      </c>
      <c r="J51" s="31"/>
      <c r="K51" s="32">
        <v>0</v>
      </c>
      <c r="L51" s="31"/>
      <c r="M51" s="32">
        <v>0</v>
      </c>
      <c r="N51" s="31"/>
    </row>
    <row r="52" spans="1:28" ht="3" customHeight="1" x14ac:dyDescent="0.2">
      <c r="A52" s="3"/>
      <c r="C52" s="1"/>
      <c r="E52" s="31"/>
      <c r="F52" s="31"/>
      <c r="G52" s="31"/>
      <c r="H52" s="31"/>
      <c r="I52" s="32"/>
      <c r="J52" s="31"/>
      <c r="K52" s="32"/>
      <c r="L52" s="31"/>
      <c r="M52" s="32"/>
      <c r="N52" s="31"/>
    </row>
    <row r="53" spans="1:28" x14ac:dyDescent="0.2">
      <c r="A53" s="3">
        <f>A51+1</f>
        <v>20</v>
      </c>
      <c r="C53" s="2" t="s">
        <v>48</v>
      </c>
      <c r="E53" s="33">
        <f>SUM(E48:E51)</f>
        <v>1683296.33</v>
      </c>
      <c r="F53" s="31"/>
      <c r="G53" s="33">
        <f>SUM(G48:G51)</f>
        <v>0</v>
      </c>
      <c r="H53" s="31"/>
      <c r="I53" s="33">
        <f>SUM(I48:I51)</f>
        <v>1683296.33</v>
      </c>
      <c r="J53" s="31"/>
      <c r="K53" s="33">
        <f>SUM(K48:K51)</f>
        <v>1868777.0216680609</v>
      </c>
      <c r="L53" s="31"/>
      <c r="M53" s="33">
        <f>SUM(M48:M51)</f>
        <v>2135909.4970680652</v>
      </c>
      <c r="N53" s="31"/>
      <c r="P53" s="3" t="s">
        <v>120</v>
      </c>
    </row>
    <row r="54" spans="1:28" x14ac:dyDescent="0.2">
      <c r="A54" s="3"/>
      <c r="E54" s="35"/>
    </row>
    <row r="55" spans="1:28" x14ac:dyDescent="0.2">
      <c r="A55" s="3">
        <f>A53+1</f>
        <v>21</v>
      </c>
      <c r="B55" s="2">
        <v>871</v>
      </c>
      <c r="C55" s="2" t="str">
        <f>C48</f>
        <v>Payroll trended</v>
      </c>
      <c r="E55" s="31">
        <v>480773.79</v>
      </c>
      <c r="F55" s="31"/>
      <c r="G55" s="31">
        <v>0</v>
      </c>
      <c r="H55" s="31"/>
      <c r="I55" s="32">
        <f>E55+G55</f>
        <v>480773.79</v>
      </c>
      <c r="J55" s="31"/>
      <c r="K55" s="32">
        <f>IF($O55=1,I55*(1+K$12),IF($O55=2,I55*(1+K$13),IF($O55=3,I55*(1+K$14),IF($O55=4,I55*(1+K$15)))))</f>
        <v>504812.47950000002</v>
      </c>
      <c r="L55" s="31"/>
      <c r="M55" s="32">
        <f>IF($O55=1,K55*(1+M$12),IF($O55=2,K55*(1+M$13),IF($O55=3,K55*(1+M$14),IF($O55=4,K55*(1+M$15)))))</f>
        <v>530053.10347500001</v>
      </c>
      <c r="N55" s="31"/>
      <c r="O55" s="9">
        <v>1</v>
      </c>
    </row>
    <row r="56" spans="1:28" x14ac:dyDescent="0.2">
      <c r="A56" s="3">
        <f t="shared" si="0"/>
        <v>22</v>
      </c>
      <c r="C56" s="2" t="str">
        <f>C49</f>
        <v>Other trended</v>
      </c>
      <c r="E56" s="31">
        <v>27695.710000000021</v>
      </c>
      <c r="F56" s="31"/>
      <c r="G56" s="31">
        <v>0</v>
      </c>
      <c r="H56" s="31"/>
      <c r="I56" s="32">
        <f>E56+G56</f>
        <v>27695.710000000021</v>
      </c>
      <c r="J56" s="31"/>
      <c r="K56" s="32">
        <f>IF($O56=1,I56*(1+K$12),IF($O56=2,I56*(1+K$13),IF($O56=3,I56*(1+K$14),IF($O56=4,I56*(1+K$15)))))</f>
        <v>29556.86171200002</v>
      </c>
      <c r="L56" s="31"/>
      <c r="M56" s="32">
        <f>IF($O56=1,K56*(1+M$12),IF($O56=2,K56*(1+M$13),IF($O56=3,K56*(1+M$14),IF($O56=4,K56*(1+M$15)))))</f>
        <v>31182.489106160017</v>
      </c>
      <c r="N56" s="31"/>
      <c r="O56" s="9">
        <v>3</v>
      </c>
    </row>
    <row r="57" spans="1:28" x14ac:dyDescent="0.2">
      <c r="A57" s="3">
        <f t="shared" si="0"/>
        <v>23</v>
      </c>
      <c r="C57" s="2" t="str">
        <f>C50</f>
        <v>Payroll not trended</v>
      </c>
      <c r="E57" s="31">
        <v>0</v>
      </c>
      <c r="F57" s="31"/>
      <c r="G57" s="31">
        <v>0</v>
      </c>
      <c r="H57" s="31"/>
      <c r="I57" s="32">
        <f>E57+G57</f>
        <v>0</v>
      </c>
      <c r="J57" s="31"/>
      <c r="K57" s="32">
        <v>0</v>
      </c>
      <c r="L57" s="31"/>
      <c r="M57" s="32">
        <v>0</v>
      </c>
      <c r="N57" s="31"/>
    </row>
    <row r="58" spans="1:28" x14ac:dyDescent="0.2">
      <c r="A58" s="3">
        <f t="shared" si="0"/>
        <v>24</v>
      </c>
      <c r="C58" s="2" t="str">
        <f>C51</f>
        <v>Other not trended</v>
      </c>
      <c r="E58" s="31">
        <v>0</v>
      </c>
      <c r="F58" s="31"/>
      <c r="G58" s="31">
        <v>0</v>
      </c>
      <c r="H58" s="31"/>
      <c r="I58" s="32">
        <f>E58+G58</f>
        <v>0</v>
      </c>
      <c r="J58" s="31"/>
      <c r="K58" s="32">
        <v>0</v>
      </c>
      <c r="L58" s="31"/>
      <c r="M58" s="32">
        <v>0</v>
      </c>
      <c r="N58" s="31"/>
      <c r="AB58" s="300">
        <f>M58-I58</f>
        <v>0</v>
      </c>
    </row>
    <row r="59" spans="1:28" ht="2.25" customHeight="1" x14ac:dyDescent="0.2">
      <c r="A59" s="3"/>
      <c r="E59" s="31"/>
      <c r="F59" s="31"/>
      <c r="G59" s="31"/>
      <c r="H59" s="31"/>
      <c r="I59" s="32"/>
      <c r="J59" s="31"/>
      <c r="K59" s="32"/>
      <c r="L59" s="31"/>
      <c r="M59" s="32"/>
      <c r="N59" s="31"/>
    </row>
    <row r="60" spans="1:28" x14ac:dyDescent="0.2">
      <c r="A60" s="3">
        <f>A58+1</f>
        <v>25</v>
      </c>
      <c r="C60" s="2" t="s">
        <v>48</v>
      </c>
      <c r="E60" s="33">
        <f>SUM(E55:E58)</f>
        <v>508469.5</v>
      </c>
      <c r="F60" s="31"/>
      <c r="G60" s="33">
        <f>SUM(G55:G58)</f>
        <v>0</v>
      </c>
      <c r="H60" s="31"/>
      <c r="I60" s="33">
        <f>SUM(I55:I58)</f>
        <v>508469.5</v>
      </c>
      <c r="J60" s="31"/>
      <c r="K60" s="33">
        <f>SUM(K55:K58)</f>
        <v>534369.341212</v>
      </c>
      <c r="L60" s="31"/>
      <c r="M60" s="33">
        <f>SUM(M55:M58)</f>
        <v>561235.59258116002</v>
      </c>
      <c r="N60" s="31"/>
      <c r="P60" s="3" t="s">
        <v>115</v>
      </c>
    </row>
    <row r="61" spans="1:28" x14ac:dyDescent="0.2">
      <c r="A61" s="3"/>
      <c r="E61" s="35"/>
    </row>
    <row r="62" spans="1:28" x14ac:dyDescent="0.2">
      <c r="A62" s="3">
        <f>A60+1</f>
        <v>26</v>
      </c>
      <c r="B62" s="2">
        <v>872</v>
      </c>
      <c r="C62" s="2" t="str">
        <f>C55</f>
        <v>Payroll trended</v>
      </c>
      <c r="E62" s="31">
        <v>126738.54</v>
      </c>
      <c r="F62" s="31"/>
      <c r="G62" s="31">
        <v>0</v>
      </c>
      <c r="H62" s="31"/>
      <c r="I62" s="32">
        <f>E62+G62</f>
        <v>126738.54</v>
      </c>
      <c r="J62" s="31"/>
      <c r="K62" s="32">
        <f>IF($O62=1,I62*(1+K$12),IF($O62=2,I62*(1+K$13),IF($O62=3,I62*(1+K$14),IF($O62=4,I62*(1+K$15)))))</f>
        <v>133075.467</v>
      </c>
      <c r="L62" s="31"/>
      <c r="M62" s="32">
        <f>IF($O62=1,K62*(1+M$12),IF($O62=2,K62*(1+M$13),IF($O62=3,K62*(1+M$14),IF($O62=4,K62*(1+M$15)))))</f>
        <v>139729.24035000001</v>
      </c>
      <c r="N62" s="31"/>
      <c r="O62" s="9">
        <v>1</v>
      </c>
      <c r="P62" s="4"/>
    </row>
    <row r="63" spans="1:28" x14ac:dyDescent="0.2">
      <c r="A63" s="3">
        <f t="shared" si="0"/>
        <v>27</v>
      </c>
      <c r="C63" s="2" t="str">
        <f>C56</f>
        <v>Other trended</v>
      </c>
      <c r="E63" s="31">
        <v>352159.22000000003</v>
      </c>
      <c r="F63" s="31"/>
      <c r="G63" s="31">
        <v>0</v>
      </c>
      <c r="H63" s="31"/>
      <c r="I63" s="32">
        <f>E63+G63</f>
        <v>352159.22000000003</v>
      </c>
      <c r="J63" s="31"/>
      <c r="K63" s="32">
        <f>IF($O63=1,I63*(1+K$12),IF($O63=2,I63*(1+K$13),IF($O63=3,I63*(1+K$14),IF($O63=4,I63*(1+K$15)))))</f>
        <v>375824.31958399998</v>
      </c>
      <c r="L63" s="31"/>
      <c r="M63" s="32">
        <f>IF($O63=1,K63*(1+M$12),IF($O63=2,K63*(1+M$13),IF($O63=3,K63*(1+M$14),IF($O63=4,K63*(1+M$15)))))</f>
        <v>396494.65716111998</v>
      </c>
      <c r="N63" s="31"/>
      <c r="O63" s="9">
        <v>3</v>
      </c>
      <c r="P63" s="4"/>
    </row>
    <row r="64" spans="1:28" x14ac:dyDescent="0.2">
      <c r="A64" s="3">
        <f t="shared" si="0"/>
        <v>28</v>
      </c>
      <c r="C64" s="2" t="str">
        <f>C57</f>
        <v>Payroll not trended</v>
      </c>
      <c r="E64" s="31">
        <v>0</v>
      </c>
      <c r="F64" s="31"/>
      <c r="G64" s="31">
        <v>0</v>
      </c>
      <c r="H64" s="31"/>
      <c r="I64" s="32">
        <f>E64+G64</f>
        <v>0</v>
      </c>
      <c r="J64" s="31"/>
      <c r="K64" s="32">
        <v>0</v>
      </c>
      <c r="L64" s="31"/>
      <c r="M64" s="32">
        <v>0</v>
      </c>
      <c r="N64" s="31"/>
    </row>
    <row r="65" spans="1:28" x14ac:dyDescent="0.2">
      <c r="A65" s="3">
        <f t="shared" si="0"/>
        <v>29</v>
      </c>
      <c r="C65" s="2" t="str">
        <f>C58</f>
        <v>Other not trended</v>
      </c>
      <c r="E65" s="31">
        <v>0</v>
      </c>
      <c r="F65" s="31"/>
      <c r="G65" s="31">
        <v>0</v>
      </c>
      <c r="H65" s="31"/>
      <c r="I65" s="32">
        <f>E65+G65</f>
        <v>0</v>
      </c>
      <c r="J65" s="31"/>
      <c r="K65" s="32">
        <v>0</v>
      </c>
      <c r="L65" s="31"/>
      <c r="M65" s="32">
        <v>0</v>
      </c>
      <c r="N65" s="31"/>
    </row>
    <row r="66" spans="1:28" ht="3" customHeight="1" x14ac:dyDescent="0.2">
      <c r="A66" s="3"/>
      <c r="E66" s="31"/>
      <c r="F66" s="31"/>
      <c r="G66" s="31"/>
      <c r="H66" s="31"/>
      <c r="I66" s="32"/>
      <c r="J66" s="31"/>
      <c r="K66" s="32"/>
      <c r="L66" s="31"/>
      <c r="M66" s="32"/>
      <c r="N66" s="31"/>
    </row>
    <row r="67" spans="1:28" x14ac:dyDescent="0.2">
      <c r="A67" s="3">
        <f>A65+1</f>
        <v>30</v>
      </c>
      <c r="C67" s="2" t="s">
        <v>48</v>
      </c>
      <c r="E67" s="33">
        <f>SUM(E62:E65)</f>
        <v>478897.76</v>
      </c>
      <c r="F67" s="31"/>
      <c r="G67" s="33">
        <f>SUM(G62:G65)</f>
        <v>0</v>
      </c>
      <c r="H67" s="31"/>
      <c r="I67" s="33">
        <f>SUM(I62:I65)</f>
        <v>478897.76</v>
      </c>
      <c r="J67" s="31"/>
      <c r="K67" s="33">
        <f>SUM(K62:K65)</f>
        <v>508899.78658399999</v>
      </c>
      <c r="L67" s="31"/>
      <c r="M67" s="33">
        <f>SUM(M62:M65)</f>
        <v>536223.89751111995</v>
      </c>
      <c r="N67" s="31"/>
      <c r="P67" s="3" t="s">
        <v>120</v>
      </c>
    </row>
    <row r="68" spans="1:28" x14ac:dyDescent="0.2">
      <c r="A68" s="3"/>
      <c r="E68" s="35"/>
      <c r="N68" s="31"/>
    </row>
    <row r="69" spans="1:28" x14ac:dyDescent="0.2">
      <c r="A69" s="3">
        <f>A67+1</f>
        <v>31</v>
      </c>
      <c r="B69" s="2">
        <v>873</v>
      </c>
      <c r="C69" s="2" t="str">
        <f>C62</f>
        <v>Payroll trended</v>
      </c>
      <c r="E69" s="31">
        <v>4562.24</v>
      </c>
      <c r="F69" s="31"/>
      <c r="G69" s="31">
        <v>0</v>
      </c>
      <c r="H69" s="31"/>
      <c r="I69" s="32">
        <f>E69+G69</f>
        <v>4562.24</v>
      </c>
      <c r="J69" s="31"/>
      <c r="K69" s="32">
        <f>IF($O69=1,I69*(1+K$12),IF($O69=2,I69*(1+K$13),IF($O69=3,I69*(1+K$14),IF($O69=4,I69*(1+K$15)))))</f>
        <v>4790.3519999999999</v>
      </c>
      <c r="L69" s="31"/>
      <c r="M69" s="32">
        <f>IF($O69=1,K69*(1+M$12),IF($O69=2,K69*(1+M$13),IF($O69=3,K69*(1+M$14),IF($O69=4,K69*(1+M$15)))))</f>
        <v>5029.8696</v>
      </c>
      <c r="N69" s="31"/>
      <c r="O69" s="9">
        <v>1</v>
      </c>
    </row>
    <row r="70" spans="1:28" x14ac:dyDescent="0.2">
      <c r="A70" s="3">
        <f t="shared" si="0"/>
        <v>32</v>
      </c>
      <c r="C70" s="2" t="str">
        <f>C63</f>
        <v>Other trended</v>
      </c>
      <c r="E70" s="31">
        <v>44486.55</v>
      </c>
      <c r="F70" s="31"/>
      <c r="G70" s="31">
        <v>0</v>
      </c>
      <c r="H70" s="31"/>
      <c r="I70" s="32">
        <f>E70+G70</f>
        <v>44486.55</v>
      </c>
      <c r="J70" s="31"/>
      <c r="K70" s="32">
        <f>IF($O70=1,I70*(1+K$12),IF($O70=2,I70*(1+K$13),IF($O70=3,I70*(1+K$14),IF($O70=4,I70*(1+K$15)))))</f>
        <v>47476.046159999998</v>
      </c>
      <c r="L70" s="31"/>
      <c r="M70" s="32">
        <f>IF($O70=1,K70*(1+M$12),IF($O70=2,K70*(1+M$13),IF($O70=3,K70*(1+M$14),IF($O70=4,K70*(1+M$15)))))</f>
        <v>50087.228698799998</v>
      </c>
      <c r="N70" s="31"/>
      <c r="O70" s="9">
        <v>3</v>
      </c>
    </row>
    <row r="71" spans="1:28" x14ac:dyDescent="0.2">
      <c r="A71" s="3">
        <f t="shared" si="0"/>
        <v>33</v>
      </c>
      <c r="C71" s="2" t="str">
        <f>C64</f>
        <v>Payroll not trended</v>
      </c>
      <c r="E71" s="31">
        <v>0</v>
      </c>
      <c r="F71" s="31"/>
      <c r="G71" s="31">
        <v>0</v>
      </c>
      <c r="H71" s="31"/>
      <c r="I71" s="32">
        <f>E71+G71</f>
        <v>0</v>
      </c>
      <c r="J71" s="31"/>
      <c r="K71" s="32">
        <v>0</v>
      </c>
      <c r="L71" s="31"/>
      <c r="M71" s="32">
        <v>0</v>
      </c>
      <c r="N71" s="31"/>
    </row>
    <row r="72" spans="1:28" x14ac:dyDescent="0.2">
      <c r="A72" s="3">
        <f t="shared" si="0"/>
        <v>34</v>
      </c>
      <c r="C72" s="2" t="str">
        <f>C65</f>
        <v>Other not trended</v>
      </c>
      <c r="E72" s="31">
        <v>0</v>
      </c>
      <c r="F72" s="31"/>
      <c r="G72" s="31">
        <v>0</v>
      </c>
      <c r="H72" s="31"/>
      <c r="I72" s="32">
        <f>E72+G72</f>
        <v>0</v>
      </c>
      <c r="J72" s="31"/>
      <c r="K72" s="32">
        <v>0</v>
      </c>
      <c r="L72" s="31"/>
      <c r="M72" s="32">
        <v>0</v>
      </c>
      <c r="N72" s="31"/>
    </row>
    <row r="73" spans="1:28" ht="3" customHeight="1" x14ac:dyDescent="0.2">
      <c r="A73" s="3"/>
      <c r="E73" s="31"/>
      <c r="F73" s="31"/>
      <c r="G73" s="31"/>
      <c r="H73" s="31"/>
      <c r="I73" s="32"/>
      <c r="J73" s="31"/>
      <c r="K73" s="32"/>
      <c r="L73" s="31"/>
      <c r="M73" s="32"/>
      <c r="N73" s="31"/>
    </row>
    <row r="74" spans="1:28" x14ac:dyDescent="0.2">
      <c r="A74" s="3">
        <f>A72+1</f>
        <v>35</v>
      </c>
      <c r="C74" s="2" t="s">
        <v>48</v>
      </c>
      <c r="E74" s="33">
        <f>SUM(E69:E72)</f>
        <v>49048.79</v>
      </c>
      <c r="F74" s="31"/>
      <c r="G74" s="33">
        <f>SUM(G69:G72)</f>
        <v>0</v>
      </c>
      <c r="H74" s="31"/>
      <c r="I74" s="33">
        <f>SUM(I69:I72)</f>
        <v>49048.79</v>
      </c>
      <c r="J74" s="31"/>
      <c r="K74" s="33">
        <f>SUM(K69:K72)</f>
        <v>52266.398159999997</v>
      </c>
      <c r="L74" s="31"/>
      <c r="M74" s="33">
        <f>SUM(M69:M72)</f>
        <v>55117.098298799996</v>
      </c>
      <c r="N74" s="31"/>
      <c r="P74" s="3" t="s">
        <v>120</v>
      </c>
    </row>
    <row r="75" spans="1:28" x14ac:dyDescent="0.2">
      <c r="A75" s="3"/>
      <c r="E75" s="35"/>
      <c r="N75" s="31"/>
    </row>
    <row r="76" spans="1:28" x14ac:dyDescent="0.2">
      <c r="A76" s="3">
        <f>A74+1</f>
        <v>36</v>
      </c>
      <c r="B76" s="2">
        <v>874</v>
      </c>
      <c r="C76" s="2" t="str">
        <f>C69</f>
        <v>Payroll trended</v>
      </c>
      <c r="E76" s="31">
        <v>6781503.5300000021</v>
      </c>
      <c r="F76" s="31"/>
      <c r="G76" s="31">
        <v>0</v>
      </c>
      <c r="H76" s="31"/>
      <c r="I76" s="32">
        <f>E76+G76</f>
        <v>6781503.5300000021</v>
      </c>
      <c r="J76" s="31"/>
      <c r="K76" s="32">
        <f>IF($O76=1,I76*(1+K$12),IF($O76=2,I76*(1+K$13),IF($O76=3,I76*(1+K$14),IF($O76=4,I76*(1+K$15)))))</f>
        <v>7120578.7065000022</v>
      </c>
      <c r="L76" s="31"/>
      <c r="M76" s="32">
        <f>IF($O76=1,K76*(1+M$12),IF($O76=2,K76*(1+M$13),IF($O76=3,K76*(1+M$14),IF($O76=4,K76*(1+M$15)))))</f>
        <v>7476607.6418250026</v>
      </c>
      <c r="N76" s="31"/>
      <c r="O76" s="9">
        <v>1</v>
      </c>
    </row>
    <row r="77" spans="1:28" x14ac:dyDescent="0.2">
      <c r="A77" s="3">
        <f t="shared" si="0"/>
        <v>37</v>
      </c>
      <c r="C77" s="2" t="str">
        <f>C70</f>
        <v>Other trended</v>
      </c>
      <c r="E77" s="31">
        <v>5089222.8599999985</v>
      </c>
      <c r="F77" s="31"/>
      <c r="G77" s="31">
        <v>0</v>
      </c>
      <c r="H77" s="31"/>
      <c r="I77" s="32">
        <f>E77+G77</f>
        <v>5089222.8599999985</v>
      </c>
      <c r="J77" s="31"/>
      <c r="K77" s="32">
        <f>IF($O77=1,I77*(1+K$12),IF($O77=2,I77*(1+K$13),IF($O77=3,I77*(1+K$14),IF($O77=4,I77*(1+K$15)))))</f>
        <v>5431218.6361919977</v>
      </c>
      <c r="L77" s="31"/>
      <c r="M77" s="32">
        <f>IF($O77=1,K77*(1+M$12),IF($O77=2,K77*(1+M$13),IF($O77=3,K77*(1+M$14),IF($O77=4,K77*(1+M$15)))))</f>
        <v>5729935.6611825572</v>
      </c>
      <c r="N77" s="31"/>
      <c r="O77" s="9">
        <v>3</v>
      </c>
    </row>
    <row r="78" spans="1:28" x14ac:dyDescent="0.2">
      <c r="A78" s="3">
        <f t="shared" si="0"/>
        <v>38</v>
      </c>
      <c r="C78" s="2" t="str">
        <f>C71</f>
        <v>Payroll not trended</v>
      </c>
      <c r="E78" s="31">
        <v>0</v>
      </c>
      <c r="F78" s="31"/>
      <c r="G78" s="31">
        <v>0</v>
      </c>
      <c r="H78" s="31"/>
      <c r="I78" s="32">
        <f>E78+G78</f>
        <v>0</v>
      </c>
      <c r="J78" s="31"/>
      <c r="K78" s="32">
        <f>'SCHG2-19c to 19e'!F72</f>
        <v>310403.97832894983</v>
      </c>
      <c r="L78" s="31"/>
      <c r="M78" s="32">
        <f>'SCHG2-19c to 19e'!I72</f>
        <v>2268691.0816571703</v>
      </c>
      <c r="N78" s="31"/>
      <c r="O78" s="3" t="s">
        <v>384</v>
      </c>
      <c r="P78" s="38"/>
      <c r="V78" s="4"/>
    </row>
    <row r="79" spans="1:28" x14ac:dyDescent="0.2">
      <c r="A79" s="3">
        <f t="shared" si="0"/>
        <v>39</v>
      </c>
      <c r="C79" s="2" t="str">
        <f>C72</f>
        <v>Other not trended</v>
      </c>
      <c r="E79" s="31">
        <v>0</v>
      </c>
      <c r="F79" s="31"/>
      <c r="G79" s="31">
        <v>0</v>
      </c>
      <c r="H79" s="31"/>
      <c r="I79" s="32">
        <f>E79+G79</f>
        <v>0</v>
      </c>
      <c r="J79" s="31"/>
      <c r="K79" s="32">
        <f>'SCHG2-19b'!G18</f>
        <v>-1605208.0000000005</v>
      </c>
      <c r="L79" s="31"/>
      <c r="M79" s="32">
        <f>'SCHG2-19b'!I18</f>
        <v>-1135304.5760000004</v>
      </c>
      <c r="N79" s="31"/>
      <c r="O79" s="3" t="s">
        <v>383</v>
      </c>
      <c r="AB79" s="300">
        <f>M79-I79</f>
        <v>-1135304.5760000004</v>
      </c>
    </row>
    <row r="80" spans="1:28" ht="3" customHeight="1" x14ac:dyDescent="0.2">
      <c r="A80" s="3"/>
      <c r="E80" s="31"/>
      <c r="F80" s="31"/>
      <c r="G80" s="31"/>
      <c r="H80" s="31"/>
      <c r="I80" s="32"/>
      <c r="J80" s="31"/>
      <c r="K80" s="32"/>
      <c r="L80" s="31"/>
      <c r="M80" s="32"/>
      <c r="N80" s="31"/>
    </row>
    <row r="81" spans="1:21" x14ac:dyDescent="0.2">
      <c r="A81" s="3">
        <f>A79+1</f>
        <v>40</v>
      </c>
      <c r="C81" s="2" t="s">
        <v>48</v>
      </c>
      <c r="E81" s="33">
        <f>SUM(E76:E79)</f>
        <v>11870726.390000001</v>
      </c>
      <c r="F81" s="31"/>
      <c r="G81" s="33">
        <f>SUM(G76:G79)</f>
        <v>0</v>
      </c>
      <c r="H81" s="31"/>
      <c r="I81" s="33">
        <f>SUM(I76:I79)</f>
        <v>11870726.390000001</v>
      </c>
      <c r="J81" s="31"/>
      <c r="K81" s="33">
        <f>SUM(K76:K79)</f>
        <v>11256993.32102095</v>
      </c>
      <c r="L81" s="31"/>
      <c r="M81" s="33">
        <f>SUM(M76:M79)</f>
        <v>14339929.808664728</v>
      </c>
      <c r="N81" s="31"/>
      <c r="P81" s="3" t="s">
        <v>115</v>
      </c>
    </row>
    <row r="82" spans="1:21" x14ac:dyDescent="0.2">
      <c r="A82" s="3"/>
      <c r="E82" s="35"/>
    </row>
    <row r="83" spans="1:21" x14ac:dyDescent="0.2">
      <c r="A83" s="3">
        <f>A81+1</f>
        <v>41</v>
      </c>
      <c r="B83" s="2">
        <v>875</v>
      </c>
      <c r="C83" s="2" t="str">
        <f>C76</f>
        <v>Payroll trended</v>
      </c>
      <c r="E83" s="31">
        <v>18354.949999999997</v>
      </c>
      <c r="F83" s="31"/>
      <c r="G83" s="31">
        <v>0</v>
      </c>
      <c r="H83" s="31"/>
      <c r="I83" s="32">
        <f>E83+G83</f>
        <v>18354.949999999997</v>
      </c>
      <c r="J83" s="31"/>
      <c r="K83" s="32">
        <f>IF($O83=1,I83*(1+K$12),IF($O83=2,I83*(1+K$13),IF($O83=3,I83*(1+K$14),IF($O83=4,I83*(1+K$15)))))</f>
        <v>19272.697499999998</v>
      </c>
      <c r="L83" s="31"/>
      <c r="M83" s="32">
        <f>IF($O83=1,K83*(1+M$12),IF($O83=2,K83*(1+M$13),IF($O83=3,K83*(1+M$14),IF($O83=4,K83*(1+M$15)))))</f>
        <v>20236.332374999998</v>
      </c>
      <c r="N83" s="31"/>
      <c r="O83" s="9">
        <v>1</v>
      </c>
    </row>
    <row r="84" spans="1:21" x14ac:dyDescent="0.2">
      <c r="A84" s="3">
        <f t="shared" si="0"/>
        <v>42</v>
      </c>
      <c r="C84" s="2" t="str">
        <f>C77</f>
        <v>Other trended</v>
      </c>
      <c r="E84" s="31">
        <v>10524.160000000003</v>
      </c>
      <c r="F84" s="31"/>
      <c r="G84" s="31">
        <v>0</v>
      </c>
      <c r="H84" s="31"/>
      <c r="I84" s="32">
        <f>E84+G84</f>
        <v>10524.160000000003</v>
      </c>
      <c r="J84" s="31"/>
      <c r="K84" s="32">
        <f>IF($O84=1,I84*(1+K$12),IF($O84=2,I84*(1+K$13),IF($O84=3,I84*(1+K$14),IF($O84=4,I84*(1+K$15)))))</f>
        <v>11231.383552000003</v>
      </c>
      <c r="L84" s="31"/>
      <c r="M84" s="32">
        <f>IF($O84=1,K84*(1+M$12),IF($O84=2,K84*(1+M$13),IF($O84=3,K84*(1+M$14),IF($O84=4,K84*(1+M$15)))))</f>
        <v>11849.109647360003</v>
      </c>
      <c r="N84" s="31"/>
      <c r="O84" s="9">
        <v>3</v>
      </c>
    </row>
    <row r="85" spans="1:21" x14ac:dyDescent="0.2">
      <c r="A85" s="3">
        <f t="shared" si="0"/>
        <v>43</v>
      </c>
      <c r="C85" s="2" t="str">
        <f>C78</f>
        <v>Payroll not trended</v>
      </c>
      <c r="E85" s="31">
        <v>0</v>
      </c>
      <c r="F85" s="31"/>
      <c r="G85" s="31">
        <v>0</v>
      </c>
      <c r="H85" s="31"/>
      <c r="I85" s="32">
        <f>E85+G85</f>
        <v>0</v>
      </c>
      <c r="J85" s="31"/>
      <c r="K85" s="32">
        <v>0</v>
      </c>
      <c r="L85" s="31"/>
      <c r="M85" s="32">
        <v>0</v>
      </c>
      <c r="N85" s="31"/>
    </row>
    <row r="86" spans="1:21" x14ac:dyDescent="0.2">
      <c r="A86" s="3">
        <f t="shared" si="0"/>
        <v>44</v>
      </c>
      <c r="C86" s="2" t="str">
        <f>C79</f>
        <v>Other not trended</v>
      </c>
      <c r="E86" s="31">
        <v>0</v>
      </c>
      <c r="F86" s="31"/>
      <c r="G86" s="31">
        <v>0</v>
      </c>
      <c r="H86" s="31"/>
      <c r="I86" s="32">
        <f>E86+G86</f>
        <v>0</v>
      </c>
      <c r="J86" s="31"/>
      <c r="K86" s="32">
        <v>0</v>
      </c>
      <c r="L86" s="31"/>
      <c r="M86" s="32">
        <v>0</v>
      </c>
      <c r="N86" s="31"/>
    </row>
    <row r="87" spans="1:21" ht="3" customHeight="1" x14ac:dyDescent="0.2">
      <c r="A87" s="3"/>
      <c r="E87" s="31"/>
      <c r="F87" s="31"/>
      <c r="G87" s="31"/>
      <c r="H87" s="31"/>
      <c r="I87" s="32"/>
      <c r="J87" s="31"/>
      <c r="K87" s="32"/>
      <c r="L87" s="31"/>
      <c r="M87" s="32"/>
      <c r="N87" s="31"/>
    </row>
    <row r="88" spans="1:21" x14ac:dyDescent="0.2">
      <c r="A88" s="3">
        <f>A86+1</f>
        <v>45</v>
      </c>
      <c r="C88" s="2" t="s">
        <v>48</v>
      </c>
      <c r="E88" s="33">
        <f>SUM(E83:E86)</f>
        <v>28879.11</v>
      </c>
      <c r="F88" s="31"/>
      <c r="G88" s="33">
        <f>SUM(G83:G86)</f>
        <v>0</v>
      </c>
      <c r="H88" s="31"/>
      <c r="I88" s="33">
        <f>SUM(I83:I86)</f>
        <v>28879.11</v>
      </c>
      <c r="J88" s="31"/>
      <c r="K88" s="33">
        <f>SUM(K83:K86)</f>
        <v>30504.081052000001</v>
      </c>
      <c r="L88" s="31"/>
      <c r="M88" s="33">
        <f>SUM(M83:M86)</f>
        <v>32085.442022360003</v>
      </c>
      <c r="N88" s="31"/>
      <c r="P88" s="3" t="s">
        <v>120</v>
      </c>
    </row>
    <row r="89" spans="1:21" x14ac:dyDescent="0.2">
      <c r="A89" s="3"/>
      <c r="E89" s="35"/>
      <c r="N89" s="31"/>
    </row>
    <row r="90" spans="1:21" x14ac:dyDescent="0.2">
      <c r="E90" s="31"/>
      <c r="F90" s="31"/>
      <c r="G90" s="31"/>
      <c r="H90" s="31"/>
      <c r="I90" s="32"/>
      <c r="J90" s="31"/>
      <c r="K90" s="32"/>
      <c r="L90" s="31"/>
      <c r="M90" s="32"/>
      <c r="N90" s="31"/>
    </row>
    <row r="91" spans="1:21" x14ac:dyDescent="0.2">
      <c r="A91" s="1" t="s">
        <v>0</v>
      </c>
      <c r="I91" s="39" t="s">
        <v>52</v>
      </c>
      <c r="J91" s="1"/>
      <c r="K91" s="37"/>
      <c r="M91" s="37"/>
      <c r="O91" s="3" t="s">
        <v>1</v>
      </c>
      <c r="T91" s="1" t="s">
        <v>90</v>
      </c>
    </row>
    <row r="92" spans="1:21" x14ac:dyDescent="0.2">
      <c r="A92" s="77"/>
      <c r="B92" s="77"/>
      <c r="C92" s="77"/>
      <c r="D92" s="77"/>
      <c r="E92" s="77"/>
      <c r="F92" s="77"/>
      <c r="G92" s="77"/>
      <c r="H92" s="77"/>
      <c r="I92" s="79"/>
      <c r="J92" s="77"/>
      <c r="K92" s="79"/>
      <c r="L92" s="77"/>
      <c r="M92" s="79"/>
      <c r="N92" s="77"/>
      <c r="O92" s="29"/>
      <c r="P92" s="78"/>
      <c r="Q92" s="77"/>
      <c r="R92" s="77"/>
      <c r="S92" s="77"/>
      <c r="T92" s="77"/>
      <c r="U92" s="77"/>
    </row>
    <row r="93" spans="1:21" x14ac:dyDescent="0.2">
      <c r="A93" s="1" t="s">
        <v>3</v>
      </c>
      <c r="I93" s="37"/>
      <c r="K93" s="37"/>
      <c r="M93" s="37"/>
      <c r="O93" s="3" t="s">
        <v>4</v>
      </c>
      <c r="T93" s="1" t="s">
        <v>5</v>
      </c>
    </row>
    <row r="94" spans="1:21" x14ac:dyDescent="0.2">
      <c r="I94" s="37"/>
      <c r="K94" s="37"/>
      <c r="M94" s="37"/>
      <c r="O94" s="3" t="s">
        <v>6</v>
      </c>
      <c r="T94" s="1" t="s">
        <v>7</v>
      </c>
      <c r="U94" s="4" t="str">
        <f>U$4</f>
        <v>12/31/22</v>
      </c>
    </row>
    <row r="95" spans="1:21" x14ac:dyDescent="0.2">
      <c r="A95" s="1" t="s">
        <v>11</v>
      </c>
      <c r="C95" s="1" t="s">
        <v>85</v>
      </c>
      <c r="I95" s="37"/>
      <c r="K95" s="37"/>
      <c r="M95" s="37"/>
      <c r="O95" s="3" t="s">
        <v>12</v>
      </c>
      <c r="T95" s="1" t="s">
        <v>13</v>
      </c>
      <c r="U95" s="4" t="str">
        <f>U$5</f>
        <v>12/31/23</v>
      </c>
    </row>
    <row r="96" spans="1:21" x14ac:dyDescent="0.2">
      <c r="I96" s="37"/>
      <c r="K96" s="37"/>
      <c r="M96" s="37"/>
      <c r="T96" s="2" t="s">
        <v>14</v>
      </c>
      <c r="U96" s="4" t="str">
        <f>U$6</f>
        <v>12/31/24</v>
      </c>
    </row>
    <row r="97" spans="1:45" x14ac:dyDescent="0.2">
      <c r="A97" s="68" t="str">
        <f>A$7</f>
        <v xml:space="preserve">DOCKET NO.:  </v>
      </c>
      <c r="C97" s="40" t="s">
        <v>88</v>
      </c>
      <c r="I97" s="37"/>
      <c r="K97" s="39"/>
      <c r="L97" s="1"/>
      <c r="M97" s="39"/>
      <c r="N97" s="1"/>
      <c r="Q97" s="6"/>
      <c r="T97" s="2" t="s">
        <v>18</v>
      </c>
      <c r="U97" s="2" t="s">
        <v>417</v>
      </c>
    </row>
    <row r="98" spans="1:45" x14ac:dyDescent="0.2">
      <c r="I98" s="37"/>
      <c r="K98" s="37"/>
      <c r="M98" s="37"/>
    </row>
    <row r="99" spans="1:45" x14ac:dyDescent="0.2">
      <c r="A99" s="77"/>
      <c r="B99" s="77"/>
      <c r="C99" s="77"/>
      <c r="D99" s="77"/>
      <c r="E99" s="77"/>
      <c r="F99" s="77"/>
      <c r="G99" s="77"/>
      <c r="H99" s="77"/>
      <c r="I99" s="79"/>
      <c r="J99" s="77"/>
      <c r="K99" s="79"/>
      <c r="L99" s="77"/>
      <c r="M99" s="79"/>
      <c r="N99" s="77"/>
      <c r="O99" s="29"/>
      <c r="P99" s="78"/>
      <c r="Q99" s="77"/>
      <c r="R99" s="77"/>
      <c r="S99" s="77"/>
      <c r="T99" s="77"/>
      <c r="U99" s="77"/>
    </row>
    <row r="100" spans="1:45" x14ac:dyDescent="0.2">
      <c r="E100" s="31"/>
      <c r="F100" s="31"/>
      <c r="G100" s="31"/>
      <c r="H100" s="31"/>
      <c r="I100" s="32"/>
      <c r="J100" s="31"/>
      <c r="K100" s="32"/>
      <c r="L100" s="31"/>
      <c r="M100" s="32"/>
      <c r="N100" s="31"/>
    </row>
    <row r="101" spans="1:45" x14ac:dyDescent="0.2">
      <c r="A101" s="3" t="s">
        <v>34</v>
      </c>
      <c r="E101" s="3" t="s">
        <v>35</v>
      </c>
      <c r="F101" s="3"/>
      <c r="G101" s="3"/>
      <c r="H101" s="3"/>
      <c r="I101" s="41" t="s">
        <v>36</v>
      </c>
      <c r="J101" s="3"/>
      <c r="K101" s="41"/>
      <c r="L101" s="3"/>
      <c r="M101" s="41" t="s">
        <v>21</v>
      </c>
      <c r="N101" s="3"/>
      <c r="O101" s="3" t="s">
        <v>37</v>
      </c>
    </row>
    <row r="102" spans="1:45" x14ac:dyDescent="0.2">
      <c r="A102" s="29" t="s">
        <v>38</v>
      </c>
      <c r="B102" s="29" t="s">
        <v>39</v>
      </c>
      <c r="E102" s="29" t="s">
        <v>40</v>
      </c>
      <c r="F102" s="3"/>
      <c r="G102" s="29" t="s">
        <v>41</v>
      </c>
      <c r="H102" s="3"/>
      <c r="I102" s="42" t="s">
        <v>40</v>
      </c>
      <c r="J102" s="3"/>
      <c r="K102" s="42" t="s">
        <v>42</v>
      </c>
      <c r="L102" s="3"/>
      <c r="M102" s="42" t="s">
        <v>23</v>
      </c>
      <c r="N102" s="3"/>
      <c r="O102" s="29" t="s">
        <v>43</v>
      </c>
      <c r="P102" s="29" t="s">
        <v>105</v>
      </c>
    </row>
    <row r="103" spans="1:45" x14ac:dyDescent="0.2">
      <c r="I103" s="37"/>
      <c r="K103" s="37"/>
      <c r="M103" s="37"/>
    </row>
    <row r="104" spans="1:45" x14ac:dyDescent="0.2">
      <c r="B104" s="34" t="s">
        <v>51</v>
      </c>
      <c r="C104" s="34"/>
      <c r="D104" s="34"/>
      <c r="I104" s="37"/>
      <c r="K104" s="37"/>
      <c r="M104" s="37"/>
    </row>
    <row r="105" spans="1:45" s="1" customFormat="1" x14ac:dyDescent="0.2">
      <c r="A105" s="2"/>
      <c r="B105" s="2"/>
      <c r="C105" s="2"/>
      <c r="D105" s="2"/>
      <c r="E105" s="2"/>
      <c r="F105" s="2"/>
      <c r="G105" s="2"/>
      <c r="H105" s="2"/>
      <c r="I105" s="37"/>
      <c r="J105" s="2"/>
      <c r="K105" s="37"/>
      <c r="L105" s="2"/>
      <c r="M105" s="37"/>
      <c r="N105" s="2"/>
      <c r="O105" s="3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s="1" customFormat="1" x14ac:dyDescent="0.2">
      <c r="A106" s="3">
        <v>1</v>
      </c>
      <c r="B106" s="2">
        <v>876</v>
      </c>
      <c r="C106" s="2" t="s">
        <v>44</v>
      </c>
      <c r="D106" s="2"/>
      <c r="E106" s="31">
        <v>0</v>
      </c>
      <c r="F106" s="31"/>
      <c r="G106" s="31">
        <v>0</v>
      </c>
      <c r="H106" s="31"/>
      <c r="I106" s="32">
        <f>E106+G106</f>
        <v>0</v>
      </c>
      <c r="J106" s="31"/>
      <c r="K106" s="32" t="b">
        <f>IF($O106=1,I106*(1+K$12),IF($O106=2,I106*(1+K$13),IF($O106=3,I106*(1+K$14),IF($O106=4,I106*(1+K$15)))))</f>
        <v>0</v>
      </c>
      <c r="L106" s="31"/>
      <c r="M106" s="32" t="b">
        <f>IF($O106=1,K106*(1+M$12),IF($O106=2,K106*(1+M$13),IF($O106=3,K106*(1+M$14),IF($O106=4,K106*(1+M$15)))))</f>
        <v>0</v>
      </c>
      <c r="N106" s="31"/>
      <c r="O106" s="9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s="1" customFormat="1" x14ac:dyDescent="0.2">
      <c r="A107" s="3">
        <f>A106+1</f>
        <v>2</v>
      </c>
      <c r="B107" s="2"/>
      <c r="C107" s="2" t="s">
        <v>45</v>
      </c>
      <c r="D107" s="2"/>
      <c r="E107" s="31">
        <v>28530.560000000001</v>
      </c>
      <c r="F107" s="31"/>
      <c r="G107" s="31">
        <v>0</v>
      </c>
      <c r="H107" s="31"/>
      <c r="I107" s="32">
        <f>E107+G107</f>
        <v>28530.560000000001</v>
      </c>
      <c r="J107" s="31"/>
      <c r="K107" s="32">
        <f>IF($O107=1,I107*(1+K$12),IF($O107=2,I107*(1+K$13),IF($O107=3,I107*(1+K$14),IF($O107=4,I107*(1+K$15)))))</f>
        <v>29329.415680000002</v>
      </c>
      <c r="L107" s="31"/>
      <c r="M107" s="32">
        <f>IF($O107=1,K107*(1+M$12),IF($O107=2,K107*(1+M$13),IF($O107=3,K107*(1+M$14),IF($O107=4,K107*(1+M$15)))))</f>
        <v>29974.662824960003</v>
      </c>
      <c r="N107" s="31"/>
      <c r="O107" s="9">
        <v>4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s="1" customFormat="1" x14ac:dyDescent="0.2">
      <c r="A108" s="3">
        <v>3</v>
      </c>
      <c r="B108" s="2"/>
      <c r="C108" s="1" t="s">
        <v>46</v>
      </c>
      <c r="D108" s="2"/>
      <c r="E108" s="31">
        <v>0</v>
      </c>
      <c r="F108" s="31"/>
      <c r="G108" s="31">
        <v>0</v>
      </c>
      <c r="H108" s="31"/>
      <c r="I108" s="32">
        <f>E108+G108</f>
        <v>0</v>
      </c>
      <c r="J108" s="31"/>
      <c r="K108" s="32">
        <v>0</v>
      </c>
      <c r="L108" s="31"/>
      <c r="M108" s="32">
        <v>0</v>
      </c>
      <c r="N108" s="31"/>
      <c r="O108" s="3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s="1" customFormat="1" x14ac:dyDescent="0.2">
      <c r="A109" s="3">
        <v>4</v>
      </c>
      <c r="B109" s="2"/>
      <c r="C109" s="1" t="s">
        <v>47</v>
      </c>
      <c r="D109" s="2"/>
      <c r="E109" s="31">
        <v>0</v>
      </c>
      <c r="F109" s="31"/>
      <c r="G109" s="31">
        <v>0</v>
      </c>
      <c r="H109" s="31"/>
      <c r="I109" s="32">
        <f>E109+G109</f>
        <v>0</v>
      </c>
      <c r="J109" s="31"/>
      <c r="K109" s="32">
        <v>0</v>
      </c>
      <c r="L109" s="31"/>
      <c r="M109" s="32">
        <v>0</v>
      </c>
      <c r="N109" s="31"/>
      <c r="O109" s="3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s="1" customFormat="1" x14ac:dyDescent="0.2">
      <c r="A110" s="3"/>
      <c r="B110" s="2"/>
      <c r="C110" s="2"/>
      <c r="D110" s="2"/>
      <c r="E110" s="31"/>
      <c r="F110" s="31"/>
      <c r="G110" s="31"/>
      <c r="H110" s="31"/>
      <c r="I110" s="32"/>
      <c r="J110" s="31"/>
      <c r="K110" s="32"/>
      <c r="L110" s="31"/>
      <c r="M110" s="32"/>
      <c r="N110" s="31"/>
      <c r="O110" s="3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s="1" customFormat="1" x14ac:dyDescent="0.2">
      <c r="A111" s="3">
        <v>5</v>
      </c>
      <c r="B111" s="2"/>
      <c r="C111" s="2" t="s">
        <v>48</v>
      </c>
      <c r="D111" s="2"/>
      <c r="E111" s="33">
        <f>SUM(E106:E109)</f>
        <v>28530.560000000001</v>
      </c>
      <c r="F111" s="31"/>
      <c r="G111" s="33">
        <f>SUM(G106:G109)</f>
        <v>0</v>
      </c>
      <c r="H111" s="31"/>
      <c r="I111" s="33">
        <f>SUM(I106:I109)</f>
        <v>28530.560000000001</v>
      </c>
      <c r="J111" s="31"/>
      <c r="K111" s="33">
        <f>SUM(K106:K109)</f>
        <v>29329.415680000002</v>
      </c>
      <c r="L111" s="31"/>
      <c r="M111" s="33">
        <f>SUM(M106:M109)</f>
        <v>29974.662824960003</v>
      </c>
      <c r="N111" s="31"/>
      <c r="O111" s="3"/>
      <c r="P111" s="3" t="s">
        <v>120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1:45" s="1" customFormat="1" x14ac:dyDescent="0.2">
      <c r="A112" s="3"/>
      <c r="B112" s="2"/>
      <c r="C112" s="2"/>
      <c r="D112" s="2"/>
      <c r="E112" s="35"/>
      <c r="F112" s="2"/>
      <c r="G112" s="2"/>
      <c r="H112" s="2"/>
      <c r="I112" s="2"/>
      <c r="J112" s="2"/>
      <c r="K112" s="2"/>
      <c r="L112" s="2"/>
      <c r="M112" s="2"/>
      <c r="N112" s="2"/>
      <c r="O112" s="3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1:45" s="1" customFormat="1" x14ac:dyDescent="0.2">
      <c r="A113" s="3">
        <v>6</v>
      </c>
      <c r="B113" s="2">
        <v>877</v>
      </c>
      <c r="C113" s="2" t="str">
        <f>C106</f>
        <v>Payroll trended</v>
      </c>
      <c r="D113" s="2"/>
      <c r="E113" s="31">
        <v>93101.85</v>
      </c>
      <c r="F113" s="31"/>
      <c r="G113" s="31">
        <v>0</v>
      </c>
      <c r="H113" s="31"/>
      <c r="I113" s="32">
        <f>E113+G113</f>
        <v>93101.85</v>
      </c>
      <c r="J113" s="31"/>
      <c r="K113" s="32">
        <f>IF($O113=1,I113*(1+K$12),IF($O113=2,I113*(1+K$13),IF($O113=3,I113*(1+K$14),IF($O113=4,I113*(1+K$15)))))</f>
        <v>97756.942500000005</v>
      </c>
      <c r="L113" s="31"/>
      <c r="M113" s="32">
        <f>IF($O113=1,K113*(1+M$12),IF($O113=2,K113*(1+M$13),IF($O113=3,K113*(1+M$14),IF($O113=4,K113*(1+M$15)))))</f>
        <v>102644.789625</v>
      </c>
      <c r="N113" s="31"/>
      <c r="O113" s="9">
        <v>1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1:45" s="1" customFormat="1" x14ac:dyDescent="0.2">
      <c r="A114" s="3">
        <v>7</v>
      </c>
      <c r="B114" s="2"/>
      <c r="C114" s="2" t="str">
        <f>C107</f>
        <v>Other trended</v>
      </c>
      <c r="D114" s="2"/>
      <c r="E114" s="31">
        <v>61576.649999999994</v>
      </c>
      <c r="F114" s="31"/>
      <c r="G114" s="31">
        <v>0</v>
      </c>
      <c r="H114" s="31"/>
      <c r="I114" s="32">
        <f>E114+G114</f>
        <v>61576.649999999994</v>
      </c>
      <c r="J114" s="31"/>
      <c r="K114" s="32">
        <f>IF($O114=1,I114*(1+K$12),IF($O114=2,I114*(1+K$13),IF($O114=3,I114*(1+K$14),IF($O114=4,I114*(1+K$15)))))</f>
        <v>65714.600879999984</v>
      </c>
      <c r="L114" s="31"/>
      <c r="M114" s="32">
        <f>IF($O114=1,K114*(1+M$12),IF($O114=2,K114*(1+M$13),IF($O114=3,K114*(1+M$14),IF($O114=4,K114*(1+M$15)))))</f>
        <v>69328.903928399974</v>
      </c>
      <c r="N114" s="31"/>
      <c r="O114" s="9">
        <v>3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1:45" s="1" customFormat="1" x14ac:dyDescent="0.2">
      <c r="A115" s="3">
        <v>8</v>
      </c>
      <c r="B115" s="2"/>
      <c r="C115" s="2" t="str">
        <f>C108</f>
        <v>Payroll not trended</v>
      </c>
      <c r="D115" s="2"/>
      <c r="E115" s="31">
        <v>0</v>
      </c>
      <c r="F115" s="31"/>
      <c r="G115" s="31">
        <v>0</v>
      </c>
      <c r="H115" s="31"/>
      <c r="I115" s="32">
        <f>E115+G115</f>
        <v>0</v>
      </c>
      <c r="J115" s="31"/>
      <c r="K115" s="32">
        <v>0</v>
      </c>
      <c r="L115" s="31"/>
      <c r="M115" s="32">
        <v>0</v>
      </c>
      <c r="N115" s="31"/>
      <c r="O115" s="3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s="1" customFormat="1" x14ac:dyDescent="0.2">
      <c r="A116" s="3">
        <v>9</v>
      </c>
      <c r="B116" s="2"/>
      <c r="C116" s="2" t="str">
        <f>C109</f>
        <v>Other not trended</v>
      </c>
      <c r="D116" s="2"/>
      <c r="E116" s="31">
        <v>0</v>
      </c>
      <c r="F116" s="31"/>
      <c r="G116" s="31">
        <v>0</v>
      </c>
      <c r="H116" s="31"/>
      <c r="I116" s="32">
        <f>E116+G116</f>
        <v>0</v>
      </c>
      <c r="J116" s="31"/>
      <c r="K116" s="32">
        <v>0</v>
      </c>
      <c r="L116" s="31"/>
      <c r="M116" s="32">
        <v>0</v>
      </c>
      <c r="N116" s="31"/>
      <c r="O116" s="3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s="1" customFormat="1" x14ac:dyDescent="0.2">
      <c r="A117" s="3"/>
      <c r="B117" s="2"/>
      <c r="C117" s="2"/>
      <c r="D117" s="2"/>
      <c r="E117" s="31"/>
      <c r="F117" s="31"/>
      <c r="G117" s="31"/>
      <c r="H117" s="31"/>
      <c r="I117" s="32"/>
      <c r="J117" s="31"/>
      <c r="K117" s="32"/>
      <c r="L117" s="31"/>
      <c r="M117" s="32"/>
      <c r="N117" s="31"/>
      <c r="O117" s="3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s="1" customFormat="1" x14ac:dyDescent="0.2">
      <c r="A118" s="3">
        <v>10</v>
      </c>
      <c r="B118" s="2"/>
      <c r="C118" s="2" t="s">
        <v>48</v>
      </c>
      <c r="D118" s="2"/>
      <c r="E118" s="33">
        <f>SUM(E113:E116)</f>
        <v>154678.5</v>
      </c>
      <c r="F118" s="31"/>
      <c r="G118" s="33">
        <f>SUM(G113:G116)</f>
        <v>0</v>
      </c>
      <c r="H118" s="31"/>
      <c r="I118" s="33">
        <f>SUM(I113:I116)</f>
        <v>154678.5</v>
      </c>
      <c r="J118" s="31"/>
      <c r="K118" s="33">
        <f>SUM(K113:K116)</f>
        <v>163471.54337999999</v>
      </c>
      <c r="L118" s="31"/>
      <c r="M118" s="33">
        <f>SUM(M113:M116)</f>
        <v>171973.69355339999</v>
      </c>
      <c r="N118" s="31"/>
      <c r="O118" s="3"/>
      <c r="P118" s="3" t="s">
        <v>120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s="1" customFormat="1" x14ac:dyDescent="0.2">
      <c r="A119" s="3"/>
      <c r="B119" s="2"/>
      <c r="C119" s="2"/>
      <c r="D119" s="2"/>
      <c r="E119" s="35"/>
      <c r="F119" s="2"/>
      <c r="G119" s="2"/>
      <c r="H119" s="2"/>
      <c r="I119" s="2"/>
      <c r="J119" s="2"/>
      <c r="K119" s="2"/>
      <c r="L119" s="2"/>
      <c r="M119" s="2"/>
      <c r="N119" s="2"/>
      <c r="O119" s="3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s="1" customFormat="1" x14ac:dyDescent="0.2">
      <c r="A120" s="3">
        <v>11</v>
      </c>
      <c r="B120" s="2">
        <v>878</v>
      </c>
      <c r="C120" s="2" t="str">
        <f>C113</f>
        <v>Payroll trended</v>
      </c>
      <c r="D120" s="2"/>
      <c r="E120" s="31">
        <v>3634638.6799999997</v>
      </c>
      <c r="F120" s="31"/>
      <c r="G120" s="31">
        <v>0</v>
      </c>
      <c r="H120" s="31"/>
      <c r="I120" s="32">
        <f>E120+G120</f>
        <v>3634638.6799999997</v>
      </c>
      <c r="J120" s="31"/>
      <c r="K120" s="32">
        <f>IF($O120=1,I120*(1+K$12),IF($O120=2,I120*(1+K$13),IF($O120=3,I120*(1+K$14),IF($O120=4,I120*(1+K$15)))))</f>
        <v>3816370.6140000001</v>
      </c>
      <c r="L120" s="31"/>
      <c r="M120" s="32">
        <f>IF($O120=1,K120*(1+M$12),IF($O120=2,K120*(1+M$13),IF($O120=3,K120*(1+M$14),IF($O120=4,K120*(1+M$15)))))</f>
        <v>4007189.1447000001</v>
      </c>
      <c r="N120" s="31"/>
      <c r="O120" s="9">
        <v>1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x14ac:dyDescent="0.2">
      <c r="A121" s="3">
        <v>12</v>
      </c>
      <c r="C121" s="2" t="str">
        <f>C114</f>
        <v>Other trended</v>
      </c>
      <c r="E121" s="31">
        <v>2574505.9900000002</v>
      </c>
      <c r="F121" s="31"/>
      <c r="G121" s="31">
        <v>0</v>
      </c>
      <c r="H121" s="31"/>
      <c r="I121" s="32">
        <f>E121+G121</f>
        <v>2574505.9900000002</v>
      </c>
      <c r="J121" s="31"/>
      <c r="K121" s="32">
        <f>IF($O121=1,I121*(1+K$12),IF($O121=2,I121*(1+K$13),IF($O121=3,I121*(1+K$14),IF($O121=4,I121*(1+K$15)))))</f>
        <v>2747512.7925280002</v>
      </c>
      <c r="L121" s="31"/>
      <c r="M121" s="32">
        <f>IF($O121=1,K121*(1+M$12),IF($O121=2,K121*(1+M$13),IF($O121=3,K121*(1+M$14),IF($O121=4,K121*(1+M$15)))))</f>
        <v>2898625.99611704</v>
      </c>
      <c r="N121" s="31"/>
      <c r="O121" s="9">
        <v>3</v>
      </c>
    </row>
    <row r="122" spans="1:45" x14ac:dyDescent="0.2">
      <c r="A122" s="3">
        <v>13</v>
      </c>
      <c r="C122" s="2" t="str">
        <f>C115</f>
        <v>Payroll not trended</v>
      </c>
      <c r="E122" s="31">
        <v>0</v>
      </c>
      <c r="F122" s="31"/>
      <c r="G122" s="31">
        <v>0</v>
      </c>
      <c r="H122" s="31"/>
      <c r="I122" s="32">
        <f>E122+G122</f>
        <v>0</v>
      </c>
      <c r="J122" s="31"/>
      <c r="K122" s="32">
        <v>0</v>
      </c>
      <c r="L122" s="31"/>
      <c r="M122" s="32">
        <v>0</v>
      </c>
      <c r="N122" s="31"/>
      <c r="P122" s="43"/>
    </row>
    <row r="123" spans="1:45" x14ac:dyDescent="0.2">
      <c r="A123" s="3">
        <v>14</v>
      </c>
      <c r="C123" s="2" t="str">
        <f>C116</f>
        <v>Other not trended</v>
      </c>
      <c r="E123" s="31">
        <v>0</v>
      </c>
      <c r="F123" s="31"/>
      <c r="G123" s="31">
        <v>0</v>
      </c>
      <c r="H123" s="31"/>
      <c r="I123" s="32">
        <f>E123+G123</f>
        <v>0</v>
      </c>
      <c r="J123" s="31"/>
      <c r="K123" s="32">
        <v>0</v>
      </c>
      <c r="L123" s="31"/>
      <c r="M123" s="32">
        <v>0</v>
      </c>
      <c r="N123" s="31"/>
      <c r="O123" s="9"/>
      <c r="P123" s="43"/>
      <c r="AB123" s="300"/>
    </row>
    <row r="124" spans="1:45" x14ac:dyDescent="0.2">
      <c r="A124" s="3"/>
      <c r="E124" s="31"/>
      <c r="F124" s="31"/>
      <c r="G124" s="31"/>
      <c r="H124" s="31"/>
      <c r="I124" s="32"/>
      <c r="J124" s="31"/>
      <c r="K124" s="32"/>
      <c r="L124" s="31"/>
      <c r="M124" s="32"/>
      <c r="N124" s="31"/>
      <c r="AB124" s="300"/>
    </row>
    <row r="125" spans="1:45" x14ac:dyDescent="0.2">
      <c r="A125" s="3">
        <v>15</v>
      </c>
      <c r="C125" s="2" t="s">
        <v>48</v>
      </c>
      <c r="E125" s="33">
        <f>SUM(E120:E123)</f>
        <v>6209144.6699999999</v>
      </c>
      <c r="F125" s="31"/>
      <c r="G125" s="33">
        <f>SUM(G120:G123)</f>
        <v>0</v>
      </c>
      <c r="H125" s="31"/>
      <c r="I125" s="33">
        <f>SUM(I120:I123)</f>
        <v>6209144.6699999999</v>
      </c>
      <c r="J125" s="31"/>
      <c r="K125" s="33">
        <f>SUM(K120:K123)</f>
        <v>6563883.4065279998</v>
      </c>
      <c r="L125" s="31"/>
      <c r="M125" s="33">
        <f>SUM(M120:M123)</f>
        <v>6905815.1408170406</v>
      </c>
      <c r="N125" s="31"/>
      <c r="P125" s="3" t="s">
        <v>115</v>
      </c>
    </row>
    <row r="126" spans="1:45" x14ac:dyDescent="0.2">
      <c r="A126" s="3"/>
      <c r="E126" s="35"/>
    </row>
    <row r="127" spans="1:45" x14ac:dyDescent="0.2">
      <c r="A127" s="3">
        <v>16</v>
      </c>
      <c r="B127" s="2">
        <v>879</v>
      </c>
      <c r="C127" s="2" t="str">
        <f>C120</f>
        <v>Payroll trended</v>
      </c>
      <c r="E127" s="31">
        <v>2456808.1700000004</v>
      </c>
      <c r="F127" s="31"/>
      <c r="G127" s="31">
        <v>0</v>
      </c>
      <c r="H127" s="31"/>
      <c r="I127" s="32">
        <f>E127+G127</f>
        <v>2456808.1700000004</v>
      </c>
      <c r="J127" s="31"/>
      <c r="K127" s="32">
        <f>IF($O127=1,I127*(1+K$12),IF($O127=2,I127*(1+K$13),IF($O127=3,I127*(1+K$14),IF($O127=4,I127*(1+K$15)))))</f>
        <v>2579648.5785000003</v>
      </c>
      <c r="L127" s="31"/>
      <c r="M127" s="32">
        <f>IF($O127=1,K127*(1+M$12),IF($O127=2,K127*(1+M$13),IF($O127=3,K127*(1+M$14),IF($O127=4,K127*(1+M$15)))))</f>
        <v>2708631.0074250004</v>
      </c>
      <c r="N127" s="31"/>
      <c r="O127" s="9">
        <v>1</v>
      </c>
    </row>
    <row r="128" spans="1:45" x14ac:dyDescent="0.2">
      <c r="A128" s="3">
        <v>17</v>
      </c>
      <c r="C128" s="2" t="str">
        <f>C121</f>
        <v>Other trended</v>
      </c>
      <c r="E128" s="31">
        <v>678796.8599999994</v>
      </c>
      <c r="F128" s="31"/>
      <c r="G128" s="31">
        <v>0</v>
      </c>
      <c r="H128" s="31"/>
      <c r="I128" s="32">
        <f>E128+G128</f>
        <v>678796.8599999994</v>
      </c>
      <c r="J128" s="31"/>
      <c r="K128" s="32">
        <f>IF($O128=1,I128*(1+K$12),IF($O128=2,I128*(1+K$13),IF($O128=3,I128*(1+K$14),IF($O128=4,I128*(1+K$15)))))</f>
        <v>724412.00899199932</v>
      </c>
      <c r="L128" s="31"/>
      <c r="M128" s="32">
        <f>IF($O128=1,K128*(1+M$12),IF($O128=2,K128*(1+M$13),IF($O128=3,K128*(1+M$14),IF($O128=4,K128*(1+M$15)))))</f>
        <v>764254.66948655923</v>
      </c>
      <c r="N128" s="31"/>
      <c r="O128" s="9">
        <v>3</v>
      </c>
    </row>
    <row r="129" spans="1:28" x14ac:dyDescent="0.2">
      <c r="A129" s="3">
        <v>18</v>
      </c>
      <c r="C129" s="2" t="str">
        <f>C122</f>
        <v>Payroll not trended</v>
      </c>
      <c r="E129" s="31">
        <v>0</v>
      </c>
      <c r="F129" s="31"/>
      <c r="G129" s="31">
        <v>0</v>
      </c>
      <c r="H129" s="31"/>
      <c r="I129" s="32">
        <f>E129+G129</f>
        <v>0</v>
      </c>
      <c r="J129" s="31"/>
      <c r="K129" s="32">
        <v>0</v>
      </c>
      <c r="L129" s="31"/>
      <c r="M129" s="32">
        <v>0</v>
      </c>
      <c r="N129" s="31"/>
      <c r="P129" s="43"/>
    </row>
    <row r="130" spans="1:28" x14ac:dyDescent="0.2">
      <c r="A130" s="3">
        <v>19</v>
      </c>
      <c r="C130" s="2" t="str">
        <f>C123</f>
        <v>Other not trended</v>
      </c>
      <c r="E130" s="31">
        <v>0</v>
      </c>
      <c r="F130" s="31"/>
      <c r="G130" s="31">
        <v>0</v>
      </c>
      <c r="H130" s="31"/>
      <c r="I130" s="32">
        <f>E130+G130</f>
        <v>0</v>
      </c>
      <c r="J130" s="31"/>
      <c r="K130" s="32">
        <v>0</v>
      </c>
      <c r="L130" s="31"/>
      <c r="M130" s="32">
        <v>0</v>
      </c>
      <c r="N130" s="31"/>
    </row>
    <row r="131" spans="1:28" x14ac:dyDescent="0.2">
      <c r="A131" s="3"/>
      <c r="E131" s="31"/>
      <c r="F131" s="31"/>
      <c r="G131" s="31"/>
      <c r="H131" s="31"/>
      <c r="I131" s="32"/>
      <c r="J131" s="31"/>
      <c r="K131" s="32"/>
      <c r="L131" s="31"/>
      <c r="M131" s="32"/>
      <c r="N131" s="31"/>
      <c r="AB131" s="300"/>
    </row>
    <row r="132" spans="1:28" x14ac:dyDescent="0.2">
      <c r="A132" s="3">
        <v>20</v>
      </c>
      <c r="C132" s="2" t="s">
        <v>48</v>
      </c>
      <c r="E132" s="33">
        <f>SUM(E127:E130)</f>
        <v>3135605.03</v>
      </c>
      <c r="F132" s="31"/>
      <c r="G132" s="33">
        <f>SUM(G127:G130)</f>
        <v>0</v>
      </c>
      <c r="H132" s="31"/>
      <c r="I132" s="33">
        <f>SUM(I127:I130)</f>
        <v>3135605.03</v>
      </c>
      <c r="J132" s="31"/>
      <c r="K132" s="33">
        <f>SUM(K127:K130)</f>
        <v>3304060.5874919994</v>
      </c>
      <c r="L132" s="31"/>
      <c r="M132" s="33">
        <f>SUM(M127:M130)</f>
        <v>3472885.6769115599</v>
      </c>
      <c r="N132" s="31"/>
      <c r="P132" s="3" t="s">
        <v>115</v>
      </c>
    </row>
    <row r="133" spans="1:28" x14ac:dyDescent="0.2">
      <c r="A133" s="3"/>
      <c r="E133" s="35"/>
      <c r="N133" s="31"/>
    </row>
    <row r="134" spans="1:28" x14ac:dyDescent="0.2">
      <c r="A134" s="3">
        <v>21</v>
      </c>
      <c r="B134" s="2">
        <v>880</v>
      </c>
      <c r="C134" s="2" t="str">
        <f>C127</f>
        <v>Payroll trended</v>
      </c>
      <c r="E134" s="31">
        <v>2404293.54</v>
      </c>
      <c r="F134" s="31"/>
      <c r="G134" s="31">
        <v>0</v>
      </c>
      <c r="H134" s="31"/>
      <c r="I134" s="32">
        <f>E134+G134</f>
        <v>2404293.54</v>
      </c>
      <c r="J134" s="31"/>
      <c r="K134" s="32">
        <f>IF($O134=1,I134*(1+K$12),IF($O134=2,I134*(1+K$13),IF($O134=3,I134*(1+K$14),IF($O134=4,I134*(1+K$15)))))</f>
        <v>2524508.2170000002</v>
      </c>
      <c r="L134" s="31"/>
      <c r="M134" s="32">
        <f>IF($O134=1,K134*(1+M$12),IF($O134=2,K134*(1+M$13),IF($O134=3,K134*(1+M$14),IF($O134=4,K134*(1+M$15)))))</f>
        <v>2650733.6278500003</v>
      </c>
      <c r="N134" s="31"/>
      <c r="O134" s="9">
        <v>1</v>
      </c>
    </row>
    <row r="135" spans="1:28" x14ac:dyDescent="0.2">
      <c r="A135" s="3">
        <v>22</v>
      </c>
      <c r="C135" s="2" t="str">
        <f>C128</f>
        <v>Other trended</v>
      </c>
      <c r="E135" s="31">
        <v>2951921.88</v>
      </c>
      <c r="F135" s="31"/>
      <c r="G135" s="31">
        <v>0</v>
      </c>
      <c r="H135" s="31"/>
      <c r="I135" s="32">
        <f>E135+G135</f>
        <v>2951921.88</v>
      </c>
      <c r="J135" s="31"/>
      <c r="K135" s="32">
        <f>IF($O135=1,I135*(1+K$12),IF($O135=2,I135*(1+K$13),IF($O135=3,I135*(1+K$14),IF($O135=4,I135*(1+K$15)))))</f>
        <v>3150291.0303359996</v>
      </c>
      <c r="L135" s="31"/>
      <c r="M135" s="32">
        <f>IF($O135=1,K135*(1+M$12),IF($O135=2,K135*(1+M$13),IF($O135=3,K135*(1+M$14),IF($O135=4,K135*(1+M$15)))))</f>
        <v>3323557.0370044792</v>
      </c>
      <c r="N135" s="31"/>
      <c r="O135" s="9">
        <v>3</v>
      </c>
    </row>
    <row r="136" spans="1:28" x14ac:dyDescent="0.2">
      <c r="A136" s="3">
        <v>23</v>
      </c>
      <c r="C136" s="2" t="str">
        <f>C129</f>
        <v>Payroll not trended</v>
      </c>
      <c r="E136" s="31">
        <v>0</v>
      </c>
      <c r="F136" s="31"/>
      <c r="G136" s="31">
        <v>0</v>
      </c>
      <c r="H136" s="31"/>
      <c r="I136" s="32">
        <f>E136+G136</f>
        <v>0</v>
      </c>
      <c r="J136" s="31"/>
      <c r="K136" s="32">
        <f>'SCHG2-19c to 19e'!F97</f>
        <v>241796.93455262837</v>
      </c>
      <c r="L136" s="31"/>
      <c r="M136" s="32">
        <f>'SCHG2-19c to 19e'!I97+0.4</f>
        <v>950627.11638803186</v>
      </c>
      <c r="N136" s="31"/>
      <c r="O136" s="3" t="s">
        <v>385</v>
      </c>
      <c r="P136" s="38"/>
      <c r="V136" s="1"/>
    </row>
    <row r="137" spans="1:28" x14ac:dyDescent="0.2">
      <c r="A137" s="3">
        <v>24</v>
      </c>
      <c r="C137" s="2" t="str">
        <f>C130</f>
        <v>Other not trended</v>
      </c>
      <c r="E137" s="31">
        <v>0</v>
      </c>
      <c r="F137" s="31"/>
      <c r="G137" s="31">
        <v>0</v>
      </c>
      <c r="H137" s="31"/>
      <c r="I137" s="32">
        <f>E137+G137</f>
        <v>0</v>
      </c>
      <c r="J137" s="31"/>
      <c r="K137" s="32">
        <v>0</v>
      </c>
      <c r="L137" s="31"/>
      <c r="M137" s="32">
        <v>0</v>
      </c>
      <c r="N137" s="31"/>
      <c r="V137" s="1"/>
    </row>
    <row r="138" spans="1:28" x14ac:dyDescent="0.2">
      <c r="A138" s="3"/>
      <c r="E138" s="31"/>
      <c r="F138" s="31"/>
      <c r="G138" s="31"/>
      <c r="H138" s="31"/>
      <c r="I138" s="32"/>
      <c r="J138" s="31"/>
      <c r="K138" s="32"/>
      <c r="L138" s="31"/>
      <c r="M138" s="32"/>
      <c r="N138" s="31"/>
    </row>
    <row r="139" spans="1:28" x14ac:dyDescent="0.2">
      <c r="A139" s="3">
        <v>25</v>
      </c>
      <c r="C139" s="2" t="s">
        <v>48</v>
      </c>
      <c r="E139" s="33">
        <f>SUM(E134:E137)</f>
        <v>5356215.42</v>
      </c>
      <c r="F139" s="31"/>
      <c r="G139" s="33">
        <f>SUM(G134:G137)</f>
        <v>0</v>
      </c>
      <c r="H139" s="31"/>
      <c r="I139" s="33">
        <f>SUM(I134:I137)</f>
        <v>5356215.42</v>
      </c>
      <c r="J139" s="31"/>
      <c r="K139" s="33">
        <f>SUM(K134:K137)</f>
        <v>5916596.1818886288</v>
      </c>
      <c r="L139" s="31"/>
      <c r="M139" s="33">
        <f>SUM(M134:M137)</f>
        <v>6924917.7812425122</v>
      </c>
      <c r="N139" s="31"/>
      <c r="P139" s="3" t="s">
        <v>115</v>
      </c>
    </row>
    <row r="140" spans="1:28" x14ac:dyDescent="0.2">
      <c r="A140" s="3"/>
      <c r="E140" s="35"/>
    </row>
    <row r="141" spans="1:28" x14ac:dyDescent="0.2">
      <c r="A141" s="3">
        <v>26</v>
      </c>
      <c r="B141" s="2">
        <v>881</v>
      </c>
      <c r="C141" s="2" t="str">
        <f>C134</f>
        <v>Payroll trended</v>
      </c>
      <c r="E141" s="31">
        <v>0</v>
      </c>
      <c r="F141" s="31"/>
      <c r="G141" s="31">
        <v>0</v>
      </c>
      <c r="H141" s="31"/>
      <c r="I141" s="32">
        <f>E141+G141</f>
        <v>0</v>
      </c>
      <c r="J141" s="31"/>
      <c r="K141" s="32" t="b">
        <f>IF($O141=1,I141*(1+K$12),IF($O141=2,I141*(1+K$13),IF($O141=3,I141*(1+K$14),IF($O141=4,I141*(1+K$15)))))</f>
        <v>0</v>
      </c>
      <c r="L141" s="31"/>
      <c r="M141" s="32" t="b">
        <f>IF($O141=1,K141*(1+M$12),IF($O141=2,K141*(1+M$13),IF($O141=3,K141*(1+M$14),IF($O141=4,K141*(1+M$15)))))</f>
        <v>0</v>
      </c>
      <c r="N141" s="31"/>
      <c r="O141" s="9"/>
    </row>
    <row r="142" spans="1:28" x14ac:dyDescent="0.2">
      <c r="A142" s="3">
        <v>27</v>
      </c>
      <c r="C142" s="2" t="str">
        <f>C135</f>
        <v>Other trended</v>
      </c>
      <c r="E142" s="31">
        <v>232666.61</v>
      </c>
      <c r="F142" s="31"/>
      <c r="G142" s="31">
        <v>0</v>
      </c>
      <c r="H142" s="31"/>
      <c r="I142" s="32">
        <f>E142+G142</f>
        <v>232666.61</v>
      </c>
      <c r="J142" s="31"/>
      <c r="K142" s="32">
        <f>IF($O142=1,I142*(1+K$12),IF($O142=2,I142*(1+K$13),IF($O142=3,I142*(1+K$14),IF($O142=4,I142*(1+K$15)))))</f>
        <v>239181.27507999999</v>
      </c>
      <c r="L142" s="31"/>
      <c r="M142" s="32">
        <f>IF($O142=1,K142*(1+M$12),IF($O142=2,K142*(1+M$13),IF($O142=3,K142*(1+M$14),IF($O142=4,K142*(1+M$15)))))</f>
        <v>244443.26313176</v>
      </c>
      <c r="N142" s="31"/>
      <c r="O142" s="9">
        <v>4</v>
      </c>
    </row>
    <row r="143" spans="1:28" x14ac:dyDescent="0.2">
      <c r="A143" s="3">
        <v>28</v>
      </c>
      <c r="C143" s="2" t="str">
        <f>C136</f>
        <v>Payroll not trended</v>
      </c>
      <c r="E143" s="31">
        <v>0</v>
      </c>
      <c r="F143" s="31"/>
      <c r="G143" s="31">
        <v>0</v>
      </c>
      <c r="H143" s="31"/>
      <c r="I143" s="32">
        <f>E143+G143</f>
        <v>0</v>
      </c>
      <c r="J143" s="31"/>
      <c r="K143" s="32">
        <v>0</v>
      </c>
      <c r="L143" s="31"/>
      <c r="M143" s="32">
        <v>0</v>
      </c>
      <c r="N143" s="31"/>
    </row>
    <row r="144" spans="1:28" x14ac:dyDescent="0.2">
      <c r="A144" s="3">
        <v>29</v>
      </c>
      <c r="C144" s="2" t="str">
        <f>C137</f>
        <v>Other not trended</v>
      </c>
      <c r="E144" s="31">
        <v>0</v>
      </c>
      <c r="F144" s="31"/>
      <c r="G144" s="31">
        <v>0</v>
      </c>
      <c r="H144" s="31"/>
      <c r="I144" s="32">
        <f>E144+G144</f>
        <v>0</v>
      </c>
      <c r="J144" s="31"/>
      <c r="K144" s="32">
        <v>0</v>
      </c>
      <c r="L144" s="31"/>
      <c r="M144" s="32">
        <v>0</v>
      </c>
      <c r="N144" s="31"/>
    </row>
    <row r="145" spans="1:21" x14ac:dyDescent="0.2">
      <c r="A145" s="3"/>
      <c r="E145" s="31"/>
      <c r="F145" s="31"/>
      <c r="G145" s="31"/>
      <c r="H145" s="31"/>
      <c r="I145" s="32"/>
      <c r="J145" s="31"/>
      <c r="K145" s="32"/>
      <c r="L145" s="31"/>
      <c r="M145" s="32"/>
      <c r="N145" s="31"/>
    </row>
    <row r="146" spans="1:21" x14ac:dyDescent="0.2">
      <c r="A146" s="3">
        <v>30</v>
      </c>
      <c r="C146" s="2" t="s">
        <v>48</v>
      </c>
      <c r="E146" s="33">
        <f>SUM(E141:E144)</f>
        <v>232666.61</v>
      </c>
      <c r="F146" s="31"/>
      <c r="G146" s="33">
        <f>SUM(G141:G144)</f>
        <v>0</v>
      </c>
      <c r="H146" s="31"/>
      <c r="I146" s="33">
        <f>SUM(I141:I144)</f>
        <v>232666.61</v>
      </c>
      <c r="J146" s="31"/>
      <c r="K146" s="33">
        <f>SUM(K141:K144)</f>
        <v>239181.27507999999</v>
      </c>
      <c r="L146" s="31"/>
      <c r="M146" s="33">
        <f>SUM(M141:M144)</f>
        <v>244443.26313176</v>
      </c>
      <c r="N146" s="31"/>
      <c r="P146" s="3" t="s">
        <v>115</v>
      </c>
    </row>
    <row r="147" spans="1:21" x14ac:dyDescent="0.2">
      <c r="A147" s="3"/>
      <c r="E147" s="35"/>
    </row>
    <row r="148" spans="1:21" ht="13.5" thickBot="1" x14ac:dyDescent="0.25">
      <c r="A148" s="3">
        <v>31</v>
      </c>
      <c r="B148" s="2" t="s">
        <v>53</v>
      </c>
      <c r="E148" s="44">
        <f>E146+E139+E132+E125+E118+E111+E88+E81+E74+E67+E60+E53</f>
        <v>29736158.670000002</v>
      </c>
      <c r="G148" s="44">
        <f>G146+G139+G132+G125+G118+G111+G88+G81+G74+G67+G60+G53</f>
        <v>0</v>
      </c>
      <c r="I148" s="44">
        <f>I146+I139+I132+I125+I118+I111+I88+I81+I74+I67+I60+I53</f>
        <v>29736158.670000002</v>
      </c>
      <c r="K148" s="44">
        <f>K146+K139+K132+K125+K118+K111+K88+K81+K74+K67+K60+K53</f>
        <v>30468332.35974564</v>
      </c>
      <c r="M148" s="44">
        <f>M146+M139+M132+M125+M118+M111+M88+M81+M74+M67+M60+M53</f>
        <v>35410511.554627463</v>
      </c>
    </row>
    <row r="149" spans="1:21" ht="13.5" thickTop="1" x14ac:dyDescent="0.2">
      <c r="A149" s="3"/>
      <c r="I149" s="37"/>
      <c r="K149" s="37"/>
      <c r="M149" s="37"/>
    </row>
    <row r="150" spans="1:21" x14ac:dyDescent="0.2">
      <c r="A150" s="3"/>
      <c r="I150" s="37"/>
      <c r="K150" s="37"/>
      <c r="M150" s="37"/>
    </row>
    <row r="151" spans="1:21" x14ac:dyDescent="0.2">
      <c r="A151" s="1" t="s">
        <v>0</v>
      </c>
      <c r="I151" s="39" t="s">
        <v>52</v>
      </c>
      <c r="J151" s="1"/>
      <c r="K151" s="37"/>
      <c r="M151" s="37"/>
      <c r="O151" s="3" t="s">
        <v>1</v>
      </c>
      <c r="T151" s="1" t="s">
        <v>91</v>
      </c>
    </row>
    <row r="152" spans="1:21" x14ac:dyDescent="0.2">
      <c r="A152" s="77"/>
      <c r="B152" s="77"/>
      <c r="C152" s="77"/>
      <c r="D152" s="77"/>
      <c r="E152" s="77"/>
      <c r="F152" s="77"/>
      <c r="G152" s="77"/>
      <c r="H152" s="77"/>
      <c r="I152" s="79"/>
      <c r="J152" s="77"/>
      <c r="K152" s="79"/>
      <c r="L152" s="77"/>
      <c r="M152" s="79"/>
      <c r="N152" s="77"/>
      <c r="O152" s="29"/>
      <c r="P152" s="78"/>
      <c r="Q152" s="77"/>
      <c r="R152" s="77"/>
      <c r="S152" s="77"/>
      <c r="T152" s="77"/>
      <c r="U152" s="77"/>
    </row>
    <row r="153" spans="1:21" x14ac:dyDescent="0.2">
      <c r="A153" s="1" t="s">
        <v>3</v>
      </c>
      <c r="I153" s="37"/>
      <c r="K153" s="37"/>
      <c r="M153" s="37"/>
      <c r="O153" s="3" t="s">
        <v>4</v>
      </c>
      <c r="T153" s="1" t="s">
        <v>5</v>
      </c>
    </row>
    <row r="154" spans="1:21" x14ac:dyDescent="0.2">
      <c r="I154" s="37"/>
      <c r="K154" s="37"/>
      <c r="M154" s="37"/>
      <c r="O154" s="3" t="s">
        <v>6</v>
      </c>
      <c r="T154" s="1" t="s">
        <v>7</v>
      </c>
      <c r="U154" s="4" t="str">
        <f>U$4</f>
        <v>12/31/22</v>
      </c>
    </row>
    <row r="155" spans="1:21" x14ac:dyDescent="0.2">
      <c r="A155" s="1" t="s">
        <v>11</v>
      </c>
      <c r="C155" s="1" t="s">
        <v>85</v>
      </c>
      <c r="I155" s="37"/>
      <c r="K155" s="37"/>
      <c r="M155" s="37"/>
      <c r="O155" s="3" t="s">
        <v>12</v>
      </c>
      <c r="T155" s="1" t="s">
        <v>13</v>
      </c>
      <c r="U155" s="4" t="str">
        <f>U$5</f>
        <v>12/31/23</v>
      </c>
    </row>
    <row r="156" spans="1:21" x14ac:dyDescent="0.2">
      <c r="I156" s="37"/>
      <c r="K156" s="37"/>
      <c r="M156" s="37"/>
      <c r="T156" s="2" t="s">
        <v>14</v>
      </c>
      <c r="U156" s="4" t="str">
        <f>U$6</f>
        <v>12/31/24</v>
      </c>
    </row>
    <row r="157" spans="1:21" x14ac:dyDescent="0.2">
      <c r="A157" s="68" t="str">
        <f>A$7</f>
        <v xml:space="preserve">DOCKET NO.:  </v>
      </c>
      <c r="C157" s="4" t="s">
        <v>88</v>
      </c>
      <c r="I157" s="37"/>
      <c r="K157" s="39"/>
      <c r="L157" s="1"/>
      <c r="M157" s="39"/>
      <c r="N157" s="1"/>
      <c r="Q157" s="6"/>
      <c r="T157" s="2" t="s">
        <v>18</v>
      </c>
      <c r="U157" s="2" t="s">
        <v>417</v>
      </c>
    </row>
    <row r="158" spans="1:21" x14ac:dyDescent="0.2">
      <c r="I158" s="37"/>
      <c r="K158" s="37"/>
      <c r="M158" s="37"/>
    </row>
    <row r="159" spans="1:21" x14ac:dyDescent="0.2">
      <c r="A159" s="77"/>
      <c r="B159" s="77"/>
      <c r="C159" s="77"/>
      <c r="D159" s="77"/>
      <c r="E159" s="77"/>
      <c r="F159" s="77"/>
      <c r="G159" s="77"/>
      <c r="H159" s="77"/>
      <c r="I159" s="79"/>
      <c r="J159" s="77"/>
      <c r="K159" s="79"/>
      <c r="L159" s="77"/>
      <c r="M159" s="79"/>
      <c r="N159" s="77"/>
      <c r="O159" s="29"/>
      <c r="P159" s="78"/>
      <c r="Q159" s="77"/>
      <c r="R159" s="77"/>
      <c r="S159" s="77"/>
      <c r="T159" s="77"/>
      <c r="U159" s="77"/>
    </row>
    <row r="160" spans="1:21" x14ac:dyDescent="0.2">
      <c r="I160" s="37"/>
      <c r="K160" s="37"/>
      <c r="M160" s="37"/>
    </row>
    <row r="161" spans="1:16" x14ac:dyDescent="0.2">
      <c r="A161" s="3" t="s">
        <v>34</v>
      </c>
      <c r="E161" s="3" t="s">
        <v>35</v>
      </c>
      <c r="F161" s="3"/>
      <c r="G161" s="3"/>
      <c r="H161" s="3"/>
      <c r="I161" s="41" t="s">
        <v>36</v>
      </c>
      <c r="J161" s="3"/>
      <c r="K161" s="41"/>
      <c r="L161" s="3"/>
      <c r="M161" s="41" t="s">
        <v>21</v>
      </c>
      <c r="N161" s="3"/>
      <c r="O161" s="3" t="s">
        <v>37</v>
      </c>
    </row>
    <row r="162" spans="1:16" x14ac:dyDescent="0.2">
      <c r="A162" s="29" t="s">
        <v>38</v>
      </c>
      <c r="B162" s="29" t="s">
        <v>39</v>
      </c>
      <c r="E162" s="29" t="s">
        <v>40</v>
      </c>
      <c r="F162" s="3"/>
      <c r="G162" s="29" t="s">
        <v>41</v>
      </c>
      <c r="H162" s="3"/>
      <c r="I162" s="42" t="s">
        <v>40</v>
      </c>
      <c r="J162" s="3"/>
      <c r="K162" s="42" t="s">
        <v>42</v>
      </c>
      <c r="L162" s="3"/>
      <c r="M162" s="42" t="s">
        <v>23</v>
      </c>
      <c r="N162" s="3"/>
      <c r="O162" s="29" t="s">
        <v>43</v>
      </c>
      <c r="P162" s="29" t="s">
        <v>105</v>
      </c>
    </row>
    <row r="163" spans="1:16" x14ac:dyDescent="0.2">
      <c r="I163" s="37"/>
      <c r="K163" s="37"/>
      <c r="M163" s="37"/>
    </row>
    <row r="164" spans="1:16" x14ac:dyDescent="0.2">
      <c r="B164" s="34" t="s">
        <v>54</v>
      </c>
      <c r="C164" s="34"/>
      <c r="D164" s="34"/>
      <c r="I164" s="37"/>
      <c r="K164" s="37"/>
      <c r="M164" s="37"/>
    </row>
    <row r="165" spans="1:16" x14ac:dyDescent="0.2">
      <c r="B165" s="36"/>
      <c r="C165" s="36"/>
      <c r="D165" s="36"/>
      <c r="I165" s="37"/>
      <c r="K165" s="37"/>
      <c r="M165" s="37"/>
    </row>
    <row r="166" spans="1:16" x14ac:dyDescent="0.2">
      <c r="A166" s="3">
        <v>1</v>
      </c>
      <c r="B166" s="2">
        <v>885</v>
      </c>
      <c r="C166" s="2" t="str">
        <f>C141</f>
        <v>Payroll trended</v>
      </c>
      <c r="E166" s="31">
        <v>9965.9200000000019</v>
      </c>
      <c r="F166" s="31"/>
      <c r="G166" s="31">
        <v>0</v>
      </c>
      <c r="H166" s="31"/>
      <c r="I166" s="32">
        <f>E166+G166</f>
        <v>9965.9200000000019</v>
      </c>
      <c r="J166" s="31"/>
      <c r="K166" s="32">
        <f>IF($O166=1,I166*(1+K$12),IF($O166=2,I166*(1+K$13),IF($O166=3,I166*(1+K$14),IF($O166=4,I166*(1+K$15)))))</f>
        <v>10464.216000000002</v>
      </c>
      <c r="L166" s="31"/>
      <c r="M166" s="32">
        <f>IF($O166=1,K166*(1+M$12),IF($O166=2,K166*(1+M$13),IF($O166=3,K166*(1+M$14),IF($O166=4,K166*(1+M$15)))))</f>
        <v>10987.426800000003</v>
      </c>
      <c r="N166" s="31"/>
      <c r="O166" s="9">
        <v>1</v>
      </c>
    </row>
    <row r="167" spans="1:16" x14ac:dyDescent="0.2">
      <c r="A167" s="3">
        <v>2</v>
      </c>
      <c r="C167" s="2" t="str">
        <f>C142</f>
        <v>Other trended</v>
      </c>
      <c r="E167" s="31">
        <v>30794.31</v>
      </c>
      <c r="F167" s="31"/>
      <c r="G167" s="31">
        <v>0</v>
      </c>
      <c r="H167" s="31"/>
      <c r="I167" s="32">
        <f>E167+G167</f>
        <v>30794.31</v>
      </c>
      <c r="J167" s="31"/>
      <c r="K167" s="32">
        <f>IF($O167=1,I167*(1+K$12),IF($O167=2,I167*(1+K$13),IF($O167=3,I167*(1+K$14),IF($O167=4,I167*(1+K$15)))))</f>
        <v>32863.687632000001</v>
      </c>
      <c r="L167" s="31"/>
      <c r="M167" s="32">
        <f>IF($O167=1,K167*(1+M$12),IF($O167=2,K167*(1+M$13),IF($O167=3,K167*(1+M$14),IF($O167=4,K167*(1+M$15)))))</f>
        <v>34671.190451759998</v>
      </c>
      <c r="N167" s="31"/>
      <c r="O167" s="9">
        <v>3</v>
      </c>
    </row>
    <row r="168" spans="1:16" x14ac:dyDescent="0.2">
      <c r="A168" s="3">
        <v>3</v>
      </c>
      <c r="C168" s="2" t="str">
        <f>C143</f>
        <v>Payroll not trended</v>
      </c>
      <c r="E168" s="31">
        <v>0</v>
      </c>
      <c r="F168" s="31"/>
      <c r="G168" s="31">
        <v>0</v>
      </c>
      <c r="H168" s="31"/>
      <c r="I168" s="32">
        <f>E168+G168</f>
        <v>0</v>
      </c>
      <c r="J168" s="31"/>
      <c r="K168" s="32">
        <v>0</v>
      </c>
      <c r="L168" s="31"/>
      <c r="M168" s="32">
        <v>0</v>
      </c>
    </row>
    <row r="169" spans="1:16" x14ac:dyDescent="0.2">
      <c r="A169" s="3">
        <v>4</v>
      </c>
      <c r="C169" s="2" t="str">
        <f>C144</f>
        <v>Other not trended</v>
      </c>
      <c r="E169" s="31">
        <v>0</v>
      </c>
      <c r="F169" s="31"/>
      <c r="G169" s="31">
        <v>0</v>
      </c>
      <c r="H169" s="31"/>
      <c r="I169" s="32">
        <f>E169+G169</f>
        <v>0</v>
      </c>
      <c r="J169" s="31"/>
      <c r="K169" s="32">
        <v>0</v>
      </c>
      <c r="L169" s="31"/>
      <c r="M169" s="32">
        <v>0</v>
      </c>
    </row>
    <row r="170" spans="1:16" x14ac:dyDescent="0.2">
      <c r="A170" s="3"/>
      <c r="E170" s="31"/>
      <c r="F170" s="31"/>
      <c r="G170" s="31"/>
      <c r="H170" s="31"/>
      <c r="I170" s="32"/>
      <c r="J170" s="31"/>
      <c r="K170" s="32"/>
      <c r="L170" s="31"/>
      <c r="M170" s="32"/>
    </row>
    <row r="171" spans="1:16" x14ac:dyDescent="0.2">
      <c r="A171" s="3">
        <v>5</v>
      </c>
      <c r="C171" s="2" t="s">
        <v>48</v>
      </c>
      <c r="E171" s="33">
        <f>SUM(E166:E169)</f>
        <v>40760.230000000003</v>
      </c>
      <c r="F171" s="31"/>
      <c r="G171" s="33">
        <f>SUM(G166:G169)</f>
        <v>0</v>
      </c>
      <c r="H171" s="31"/>
      <c r="I171" s="33">
        <f>SUM(I166:I169)</f>
        <v>40760.230000000003</v>
      </c>
      <c r="J171" s="31"/>
      <c r="K171" s="33">
        <f>SUM(K166:K169)</f>
        <v>43327.903632000001</v>
      </c>
      <c r="L171" s="31"/>
      <c r="M171" s="33">
        <f>SUM(M166:M169)</f>
        <v>45658.617251759999</v>
      </c>
      <c r="P171" s="3" t="s">
        <v>120</v>
      </c>
    </row>
    <row r="172" spans="1:16" x14ac:dyDescent="0.2">
      <c r="A172" s="3"/>
      <c r="E172" s="35"/>
    </row>
    <row r="173" spans="1:16" x14ac:dyDescent="0.2">
      <c r="A173" s="3">
        <v>6</v>
      </c>
      <c r="B173" s="2">
        <v>886</v>
      </c>
      <c r="C173" s="2" t="str">
        <f>C166</f>
        <v>Payroll trended</v>
      </c>
      <c r="E173" s="31">
        <v>57541.529999999984</v>
      </c>
      <c r="F173" s="31"/>
      <c r="G173" s="31">
        <v>0</v>
      </c>
      <c r="H173" s="31"/>
      <c r="I173" s="32">
        <f>E173+G173</f>
        <v>57541.529999999984</v>
      </c>
      <c r="J173" s="31"/>
      <c r="K173" s="32">
        <f>IF($O173=1,I173*(1+K$12),IF($O173=2,I173*(1+K$13),IF($O173=3,I173*(1+K$14),IF($O173=4,I173*(1+K$15)))))</f>
        <v>60418.606499999987</v>
      </c>
      <c r="L173" s="31"/>
      <c r="M173" s="32">
        <f>IF($O173=1,K173*(1+M$12),IF($O173=2,K173*(1+M$13),IF($O173=3,K173*(1+M$14),IF($O173=4,K173*(1+M$15)))))</f>
        <v>63439.536824999988</v>
      </c>
      <c r="N173" s="31"/>
      <c r="O173" s="9">
        <v>1</v>
      </c>
    </row>
    <row r="174" spans="1:16" x14ac:dyDescent="0.2">
      <c r="A174" s="3">
        <v>7</v>
      </c>
      <c r="C174" s="2" t="str">
        <f>C167</f>
        <v>Other trended</v>
      </c>
      <c r="E174" s="31">
        <v>189614.64</v>
      </c>
      <c r="F174" s="31"/>
      <c r="G174" s="31">
        <v>0</v>
      </c>
      <c r="H174" s="31"/>
      <c r="I174" s="32">
        <f>E174+G174</f>
        <v>189614.64</v>
      </c>
      <c r="J174" s="31"/>
      <c r="K174" s="32">
        <f>IF($O174=1,I174*(1+K$12),IF($O174=2,I174*(1+K$13),IF($O174=3,I174*(1+K$14),IF($O174=4,I174*(1+K$15)))))</f>
        <v>202356.743808</v>
      </c>
      <c r="L174" s="31"/>
      <c r="M174" s="32">
        <f>IF($O174=1,K174*(1+M$12),IF($O174=2,K174*(1+M$13),IF($O174=3,K174*(1+M$14),IF($O174=4,K174*(1+M$15)))))</f>
        <v>213486.36471743998</v>
      </c>
      <c r="N174" s="31"/>
      <c r="O174" s="9">
        <v>3</v>
      </c>
    </row>
    <row r="175" spans="1:16" x14ac:dyDescent="0.2">
      <c r="A175" s="3">
        <v>8</v>
      </c>
      <c r="C175" s="2" t="str">
        <f>C168</f>
        <v>Payroll not trended</v>
      </c>
      <c r="E175" s="31">
        <v>0</v>
      </c>
      <c r="F175" s="31"/>
      <c r="G175" s="31">
        <v>0</v>
      </c>
      <c r="H175" s="31"/>
      <c r="I175" s="32">
        <f>E175+G175</f>
        <v>0</v>
      </c>
      <c r="J175" s="31"/>
      <c r="K175" s="32">
        <v>0</v>
      </c>
      <c r="L175" s="31"/>
      <c r="M175" s="32">
        <v>0</v>
      </c>
    </row>
    <row r="176" spans="1:16" x14ac:dyDescent="0.2">
      <c r="A176" s="3">
        <v>9</v>
      </c>
      <c r="C176" s="2" t="str">
        <f>C169</f>
        <v>Other not trended</v>
      </c>
      <c r="E176" s="31">
        <v>0</v>
      </c>
      <c r="F176" s="31"/>
      <c r="G176" s="31">
        <v>0</v>
      </c>
      <c r="H176" s="31"/>
      <c r="I176" s="32">
        <f>E176+G176</f>
        <v>0</v>
      </c>
      <c r="J176" s="31"/>
      <c r="K176" s="32">
        <v>0</v>
      </c>
      <c r="L176" s="31"/>
      <c r="M176" s="32">
        <v>0</v>
      </c>
    </row>
    <row r="177" spans="1:28" x14ac:dyDescent="0.2">
      <c r="A177" s="3"/>
      <c r="E177" s="31"/>
      <c r="F177" s="31"/>
      <c r="G177" s="31"/>
      <c r="H177" s="31"/>
      <c r="I177" s="32"/>
      <c r="J177" s="31"/>
      <c r="K177" s="32"/>
      <c r="L177" s="31"/>
      <c r="M177" s="32"/>
    </row>
    <row r="178" spans="1:28" x14ac:dyDescent="0.2">
      <c r="A178" s="3">
        <v>10</v>
      </c>
      <c r="C178" s="2" t="s">
        <v>48</v>
      </c>
      <c r="E178" s="33">
        <f>SUM(E173:E176)</f>
        <v>247156.16999999998</v>
      </c>
      <c r="F178" s="31"/>
      <c r="G178" s="33">
        <f>SUM(G173:G176)</f>
        <v>0</v>
      </c>
      <c r="H178" s="31"/>
      <c r="I178" s="33">
        <f>SUM(I173:I176)</f>
        <v>247156.16999999998</v>
      </c>
      <c r="J178" s="31"/>
      <c r="K178" s="33">
        <f>SUM(K173:K176)</f>
        <v>262775.35030799999</v>
      </c>
      <c r="L178" s="31"/>
      <c r="M178" s="33">
        <f>SUM(M173:M176)</f>
        <v>276925.90154243994</v>
      </c>
      <c r="P178" s="3" t="s">
        <v>115</v>
      </c>
    </row>
    <row r="179" spans="1:28" x14ac:dyDescent="0.2">
      <c r="A179" s="3"/>
      <c r="E179" s="35"/>
    </row>
    <row r="180" spans="1:28" x14ac:dyDescent="0.2">
      <c r="A180" s="3">
        <v>11</v>
      </c>
      <c r="B180" s="2">
        <v>887</v>
      </c>
      <c r="C180" s="2" t="str">
        <f>C173</f>
        <v>Payroll trended</v>
      </c>
      <c r="E180" s="31">
        <v>2180030.79</v>
      </c>
      <c r="F180" s="31"/>
      <c r="G180" s="31">
        <v>0</v>
      </c>
      <c r="H180" s="31"/>
      <c r="I180" s="32">
        <f>E180+G180</f>
        <v>2180030.79</v>
      </c>
      <c r="J180" s="31"/>
      <c r="K180" s="32">
        <f>IF($O180=1,I180*(1+K$12),IF($O180=2,I180*(1+K$13),IF($O180=3,I180*(1+K$14),IF($O180=4,I180*(1+K$15)))))</f>
        <v>2289032.3295</v>
      </c>
      <c r="L180" s="31"/>
      <c r="M180" s="32">
        <f>IF($O180=1,K180*(1+M$12),IF($O180=2,K180*(1+M$13),IF($O180=3,K180*(1+M$14),IF($O180=4,K180*(1+M$15)))))</f>
        <v>2403483.945975</v>
      </c>
      <c r="N180" s="31"/>
      <c r="O180" s="9">
        <v>1</v>
      </c>
    </row>
    <row r="181" spans="1:28" x14ac:dyDescent="0.2">
      <c r="A181" s="3">
        <v>12</v>
      </c>
      <c r="C181" s="2" t="str">
        <f>C174</f>
        <v>Other trended</v>
      </c>
      <c r="E181" s="31">
        <v>1340094.5099999998</v>
      </c>
      <c r="F181" s="31"/>
      <c r="G181" s="31">
        <v>0</v>
      </c>
      <c r="H181" s="31"/>
      <c r="I181" s="32">
        <f>E181+G181</f>
        <v>1340094.5099999998</v>
      </c>
      <c r="J181" s="31"/>
      <c r="K181" s="32">
        <f>IF($O181=1,I181*(1+K$12),IF($O181=2,I181*(1+K$13),IF($O181=3,I181*(1+K$14),IF($O181=4,I181*(1+K$15)))))</f>
        <v>1430148.8610719997</v>
      </c>
      <c r="L181" s="31"/>
      <c r="M181" s="32">
        <f>IF($O181=1,K181*(1+M$12),IF($O181=2,K181*(1+M$13),IF($O181=3,K181*(1+M$14),IF($O181=4,K181*(1+M$15)))))</f>
        <v>1508807.0484309595</v>
      </c>
      <c r="N181" s="31"/>
      <c r="O181" s="9">
        <v>3</v>
      </c>
    </row>
    <row r="182" spans="1:28" x14ac:dyDescent="0.2">
      <c r="A182" s="3">
        <v>13</v>
      </c>
      <c r="C182" s="2" t="str">
        <f>C175</f>
        <v>Payroll not trended</v>
      </c>
      <c r="E182" s="31">
        <v>0</v>
      </c>
      <c r="F182" s="31"/>
      <c r="G182" s="31">
        <v>0</v>
      </c>
      <c r="H182" s="31"/>
      <c r="I182" s="32">
        <f>E182+G182</f>
        <v>0</v>
      </c>
      <c r="J182" s="31"/>
      <c r="K182" s="32">
        <f>'SCHG2-19c to 19e'!F101</f>
        <v>18628.794723262501</v>
      </c>
      <c r="L182" s="31"/>
      <c r="M182" s="32">
        <f>'SCHG2-19c to 19e'!I101</f>
        <v>234723.01351310749</v>
      </c>
      <c r="N182" s="31"/>
      <c r="O182" s="3" t="s">
        <v>385</v>
      </c>
      <c r="P182" s="38"/>
      <c r="V182" s="1"/>
    </row>
    <row r="183" spans="1:28" x14ac:dyDescent="0.2">
      <c r="A183" s="3">
        <v>14</v>
      </c>
      <c r="C183" s="2" t="str">
        <f>C176</f>
        <v>Other not trended</v>
      </c>
      <c r="E183" s="31">
        <v>1437474.96</v>
      </c>
      <c r="F183" s="31"/>
      <c r="G183" s="31">
        <v>0</v>
      </c>
      <c r="H183" s="31"/>
      <c r="I183" s="32">
        <f>E183+G183</f>
        <v>1437474.96</v>
      </c>
      <c r="J183" s="31"/>
      <c r="K183" s="32">
        <f>'SCHG2-19b'!G20</f>
        <v>1437474.96</v>
      </c>
      <c r="L183" s="31"/>
      <c r="M183" s="32">
        <f>'SCHG2-19b'!I20</f>
        <v>998571</v>
      </c>
      <c r="N183" s="31"/>
      <c r="O183" s="3" t="s">
        <v>383</v>
      </c>
      <c r="V183" s="1"/>
      <c r="AB183" s="300">
        <f>M183-I183</f>
        <v>-438903.95999999996</v>
      </c>
    </row>
    <row r="184" spans="1:28" x14ac:dyDescent="0.2">
      <c r="A184" s="3"/>
      <c r="E184" s="31"/>
      <c r="F184" s="31"/>
      <c r="G184" s="31"/>
      <c r="H184" s="31"/>
      <c r="I184" s="32"/>
      <c r="J184" s="31"/>
      <c r="K184" s="32"/>
      <c r="L184" s="31"/>
      <c r="M184" s="32"/>
      <c r="N184" s="31"/>
      <c r="P184" s="43"/>
    </row>
    <row r="185" spans="1:28" x14ac:dyDescent="0.2">
      <c r="A185" s="3">
        <v>15</v>
      </c>
      <c r="C185" s="2" t="s">
        <v>48</v>
      </c>
      <c r="E185" s="33">
        <f>SUM(E180:E183)</f>
        <v>4957600.26</v>
      </c>
      <c r="F185" s="31"/>
      <c r="G185" s="33">
        <f>SUM(G180:G183)</f>
        <v>0</v>
      </c>
      <c r="H185" s="31"/>
      <c r="I185" s="33">
        <f>SUM(I180:I183)</f>
        <v>4957600.26</v>
      </c>
      <c r="J185" s="31"/>
      <c r="K185" s="33">
        <f>SUM(K180:K183)</f>
        <v>5175284.9452952622</v>
      </c>
      <c r="L185" s="31"/>
      <c r="M185" s="33">
        <f>SUM(M180:M183)</f>
        <v>5145585.0079190675</v>
      </c>
      <c r="N185" s="31"/>
      <c r="P185" s="3" t="s">
        <v>115</v>
      </c>
    </row>
    <row r="186" spans="1:28" x14ac:dyDescent="0.2">
      <c r="A186" s="3"/>
      <c r="E186" s="35"/>
      <c r="N186" s="31"/>
      <c r="P186" s="43"/>
    </row>
    <row r="187" spans="1:28" x14ac:dyDescent="0.2">
      <c r="A187" s="3">
        <v>16</v>
      </c>
      <c r="B187" s="2">
        <v>888</v>
      </c>
      <c r="C187" s="2" t="str">
        <f>C180</f>
        <v>Payroll trended</v>
      </c>
      <c r="E187" s="31">
        <v>949.94</v>
      </c>
      <c r="F187" s="31"/>
      <c r="G187" s="31">
        <v>0</v>
      </c>
      <c r="H187" s="31"/>
      <c r="I187" s="32">
        <f>E187+G187</f>
        <v>949.94</v>
      </c>
      <c r="J187" s="31"/>
      <c r="K187" s="32">
        <f>IF($O187=1,I187*(1+K$12),IF($O187=2,I187*(1+K$13),IF($O187=3,I187*(1+K$14),IF($O187=4,I187*(1+K$15)))))</f>
        <v>997.43700000000013</v>
      </c>
      <c r="L187" s="31"/>
      <c r="M187" s="32">
        <f>IF($O187=1,K187*(1+M$12),IF($O187=2,K187*(1+M$13),IF($O187=3,K187*(1+M$14),IF($O187=4,K187*(1+M$15)))))</f>
        <v>1047.3088500000001</v>
      </c>
      <c r="N187" s="31"/>
      <c r="O187" s="9">
        <v>1</v>
      </c>
      <c r="P187" s="43"/>
    </row>
    <row r="188" spans="1:28" x14ac:dyDescent="0.2">
      <c r="A188" s="3">
        <v>17</v>
      </c>
      <c r="C188" s="2" t="str">
        <f>C181</f>
        <v>Other trended</v>
      </c>
      <c r="E188" s="31">
        <v>3697.6</v>
      </c>
      <c r="F188" s="31"/>
      <c r="G188" s="31">
        <v>0</v>
      </c>
      <c r="H188" s="31"/>
      <c r="I188" s="32">
        <f>E188+G188</f>
        <v>3697.6</v>
      </c>
      <c r="J188" s="31"/>
      <c r="K188" s="32">
        <f>IF($O188=1,I188*(1+K$12),IF($O188=2,I188*(1+K$13),IF($O188=3,I188*(1+K$14),IF($O188=4,I188*(1+K$15)))))</f>
        <v>3946.0787199999995</v>
      </c>
      <c r="L188" s="31"/>
      <c r="M188" s="32">
        <f>IF($O188=1,K188*(1+M$12),IF($O188=2,K188*(1+M$13),IF($O188=3,K188*(1+M$14),IF($O188=4,K188*(1+M$15)))))</f>
        <v>4163.1130495999996</v>
      </c>
      <c r="N188" s="31"/>
      <c r="O188" s="9">
        <v>3</v>
      </c>
      <c r="P188" s="43"/>
    </row>
    <row r="189" spans="1:28" x14ac:dyDescent="0.2">
      <c r="A189" s="3">
        <v>18</v>
      </c>
      <c r="C189" s="2" t="str">
        <f>C182</f>
        <v>Payroll not trended</v>
      </c>
      <c r="E189" s="31">
        <v>0</v>
      </c>
      <c r="F189" s="31"/>
      <c r="G189" s="31">
        <v>0</v>
      </c>
      <c r="H189" s="31"/>
      <c r="I189" s="32">
        <f>E189+G189</f>
        <v>0</v>
      </c>
      <c r="J189" s="31"/>
      <c r="K189" s="32">
        <v>0</v>
      </c>
      <c r="L189" s="31"/>
      <c r="M189" s="32">
        <v>0</v>
      </c>
      <c r="N189" s="31"/>
      <c r="P189" s="43"/>
    </row>
    <row r="190" spans="1:28" x14ac:dyDescent="0.2">
      <c r="A190" s="3">
        <v>19</v>
      </c>
      <c r="C190" s="2" t="str">
        <f>C183</f>
        <v>Other not trended</v>
      </c>
      <c r="E190" s="31">
        <v>0</v>
      </c>
      <c r="F190" s="31"/>
      <c r="G190" s="31">
        <v>0</v>
      </c>
      <c r="H190" s="31"/>
      <c r="I190" s="32">
        <f>E190+G190</f>
        <v>0</v>
      </c>
      <c r="J190" s="31"/>
      <c r="K190" s="32">
        <v>0</v>
      </c>
      <c r="L190" s="31"/>
      <c r="M190" s="32">
        <v>0</v>
      </c>
      <c r="N190" s="31"/>
      <c r="P190" s="43"/>
    </row>
    <row r="191" spans="1:28" x14ac:dyDescent="0.2">
      <c r="A191" s="3"/>
      <c r="E191" s="31"/>
      <c r="F191" s="31"/>
      <c r="G191" s="31"/>
      <c r="H191" s="31"/>
      <c r="I191" s="32"/>
      <c r="J191" s="31"/>
      <c r="K191" s="32"/>
      <c r="L191" s="31"/>
      <c r="M191" s="32"/>
      <c r="N191" s="31"/>
      <c r="P191" s="43"/>
    </row>
    <row r="192" spans="1:28" x14ac:dyDescent="0.2">
      <c r="A192" s="3">
        <v>20</v>
      </c>
      <c r="C192" s="2" t="s">
        <v>48</v>
      </c>
      <c r="E192" s="33">
        <f>SUM(E187:E190)</f>
        <v>4647.54</v>
      </c>
      <c r="F192" s="31"/>
      <c r="G192" s="33">
        <f>SUM(G187:G190)</f>
        <v>0</v>
      </c>
      <c r="H192" s="31"/>
      <c r="I192" s="33">
        <f>SUM(I187:I190)</f>
        <v>4647.54</v>
      </c>
      <c r="J192" s="31"/>
      <c r="K192" s="33">
        <f>SUM(K187:K190)</f>
        <v>4943.5157199999994</v>
      </c>
      <c r="L192" s="31"/>
      <c r="M192" s="33">
        <f>SUM(M187:M190)</f>
        <v>5210.4218996</v>
      </c>
      <c r="N192" s="31"/>
      <c r="P192" s="3" t="s">
        <v>120</v>
      </c>
    </row>
    <row r="193" spans="1:16" x14ac:dyDescent="0.2">
      <c r="A193" s="3"/>
      <c r="E193" s="35"/>
      <c r="N193" s="31"/>
      <c r="P193" s="43"/>
    </row>
    <row r="194" spans="1:16" x14ac:dyDescent="0.2">
      <c r="A194" s="3">
        <v>21</v>
      </c>
      <c r="B194" s="2">
        <v>889</v>
      </c>
      <c r="C194" s="2" t="str">
        <f>C187</f>
        <v>Payroll trended</v>
      </c>
      <c r="E194" s="31">
        <v>608985.97</v>
      </c>
      <c r="F194" s="31"/>
      <c r="G194" s="31">
        <v>0</v>
      </c>
      <c r="H194" s="31"/>
      <c r="I194" s="32">
        <f>E194+G194</f>
        <v>608985.97</v>
      </c>
      <c r="J194" s="31"/>
      <c r="K194" s="32">
        <f>IF($O194=1,I194*(1+K$12),IF($O194=2,I194*(1+K$13),IF($O194=3,I194*(1+K$14),IF($O194=4,I194*(1+K$15)))))</f>
        <v>639435.26850000001</v>
      </c>
      <c r="L194" s="31"/>
      <c r="M194" s="32">
        <f>IF($O194=1,K194*(1+M$12),IF($O194=2,K194*(1+M$13),IF($O194=3,K194*(1+M$14),IF($O194=4,K194*(1+M$15)))))</f>
        <v>671407.03192500002</v>
      </c>
      <c r="N194" s="31"/>
      <c r="O194" s="9">
        <v>1</v>
      </c>
    </row>
    <row r="195" spans="1:16" x14ac:dyDescent="0.2">
      <c r="A195" s="3">
        <v>22</v>
      </c>
      <c r="C195" s="2" t="str">
        <f>C188</f>
        <v>Other trended</v>
      </c>
      <c r="E195" s="31">
        <v>247877.41000000003</v>
      </c>
      <c r="F195" s="31"/>
      <c r="G195" s="31">
        <v>0</v>
      </c>
      <c r="H195" s="31"/>
      <c r="I195" s="32">
        <f>E195+G195</f>
        <v>247877.41000000003</v>
      </c>
      <c r="J195" s="31"/>
      <c r="K195" s="32">
        <f>IF($O195=1,I195*(1+K$12),IF($O195=2,I195*(1+K$13),IF($O195=3,I195*(1+K$14),IF($O195=4,I195*(1+K$15)))))</f>
        <v>264534.77195200004</v>
      </c>
      <c r="L195" s="31"/>
      <c r="M195" s="32">
        <f>IF($O195=1,K195*(1+M$12),IF($O195=2,K195*(1+M$13),IF($O195=3,K195*(1+M$14),IF($O195=4,K195*(1+M$15)))))</f>
        <v>279084.18440936005</v>
      </c>
      <c r="N195" s="31"/>
      <c r="O195" s="9">
        <v>3</v>
      </c>
    </row>
    <row r="196" spans="1:16" x14ac:dyDescent="0.2">
      <c r="A196" s="3">
        <v>23</v>
      </c>
      <c r="C196" s="2" t="str">
        <f>C189</f>
        <v>Payroll not trended</v>
      </c>
      <c r="E196" s="31">
        <v>0</v>
      </c>
      <c r="F196" s="31"/>
      <c r="G196" s="31">
        <v>0</v>
      </c>
      <c r="H196" s="31"/>
      <c r="I196" s="32">
        <f>E196+G196</f>
        <v>0</v>
      </c>
      <c r="J196" s="31"/>
      <c r="K196" s="32">
        <v>0</v>
      </c>
      <c r="L196" s="31"/>
      <c r="M196" s="32">
        <v>0</v>
      </c>
      <c r="N196" s="31"/>
    </row>
    <row r="197" spans="1:16" x14ac:dyDescent="0.2">
      <c r="A197" s="3">
        <v>24</v>
      </c>
      <c r="C197" s="2" t="str">
        <f>C190</f>
        <v>Other not trended</v>
      </c>
      <c r="E197" s="31">
        <v>0</v>
      </c>
      <c r="F197" s="31"/>
      <c r="G197" s="31">
        <v>0</v>
      </c>
      <c r="H197" s="31"/>
      <c r="I197" s="32">
        <f>E197+G197</f>
        <v>0</v>
      </c>
      <c r="J197" s="31"/>
      <c r="K197" s="32">
        <v>0</v>
      </c>
      <c r="L197" s="31"/>
      <c r="M197" s="32">
        <v>0</v>
      </c>
      <c r="N197" s="31"/>
    </row>
    <row r="198" spans="1:16" x14ac:dyDescent="0.2">
      <c r="A198" s="3"/>
      <c r="E198" s="31"/>
      <c r="F198" s="31"/>
      <c r="G198" s="31"/>
      <c r="H198" s="31"/>
      <c r="I198" s="32"/>
      <c r="J198" s="31"/>
      <c r="K198" s="32"/>
      <c r="L198" s="31"/>
      <c r="M198" s="32"/>
      <c r="N198" s="31"/>
    </row>
    <row r="199" spans="1:16" x14ac:dyDescent="0.2">
      <c r="A199" s="3">
        <v>25</v>
      </c>
      <c r="C199" s="2" t="s">
        <v>48</v>
      </c>
      <c r="E199" s="33">
        <f>SUM(E194:E197)</f>
        <v>856863.38</v>
      </c>
      <c r="F199" s="31"/>
      <c r="G199" s="33">
        <f>SUM(G194:G197)</f>
        <v>0</v>
      </c>
      <c r="H199" s="31"/>
      <c r="I199" s="33">
        <f>SUM(I194:I197)</f>
        <v>856863.38</v>
      </c>
      <c r="J199" s="31"/>
      <c r="K199" s="33">
        <f>SUM(K194:K197)</f>
        <v>903970.04045199999</v>
      </c>
      <c r="L199" s="31"/>
      <c r="M199" s="33">
        <f>SUM(M194:M197)</f>
        <v>950491.21633436007</v>
      </c>
      <c r="N199" s="31"/>
      <c r="P199" s="3" t="s">
        <v>120</v>
      </c>
    </row>
    <row r="200" spans="1:16" x14ac:dyDescent="0.2">
      <c r="A200" s="3"/>
      <c r="E200" s="35"/>
      <c r="N200" s="31"/>
    </row>
    <row r="201" spans="1:16" x14ac:dyDescent="0.2">
      <c r="A201" s="3">
        <v>26</v>
      </c>
      <c r="B201" s="2">
        <v>890</v>
      </c>
      <c r="C201" s="2" t="str">
        <f>C194</f>
        <v>Payroll trended</v>
      </c>
      <c r="E201" s="31">
        <v>570376.89000000013</v>
      </c>
      <c r="F201" s="31"/>
      <c r="G201" s="31">
        <v>0</v>
      </c>
      <c r="H201" s="31"/>
      <c r="I201" s="32">
        <f>E201+G201</f>
        <v>570376.89000000013</v>
      </c>
      <c r="J201" s="31"/>
      <c r="K201" s="32">
        <f>IF($O201=1,I201*(1+K$12),IF($O201=2,I201*(1+K$13),IF($O201=3,I201*(1+K$14),IF($O201=4,I201*(1+K$15)))))</f>
        <v>598895.73450000014</v>
      </c>
      <c r="L201" s="31"/>
      <c r="M201" s="32">
        <f>IF($O201=1,K201*(1+M$12),IF($O201=2,K201*(1+M$13),IF($O201=3,K201*(1+M$14),IF($O201=4,K201*(1+M$15)))))</f>
        <v>628840.52122500015</v>
      </c>
      <c r="N201" s="31"/>
      <c r="O201" s="9">
        <v>1</v>
      </c>
    </row>
    <row r="202" spans="1:16" x14ac:dyDescent="0.2">
      <c r="A202" s="3">
        <v>27</v>
      </c>
      <c r="C202" s="2" t="str">
        <f>C195</f>
        <v>Other trended</v>
      </c>
      <c r="E202" s="31">
        <v>253717.74999999988</v>
      </c>
      <c r="F202" s="31"/>
      <c r="G202" s="31">
        <v>0</v>
      </c>
      <c r="H202" s="31"/>
      <c r="I202" s="32">
        <f>E202+G202</f>
        <v>253717.74999999988</v>
      </c>
      <c r="J202" s="31"/>
      <c r="K202" s="32">
        <f>IF($O202=1,I202*(1+K$12),IF($O202=2,I202*(1+K$13),IF($O202=3,I202*(1+K$14),IF($O202=4,I202*(1+K$15)))))</f>
        <v>260821.84699999989</v>
      </c>
      <c r="L202" s="31"/>
      <c r="M202" s="32">
        <f>IF($O202=1,K202*(1+M$12),IF($O202=2,K202*(1+M$13),IF($O202=3,K202*(1+M$14),IF($O202=4,K202*(1+M$15)))))</f>
        <v>266559.92763399991</v>
      </c>
      <c r="N202" s="31"/>
      <c r="O202" s="9">
        <v>4</v>
      </c>
    </row>
    <row r="203" spans="1:16" x14ac:dyDescent="0.2">
      <c r="A203" s="3">
        <v>28</v>
      </c>
      <c r="C203" s="2" t="str">
        <f>C196</f>
        <v>Payroll not trended</v>
      </c>
      <c r="E203" s="31">
        <v>0</v>
      </c>
      <c r="F203" s="31"/>
      <c r="G203" s="31">
        <v>0</v>
      </c>
      <c r="H203" s="31"/>
      <c r="I203" s="32">
        <f>E203+G203</f>
        <v>0</v>
      </c>
      <c r="J203" s="31"/>
      <c r="K203" s="32">
        <v>0</v>
      </c>
      <c r="L203" s="31"/>
      <c r="M203" s="32">
        <v>0</v>
      </c>
      <c r="N203" s="31"/>
    </row>
    <row r="204" spans="1:16" x14ac:dyDescent="0.2">
      <c r="A204" s="3">
        <v>29</v>
      </c>
      <c r="C204" s="2" t="str">
        <f>C197</f>
        <v>Other not trended</v>
      </c>
      <c r="E204" s="31">
        <v>0</v>
      </c>
      <c r="F204" s="31"/>
      <c r="G204" s="31">
        <v>0</v>
      </c>
      <c r="H204" s="31"/>
      <c r="I204" s="32">
        <f>E204+G204</f>
        <v>0</v>
      </c>
      <c r="J204" s="31"/>
      <c r="K204" s="32">
        <v>0</v>
      </c>
      <c r="L204" s="31"/>
      <c r="M204" s="32">
        <v>0</v>
      </c>
      <c r="N204" s="31"/>
    </row>
    <row r="205" spans="1:16" x14ac:dyDescent="0.2">
      <c r="A205" s="3"/>
      <c r="E205" s="31"/>
      <c r="F205" s="31"/>
      <c r="G205" s="31"/>
      <c r="H205" s="31"/>
      <c r="I205" s="32"/>
      <c r="J205" s="31"/>
      <c r="K205" s="32"/>
      <c r="L205" s="31"/>
      <c r="M205" s="32"/>
      <c r="N205" s="31"/>
    </row>
    <row r="206" spans="1:16" x14ac:dyDescent="0.2">
      <c r="A206" s="3">
        <v>30</v>
      </c>
      <c r="C206" s="2" t="s">
        <v>48</v>
      </c>
      <c r="E206" s="33">
        <f>SUM(E201:E204)</f>
        <v>824094.64</v>
      </c>
      <c r="F206" s="31"/>
      <c r="G206" s="33">
        <f>SUM(G201:G204)</f>
        <v>0</v>
      </c>
      <c r="H206" s="31"/>
      <c r="I206" s="33">
        <f>SUM(I201:I204)</f>
        <v>824094.64</v>
      </c>
      <c r="J206" s="31"/>
      <c r="K206" s="33">
        <f>SUM(K201:K204)</f>
        <v>859717.58150000009</v>
      </c>
      <c r="L206" s="31"/>
      <c r="M206" s="33">
        <f>SUM(M201:M204)</f>
        <v>895400.44885900011</v>
      </c>
      <c r="N206" s="31"/>
      <c r="P206" s="3" t="s">
        <v>120</v>
      </c>
    </row>
    <row r="207" spans="1:16" x14ac:dyDescent="0.2">
      <c r="A207" s="3"/>
      <c r="E207" s="35"/>
      <c r="N207" s="31"/>
    </row>
    <row r="208" spans="1:16" x14ac:dyDescent="0.2">
      <c r="E208" s="31"/>
      <c r="F208" s="31"/>
      <c r="G208" s="31"/>
      <c r="H208" s="31"/>
      <c r="I208" s="32"/>
      <c r="J208" s="31"/>
      <c r="K208" s="32"/>
      <c r="L208" s="31"/>
      <c r="M208" s="32"/>
      <c r="N208" s="31"/>
    </row>
    <row r="209" spans="1:21" x14ac:dyDescent="0.2">
      <c r="A209" s="1" t="s">
        <v>0</v>
      </c>
      <c r="I209" s="39" t="s">
        <v>52</v>
      </c>
      <c r="J209" s="1"/>
      <c r="K209" s="37"/>
      <c r="M209" s="37"/>
      <c r="O209" s="3" t="s">
        <v>1</v>
      </c>
      <c r="T209" s="1" t="s">
        <v>55</v>
      </c>
    </row>
    <row r="210" spans="1:21" x14ac:dyDescent="0.2">
      <c r="A210" s="77"/>
      <c r="B210" s="77"/>
      <c r="C210" s="77"/>
      <c r="D210" s="77"/>
      <c r="E210" s="77"/>
      <c r="F210" s="77"/>
      <c r="G210" s="77"/>
      <c r="H210" s="77"/>
      <c r="I210" s="79"/>
      <c r="J210" s="77"/>
      <c r="K210" s="79"/>
      <c r="L210" s="77"/>
      <c r="M210" s="79"/>
      <c r="N210" s="77"/>
      <c r="O210" s="29"/>
      <c r="P210" s="78"/>
      <c r="Q210" s="77"/>
      <c r="R210" s="77"/>
      <c r="S210" s="77"/>
      <c r="T210" s="77"/>
      <c r="U210" s="77"/>
    </row>
    <row r="211" spans="1:21" x14ac:dyDescent="0.2">
      <c r="A211" s="1" t="s">
        <v>3</v>
      </c>
      <c r="I211" s="37"/>
      <c r="K211" s="37"/>
      <c r="M211" s="37"/>
      <c r="O211" s="3" t="s">
        <v>4</v>
      </c>
      <c r="T211" s="1" t="s">
        <v>5</v>
      </c>
    </row>
    <row r="212" spans="1:21" x14ac:dyDescent="0.2">
      <c r="I212" s="37"/>
      <c r="K212" s="37"/>
      <c r="M212" s="37"/>
      <c r="O212" s="3" t="s">
        <v>6</v>
      </c>
      <c r="T212" s="1" t="s">
        <v>7</v>
      </c>
      <c r="U212" s="4" t="str">
        <f>U$4</f>
        <v>12/31/22</v>
      </c>
    </row>
    <row r="213" spans="1:21" x14ac:dyDescent="0.2">
      <c r="A213" s="1" t="s">
        <v>11</v>
      </c>
      <c r="C213" s="1" t="s">
        <v>85</v>
      </c>
      <c r="I213" s="37"/>
      <c r="K213" s="37"/>
      <c r="M213" s="37"/>
      <c r="O213" s="3" t="s">
        <v>12</v>
      </c>
      <c r="T213" s="1" t="s">
        <v>13</v>
      </c>
      <c r="U213" s="4" t="str">
        <f>U$5</f>
        <v>12/31/23</v>
      </c>
    </row>
    <row r="214" spans="1:21" x14ac:dyDescent="0.2">
      <c r="I214" s="37"/>
      <c r="K214" s="37"/>
      <c r="M214" s="37"/>
      <c r="T214" s="2" t="s">
        <v>14</v>
      </c>
      <c r="U214" s="4" t="str">
        <f>U$6</f>
        <v>12/31/24</v>
      </c>
    </row>
    <row r="215" spans="1:21" x14ac:dyDescent="0.2">
      <c r="A215" s="68" t="str">
        <f>A$7</f>
        <v xml:space="preserve">DOCKET NO.:  </v>
      </c>
      <c r="C215" s="40" t="s">
        <v>88</v>
      </c>
      <c r="I215" s="37"/>
      <c r="K215" s="39"/>
      <c r="L215" s="1"/>
      <c r="M215" s="39"/>
      <c r="N215" s="1"/>
      <c r="Q215" s="6"/>
      <c r="T215" s="2" t="s">
        <v>18</v>
      </c>
      <c r="U215" s="2" t="s">
        <v>417</v>
      </c>
    </row>
    <row r="216" spans="1:21" x14ac:dyDescent="0.2">
      <c r="I216" s="37"/>
      <c r="K216" s="37"/>
      <c r="M216" s="37"/>
    </row>
    <row r="217" spans="1:21" x14ac:dyDescent="0.2">
      <c r="A217" s="77"/>
      <c r="B217" s="77"/>
      <c r="C217" s="77"/>
      <c r="D217" s="77"/>
      <c r="E217" s="77"/>
      <c r="F217" s="77"/>
      <c r="G217" s="77"/>
      <c r="H217" s="77"/>
      <c r="I217" s="79"/>
      <c r="J217" s="77"/>
      <c r="K217" s="79"/>
      <c r="L217" s="77"/>
      <c r="M217" s="79"/>
      <c r="N217" s="77"/>
      <c r="O217" s="29"/>
      <c r="P217" s="78"/>
      <c r="Q217" s="77"/>
      <c r="R217" s="77"/>
      <c r="S217" s="77"/>
      <c r="T217" s="77"/>
      <c r="U217" s="77"/>
    </row>
    <row r="218" spans="1:21" x14ac:dyDescent="0.2">
      <c r="I218" s="37"/>
      <c r="K218" s="37"/>
      <c r="M218" s="37"/>
    </row>
    <row r="219" spans="1:21" x14ac:dyDescent="0.2">
      <c r="A219" s="3" t="s">
        <v>34</v>
      </c>
      <c r="E219" s="3" t="s">
        <v>35</v>
      </c>
      <c r="F219" s="3"/>
      <c r="G219" s="3"/>
      <c r="H219" s="3"/>
      <c r="I219" s="41" t="s">
        <v>36</v>
      </c>
      <c r="J219" s="3"/>
      <c r="K219" s="41"/>
      <c r="L219" s="3"/>
      <c r="M219" s="41" t="s">
        <v>21</v>
      </c>
      <c r="N219" s="3"/>
      <c r="O219" s="3" t="s">
        <v>37</v>
      </c>
    </row>
    <row r="220" spans="1:21" x14ac:dyDescent="0.2">
      <c r="A220" s="29" t="s">
        <v>38</v>
      </c>
      <c r="B220" s="29" t="s">
        <v>39</v>
      </c>
      <c r="E220" s="29" t="s">
        <v>40</v>
      </c>
      <c r="F220" s="3"/>
      <c r="G220" s="29" t="s">
        <v>41</v>
      </c>
      <c r="H220" s="3"/>
      <c r="I220" s="42" t="s">
        <v>40</v>
      </c>
      <c r="J220" s="3"/>
      <c r="K220" s="42" t="s">
        <v>42</v>
      </c>
      <c r="L220" s="3"/>
      <c r="M220" s="42" t="s">
        <v>23</v>
      </c>
      <c r="N220" s="3"/>
      <c r="O220" s="29" t="s">
        <v>43</v>
      </c>
      <c r="P220" s="29" t="s">
        <v>105</v>
      </c>
    </row>
    <row r="221" spans="1:21" x14ac:dyDescent="0.2">
      <c r="I221" s="37"/>
      <c r="K221" s="37"/>
      <c r="M221" s="37"/>
    </row>
    <row r="222" spans="1:21" x14ac:dyDescent="0.2">
      <c r="B222" s="34" t="s">
        <v>54</v>
      </c>
      <c r="C222" s="34"/>
      <c r="D222" s="34"/>
      <c r="I222" s="37"/>
      <c r="K222" s="37"/>
      <c r="M222" s="37"/>
    </row>
    <row r="223" spans="1:21" x14ac:dyDescent="0.2">
      <c r="E223" s="31"/>
      <c r="F223" s="31"/>
      <c r="G223" s="31"/>
      <c r="H223" s="31"/>
      <c r="I223" s="32"/>
      <c r="J223" s="31"/>
      <c r="K223" s="32"/>
      <c r="L223" s="31"/>
      <c r="M223" s="32"/>
      <c r="N223" s="31"/>
    </row>
    <row r="224" spans="1:21" x14ac:dyDescent="0.2">
      <c r="A224" s="3">
        <v>1</v>
      </c>
      <c r="B224" s="2">
        <v>891</v>
      </c>
      <c r="C224" s="2" t="str">
        <f>C201</f>
        <v>Payroll trended</v>
      </c>
      <c r="E224" s="31">
        <v>1093228.7599999998</v>
      </c>
      <c r="F224" s="31"/>
      <c r="G224" s="31">
        <v>0</v>
      </c>
      <c r="H224" s="31"/>
      <c r="I224" s="32">
        <f>E224+G224</f>
        <v>1093228.7599999998</v>
      </c>
      <c r="J224" s="31"/>
      <c r="K224" s="32">
        <f>IF($O224=1,I224*(1+K$12),IF($O224=2,I224*(1+K$13),IF($O224=3,I224*(1+K$14),IF($O224=4,I224*(1+K$15)))))</f>
        <v>1147890.1979999999</v>
      </c>
      <c r="L224" s="31"/>
      <c r="M224" s="32">
        <f>IF($O224=1,K224*(1+M$12),IF($O224=2,K224*(1+M$13),IF($O224=3,K224*(1+M$14),IF($O224=4,K224*(1+M$15)))))</f>
        <v>1205284.7078999998</v>
      </c>
      <c r="N224" s="31"/>
      <c r="O224" s="9">
        <v>1</v>
      </c>
    </row>
    <row r="225" spans="1:28" x14ac:dyDescent="0.2">
      <c r="A225" s="3">
        <v>2</v>
      </c>
      <c r="C225" s="2" t="str">
        <f>C202</f>
        <v>Other trended</v>
      </c>
      <c r="E225" s="31">
        <v>885010.09000000032</v>
      </c>
      <c r="F225" s="31"/>
      <c r="G225" s="31">
        <v>0</v>
      </c>
      <c r="H225" s="31"/>
      <c r="I225" s="32">
        <f>E225+G225</f>
        <v>885010.09000000032</v>
      </c>
      <c r="J225" s="31"/>
      <c r="K225" s="32">
        <f>IF($O225=1,I225*(1+K$12),IF($O225=2,I225*(1+K$13),IF($O225=3,I225*(1+K$14),IF($O225=4,I225*(1+K$15)))))</f>
        <v>944482.76804800029</v>
      </c>
      <c r="L225" s="31"/>
      <c r="M225" s="32">
        <f>IF($O225=1,K225*(1+M$12),IF($O225=2,K225*(1+M$13),IF($O225=3,K225*(1+M$14),IF($O225=4,K225*(1+M$15)))))</f>
        <v>996429.32029064023</v>
      </c>
      <c r="N225" s="31"/>
      <c r="O225" s="9">
        <v>3</v>
      </c>
    </row>
    <row r="226" spans="1:28" x14ac:dyDescent="0.2">
      <c r="A226" s="3">
        <v>3</v>
      </c>
      <c r="C226" s="2" t="str">
        <f>C203</f>
        <v>Payroll not trended</v>
      </c>
      <c r="E226" s="31">
        <v>0</v>
      </c>
      <c r="F226" s="31"/>
      <c r="G226" s="31">
        <v>0</v>
      </c>
      <c r="H226" s="31"/>
      <c r="I226" s="32">
        <f>E226+G226</f>
        <v>0</v>
      </c>
      <c r="J226" s="31"/>
      <c r="K226" s="32">
        <v>0</v>
      </c>
      <c r="L226" s="31"/>
      <c r="M226" s="32">
        <v>0</v>
      </c>
      <c r="N226" s="31"/>
    </row>
    <row r="227" spans="1:28" x14ac:dyDescent="0.2">
      <c r="A227" s="3">
        <v>4</v>
      </c>
      <c r="C227" s="2" t="str">
        <f>C204</f>
        <v>Other not trended</v>
      </c>
      <c r="E227" s="31">
        <v>0</v>
      </c>
      <c r="F227" s="31"/>
      <c r="G227" s="31">
        <v>0</v>
      </c>
      <c r="H227" s="31"/>
      <c r="I227" s="32">
        <f>E227+G227</f>
        <v>0</v>
      </c>
      <c r="J227" s="31"/>
      <c r="K227" s="32">
        <v>0</v>
      </c>
      <c r="L227" s="31"/>
      <c r="M227" s="32">
        <v>0</v>
      </c>
      <c r="N227" s="31"/>
    </row>
    <row r="228" spans="1:28" x14ac:dyDescent="0.2">
      <c r="A228" s="3"/>
      <c r="E228" s="31"/>
      <c r="F228" s="31"/>
      <c r="G228" s="31"/>
      <c r="H228" s="31"/>
      <c r="I228" s="32"/>
      <c r="J228" s="31"/>
      <c r="K228" s="32"/>
      <c r="L228" s="31"/>
      <c r="M228" s="32"/>
      <c r="N228" s="31"/>
    </row>
    <row r="229" spans="1:28" x14ac:dyDescent="0.2">
      <c r="A229" s="3">
        <v>5</v>
      </c>
      <c r="C229" s="2" t="s">
        <v>48</v>
      </c>
      <c r="E229" s="33">
        <f>SUM(E224:E227)</f>
        <v>1978238.85</v>
      </c>
      <c r="F229" s="31"/>
      <c r="G229" s="33">
        <f>SUM(G224:G227)</f>
        <v>0</v>
      </c>
      <c r="H229" s="31"/>
      <c r="I229" s="33">
        <f>SUM(I224:I227)</f>
        <v>1978238.85</v>
      </c>
      <c r="J229" s="31"/>
      <c r="K229" s="33">
        <f>SUM(K224:K227)</f>
        <v>2092372.9660480001</v>
      </c>
      <c r="L229" s="31"/>
      <c r="M229" s="33">
        <f>SUM(M224:M227)</f>
        <v>2201714.0281906398</v>
      </c>
      <c r="N229" s="31"/>
      <c r="P229" s="3" t="s">
        <v>120</v>
      </c>
    </row>
    <row r="230" spans="1:28" x14ac:dyDescent="0.2">
      <c r="A230" s="3"/>
      <c r="E230" s="35"/>
      <c r="N230" s="31"/>
    </row>
    <row r="231" spans="1:28" x14ac:dyDescent="0.2">
      <c r="A231" s="3">
        <v>6</v>
      </c>
      <c r="B231" s="2">
        <v>892</v>
      </c>
      <c r="C231" s="2" t="str">
        <f>C224</f>
        <v>Payroll trended</v>
      </c>
      <c r="E231" s="31">
        <v>919974.57000000007</v>
      </c>
      <c r="F231" s="31"/>
      <c r="G231" s="31">
        <v>0</v>
      </c>
      <c r="H231" s="31"/>
      <c r="I231" s="32">
        <f>E231+G231</f>
        <v>919974.57000000007</v>
      </c>
      <c r="J231" s="31"/>
      <c r="K231" s="32">
        <f>IF($O231=1,I231*(1+K$12),IF($O231=2,I231*(1+K$13),IF($O231=3,I231*(1+K$14),IF($O231=4,I231*(1+K$15)))))</f>
        <v>965973.29850000015</v>
      </c>
      <c r="L231" s="31"/>
      <c r="M231" s="32">
        <f>IF($O231=1,K231*(1+M$12),IF($O231=2,K231*(1+M$13),IF($O231=3,K231*(1+M$14),IF($O231=4,K231*(1+M$15)))))</f>
        <v>1014271.9634250002</v>
      </c>
      <c r="N231" s="31"/>
      <c r="O231" s="9">
        <v>1</v>
      </c>
    </row>
    <row r="232" spans="1:28" x14ac:dyDescent="0.2">
      <c r="A232" s="3">
        <v>7</v>
      </c>
      <c r="C232" s="2" t="str">
        <f>C225</f>
        <v>Other trended</v>
      </c>
      <c r="E232" s="31">
        <v>526472.55999999994</v>
      </c>
      <c r="F232" s="31"/>
      <c r="G232" s="31">
        <v>0</v>
      </c>
      <c r="H232" s="31"/>
      <c r="I232" s="32">
        <f>E232+G232</f>
        <v>526472.55999999994</v>
      </c>
      <c r="J232" s="31"/>
      <c r="K232" s="32">
        <f>IF($O232=1,I232*(1+K$12),IF($O232=2,I232*(1+K$13),IF($O232=3,I232*(1+K$14),IF($O232=4,I232*(1+K$15)))))</f>
        <v>561851.51603199984</v>
      </c>
      <c r="L232" s="31"/>
      <c r="M232" s="32">
        <f>IF($O232=1,K232*(1+M$12),IF($O232=2,K232*(1+M$13),IF($O232=3,K232*(1+M$14),IF($O232=4,K232*(1+M$15)))))</f>
        <v>592753.34941375977</v>
      </c>
      <c r="N232" s="31"/>
      <c r="O232" s="9">
        <v>3</v>
      </c>
    </row>
    <row r="233" spans="1:28" x14ac:dyDescent="0.2">
      <c r="A233" s="3">
        <v>8</v>
      </c>
      <c r="C233" s="2" t="str">
        <f>C226</f>
        <v>Payroll not trended</v>
      </c>
      <c r="E233" s="31">
        <v>0</v>
      </c>
      <c r="F233" s="31"/>
      <c r="G233" s="31">
        <v>0</v>
      </c>
      <c r="H233" s="31"/>
      <c r="I233" s="32">
        <f>E233+G233</f>
        <v>0</v>
      </c>
      <c r="J233" s="31"/>
      <c r="K233" s="32">
        <v>0</v>
      </c>
      <c r="L233" s="31"/>
      <c r="M233" s="32">
        <v>0</v>
      </c>
      <c r="N233" s="31"/>
    </row>
    <row r="234" spans="1:28" x14ac:dyDescent="0.2">
      <c r="A234" s="3">
        <v>9</v>
      </c>
      <c r="C234" s="2" t="str">
        <f>C227</f>
        <v>Other not trended</v>
      </c>
      <c r="E234" s="31">
        <v>26770.37</v>
      </c>
      <c r="F234" s="31"/>
      <c r="G234" s="31">
        <v>0</v>
      </c>
      <c r="H234" s="31"/>
      <c r="I234" s="32">
        <f>E234+G234</f>
        <v>26770.37</v>
      </c>
      <c r="J234" s="31"/>
      <c r="K234" s="32">
        <f>'SCHG2-19b'!G22</f>
        <v>153999</v>
      </c>
      <c r="L234" s="31"/>
      <c r="M234" s="32">
        <f>'SCHG2-19b'!I22</f>
        <v>157386.978</v>
      </c>
      <c r="N234" s="31"/>
      <c r="O234" s="3" t="s">
        <v>383</v>
      </c>
      <c r="AB234" s="300">
        <f>M234-I234</f>
        <v>130616.60800000001</v>
      </c>
    </row>
    <row r="235" spans="1:28" x14ac:dyDescent="0.2">
      <c r="A235" s="3"/>
      <c r="E235" s="31"/>
      <c r="F235" s="31"/>
      <c r="G235" s="31"/>
      <c r="H235" s="31"/>
      <c r="I235" s="32"/>
      <c r="J235" s="31"/>
      <c r="K235" s="32"/>
      <c r="L235" s="31"/>
      <c r="M235" s="32"/>
      <c r="N235" s="31"/>
    </row>
    <row r="236" spans="1:28" x14ac:dyDescent="0.2">
      <c r="A236" s="3">
        <v>10</v>
      </c>
      <c r="C236" s="2" t="s">
        <v>48</v>
      </c>
      <c r="E236" s="33">
        <f>SUM(E231:E234)</f>
        <v>1473217.5</v>
      </c>
      <c r="F236" s="31"/>
      <c r="G236" s="33">
        <f>SUM(G231:G234)</f>
        <v>0</v>
      </c>
      <c r="H236" s="31"/>
      <c r="I236" s="33">
        <f>SUM(I231:I234)</f>
        <v>1473217.5</v>
      </c>
      <c r="J236" s="31"/>
      <c r="K236" s="33">
        <f>SUM(K231:K234)</f>
        <v>1681823.8145320001</v>
      </c>
      <c r="L236" s="31"/>
      <c r="M236" s="33">
        <f>SUM(M231:M234)</f>
        <v>1764412.2908387599</v>
      </c>
      <c r="N236" s="31"/>
      <c r="P236" s="3" t="s">
        <v>115</v>
      </c>
    </row>
    <row r="237" spans="1:28" x14ac:dyDescent="0.2">
      <c r="A237" s="3"/>
      <c r="E237" s="35"/>
      <c r="N237" s="31"/>
    </row>
    <row r="238" spans="1:28" x14ac:dyDescent="0.2">
      <c r="A238" s="3">
        <v>11</v>
      </c>
      <c r="B238" s="2">
        <v>893</v>
      </c>
      <c r="C238" s="2" t="str">
        <f>C231</f>
        <v>Payroll trended</v>
      </c>
      <c r="E238" s="31">
        <v>375924.27</v>
      </c>
      <c r="F238" s="31"/>
      <c r="G238" s="31">
        <v>0</v>
      </c>
      <c r="H238" s="31"/>
      <c r="I238" s="32">
        <f>E238+G238</f>
        <v>375924.27</v>
      </c>
      <c r="J238" s="31"/>
      <c r="K238" s="32">
        <f>IF($O238=1,I238*(1+K$12),IF($O238=2,I238*(1+K$13),IF($O238=3,I238*(1+K$14),IF($O238=4,I238*(1+K$15)))))</f>
        <v>394720.48350000003</v>
      </c>
      <c r="L238" s="31"/>
      <c r="M238" s="32">
        <f>IF($O238=1,K238*(1+M$12),IF($O238=2,K238*(1+M$13),IF($O238=3,K238*(1+M$14),IF($O238=4,K238*(1+M$15)))))</f>
        <v>414456.50767500006</v>
      </c>
      <c r="N238" s="31"/>
      <c r="O238" s="9">
        <v>1</v>
      </c>
    </row>
    <row r="239" spans="1:28" x14ac:dyDescent="0.2">
      <c r="A239" s="3">
        <v>12</v>
      </c>
      <c r="C239" s="2" t="str">
        <f>C232</f>
        <v>Other trended</v>
      </c>
      <c r="E239" s="31">
        <v>656788</v>
      </c>
      <c r="F239" s="31"/>
      <c r="G239" s="31">
        <v>0</v>
      </c>
      <c r="H239" s="31"/>
      <c r="I239" s="32">
        <f>E239+G239</f>
        <v>656788</v>
      </c>
      <c r="J239" s="31"/>
      <c r="K239" s="32">
        <f>IF($O239=1,I239*(1+K$12),IF($O239=2,I239*(1+K$13),IF($O239=3,I239*(1+K$14),IF($O239=4,I239*(1+K$15)))))</f>
        <v>700924.15359999996</v>
      </c>
      <c r="L239" s="31"/>
      <c r="M239" s="32">
        <f>IF($O239=1,K239*(1+M$12),IF($O239=2,K239*(1+M$13),IF($O239=3,K239*(1+M$14),IF($O239=4,K239*(1+M$15)))))</f>
        <v>739474.98204799986</v>
      </c>
      <c r="N239" s="31"/>
      <c r="O239" s="9">
        <v>3</v>
      </c>
    </row>
    <row r="240" spans="1:28" x14ac:dyDescent="0.2">
      <c r="A240" s="3">
        <v>13</v>
      </c>
      <c r="C240" s="2" t="str">
        <f>C233</f>
        <v>Payroll not trended</v>
      </c>
      <c r="E240" s="31">
        <v>0</v>
      </c>
      <c r="F240" s="31"/>
      <c r="G240" s="31">
        <v>0</v>
      </c>
      <c r="H240" s="31"/>
      <c r="I240" s="32">
        <f>E240+G240</f>
        <v>0</v>
      </c>
      <c r="J240" s="31"/>
      <c r="K240" s="32">
        <v>0</v>
      </c>
      <c r="L240" s="31"/>
      <c r="M240" s="32">
        <v>0</v>
      </c>
      <c r="N240" s="31"/>
    </row>
    <row r="241" spans="1:16" x14ac:dyDescent="0.2">
      <c r="A241" s="3">
        <v>14</v>
      </c>
      <c r="C241" s="2" t="str">
        <f>C234</f>
        <v>Other not trended</v>
      </c>
      <c r="E241" s="31">
        <v>0</v>
      </c>
      <c r="F241" s="31"/>
      <c r="G241" s="31">
        <v>0</v>
      </c>
      <c r="H241" s="31"/>
      <c r="I241" s="32">
        <f>E241+G241</f>
        <v>0</v>
      </c>
      <c r="J241" s="31"/>
      <c r="K241" s="32">
        <v>0</v>
      </c>
      <c r="L241" s="31"/>
      <c r="M241" s="32">
        <v>0</v>
      </c>
      <c r="N241" s="31"/>
    </row>
    <row r="242" spans="1:16" x14ac:dyDescent="0.2">
      <c r="A242" s="3"/>
      <c r="E242" s="31"/>
      <c r="F242" s="31"/>
      <c r="G242" s="31"/>
      <c r="H242" s="31"/>
      <c r="I242" s="32"/>
      <c r="J242" s="31"/>
      <c r="K242" s="32"/>
      <c r="L242" s="31"/>
      <c r="M242" s="32"/>
      <c r="N242" s="31"/>
    </row>
    <row r="243" spans="1:16" x14ac:dyDescent="0.2">
      <c r="A243" s="3">
        <v>15</v>
      </c>
      <c r="C243" s="2" t="s">
        <v>48</v>
      </c>
      <c r="E243" s="33">
        <f>SUM(E238:E241)</f>
        <v>1032712.27</v>
      </c>
      <c r="F243" s="31"/>
      <c r="G243" s="33">
        <f>SUM(G238:G241)</f>
        <v>0</v>
      </c>
      <c r="H243" s="31"/>
      <c r="I243" s="33">
        <f>SUM(I238:I241)</f>
        <v>1032712.27</v>
      </c>
      <c r="J243" s="31"/>
      <c r="K243" s="33">
        <f>SUM(K238:K241)</f>
        <v>1095644.6370999999</v>
      </c>
      <c r="L243" s="31"/>
      <c r="M243" s="33">
        <f>SUM(M238:M241)</f>
        <v>1153931.489723</v>
      </c>
      <c r="N243" s="31"/>
      <c r="P243" s="3" t="s">
        <v>115</v>
      </c>
    </row>
    <row r="244" spans="1:16" x14ac:dyDescent="0.2">
      <c r="A244" s="3"/>
      <c r="E244" s="35"/>
      <c r="N244" s="31"/>
    </row>
    <row r="245" spans="1:16" x14ac:dyDescent="0.2">
      <c r="A245" s="3">
        <v>16</v>
      </c>
      <c r="B245" s="2">
        <v>894</v>
      </c>
      <c r="C245" s="2" t="str">
        <f>C238</f>
        <v>Payroll trended</v>
      </c>
      <c r="E245" s="31">
        <v>10785.23</v>
      </c>
      <c r="F245" s="31"/>
      <c r="G245" s="31">
        <v>0</v>
      </c>
      <c r="H245" s="31"/>
      <c r="I245" s="32">
        <f>E245+G245</f>
        <v>10785.23</v>
      </c>
      <c r="J245" s="31"/>
      <c r="K245" s="32">
        <f>IF($O245=1,I245*(1+K$12),IF($O245=2,I245*(1+K$13),IF($O245=3,I245*(1+K$14),IF($O245=4,I245*(1+K$15)))))</f>
        <v>11324.4915</v>
      </c>
      <c r="L245" s="31"/>
      <c r="M245" s="32">
        <f>IF($O245=1,K245*(1+M$12),IF($O245=2,K245*(1+M$13),IF($O245=3,K245*(1+M$14),IF($O245=4,K245*(1+M$15)))))</f>
        <v>11890.716075</v>
      </c>
      <c r="N245" s="31"/>
      <c r="O245" s="9">
        <v>1</v>
      </c>
    </row>
    <row r="246" spans="1:16" x14ac:dyDescent="0.2">
      <c r="A246" s="3">
        <v>17</v>
      </c>
      <c r="C246" s="2" t="str">
        <f>C239</f>
        <v>Other trended</v>
      </c>
      <c r="E246" s="31">
        <v>84935.81</v>
      </c>
      <c r="F246" s="31"/>
      <c r="G246" s="31">
        <v>0</v>
      </c>
      <c r="H246" s="31"/>
      <c r="I246" s="32">
        <f>E246+G246</f>
        <v>84935.81</v>
      </c>
      <c r="J246" s="31"/>
      <c r="K246" s="32">
        <f>IF($O246=1,I246*(1+K$12),IF($O246=2,I246*(1+K$13),IF($O246=3,I246*(1+K$14),IF($O246=4,I246*(1+K$15)))))</f>
        <v>90643.496431999985</v>
      </c>
      <c r="L246" s="31"/>
      <c r="M246" s="32">
        <f>IF($O246=1,K246*(1+M$12),IF($O246=2,K246*(1+M$13),IF($O246=3,K246*(1+M$14),IF($O246=4,K246*(1+M$15)))))</f>
        <v>95628.888735759974</v>
      </c>
      <c r="N246" s="31"/>
      <c r="O246" s="9">
        <v>3</v>
      </c>
    </row>
    <row r="247" spans="1:16" x14ac:dyDescent="0.2">
      <c r="A247" s="3">
        <v>18</v>
      </c>
      <c r="C247" s="2" t="str">
        <f>C240</f>
        <v>Payroll not trended</v>
      </c>
      <c r="E247" s="31">
        <v>0</v>
      </c>
      <c r="F247" s="31"/>
      <c r="G247" s="31">
        <v>0</v>
      </c>
      <c r="H247" s="31"/>
      <c r="I247" s="32">
        <f>E247+G247</f>
        <v>0</v>
      </c>
      <c r="J247" s="31"/>
      <c r="K247" s="32">
        <v>0</v>
      </c>
      <c r="L247" s="31"/>
      <c r="M247" s="32">
        <v>0</v>
      </c>
      <c r="N247" s="31"/>
    </row>
    <row r="248" spans="1:16" x14ac:dyDescent="0.2">
      <c r="A248" s="3">
        <v>19</v>
      </c>
      <c r="C248" s="2" t="str">
        <f>C241</f>
        <v>Other not trended</v>
      </c>
      <c r="E248" s="31">
        <v>0</v>
      </c>
      <c r="F248" s="31"/>
      <c r="G248" s="31">
        <v>0</v>
      </c>
      <c r="H248" s="31"/>
      <c r="I248" s="32">
        <f>E248+G248</f>
        <v>0</v>
      </c>
      <c r="J248" s="31"/>
      <c r="K248" s="32">
        <v>0</v>
      </c>
      <c r="L248" s="31"/>
      <c r="M248" s="32">
        <v>0</v>
      </c>
      <c r="N248" s="31"/>
    </row>
    <row r="249" spans="1:16" x14ac:dyDescent="0.2">
      <c r="A249" s="3"/>
      <c r="E249" s="31"/>
      <c r="F249" s="31"/>
      <c r="G249" s="31"/>
      <c r="H249" s="31"/>
      <c r="I249" s="32"/>
      <c r="J249" s="31"/>
      <c r="K249" s="32"/>
      <c r="L249" s="31"/>
      <c r="M249" s="32"/>
      <c r="N249" s="31"/>
    </row>
    <row r="250" spans="1:16" x14ac:dyDescent="0.2">
      <c r="A250" s="3">
        <v>20</v>
      </c>
      <c r="C250" s="2" t="s">
        <v>48</v>
      </c>
      <c r="E250" s="33">
        <f>SUM(E245:E248)</f>
        <v>95721.04</v>
      </c>
      <c r="F250" s="31"/>
      <c r="G250" s="33">
        <f>SUM(G245:G248)</f>
        <v>0</v>
      </c>
      <c r="H250" s="31"/>
      <c r="I250" s="33">
        <f>SUM(I245:I248)</f>
        <v>95721.04</v>
      </c>
      <c r="J250" s="31"/>
      <c r="K250" s="33">
        <f>SUM(K245:K248)</f>
        <v>101967.98793199999</v>
      </c>
      <c r="L250" s="31"/>
      <c r="M250" s="33">
        <f>SUM(M245:M248)</f>
        <v>107519.60481075998</v>
      </c>
      <c r="N250" s="31"/>
      <c r="P250" s="3" t="s">
        <v>115</v>
      </c>
    </row>
    <row r="251" spans="1:16" x14ac:dyDescent="0.2">
      <c r="A251" s="3"/>
      <c r="E251" s="35"/>
      <c r="N251" s="31"/>
    </row>
    <row r="252" spans="1:16" x14ac:dyDescent="0.2">
      <c r="A252" s="3"/>
      <c r="E252" s="31"/>
      <c r="F252" s="31"/>
      <c r="G252" s="31"/>
      <c r="H252" s="31"/>
      <c r="I252" s="32"/>
      <c r="J252" s="31"/>
      <c r="K252" s="32"/>
      <c r="L252" s="31"/>
      <c r="M252" s="32"/>
      <c r="N252" s="31"/>
    </row>
    <row r="253" spans="1:16" ht="13.5" thickBot="1" x14ac:dyDescent="0.25">
      <c r="A253" s="3">
        <v>21</v>
      </c>
      <c r="B253" s="2" t="s">
        <v>56</v>
      </c>
      <c r="E253" s="45">
        <f>E250+E243+E236+E229+E206+E199+E171+E178+E185+E192</f>
        <v>11511011.879999999</v>
      </c>
      <c r="F253" s="31"/>
      <c r="G253" s="45">
        <f>G250+G243+G236+G229+G206+G199+G171+G178+G185+G192</f>
        <v>0</v>
      </c>
      <c r="H253" s="31"/>
      <c r="I253" s="45">
        <f>I250+I243+I236+I229+I206+I199+I171+I178+I185+I192</f>
        <v>11511011.879999999</v>
      </c>
      <c r="J253" s="31"/>
      <c r="K253" s="45">
        <f>K250+K243+K236+K229+K206+K199+K171+K178+K185+K192</f>
        <v>12221828.742519263</v>
      </c>
      <c r="L253" s="31"/>
      <c r="M253" s="45">
        <f>M250+M243+M236+M229+M206+M199+M171+M178+M185+M192</f>
        <v>12546849.027369386</v>
      </c>
      <c r="N253" s="31"/>
    </row>
    <row r="254" spans="1:16" ht="13.5" thickTop="1" x14ac:dyDescent="0.2">
      <c r="A254" s="3"/>
      <c r="E254" s="31"/>
      <c r="F254" s="31"/>
      <c r="G254" s="31"/>
      <c r="H254" s="31"/>
      <c r="I254" s="32"/>
      <c r="J254" s="31"/>
      <c r="K254" s="32"/>
      <c r="L254" s="31"/>
      <c r="M254" s="32"/>
      <c r="N254" s="31"/>
    </row>
    <row r="255" spans="1:16" ht="13.5" thickBot="1" x14ac:dyDescent="0.25">
      <c r="A255" s="3"/>
      <c r="B255" s="2" t="s">
        <v>57</v>
      </c>
      <c r="E255" s="45">
        <f>E253+E148</f>
        <v>41247170.549999997</v>
      </c>
      <c r="F255" s="31"/>
      <c r="G255" s="45">
        <f>G253+G148</f>
        <v>0</v>
      </c>
      <c r="H255" s="31"/>
      <c r="I255" s="45">
        <f>I253+I148</f>
        <v>41247170.549999997</v>
      </c>
      <c r="J255" s="31"/>
      <c r="K255" s="45">
        <f>K253+K148</f>
        <v>42690161.102264903</v>
      </c>
      <c r="L255" s="31"/>
      <c r="M255" s="45">
        <f>M253+M148</f>
        <v>47957360.581996851</v>
      </c>
      <c r="N255" s="31"/>
    </row>
    <row r="256" spans="1:16" ht="13.5" thickTop="1" x14ac:dyDescent="0.2">
      <c r="E256" s="31"/>
      <c r="F256" s="31"/>
      <c r="G256" s="31"/>
      <c r="H256" s="31"/>
      <c r="I256" s="32"/>
      <c r="J256" s="31"/>
      <c r="K256" s="32"/>
      <c r="L256" s="31"/>
      <c r="M256" s="32"/>
      <c r="N256" s="31"/>
    </row>
    <row r="257" spans="1:21" x14ac:dyDescent="0.2">
      <c r="A257" s="1" t="s">
        <v>0</v>
      </c>
      <c r="I257" s="39" t="s">
        <v>52</v>
      </c>
      <c r="J257" s="1"/>
      <c r="K257" s="37"/>
      <c r="M257" s="37"/>
      <c r="O257" s="3" t="s">
        <v>1</v>
      </c>
      <c r="T257" s="1" t="s">
        <v>58</v>
      </c>
    </row>
    <row r="258" spans="1:21" x14ac:dyDescent="0.2">
      <c r="A258" s="77"/>
      <c r="B258" s="77"/>
      <c r="C258" s="77"/>
      <c r="D258" s="77"/>
      <c r="E258" s="77"/>
      <c r="F258" s="77"/>
      <c r="G258" s="77"/>
      <c r="H258" s="77"/>
      <c r="I258" s="79"/>
      <c r="J258" s="77"/>
      <c r="K258" s="79"/>
      <c r="L258" s="77"/>
      <c r="M258" s="79"/>
      <c r="N258" s="77"/>
      <c r="O258" s="29"/>
      <c r="P258" s="78"/>
      <c r="Q258" s="77"/>
      <c r="R258" s="77"/>
      <c r="S258" s="77"/>
      <c r="T258" s="77"/>
      <c r="U258" s="77"/>
    </row>
    <row r="259" spans="1:21" x14ac:dyDescent="0.2">
      <c r="A259" s="1" t="s">
        <v>3</v>
      </c>
      <c r="I259" s="37"/>
      <c r="K259" s="37"/>
      <c r="M259" s="37"/>
      <c r="O259" s="3" t="s">
        <v>4</v>
      </c>
      <c r="T259" s="1" t="s">
        <v>5</v>
      </c>
    </row>
    <row r="260" spans="1:21" x14ac:dyDescent="0.2">
      <c r="I260" s="37"/>
      <c r="K260" s="37"/>
      <c r="M260" s="37"/>
      <c r="O260" s="3" t="s">
        <v>6</v>
      </c>
      <c r="T260" s="1" t="s">
        <v>7</v>
      </c>
      <c r="U260" s="4" t="str">
        <f>U$4</f>
        <v>12/31/22</v>
      </c>
    </row>
    <row r="261" spans="1:21" x14ac:dyDescent="0.2">
      <c r="A261" s="1" t="s">
        <v>11</v>
      </c>
      <c r="C261" s="1" t="s">
        <v>85</v>
      </c>
      <c r="I261" s="37"/>
      <c r="K261" s="37"/>
      <c r="M261" s="37"/>
      <c r="O261" s="3" t="s">
        <v>12</v>
      </c>
      <c r="T261" s="1" t="s">
        <v>13</v>
      </c>
      <c r="U261" s="4" t="str">
        <f>U$5</f>
        <v>12/31/23</v>
      </c>
    </row>
    <row r="262" spans="1:21" x14ac:dyDescent="0.2">
      <c r="I262" s="37"/>
      <c r="K262" s="37"/>
      <c r="M262" s="37"/>
      <c r="T262" s="2" t="s">
        <v>14</v>
      </c>
      <c r="U262" s="4" t="str">
        <f>U$6</f>
        <v>12/31/24</v>
      </c>
    </row>
    <row r="263" spans="1:21" x14ac:dyDescent="0.2">
      <c r="A263" s="68" t="str">
        <f>A$7</f>
        <v xml:space="preserve">DOCKET NO.:  </v>
      </c>
      <c r="C263" s="40" t="s">
        <v>88</v>
      </c>
      <c r="I263" s="37"/>
      <c r="K263" s="39"/>
      <c r="L263" s="1"/>
      <c r="M263" s="39"/>
      <c r="N263" s="1"/>
      <c r="Q263" s="6"/>
      <c r="T263" s="2" t="s">
        <v>18</v>
      </c>
      <c r="U263" s="2" t="s">
        <v>418</v>
      </c>
    </row>
    <row r="264" spans="1:21" x14ac:dyDescent="0.2">
      <c r="I264" s="37"/>
      <c r="K264" s="37"/>
      <c r="M264" s="37"/>
      <c r="U264" s="2" t="s">
        <v>87</v>
      </c>
    </row>
    <row r="265" spans="1:21" x14ac:dyDescent="0.2">
      <c r="A265" s="77"/>
      <c r="B265" s="77"/>
      <c r="C265" s="77"/>
      <c r="D265" s="77"/>
      <c r="E265" s="77"/>
      <c r="F265" s="77"/>
      <c r="G265" s="77"/>
      <c r="H265" s="77"/>
      <c r="I265" s="79"/>
      <c r="J265" s="77"/>
      <c r="K265" s="79"/>
      <c r="L265" s="77"/>
      <c r="M265" s="79"/>
      <c r="N265" s="77"/>
      <c r="O265" s="29"/>
      <c r="P265" s="78"/>
      <c r="Q265" s="77"/>
      <c r="R265" s="77"/>
      <c r="S265" s="77"/>
      <c r="T265" s="77"/>
      <c r="U265" s="77"/>
    </row>
    <row r="266" spans="1:21" x14ac:dyDescent="0.2">
      <c r="E266" s="31"/>
      <c r="F266" s="31"/>
      <c r="G266" s="31"/>
      <c r="H266" s="31"/>
      <c r="I266" s="32"/>
      <c r="J266" s="31"/>
      <c r="K266" s="32"/>
      <c r="L266" s="31"/>
      <c r="M266" s="32"/>
      <c r="N266" s="31"/>
    </row>
    <row r="267" spans="1:21" x14ac:dyDescent="0.2">
      <c r="A267" s="3" t="s">
        <v>34</v>
      </c>
      <c r="E267" s="3" t="s">
        <v>35</v>
      </c>
      <c r="F267" s="3"/>
      <c r="G267" s="3"/>
      <c r="H267" s="3"/>
      <c r="I267" s="41" t="s">
        <v>36</v>
      </c>
      <c r="J267" s="3"/>
      <c r="K267" s="41"/>
      <c r="L267" s="3"/>
      <c r="M267" s="41" t="s">
        <v>21</v>
      </c>
      <c r="N267" s="3"/>
      <c r="O267" s="3" t="s">
        <v>37</v>
      </c>
    </row>
    <row r="268" spans="1:21" x14ac:dyDescent="0.2">
      <c r="A268" s="29" t="s">
        <v>38</v>
      </c>
      <c r="B268" s="29" t="s">
        <v>39</v>
      </c>
      <c r="E268" s="29" t="s">
        <v>40</v>
      </c>
      <c r="F268" s="3"/>
      <c r="G268" s="29" t="s">
        <v>41</v>
      </c>
      <c r="H268" s="3"/>
      <c r="I268" s="42" t="s">
        <v>40</v>
      </c>
      <c r="J268" s="3"/>
      <c r="K268" s="42" t="s">
        <v>42</v>
      </c>
      <c r="L268" s="3"/>
      <c r="M268" s="42" t="s">
        <v>23</v>
      </c>
      <c r="N268" s="3"/>
      <c r="O268" s="29" t="s">
        <v>43</v>
      </c>
      <c r="P268" s="29" t="s">
        <v>105</v>
      </c>
    </row>
    <row r="269" spans="1:21" x14ac:dyDescent="0.2">
      <c r="A269" s="3"/>
      <c r="E269" s="31"/>
      <c r="F269" s="31"/>
      <c r="G269" s="31"/>
      <c r="H269" s="31"/>
      <c r="I269" s="32"/>
      <c r="J269" s="31"/>
      <c r="K269" s="32"/>
      <c r="L269" s="31"/>
      <c r="M269" s="32"/>
      <c r="N269" s="31"/>
    </row>
    <row r="270" spans="1:21" x14ac:dyDescent="0.2">
      <c r="A270" s="3"/>
      <c r="B270" s="34" t="s">
        <v>59</v>
      </c>
      <c r="C270" s="34"/>
      <c r="D270" s="34"/>
      <c r="E270" s="31"/>
      <c r="F270" s="31"/>
      <c r="G270" s="31"/>
      <c r="H270" s="31"/>
      <c r="I270" s="32"/>
      <c r="J270" s="31"/>
      <c r="K270" s="32"/>
      <c r="L270" s="31"/>
      <c r="M270" s="32"/>
      <c r="N270" s="31"/>
    </row>
    <row r="271" spans="1:21" x14ac:dyDescent="0.2">
      <c r="A271" s="3"/>
      <c r="I271" s="37"/>
      <c r="K271" s="37"/>
      <c r="M271" s="37"/>
    </row>
    <row r="272" spans="1:21" x14ac:dyDescent="0.2">
      <c r="A272" s="3">
        <v>1</v>
      </c>
      <c r="B272" s="2">
        <v>901</v>
      </c>
      <c r="C272" s="2" t="str">
        <f>C245</f>
        <v>Payroll trended</v>
      </c>
      <c r="E272" s="31">
        <v>0</v>
      </c>
      <c r="F272" s="31"/>
      <c r="G272" s="31">
        <v>0</v>
      </c>
      <c r="H272" s="31"/>
      <c r="I272" s="32">
        <f>E272+G272</f>
        <v>0</v>
      </c>
      <c r="J272" s="31"/>
      <c r="K272" s="32" t="b">
        <f>IF($O272=1,I272*(1+K$12),IF($O272=2,I272*(1+K$13),IF($O272=3,I272*(1+K$14),IF($O272=4,I272*(1+K$15)))))</f>
        <v>0</v>
      </c>
      <c r="L272" s="31"/>
      <c r="M272" s="32" t="b">
        <f>IF($O272=1,K272*(1+M$12),IF($O272=2,K272*(1+M$13),IF($O272=3,K272*(1+M$14),IF($O272=4,K272*(1+M$15)))))</f>
        <v>0</v>
      </c>
      <c r="N272" s="31"/>
      <c r="O272" s="9"/>
    </row>
    <row r="273" spans="1:16" x14ac:dyDescent="0.2">
      <c r="A273" s="3">
        <v>2</v>
      </c>
      <c r="C273" s="2" t="str">
        <f>C246</f>
        <v>Other trended</v>
      </c>
      <c r="E273" s="31">
        <v>0</v>
      </c>
      <c r="F273" s="31"/>
      <c r="G273" s="31">
        <v>0</v>
      </c>
      <c r="H273" s="31"/>
      <c r="I273" s="32">
        <f>E273+G273</f>
        <v>0</v>
      </c>
      <c r="J273" s="31"/>
      <c r="K273" s="32" t="b">
        <f>IF($O273=1,I273*(1+K$12),IF($O273=2,I273*(1+K$13),IF($O273=3,I273*(1+K$14),IF($O273=4,I273*(1+K$15)))))</f>
        <v>0</v>
      </c>
      <c r="L273" s="31"/>
      <c r="M273" s="32" t="b">
        <f>IF($O273=1,K273*(1+M$12),IF($O273=2,K273*(1+M$13),IF($O273=3,K273*(1+M$14),IF($O273=4,K273*(1+M$15)))))</f>
        <v>0</v>
      </c>
      <c r="N273" s="31"/>
      <c r="O273" s="9"/>
    </row>
    <row r="274" spans="1:16" x14ac:dyDescent="0.2">
      <c r="A274" s="3">
        <v>3</v>
      </c>
      <c r="C274" s="2" t="str">
        <f>C247</f>
        <v>Payroll not trended</v>
      </c>
      <c r="E274" s="31">
        <v>0</v>
      </c>
      <c r="F274" s="31"/>
      <c r="G274" s="31">
        <v>0</v>
      </c>
      <c r="H274" s="31"/>
      <c r="I274" s="32">
        <f>E274+G274</f>
        <v>0</v>
      </c>
      <c r="J274" s="31"/>
      <c r="K274" s="32">
        <v>0</v>
      </c>
      <c r="L274" s="31"/>
      <c r="M274" s="32">
        <v>0</v>
      </c>
      <c r="N274" s="31"/>
    </row>
    <row r="275" spans="1:16" x14ac:dyDescent="0.2">
      <c r="A275" s="3">
        <v>4</v>
      </c>
      <c r="C275" s="2" t="str">
        <f>C248</f>
        <v>Other not trended</v>
      </c>
      <c r="E275" s="31">
        <v>0</v>
      </c>
      <c r="F275" s="31"/>
      <c r="G275" s="31">
        <v>0</v>
      </c>
      <c r="H275" s="31"/>
      <c r="I275" s="32">
        <f>E275+G275</f>
        <v>0</v>
      </c>
      <c r="J275" s="31"/>
      <c r="K275" s="32">
        <v>0</v>
      </c>
      <c r="L275" s="31"/>
      <c r="M275" s="32">
        <v>0</v>
      </c>
      <c r="N275" s="31"/>
    </row>
    <row r="276" spans="1:16" x14ac:dyDescent="0.2">
      <c r="A276" s="3"/>
      <c r="E276" s="31"/>
      <c r="F276" s="31"/>
      <c r="G276" s="31"/>
      <c r="H276" s="31"/>
      <c r="I276" s="32"/>
      <c r="J276" s="31"/>
      <c r="K276" s="32"/>
      <c r="L276" s="31"/>
      <c r="M276" s="32"/>
      <c r="N276" s="31"/>
    </row>
    <row r="277" spans="1:16" x14ac:dyDescent="0.2">
      <c r="A277" s="3">
        <v>5</v>
      </c>
      <c r="C277" s="2" t="s">
        <v>48</v>
      </c>
      <c r="E277" s="33">
        <f>SUM(E272:E275)</f>
        <v>0</v>
      </c>
      <c r="F277" s="31"/>
      <c r="G277" s="33">
        <f>SUM(G272:G275)</f>
        <v>0</v>
      </c>
      <c r="H277" s="31"/>
      <c r="I277" s="33">
        <f>SUM(I272:I275)</f>
        <v>0</v>
      </c>
      <c r="J277" s="31"/>
      <c r="K277" s="33">
        <f>SUM(K272:K275)</f>
        <v>0</v>
      </c>
      <c r="L277" s="31"/>
      <c r="M277" s="33">
        <f>SUM(M272:M275)</f>
        <v>0</v>
      </c>
      <c r="N277" s="31"/>
    </row>
    <row r="278" spans="1:16" x14ac:dyDescent="0.2">
      <c r="A278" s="3"/>
      <c r="E278" s="35"/>
      <c r="N278" s="31"/>
    </row>
    <row r="279" spans="1:16" x14ac:dyDescent="0.2">
      <c r="A279" s="3">
        <v>6</v>
      </c>
      <c r="B279" s="2">
        <v>902</v>
      </c>
      <c r="C279" s="2" t="str">
        <f>C272</f>
        <v>Payroll trended</v>
      </c>
      <c r="E279" s="31">
        <v>185006.45</v>
      </c>
      <c r="F279" s="31"/>
      <c r="G279" s="31">
        <v>0</v>
      </c>
      <c r="H279" s="31"/>
      <c r="I279" s="32">
        <f>E279+G279</f>
        <v>185006.45</v>
      </c>
      <c r="J279" s="31"/>
      <c r="K279" s="32">
        <f>IF($O279=1,I279*(1+K$12),IF($O279=2,I279*(1+K$13),IF($O279=3,I279*(1+K$14),IF($O279=4,I279*(1+K$15)))))</f>
        <v>194256.77250000002</v>
      </c>
      <c r="L279" s="31"/>
      <c r="M279" s="32">
        <f>IF($O279=1,K279*(1+M$12),IF($O279=2,K279*(1+M$13),IF($O279=3,K279*(1+M$14),IF($O279=4,K279*(1+M$15)))))</f>
        <v>203969.61112500002</v>
      </c>
      <c r="N279" s="31"/>
      <c r="O279" s="9">
        <v>1</v>
      </c>
    </row>
    <row r="280" spans="1:16" x14ac:dyDescent="0.2">
      <c r="A280" s="3">
        <v>7</v>
      </c>
      <c r="C280" s="2" t="str">
        <f>C273</f>
        <v>Other trended</v>
      </c>
      <c r="E280" s="31">
        <v>1199346.94</v>
      </c>
      <c r="F280" s="31"/>
      <c r="G280" s="31">
        <v>0</v>
      </c>
      <c r="H280" s="31"/>
      <c r="I280" s="32">
        <f>E280+G280</f>
        <v>1199346.94</v>
      </c>
      <c r="J280" s="31"/>
      <c r="K280" s="32">
        <f>IF($O280=1,I280*(1+K$12),IF($O280=2,I280*(1+K$13),IF($O280=3,I280*(1+K$14),IF($O280=4,I280*(1+K$15)))))</f>
        <v>1279943.0543679998</v>
      </c>
      <c r="L280" s="31"/>
      <c r="M280" s="32">
        <f>IF($O280=1,K280*(1+M$12),IF($O280=2,K280*(1+M$13),IF($O280=3,K280*(1+M$14),IF($O280=4,K280*(1+M$15)))))</f>
        <v>1350339.9223582398</v>
      </c>
      <c r="N280" s="31"/>
      <c r="O280" s="9">
        <v>3</v>
      </c>
    </row>
    <row r="281" spans="1:16" x14ac:dyDescent="0.2">
      <c r="A281" s="3">
        <v>8</v>
      </c>
      <c r="C281" s="2" t="str">
        <f>C274</f>
        <v>Payroll not trended</v>
      </c>
      <c r="E281" s="31">
        <v>0</v>
      </c>
      <c r="F281" s="31"/>
      <c r="G281" s="31">
        <v>0</v>
      </c>
      <c r="H281" s="31"/>
      <c r="I281" s="32">
        <f>E281+G281</f>
        <v>0</v>
      </c>
      <c r="J281" s="31"/>
      <c r="K281" s="32">
        <v>0</v>
      </c>
      <c r="L281" s="31"/>
      <c r="M281" s="32">
        <v>0</v>
      </c>
      <c r="N281" s="31"/>
    </row>
    <row r="282" spans="1:16" x14ac:dyDescent="0.2">
      <c r="A282" s="3">
        <v>9</v>
      </c>
      <c r="C282" s="2" t="str">
        <f>C275</f>
        <v>Other not trended</v>
      </c>
      <c r="E282" s="31">
        <v>0</v>
      </c>
      <c r="F282" s="31"/>
      <c r="G282" s="31">
        <v>0</v>
      </c>
      <c r="H282" s="31"/>
      <c r="I282" s="32">
        <f>E282+G282</f>
        <v>0</v>
      </c>
      <c r="J282" s="31"/>
      <c r="K282" s="32">
        <v>0</v>
      </c>
      <c r="L282" s="31"/>
      <c r="M282" s="32">
        <v>0</v>
      </c>
      <c r="N282" s="31"/>
      <c r="P282" s="43"/>
    </row>
    <row r="283" spans="1:16" x14ac:dyDescent="0.2">
      <c r="A283" s="3"/>
      <c r="E283" s="31"/>
      <c r="F283" s="31"/>
      <c r="G283" s="31"/>
      <c r="H283" s="31"/>
      <c r="I283" s="32"/>
      <c r="J283" s="31"/>
      <c r="K283" s="32"/>
      <c r="L283" s="31"/>
      <c r="M283" s="32"/>
      <c r="N283" s="31"/>
    </row>
    <row r="284" spans="1:16" x14ac:dyDescent="0.2">
      <c r="A284" s="3">
        <v>10</v>
      </c>
      <c r="C284" s="2" t="s">
        <v>48</v>
      </c>
      <c r="E284" s="33">
        <f>SUM(E279:E282)</f>
        <v>1384353.39</v>
      </c>
      <c r="F284" s="31"/>
      <c r="G284" s="33">
        <f>SUM(G279:G282)</f>
        <v>0</v>
      </c>
      <c r="H284" s="31"/>
      <c r="I284" s="33">
        <f>SUM(I279:I282)</f>
        <v>1384353.39</v>
      </c>
      <c r="J284" s="31"/>
      <c r="K284" s="33">
        <f>SUM(K279:K282)</f>
        <v>1474199.8268679997</v>
      </c>
      <c r="L284" s="31"/>
      <c r="M284" s="33">
        <f>SUM(M279:M282)</f>
        <v>1554309.5334832398</v>
      </c>
      <c r="N284" s="31"/>
      <c r="P284" s="3" t="s">
        <v>115</v>
      </c>
    </row>
    <row r="285" spans="1:16" x14ac:dyDescent="0.2">
      <c r="A285" s="3"/>
      <c r="E285" s="35"/>
    </row>
    <row r="286" spans="1:16" x14ac:dyDescent="0.2">
      <c r="A286" s="3">
        <v>11</v>
      </c>
      <c r="B286" s="2">
        <v>903</v>
      </c>
      <c r="C286" s="2" t="str">
        <f>C279</f>
        <v>Payroll trended</v>
      </c>
      <c r="E286" s="31">
        <v>7504017.9400000004</v>
      </c>
      <c r="F286" s="31"/>
      <c r="G286" s="31">
        <v>0</v>
      </c>
      <c r="H286" s="31"/>
      <c r="I286" s="32">
        <f>E286+G286</f>
        <v>7504017.9400000004</v>
      </c>
      <c r="J286" s="31"/>
      <c r="K286" s="32">
        <f>IF($O286=1,I286*(1+K$12),IF($O286=2,I286*(1+K$13),IF($O286=3,I286*(1+K$14),IF($O286=4,I286*(1+K$15)))))</f>
        <v>7879218.8370000012</v>
      </c>
      <c r="L286" s="31"/>
      <c r="M286" s="32">
        <f>IF($O286=1,K286*(1+M$12),IF($O286=2,K286*(1+M$13),IF($O286=3,K286*(1+M$14),IF($O286=4,K286*(1+M$15)))))</f>
        <v>8273179.7788500013</v>
      </c>
      <c r="N286" s="31"/>
      <c r="O286" s="9">
        <v>1</v>
      </c>
    </row>
    <row r="287" spans="1:16" x14ac:dyDescent="0.2">
      <c r="A287" s="3">
        <v>12</v>
      </c>
      <c r="C287" s="2" t="str">
        <f>C280</f>
        <v>Other trended</v>
      </c>
      <c r="E287" s="31">
        <v>3519536.18</v>
      </c>
      <c r="F287" s="31"/>
      <c r="G287" s="31">
        <v>0</v>
      </c>
      <c r="H287" s="31"/>
      <c r="I287" s="32">
        <f>E287+G287</f>
        <v>3519536.18</v>
      </c>
      <c r="J287" s="31"/>
      <c r="K287" s="32">
        <f>IF($O287=1,I287*(1+K$12),IF($O287=2,I287*(1+K$13),IF($O287=3,I287*(1+K$14),IF($O287=4,I287*(1+K$15)))))</f>
        <v>3756049.0112959999</v>
      </c>
      <c r="L287" s="31"/>
      <c r="M287" s="32">
        <f>IF($O287=1,K287*(1+M$12),IF($O287=2,K287*(1+M$13),IF($O287=3,K287*(1+M$14),IF($O287=4,K287*(1+M$15)))))</f>
        <v>3962631.7069172794</v>
      </c>
      <c r="N287" s="31"/>
      <c r="O287" s="9">
        <v>3</v>
      </c>
    </row>
    <row r="288" spans="1:16" x14ac:dyDescent="0.2">
      <c r="A288" s="3">
        <v>13</v>
      </c>
      <c r="C288" s="2" t="str">
        <f>C281</f>
        <v>Payroll not trended</v>
      </c>
      <c r="E288" s="31">
        <v>0</v>
      </c>
      <c r="F288" s="31"/>
      <c r="G288" s="31">
        <v>0</v>
      </c>
      <c r="H288" s="31"/>
      <c r="I288" s="32">
        <f>E288+G288</f>
        <v>0</v>
      </c>
      <c r="J288" s="31"/>
      <c r="K288" s="32">
        <f>'SCHG2-19c to 19e'!F107</f>
        <v>149419.72464532751</v>
      </c>
      <c r="L288" s="31"/>
      <c r="M288" s="32">
        <f>'SCHG2-19c to 19e'!I107</f>
        <v>465508.945721358</v>
      </c>
      <c r="N288" s="31"/>
      <c r="O288" s="3" t="s">
        <v>385</v>
      </c>
      <c r="P288" s="38"/>
    </row>
    <row r="289" spans="1:22" x14ac:dyDescent="0.2">
      <c r="A289" s="3">
        <v>14</v>
      </c>
      <c r="C289" s="2" t="str">
        <f>C282</f>
        <v>Other not trended</v>
      </c>
      <c r="E289" s="31">
        <v>2168369.2799999998</v>
      </c>
      <c r="F289" s="31"/>
      <c r="G289" s="31">
        <v>0</v>
      </c>
      <c r="H289" s="31"/>
      <c r="I289" s="32">
        <f>E289+G289</f>
        <v>2168369.2799999998</v>
      </c>
      <c r="J289" s="31"/>
      <c r="K289" s="32">
        <f>'SCHG2-19b'!G24</f>
        <v>2224004.3099999996</v>
      </c>
      <c r="L289" s="31"/>
      <c r="M289" s="32">
        <f>'SCHG2-19b'!I24</f>
        <v>2297213.1599999997</v>
      </c>
      <c r="N289" s="31"/>
      <c r="O289" s="3" t="s">
        <v>383</v>
      </c>
      <c r="V289" s="1"/>
    </row>
    <row r="290" spans="1:22" x14ac:dyDescent="0.2">
      <c r="A290" s="3"/>
      <c r="E290" s="31"/>
      <c r="F290" s="31"/>
      <c r="G290" s="31"/>
      <c r="H290" s="31"/>
      <c r="I290" s="32"/>
      <c r="J290" s="31"/>
      <c r="K290" s="32"/>
      <c r="L290" s="31"/>
      <c r="M290" s="32"/>
      <c r="N290" s="31"/>
      <c r="O290" s="46"/>
    </row>
    <row r="291" spans="1:22" x14ac:dyDescent="0.2">
      <c r="A291" s="3">
        <v>15</v>
      </c>
      <c r="C291" s="2" t="s">
        <v>48</v>
      </c>
      <c r="E291" s="33">
        <f>SUM(E286:E289)</f>
        <v>13191923.4</v>
      </c>
      <c r="F291" s="31"/>
      <c r="G291" s="33">
        <f>SUM(G286:G289)</f>
        <v>0</v>
      </c>
      <c r="H291" s="31"/>
      <c r="I291" s="33">
        <f>SUM(I286:I289)</f>
        <v>13191923.4</v>
      </c>
      <c r="J291" s="31"/>
      <c r="K291" s="33">
        <f>SUM(K286:K289)</f>
        <v>14008691.882941328</v>
      </c>
      <c r="L291" s="31"/>
      <c r="M291" s="33">
        <f>SUM(M286:M289)</f>
        <v>14998533.591488639</v>
      </c>
      <c r="N291" s="31"/>
      <c r="P291" s="3" t="s">
        <v>440</v>
      </c>
    </row>
    <row r="292" spans="1:22" x14ac:dyDescent="0.2">
      <c r="A292" s="3"/>
      <c r="E292" s="35"/>
    </row>
    <row r="293" spans="1:22" x14ac:dyDescent="0.2">
      <c r="A293" s="3">
        <v>16</v>
      </c>
      <c r="B293" s="2">
        <v>904</v>
      </c>
      <c r="C293" s="2" t="str">
        <f>C286</f>
        <v>Payroll trended</v>
      </c>
      <c r="E293" s="31">
        <v>0</v>
      </c>
      <c r="F293" s="31"/>
      <c r="G293" s="31">
        <v>0</v>
      </c>
      <c r="H293" s="31"/>
      <c r="I293" s="32">
        <f>E293+G293</f>
        <v>0</v>
      </c>
      <c r="J293" s="31"/>
      <c r="K293" s="32" t="b">
        <f>IF($O293=1,I293*(1+K$12),IF($O293=2,I293*(1+K$13),IF($O293=3,I293*(1+K$14),IF($O293=4,I293*(1+K$15)))))</f>
        <v>0</v>
      </c>
      <c r="L293" s="31"/>
      <c r="M293" s="32" t="b">
        <f>IF($O293=1,K293*(1+M$12),IF($O293=2,K293*(1+M$13),IF($O293=3,K293*(1+M$14),IF($O293=4,K293*(1+M$15)))))</f>
        <v>0</v>
      </c>
      <c r="N293" s="31"/>
      <c r="O293" s="9"/>
    </row>
    <row r="294" spans="1:22" x14ac:dyDescent="0.2">
      <c r="A294" s="3">
        <v>17</v>
      </c>
      <c r="C294" s="2" t="str">
        <f>C287</f>
        <v>Other trended</v>
      </c>
      <c r="E294" s="31">
        <v>0</v>
      </c>
      <c r="F294" s="31"/>
      <c r="G294" s="31">
        <v>0</v>
      </c>
      <c r="H294" s="31"/>
      <c r="I294" s="32">
        <f>E294+G294</f>
        <v>0</v>
      </c>
      <c r="J294" s="31"/>
      <c r="K294" s="32">
        <v>0</v>
      </c>
      <c r="L294" s="31"/>
      <c r="M294" s="32">
        <v>0</v>
      </c>
      <c r="N294" s="31"/>
      <c r="O294" s="9"/>
    </row>
    <row r="295" spans="1:22" x14ac:dyDescent="0.2">
      <c r="A295" s="3">
        <v>18</v>
      </c>
      <c r="C295" s="2" t="str">
        <f>C288</f>
        <v>Payroll not trended</v>
      </c>
      <c r="E295" s="31">
        <v>0</v>
      </c>
      <c r="F295" s="31"/>
      <c r="G295" s="31">
        <v>0</v>
      </c>
      <c r="H295" s="31"/>
      <c r="I295" s="32">
        <f>E295+G295</f>
        <v>0</v>
      </c>
      <c r="J295" s="31"/>
      <c r="K295" s="32">
        <v>0</v>
      </c>
      <c r="L295" s="31"/>
      <c r="M295" s="32">
        <v>0</v>
      </c>
      <c r="N295" s="31"/>
    </row>
    <row r="296" spans="1:22" x14ac:dyDescent="0.2">
      <c r="A296" s="3">
        <v>19</v>
      </c>
      <c r="C296" s="2" t="str">
        <f>C289</f>
        <v>Other not trended</v>
      </c>
      <c r="E296" s="31">
        <v>990791.75</v>
      </c>
      <c r="F296" s="31"/>
      <c r="G296" s="31">
        <v>0</v>
      </c>
      <c r="H296" s="31"/>
      <c r="I296" s="32">
        <f>E296+G296</f>
        <v>990791.75</v>
      </c>
      <c r="J296" s="31"/>
      <c r="K296" s="32">
        <f>'SCHG2-19b'!G26</f>
        <v>1182904.1730407998</v>
      </c>
      <c r="L296" s="31"/>
      <c r="M296" s="32">
        <f>'SCHG2-19b'!I26</f>
        <v>1611232.4925744</v>
      </c>
      <c r="N296" s="31"/>
      <c r="O296" s="3" t="s">
        <v>383</v>
      </c>
      <c r="V296" s="4"/>
    </row>
    <row r="297" spans="1:22" x14ac:dyDescent="0.2">
      <c r="A297" s="3"/>
      <c r="E297" s="31"/>
      <c r="F297" s="31"/>
      <c r="G297" s="31"/>
      <c r="H297" s="31"/>
      <c r="I297" s="32"/>
      <c r="J297" s="31"/>
      <c r="K297" s="32"/>
      <c r="L297" s="31"/>
      <c r="M297" s="32"/>
      <c r="N297" s="31"/>
    </row>
    <row r="298" spans="1:22" x14ac:dyDescent="0.2">
      <c r="A298" s="3">
        <v>20</v>
      </c>
      <c r="C298" s="2" t="s">
        <v>48</v>
      </c>
      <c r="E298" s="33">
        <f>SUM(E293:E296)</f>
        <v>990791.75</v>
      </c>
      <c r="F298" s="31"/>
      <c r="G298" s="33">
        <f>SUM(G293:G296)</f>
        <v>0</v>
      </c>
      <c r="H298" s="31"/>
      <c r="I298" s="33">
        <f>SUM(I293:I296)</f>
        <v>990791.75</v>
      </c>
      <c r="J298" s="31"/>
      <c r="K298" s="33">
        <f>SUM(K293:K296)</f>
        <v>1182904.1730407998</v>
      </c>
      <c r="L298" s="31"/>
      <c r="M298" s="33">
        <f>SUM(M293:M296)</f>
        <v>1611232.4925744</v>
      </c>
      <c r="N298" s="31"/>
      <c r="P298" s="3" t="s">
        <v>112</v>
      </c>
    </row>
    <row r="299" spans="1:22" x14ac:dyDescent="0.2">
      <c r="A299" s="3"/>
      <c r="E299" s="35"/>
      <c r="N299" s="31"/>
    </row>
    <row r="300" spans="1:22" x14ac:dyDescent="0.2">
      <c r="A300" s="3"/>
      <c r="E300" s="31"/>
      <c r="F300" s="31"/>
      <c r="G300" s="31"/>
      <c r="H300" s="31"/>
      <c r="I300" s="32"/>
      <c r="J300" s="31"/>
      <c r="K300" s="32"/>
      <c r="L300" s="31"/>
      <c r="M300" s="32"/>
      <c r="N300" s="31"/>
    </row>
    <row r="301" spans="1:22" ht="13.5" thickBot="1" x14ac:dyDescent="0.25">
      <c r="A301" s="3">
        <v>21</v>
      </c>
      <c r="B301" s="4" t="s">
        <v>60</v>
      </c>
      <c r="E301" s="45">
        <f>E277+E284+E291+E298</f>
        <v>15567068.540000001</v>
      </c>
      <c r="F301" s="31"/>
      <c r="G301" s="45">
        <f>G277+G284+G291+G298</f>
        <v>0</v>
      </c>
      <c r="H301" s="31"/>
      <c r="I301" s="45">
        <f>I277+I284+I291+I298</f>
        <v>15567068.540000001</v>
      </c>
      <c r="J301" s="31"/>
      <c r="K301" s="45">
        <f>K277+K284+K291+K298</f>
        <v>16665795.882850127</v>
      </c>
      <c r="L301" s="31"/>
      <c r="M301" s="45">
        <f>M277+M284+M291+M298</f>
        <v>18164075.617546279</v>
      </c>
      <c r="N301" s="31"/>
    </row>
    <row r="302" spans="1:22" ht="13.5" thickTop="1" x14ac:dyDescent="0.2">
      <c r="A302" s="3"/>
      <c r="E302" s="31"/>
      <c r="F302" s="31"/>
      <c r="G302" s="31"/>
      <c r="H302" s="31"/>
      <c r="I302" s="32"/>
      <c r="J302" s="31"/>
      <c r="K302" s="32"/>
      <c r="L302" s="31"/>
      <c r="M302" s="32"/>
      <c r="N302" s="31"/>
    </row>
    <row r="303" spans="1:22" x14ac:dyDescent="0.2">
      <c r="A303" s="3"/>
      <c r="E303" s="31"/>
      <c r="F303" s="31"/>
      <c r="G303" s="31"/>
      <c r="H303" s="31"/>
      <c r="I303" s="32"/>
      <c r="J303" s="31"/>
      <c r="K303" s="32"/>
      <c r="L303" s="31"/>
      <c r="M303" s="32"/>
      <c r="N303" s="31"/>
    </row>
    <row r="304" spans="1:22" x14ac:dyDescent="0.2">
      <c r="A304" s="1" t="s">
        <v>0</v>
      </c>
      <c r="I304" s="39" t="s">
        <v>52</v>
      </c>
      <c r="J304" s="1"/>
      <c r="K304" s="37"/>
      <c r="M304" s="37"/>
      <c r="O304" s="3" t="s">
        <v>1</v>
      </c>
      <c r="T304" s="1" t="s">
        <v>61</v>
      </c>
    </row>
    <row r="305" spans="1:21" x14ac:dyDescent="0.2">
      <c r="A305" s="77"/>
      <c r="B305" s="77"/>
      <c r="C305" s="77"/>
      <c r="D305" s="77"/>
      <c r="E305" s="77"/>
      <c r="F305" s="77"/>
      <c r="G305" s="77"/>
      <c r="H305" s="77"/>
      <c r="I305" s="79"/>
      <c r="J305" s="77"/>
      <c r="K305" s="79"/>
      <c r="L305" s="77"/>
      <c r="M305" s="79"/>
      <c r="N305" s="77"/>
      <c r="O305" s="29"/>
      <c r="P305" s="78"/>
      <c r="Q305" s="77"/>
      <c r="R305" s="77"/>
      <c r="S305" s="77"/>
      <c r="T305" s="77"/>
      <c r="U305" s="77"/>
    </row>
    <row r="306" spans="1:21" x14ac:dyDescent="0.2">
      <c r="A306" s="1" t="s">
        <v>3</v>
      </c>
      <c r="I306" s="37"/>
      <c r="K306" s="37"/>
      <c r="M306" s="37"/>
      <c r="O306" s="3" t="s">
        <v>4</v>
      </c>
      <c r="T306" s="1" t="s">
        <v>5</v>
      </c>
    </row>
    <row r="307" spans="1:21" x14ac:dyDescent="0.2">
      <c r="I307" s="37"/>
      <c r="K307" s="37"/>
      <c r="M307" s="37"/>
      <c r="O307" s="3" t="s">
        <v>6</v>
      </c>
      <c r="T307" s="1" t="s">
        <v>7</v>
      </c>
      <c r="U307" s="4" t="str">
        <f>U$4</f>
        <v>12/31/22</v>
      </c>
    </row>
    <row r="308" spans="1:21" x14ac:dyDescent="0.2">
      <c r="A308" s="1" t="s">
        <v>11</v>
      </c>
      <c r="C308" s="1" t="s">
        <v>85</v>
      </c>
      <c r="I308" s="37"/>
      <c r="K308" s="37"/>
      <c r="M308" s="37"/>
      <c r="O308" s="3" t="s">
        <v>12</v>
      </c>
      <c r="T308" s="1" t="s">
        <v>13</v>
      </c>
      <c r="U308" s="4" t="str">
        <f>U$5</f>
        <v>12/31/23</v>
      </c>
    </row>
    <row r="309" spans="1:21" x14ac:dyDescent="0.2">
      <c r="I309" s="37"/>
      <c r="K309" s="37"/>
      <c r="M309" s="37"/>
      <c r="T309" s="2" t="s">
        <v>14</v>
      </c>
      <c r="U309" s="4" t="str">
        <f>U$6</f>
        <v>12/31/24</v>
      </c>
    </row>
    <row r="310" spans="1:21" x14ac:dyDescent="0.2">
      <c r="A310" s="68" t="str">
        <f>A$7</f>
        <v xml:space="preserve">DOCKET NO.:  </v>
      </c>
      <c r="C310" s="40" t="s">
        <v>88</v>
      </c>
      <c r="I310" s="37"/>
      <c r="K310" s="39"/>
      <c r="L310" s="1"/>
      <c r="M310" s="39"/>
      <c r="N310" s="1"/>
      <c r="Q310" s="6"/>
      <c r="T310" s="2" t="s">
        <v>18</v>
      </c>
      <c r="U310" s="2" t="s">
        <v>87</v>
      </c>
    </row>
    <row r="311" spans="1:21" x14ac:dyDescent="0.2">
      <c r="I311" s="37"/>
      <c r="K311" s="37"/>
      <c r="M311" s="37"/>
    </row>
    <row r="312" spans="1:21" x14ac:dyDescent="0.2">
      <c r="A312" s="77"/>
      <c r="B312" s="77"/>
      <c r="C312" s="77"/>
      <c r="D312" s="77"/>
      <c r="E312" s="77"/>
      <c r="F312" s="77"/>
      <c r="G312" s="77"/>
      <c r="H312" s="77"/>
      <c r="I312" s="79"/>
      <c r="J312" s="77"/>
      <c r="K312" s="79"/>
      <c r="L312" s="77"/>
      <c r="M312" s="79"/>
      <c r="N312" s="77"/>
      <c r="O312" s="29"/>
      <c r="P312" s="78"/>
      <c r="Q312" s="77"/>
      <c r="R312" s="77"/>
      <c r="S312" s="77"/>
      <c r="T312" s="77"/>
      <c r="U312" s="77"/>
    </row>
    <row r="313" spans="1:21" x14ac:dyDescent="0.2">
      <c r="E313" s="31"/>
      <c r="F313" s="31"/>
      <c r="G313" s="31"/>
      <c r="H313" s="31"/>
      <c r="I313" s="32"/>
      <c r="J313" s="31"/>
      <c r="K313" s="32"/>
      <c r="L313" s="31"/>
      <c r="M313" s="32"/>
      <c r="N313" s="31"/>
    </row>
    <row r="314" spans="1:21" x14ac:dyDescent="0.2">
      <c r="A314" s="3" t="s">
        <v>34</v>
      </c>
      <c r="E314" s="3" t="s">
        <v>35</v>
      </c>
      <c r="F314" s="3"/>
      <c r="G314" s="3"/>
      <c r="H314" s="3"/>
      <c r="I314" s="41" t="s">
        <v>36</v>
      </c>
      <c r="J314" s="3"/>
      <c r="K314" s="41"/>
      <c r="L314" s="3"/>
      <c r="M314" s="41" t="s">
        <v>21</v>
      </c>
      <c r="N314" s="3"/>
      <c r="O314" s="3" t="s">
        <v>37</v>
      </c>
    </row>
    <row r="315" spans="1:21" x14ac:dyDescent="0.2">
      <c r="A315" s="29" t="s">
        <v>38</v>
      </c>
      <c r="B315" s="29" t="s">
        <v>39</v>
      </c>
      <c r="E315" s="29" t="s">
        <v>40</v>
      </c>
      <c r="F315" s="3"/>
      <c r="G315" s="29" t="s">
        <v>41</v>
      </c>
      <c r="H315" s="3"/>
      <c r="I315" s="42" t="s">
        <v>40</v>
      </c>
      <c r="J315" s="3"/>
      <c r="K315" s="42" t="s">
        <v>42</v>
      </c>
      <c r="L315" s="3"/>
      <c r="M315" s="42" t="s">
        <v>23</v>
      </c>
      <c r="N315" s="3"/>
      <c r="O315" s="29" t="s">
        <v>43</v>
      </c>
    </row>
    <row r="316" spans="1:21" x14ac:dyDescent="0.2">
      <c r="A316" s="3"/>
      <c r="E316" s="31"/>
      <c r="F316" s="31"/>
      <c r="G316" s="31"/>
      <c r="H316" s="31"/>
      <c r="I316" s="32"/>
      <c r="J316" s="31"/>
      <c r="K316" s="32"/>
      <c r="L316" s="31"/>
      <c r="M316" s="32"/>
      <c r="N316" s="31"/>
    </row>
    <row r="317" spans="1:21" x14ac:dyDescent="0.2">
      <c r="A317" s="3"/>
      <c r="B317" s="34" t="s">
        <v>62</v>
      </c>
      <c r="C317" s="34"/>
      <c r="D317" s="34"/>
      <c r="E317" s="31"/>
      <c r="F317" s="31"/>
      <c r="G317" s="31"/>
      <c r="H317" s="31"/>
      <c r="I317" s="32"/>
      <c r="J317" s="31"/>
      <c r="K317" s="32"/>
      <c r="L317" s="31"/>
      <c r="M317" s="32"/>
      <c r="N317" s="31"/>
    </row>
    <row r="318" spans="1:21" x14ac:dyDescent="0.2">
      <c r="A318" s="3"/>
      <c r="I318" s="37"/>
      <c r="K318" s="37"/>
      <c r="M318" s="37"/>
    </row>
    <row r="319" spans="1:21" x14ac:dyDescent="0.2">
      <c r="A319" s="3">
        <v>1</v>
      </c>
      <c r="B319" s="17" t="s">
        <v>63</v>
      </c>
      <c r="C319" s="2" t="str">
        <f>C293</f>
        <v>Payroll trended</v>
      </c>
      <c r="E319" s="31">
        <v>428301.79</v>
      </c>
      <c r="F319" s="31"/>
      <c r="G319" s="31">
        <v>-428301.79</v>
      </c>
      <c r="H319" s="31"/>
      <c r="I319" s="32">
        <f>E319+G319</f>
        <v>0</v>
      </c>
      <c r="J319" s="31"/>
      <c r="K319" s="32" t="b">
        <f>IF($O319=1,I319*(1+K$12),IF($O319=2,I319*(1+K$13),IF($O319=3,I319*(1+K$14),IF($O319=4,I319*(1+K$15)))))</f>
        <v>0</v>
      </c>
      <c r="L319" s="31"/>
      <c r="M319" s="32" t="b">
        <f>IF($O319=1,K319*(1+M$12),IF($O319=2,K319*(1+M$13),IF($O319=3,K319*(1+M$14),IF($O319=4,K319*(1+M$15)))))</f>
        <v>0</v>
      </c>
      <c r="N319" s="31"/>
      <c r="O319" s="9"/>
      <c r="T319" s="2" t="s">
        <v>64</v>
      </c>
    </row>
    <row r="320" spans="1:21" x14ac:dyDescent="0.2">
      <c r="A320" s="3">
        <v>2</v>
      </c>
      <c r="C320" s="2" t="str">
        <f>C294</f>
        <v>Other trended</v>
      </c>
      <c r="E320" s="31">
        <v>22396349.289999999</v>
      </c>
      <c r="F320" s="31"/>
      <c r="G320" s="31">
        <v>-22396349.289999999</v>
      </c>
      <c r="H320" s="31"/>
      <c r="I320" s="32">
        <f>E320+G320</f>
        <v>0</v>
      </c>
      <c r="J320" s="31"/>
      <c r="K320" s="32" t="b">
        <f>IF($O320=1,I320*(1+K$12),IF($O320=2,I320*(1+K$13),IF($O320=3,I320*(1+K$14),IF($O320=4,I320*(1+K$15)))))</f>
        <v>0</v>
      </c>
      <c r="L320" s="31"/>
      <c r="M320" s="32" t="b">
        <f>IF($O320=1,K320*(1+M$12),IF($O320=2,K320*(1+M$13),IF($O320=3,K320*(1+M$14),IF($O320=4,K320*(1+M$15)))))</f>
        <v>0</v>
      </c>
      <c r="N320" s="31"/>
      <c r="O320" s="9"/>
      <c r="T320" s="2" t="s">
        <v>65</v>
      </c>
    </row>
    <row r="321" spans="1:21" x14ac:dyDescent="0.2">
      <c r="A321" s="3">
        <v>3</v>
      </c>
      <c r="C321" s="2" t="str">
        <f>C295</f>
        <v>Payroll not trended</v>
      </c>
      <c r="E321" s="31">
        <v>0</v>
      </c>
      <c r="F321" s="31"/>
      <c r="G321" s="31">
        <v>0</v>
      </c>
      <c r="H321" s="31"/>
      <c r="I321" s="32">
        <f>E321+G321</f>
        <v>0</v>
      </c>
      <c r="J321" s="31"/>
      <c r="K321" s="32">
        <v>0</v>
      </c>
      <c r="L321" s="31"/>
      <c r="M321" s="32">
        <v>0</v>
      </c>
      <c r="N321" s="31"/>
      <c r="T321" s="2" t="s">
        <v>66</v>
      </c>
    </row>
    <row r="322" spans="1:21" x14ac:dyDescent="0.2">
      <c r="A322" s="3">
        <v>4</v>
      </c>
      <c r="C322" s="2" t="str">
        <f>C296</f>
        <v>Other not trended</v>
      </c>
      <c r="E322" s="31">
        <v>0</v>
      </c>
      <c r="F322" s="31"/>
      <c r="G322" s="31">
        <v>0</v>
      </c>
      <c r="H322" s="31"/>
      <c r="I322" s="32">
        <f>E322+G322</f>
        <v>0</v>
      </c>
      <c r="J322" s="31"/>
      <c r="K322" s="32">
        <v>0</v>
      </c>
      <c r="L322" s="31"/>
      <c r="M322" s="32">
        <v>0</v>
      </c>
      <c r="N322" s="31"/>
      <c r="T322" s="4" t="s">
        <v>67</v>
      </c>
    </row>
    <row r="323" spans="1:21" x14ac:dyDescent="0.2">
      <c r="A323" s="3"/>
      <c r="E323" s="31"/>
      <c r="F323" s="31"/>
      <c r="G323" s="31"/>
      <c r="H323" s="31"/>
      <c r="I323" s="32"/>
      <c r="J323" s="31"/>
      <c r="K323" s="32"/>
      <c r="L323" s="31"/>
      <c r="M323" s="32"/>
      <c r="N323" s="31"/>
    </row>
    <row r="324" spans="1:21" x14ac:dyDescent="0.2">
      <c r="A324" s="3">
        <v>5</v>
      </c>
      <c r="C324" s="2" t="s">
        <v>48</v>
      </c>
      <c r="E324" s="33">
        <f>SUM(E319:E322)</f>
        <v>22824651.079999998</v>
      </c>
      <c r="F324" s="31"/>
      <c r="G324" s="33">
        <f>SUM(G319:G322)</f>
        <v>-22824651.079999998</v>
      </c>
      <c r="H324" s="31"/>
      <c r="I324" s="33">
        <f>SUM(I319:I322)</f>
        <v>0</v>
      </c>
      <c r="J324" s="31"/>
      <c r="K324" s="33">
        <f>SUM(K319:K322)</f>
        <v>0</v>
      </c>
      <c r="L324" s="31"/>
      <c r="M324" s="33">
        <f>SUM(M319:M322)</f>
        <v>0</v>
      </c>
      <c r="N324" s="31"/>
    </row>
    <row r="325" spans="1:21" x14ac:dyDescent="0.2">
      <c r="A325" s="3"/>
      <c r="E325" s="35"/>
      <c r="N325" s="31"/>
    </row>
    <row r="326" spans="1:21" x14ac:dyDescent="0.2">
      <c r="A326" s="3"/>
      <c r="E326" s="31"/>
      <c r="F326" s="31"/>
      <c r="G326" s="31"/>
      <c r="H326" s="31"/>
      <c r="I326" s="32"/>
      <c r="J326" s="31"/>
      <c r="K326" s="32"/>
      <c r="L326" s="31"/>
      <c r="M326" s="32"/>
      <c r="N326" s="31"/>
    </row>
    <row r="327" spans="1:21" ht="13.5" thickBot="1" x14ac:dyDescent="0.25">
      <c r="A327" s="3">
        <v>6</v>
      </c>
      <c r="B327" s="2" t="s">
        <v>68</v>
      </c>
      <c r="E327" s="45">
        <f>E324</f>
        <v>22824651.079999998</v>
      </c>
      <c r="F327" s="31"/>
      <c r="G327" s="45">
        <f>G324</f>
        <v>-22824651.079999998</v>
      </c>
      <c r="H327" s="31"/>
      <c r="I327" s="47">
        <f>I324</f>
        <v>0</v>
      </c>
      <c r="J327" s="31"/>
      <c r="K327" s="47">
        <f>K324</f>
        <v>0</v>
      </c>
      <c r="L327" s="31"/>
      <c r="M327" s="47">
        <f>M324</f>
        <v>0</v>
      </c>
      <c r="N327" s="31"/>
    </row>
    <row r="328" spans="1:21" ht="13.5" thickTop="1" x14ac:dyDescent="0.2">
      <c r="A328" s="3"/>
      <c r="E328" s="31"/>
      <c r="F328" s="31"/>
      <c r="G328" s="31"/>
      <c r="H328" s="31"/>
      <c r="I328" s="32"/>
      <c r="J328" s="31"/>
      <c r="K328" s="32"/>
      <c r="L328" s="31"/>
      <c r="M328" s="32"/>
      <c r="N328" s="31"/>
    </row>
    <row r="329" spans="1:21" x14ac:dyDescent="0.2">
      <c r="E329" s="31"/>
      <c r="F329" s="31"/>
      <c r="G329" s="31"/>
      <c r="H329" s="31"/>
      <c r="I329" s="32"/>
      <c r="J329" s="31"/>
      <c r="K329" s="32"/>
      <c r="L329" s="31"/>
      <c r="M329" s="32"/>
      <c r="N329" s="31"/>
    </row>
    <row r="330" spans="1:21" x14ac:dyDescent="0.2">
      <c r="A330" s="1" t="s">
        <v>0</v>
      </c>
      <c r="I330" s="39" t="s">
        <v>52</v>
      </c>
      <c r="J330" s="1"/>
      <c r="K330" s="37"/>
      <c r="M330" s="37"/>
      <c r="O330" s="3" t="s">
        <v>1</v>
      </c>
      <c r="T330" s="1" t="s">
        <v>69</v>
      </c>
    </row>
    <row r="331" spans="1:21" x14ac:dyDescent="0.2">
      <c r="A331" s="77"/>
      <c r="B331" s="77"/>
      <c r="C331" s="77"/>
      <c r="D331" s="77"/>
      <c r="E331" s="77"/>
      <c r="F331" s="77"/>
      <c r="G331" s="77"/>
      <c r="H331" s="77"/>
      <c r="I331" s="79"/>
      <c r="J331" s="77"/>
      <c r="K331" s="79"/>
      <c r="L331" s="77"/>
      <c r="M331" s="79"/>
      <c r="N331" s="77"/>
      <c r="O331" s="29"/>
      <c r="P331" s="78"/>
      <c r="Q331" s="77"/>
      <c r="R331" s="77"/>
      <c r="S331" s="77"/>
      <c r="T331" s="77"/>
      <c r="U331" s="77"/>
    </row>
    <row r="332" spans="1:21" x14ac:dyDescent="0.2">
      <c r="A332" s="1" t="s">
        <v>3</v>
      </c>
      <c r="I332" s="37"/>
      <c r="K332" s="37"/>
      <c r="M332" s="37"/>
      <c r="O332" s="3" t="s">
        <v>4</v>
      </c>
      <c r="T332" s="1" t="s">
        <v>5</v>
      </c>
    </row>
    <row r="333" spans="1:21" x14ac:dyDescent="0.2">
      <c r="I333" s="37"/>
      <c r="K333" s="37"/>
      <c r="M333" s="37"/>
      <c r="O333" s="3" t="s">
        <v>6</v>
      </c>
      <c r="T333" s="1" t="s">
        <v>7</v>
      </c>
      <c r="U333" s="4" t="str">
        <f>U$4</f>
        <v>12/31/22</v>
      </c>
    </row>
    <row r="334" spans="1:21" x14ac:dyDescent="0.2">
      <c r="A334" s="1" t="s">
        <v>11</v>
      </c>
      <c r="C334" s="1" t="s">
        <v>85</v>
      </c>
      <c r="I334" s="37"/>
      <c r="K334" s="37"/>
      <c r="M334" s="37"/>
      <c r="O334" s="3" t="s">
        <v>12</v>
      </c>
      <c r="T334" s="1" t="s">
        <v>13</v>
      </c>
      <c r="U334" s="4" t="str">
        <f>U$5</f>
        <v>12/31/23</v>
      </c>
    </row>
    <row r="335" spans="1:21" x14ac:dyDescent="0.2">
      <c r="I335" s="37"/>
      <c r="K335" s="37"/>
      <c r="M335" s="37"/>
      <c r="T335" s="2" t="s">
        <v>14</v>
      </c>
      <c r="U335" s="4" t="str">
        <f>U$6</f>
        <v>12/31/24</v>
      </c>
    </row>
    <row r="336" spans="1:21" x14ac:dyDescent="0.2">
      <c r="A336" s="68" t="str">
        <f>A$7</f>
        <v xml:space="preserve">DOCKET NO.:  </v>
      </c>
      <c r="C336" s="40" t="s">
        <v>88</v>
      </c>
      <c r="I336" s="37"/>
      <c r="K336" s="39"/>
      <c r="L336" s="1"/>
      <c r="M336" s="39"/>
      <c r="N336" s="1"/>
      <c r="Q336" s="6"/>
      <c r="T336" s="2" t="s">
        <v>18</v>
      </c>
      <c r="U336" s="2" t="str">
        <f>U310</f>
        <v>R. PARSONS</v>
      </c>
    </row>
    <row r="337" spans="1:21" x14ac:dyDescent="0.2">
      <c r="I337" s="37"/>
      <c r="K337" s="37"/>
      <c r="M337" s="37"/>
    </row>
    <row r="338" spans="1:21" x14ac:dyDescent="0.2">
      <c r="A338" s="77"/>
      <c r="B338" s="77"/>
      <c r="C338" s="77"/>
      <c r="D338" s="77"/>
      <c r="E338" s="77"/>
      <c r="F338" s="77"/>
      <c r="G338" s="77"/>
      <c r="H338" s="77"/>
      <c r="I338" s="79"/>
      <c r="J338" s="77"/>
      <c r="K338" s="79"/>
      <c r="L338" s="77"/>
      <c r="M338" s="79"/>
      <c r="N338" s="77"/>
      <c r="O338" s="29"/>
      <c r="P338" s="78"/>
      <c r="Q338" s="77"/>
      <c r="R338" s="77"/>
      <c r="S338" s="77"/>
      <c r="T338" s="77"/>
      <c r="U338" s="77"/>
    </row>
    <row r="339" spans="1:21" x14ac:dyDescent="0.2">
      <c r="E339" s="31"/>
      <c r="F339" s="31"/>
      <c r="G339" s="31"/>
      <c r="H339" s="31"/>
      <c r="I339" s="32"/>
      <c r="J339" s="31"/>
      <c r="K339" s="32"/>
      <c r="L339" s="31"/>
      <c r="M339" s="32"/>
      <c r="N339" s="31"/>
    </row>
    <row r="340" spans="1:21" x14ac:dyDescent="0.2">
      <c r="A340" s="3" t="s">
        <v>34</v>
      </c>
      <c r="E340" s="3" t="s">
        <v>35</v>
      </c>
      <c r="F340" s="3"/>
      <c r="G340" s="3"/>
      <c r="H340" s="3"/>
      <c r="I340" s="41" t="s">
        <v>36</v>
      </c>
      <c r="J340" s="3"/>
      <c r="K340" s="41"/>
      <c r="L340" s="3"/>
      <c r="M340" s="41" t="s">
        <v>21</v>
      </c>
      <c r="N340" s="3"/>
      <c r="O340" s="3" t="s">
        <v>37</v>
      </c>
    </row>
    <row r="341" spans="1:21" x14ac:dyDescent="0.2">
      <c r="A341" s="29" t="s">
        <v>38</v>
      </c>
      <c r="B341" s="29" t="s">
        <v>39</v>
      </c>
      <c r="E341" s="29" t="s">
        <v>40</v>
      </c>
      <c r="F341" s="3"/>
      <c r="G341" s="29" t="s">
        <v>41</v>
      </c>
      <c r="H341" s="3"/>
      <c r="I341" s="42" t="s">
        <v>40</v>
      </c>
      <c r="J341" s="3"/>
      <c r="K341" s="42" t="s">
        <v>42</v>
      </c>
      <c r="L341" s="3"/>
      <c r="M341" s="42" t="s">
        <v>23</v>
      </c>
      <c r="N341" s="3"/>
      <c r="O341" s="29" t="s">
        <v>43</v>
      </c>
      <c r="P341" s="29" t="s">
        <v>105</v>
      </c>
    </row>
    <row r="342" spans="1:21" x14ac:dyDescent="0.2">
      <c r="A342" s="3"/>
      <c r="E342" s="31"/>
      <c r="F342" s="31"/>
      <c r="G342" s="31"/>
      <c r="H342" s="31"/>
      <c r="I342" s="32"/>
      <c r="J342" s="31"/>
      <c r="K342" s="32"/>
      <c r="L342" s="31"/>
      <c r="M342" s="32"/>
      <c r="N342" s="31"/>
    </row>
    <row r="343" spans="1:21" x14ac:dyDescent="0.2">
      <c r="A343" s="3"/>
      <c r="B343" s="34" t="s">
        <v>441</v>
      </c>
      <c r="C343" s="34"/>
      <c r="D343" s="34"/>
      <c r="E343" s="31"/>
      <c r="F343" s="31"/>
      <c r="G343" s="31"/>
      <c r="H343" s="31"/>
      <c r="I343" s="32"/>
      <c r="J343" s="31"/>
      <c r="K343" s="32"/>
      <c r="L343" s="31"/>
      <c r="M343" s="32"/>
      <c r="N343" s="31"/>
    </row>
    <row r="344" spans="1:21" x14ac:dyDescent="0.2">
      <c r="A344" s="3"/>
      <c r="I344" s="37"/>
      <c r="K344" s="37"/>
      <c r="M344" s="37"/>
    </row>
    <row r="345" spans="1:21" x14ac:dyDescent="0.2">
      <c r="A345" s="3">
        <v>1</v>
      </c>
      <c r="B345" s="2">
        <v>912</v>
      </c>
      <c r="C345" s="2" t="str">
        <f>C319</f>
        <v>Payroll trended</v>
      </c>
      <c r="E345" s="31">
        <v>0</v>
      </c>
      <c r="F345" s="31"/>
      <c r="G345" s="31">
        <v>0</v>
      </c>
      <c r="H345" s="31"/>
      <c r="I345" s="32">
        <f>E345+G345</f>
        <v>0</v>
      </c>
      <c r="J345" s="31"/>
      <c r="K345" s="32" t="b">
        <f>IF($O345=1,I345*(1+K$12),IF($O345=2,I345*(1+K$13),IF($O345=3,I345*(1+K$14),IF($O345=4,I345*(1+K$15)))))</f>
        <v>0</v>
      </c>
      <c r="L345" s="31"/>
      <c r="M345" s="32" t="b">
        <f>IF($O345=1,K345*(1+M$12),IF($O345=2,K345*(1+M$13),IF($O345=3,K345*(1+M$14),IF($O345=4,K345*(1+M$15)))))</f>
        <v>0</v>
      </c>
      <c r="N345" s="31"/>
      <c r="O345" s="9"/>
    </row>
    <row r="346" spans="1:21" x14ac:dyDescent="0.2">
      <c r="A346" s="3">
        <v>2</v>
      </c>
      <c r="C346" s="2" t="str">
        <f>C320</f>
        <v>Other trended</v>
      </c>
      <c r="E346" s="31">
        <v>321611.95000000019</v>
      </c>
      <c r="F346" s="31"/>
      <c r="G346" s="31">
        <v>0</v>
      </c>
      <c r="H346" s="31"/>
      <c r="I346" s="32">
        <f>E346+G346</f>
        <v>321611.95000000019</v>
      </c>
      <c r="J346" s="31"/>
      <c r="K346" s="32">
        <f>IF($O346=1,I346*(1+K$12),IF($O346=2,I346*(1+K$13),IF($O346=3,I346*(1+K$14),IF($O346=4,I346*(1+K$15)))))</f>
        <v>343224.27304000017</v>
      </c>
      <c r="L346" s="31"/>
      <c r="M346" s="32">
        <f>IF($O346=1,K346*(1+M$12),IF($O346=2,K346*(1+M$13),IF($O346=3,K346*(1+M$14),IF($O346=4,K346*(1+M$15)))))</f>
        <v>362101.60805720015</v>
      </c>
      <c r="N346" s="31"/>
      <c r="O346" s="9">
        <v>3</v>
      </c>
    </row>
    <row r="347" spans="1:21" x14ac:dyDescent="0.2">
      <c r="A347" s="3">
        <v>3</v>
      </c>
      <c r="C347" s="2" t="str">
        <f>C321</f>
        <v>Payroll not trended</v>
      </c>
      <c r="E347" s="31">
        <v>0</v>
      </c>
      <c r="F347" s="31"/>
      <c r="G347" s="31">
        <v>0</v>
      </c>
      <c r="H347" s="31"/>
      <c r="I347" s="32">
        <f>E347+G347</f>
        <v>0</v>
      </c>
      <c r="J347" s="31"/>
      <c r="K347" s="32">
        <v>0</v>
      </c>
      <c r="L347" s="31"/>
      <c r="M347" s="32">
        <v>0</v>
      </c>
      <c r="N347" s="31"/>
    </row>
    <row r="348" spans="1:21" x14ac:dyDescent="0.2">
      <c r="A348" s="3">
        <v>4</v>
      </c>
      <c r="C348" s="2" t="str">
        <f>C322</f>
        <v>Other not trended</v>
      </c>
      <c r="E348" s="31">
        <v>7585990</v>
      </c>
      <c r="F348" s="31"/>
      <c r="G348" s="31">
        <v>0</v>
      </c>
      <c r="H348" s="31"/>
      <c r="I348" s="32">
        <f>E348+G348</f>
        <v>7585990</v>
      </c>
      <c r="J348" s="31"/>
      <c r="K348" s="32">
        <f>'SCHG2-19b'!G28</f>
        <v>7816542.2400000002</v>
      </c>
      <c r="L348" s="31"/>
      <c r="M348" s="32">
        <f>'SCHG2-19b'!I28</f>
        <v>7909427.6092800004</v>
      </c>
      <c r="N348" s="31"/>
      <c r="O348" s="3" t="s">
        <v>383</v>
      </c>
      <c r="P348" s="43"/>
      <c r="Q348" s="48"/>
      <c r="R348" s="48"/>
      <c r="S348" s="48"/>
    </row>
    <row r="349" spans="1:21" x14ac:dyDescent="0.2">
      <c r="A349" s="3"/>
      <c r="E349" s="31"/>
      <c r="F349" s="31"/>
      <c r="G349" s="31"/>
      <c r="H349" s="31"/>
      <c r="I349" s="32"/>
      <c r="J349" s="31"/>
      <c r="K349" s="32"/>
      <c r="L349" s="31"/>
      <c r="M349" s="32"/>
      <c r="N349" s="31"/>
    </row>
    <row r="350" spans="1:21" x14ac:dyDescent="0.2">
      <c r="A350" s="3">
        <v>5</v>
      </c>
      <c r="C350" s="2" t="s">
        <v>48</v>
      </c>
      <c r="E350" s="33">
        <f>SUM(E345:E348)</f>
        <v>7907601.9500000002</v>
      </c>
      <c r="F350" s="31"/>
      <c r="G350" s="33">
        <f>SUM(G345:G348)</f>
        <v>0</v>
      </c>
      <c r="H350" s="31"/>
      <c r="I350" s="33">
        <f>SUM(I345:I348)</f>
        <v>7907601.9500000002</v>
      </c>
      <c r="J350" s="31"/>
      <c r="K350" s="33">
        <f>SUM(K345:K348)</f>
        <v>8159766.5130400006</v>
      </c>
      <c r="L350" s="31"/>
      <c r="M350" s="33">
        <f>SUM(M345:M348)</f>
        <v>8271529.2173372004</v>
      </c>
      <c r="N350" s="31"/>
      <c r="P350" s="3" t="s">
        <v>112</v>
      </c>
    </row>
    <row r="351" spans="1:21" x14ac:dyDescent="0.2">
      <c r="A351" s="3"/>
      <c r="E351" s="35"/>
      <c r="N351" s="31"/>
    </row>
    <row r="352" spans="1:21" x14ac:dyDescent="0.2">
      <c r="A352" s="3">
        <v>6</v>
      </c>
      <c r="B352" s="2">
        <v>913</v>
      </c>
      <c r="C352" s="2" t="str">
        <f>C345</f>
        <v>Payroll trended</v>
      </c>
      <c r="E352" s="31">
        <v>234.15</v>
      </c>
      <c r="F352" s="31"/>
      <c r="G352" s="31">
        <v>0</v>
      </c>
      <c r="H352" s="31"/>
      <c r="I352" s="32">
        <f>E352+G352</f>
        <v>234.15</v>
      </c>
      <c r="J352" s="31"/>
      <c r="K352" s="32">
        <f>IF($O352=1,I352*(1+K$12),IF($O352=2,I352*(1+K$13),IF($O352=3,I352*(1+K$14),IF($O352=4,I352*(1+K$15)))))</f>
        <v>245.85750000000002</v>
      </c>
      <c r="L352" s="31"/>
      <c r="M352" s="32">
        <f>IF($O352=1,K352*(1+M$12),IF($O352=2,K352*(1+M$13),IF($O352=3,K352*(1+M$14),IF($O352=4,K352*(1+M$15)))))</f>
        <v>258.15037500000005</v>
      </c>
      <c r="N352" s="31"/>
      <c r="O352" s="9">
        <v>1</v>
      </c>
    </row>
    <row r="353" spans="1:16" x14ac:dyDescent="0.2">
      <c r="A353" s="3">
        <v>7</v>
      </c>
      <c r="C353" s="2" t="str">
        <f>C346</f>
        <v>Other trended</v>
      </c>
      <c r="E353" s="31">
        <v>1048980.9100000001</v>
      </c>
      <c r="F353" s="31"/>
      <c r="G353" s="31">
        <v>0</v>
      </c>
      <c r="H353" s="31"/>
      <c r="I353" s="32">
        <f>E353+G353</f>
        <v>1048980.9100000001</v>
      </c>
      <c r="J353" s="31"/>
      <c r="K353" s="32">
        <f>IF($O353=1,I353*(1+K$12),IF($O353=2,I353*(1+K$13),IF($O353=3,I353*(1+K$14),IF($O353=4,I353*(1+K$15)))))</f>
        <v>1078352.3754800002</v>
      </c>
      <c r="L353" s="31"/>
      <c r="M353" s="32">
        <f>IF($O353=1,K353*(1+M$12),IF($O353=2,K353*(1+M$13),IF($O353=3,K353*(1+M$14),IF($O353=4,K353*(1+M$15)))))</f>
        <v>1102076.1277405601</v>
      </c>
      <c r="N353" s="31"/>
      <c r="O353" s="9">
        <v>4</v>
      </c>
    </row>
    <row r="354" spans="1:16" x14ac:dyDescent="0.2">
      <c r="A354" s="3">
        <v>8</v>
      </c>
      <c r="C354" s="2" t="str">
        <f>C347</f>
        <v>Payroll not trended</v>
      </c>
      <c r="E354" s="31">
        <v>0</v>
      </c>
      <c r="F354" s="31"/>
      <c r="G354" s="31">
        <v>0</v>
      </c>
      <c r="H354" s="31"/>
      <c r="I354" s="32">
        <f>E354+G354</f>
        <v>0</v>
      </c>
      <c r="J354" s="31"/>
      <c r="K354" s="32">
        <v>0</v>
      </c>
      <c r="L354" s="31"/>
      <c r="M354" s="32">
        <v>0</v>
      </c>
      <c r="N354" s="31"/>
    </row>
    <row r="355" spans="1:16" x14ac:dyDescent="0.2">
      <c r="A355" s="3">
        <v>9</v>
      </c>
      <c r="C355" s="2" t="str">
        <f>C348</f>
        <v>Other not trended</v>
      </c>
      <c r="E355" s="31">
        <v>0</v>
      </c>
      <c r="F355" s="31"/>
      <c r="G355" s="31">
        <v>0</v>
      </c>
      <c r="H355" s="31"/>
      <c r="I355" s="32">
        <f>E355+G355</f>
        <v>0</v>
      </c>
      <c r="J355" s="31"/>
      <c r="K355" s="32">
        <v>0</v>
      </c>
      <c r="L355" s="31"/>
      <c r="M355" s="32">
        <v>0</v>
      </c>
      <c r="N355" s="31"/>
    </row>
    <row r="356" spans="1:16" x14ac:dyDescent="0.2">
      <c r="A356" s="3"/>
      <c r="E356" s="31"/>
      <c r="F356" s="31"/>
      <c r="G356" s="31"/>
      <c r="H356" s="31"/>
      <c r="I356" s="32"/>
      <c r="J356" s="31"/>
      <c r="K356" s="32"/>
      <c r="L356" s="31"/>
      <c r="M356" s="32"/>
      <c r="N356" s="31"/>
    </row>
    <row r="357" spans="1:16" x14ac:dyDescent="0.2">
      <c r="A357" s="3">
        <v>10</v>
      </c>
      <c r="C357" s="2" t="s">
        <v>48</v>
      </c>
      <c r="E357" s="33">
        <f>SUM(E352:E355)</f>
        <v>1049215.06</v>
      </c>
      <c r="F357" s="31"/>
      <c r="G357" s="33">
        <f>SUM(G352:G355)</f>
        <v>0</v>
      </c>
      <c r="H357" s="31"/>
      <c r="I357" s="33">
        <f>SUM(I352:I355)</f>
        <v>1049215.06</v>
      </c>
      <c r="J357" s="31"/>
      <c r="K357" s="33">
        <f>SUM(K352:K355)</f>
        <v>1078598.2329800001</v>
      </c>
      <c r="L357" s="31"/>
      <c r="M357" s="33">
        <f>SUM(M352:M355)</f>
        <v>1102334.2781155601</v>
      </c>
      <c r="N357" s="31"/>
      <c r="P357" s="3" t="s">
        <v>112</v>
      </c>
    </row>
    <row r="358" spans="1:16" x14ac:dyDescent="0.2">
      <c r="A358" s="3"/>
      <c r="E358" s="35"/>
    </row>
    <row r="359" spans="1:16" x14ac:dyDescent="0.2">
      <c r="A359" s="3">
        <v>11</v>
      </c>
      <c r="B359" s="2">
        <v>916</v>
      </c>
      <c r="C359" s="2" t="str">
        <f>C352</f>
        <v>Payroll trended</v>
      </c>
      <c r="E359" s="31">
        <v>0</v>
      </c>
      <c r="F359" s="31"/>
      <c r="G359" s="31">
        <v>0</v>
      </c>
      <c r="H359" s="31"/>
      <c r="I359" s="32">
        <f>E359+G359</f>
        <v>0</v>
      </c>
      <c r="J359" s="31"/>
      <c r="K359" s="32" t="b">
        <f>IF($O359=1,I359*(1+K$12),IF($O359=2,I359*(1+K$13),IF($O359=3,I359*(1+K$14),IF($O359=4,I359*(1+K$15)))))</f>
        <v>0</v>
      </c>
      <c r="L359" s="31"/>
      <c r="M359" s="32" t="b">
        <f>IF($O359=1,K359*(1+M$12),IF($O359=2,K359*(1+M$13),IF($O359=3,K359*(1+M$14),IF($O359=4,K359*(1+M$15)))))</f>
        <v>0</v>
      </c>
      <c r="N359" s="31"/>
      <c r="O359" s="9"/>
    </row>
    <row r="360" spans="1:16" x14ac:dyDescent="0.2">
      <c r="A360" s="3">
        <v>12</v>
      </c>
      <c r="C360" s="2" t="str">
        <f>C353</f>
        <v>Other trended</v>
      </c>
      <c r="E360" s="31">
        <v>43550</v>
      </c>
      <c r="F360" s="31"/>
      <c r="G360" s="31">
        <v>0</v>
      </c>
      <c r="H360" s="31"/>
      <c r="I360" s="32">
        <f>E360+G360</f>
        <v>43550</v>
      </c>
      <c r="J360" s="31"/>
      <c r="K360" s="32">
        <f>IF($O360=1,I360*(1+K$12),IF($O360=2,I360*(1+K$13),IF($O360=3,I360*(1+K$14),IF($O360=4,I360*(1+K$15)))))</f>
        <v>46476.56</v>
      </c>
      <c r="L360" s="31"/>
      <c r="M360" s="32">
        <f>IF($O360=1,K360*(1+M$12),IF($O360=2,K360*(1+M$13),IF($O360=3,K360*(1+M$14),IF($O360=4,K360*(1+M$15)))))</f>
        <v>49032.770799999991</v>
      </c>
      <c r="N360" s="31"/>
      <c r="O360" s="9">
        <v>3</v>
      </c>
    </row>
    <row r="361" spans="1:16" x14ac:dyDescent="0.2">
      <c r="A361" s="3">
        <v>13</v>
      </c>
      <c r="C361" s="2" t="str">
        <f>C354</f>
        <v>Payroll not trended</v>
      </c>
      <c r="E361" s="31">
        <v>0</v>
      </c>
      <c r="F361" s="31"/>
      <c r="G361" s="31">
        <v>0</v>
      </c>
      <c r="H361" s="31"/>
      <c r="I361" s="32">
        <f>E361+G361</f>
        <v>0</v>
      </c>
      <c r="J361" s="31"/>
      <c r="K361" s="32">
        <v>0</v>
      </c>
      <c r="L361" s="31"/>
      <c r="M361" s="32">
        <v>0</v>
      </c>
      <c r="N361" s="31"/>
    </row>
    <row r="362" spans="1:16" x14ac:dyDescent="0.2">
      <c r="A362" s="3">
        <v>14</v>
      </c>
      <c r="C362" s="2" t="str">
        <f>C355</f>
        <v>Other not trended</v>
      </c>
      <c r="E362" s="31">
        <v>0</v>
      </c>
      <c r="F362" s="31"/>
      <c r="G362" s="31">
        <v>0</v>
      </c>
      <c r="H362" s="31"/>
      <c r="I362" s="32">
        <f>E362+G362</f>
        <v>0</v>
      </c>
      <c r="J362" s="31"/>
      <c r="K362" s="32">
        <v>0</v>
      </c>
      <c r="L362" s="31"/>
      <c r="M362" s="32">
        <v>0</v>
      </c>
      <c r="N362" s="31"/>
    </row>
    <row r="363" spans="1:16" x14ac:dyDescent="0.2">
      <c r="A363" s="3"/>
      <c r="E363" s="31"/>
      <c r="F363" s="31"/>
      <c r="G363" s="31"/>
      <c r="H363" s="31"/>
      <c r="I363" s="32"/>
      <c r="J363" s="31"/>
      <c r="K363" s="32"/>
      <c r="L363" s="31"/>
      <c r="M363" s="32"/>
      <c r="N363" s="31"/>
    </row>
    <row r="364" spans="1:16" x14ac:dyDescent="0.2">
      <c r="A364" s="3">
        <v>15</v>
      </c>
      <c r="C364" s="2" t="s">
        <v>48</v>
      </c>
      <c r="E364" s="33">
        <f>SUM(E359:E362)</f>
        <v>43550</v>
      </c>
      <c r="F364" s="31"/>
      <c r="G364" s="33">
        <f>SUM(G359:G362)</f>
        <v>0</v>
      </c>
      <c r="H364" s="31"/>
      <c r="I364" s="33">
        <f>SUM(I359:I362)</f>
        <v>43550</v>
      </c>
      <c r="J364" s="31"/>
      <c r="K364" s="33">
        <f>SUM(K359:K362)</f>
        <v>46476.56</v>
      </c>
      <c r="L364" s="31"/>
      <c r="M364" s="33">
        <f>SUM(M359:M362)</f>
        <v>49032.770799999991</v>
      </c>
      <c r="N364" s="31"/>
      <c r="P364" s="3" t="s">
        <v>112</v>
      </c>
    </row>
    <row r="365" spans="1:16" x14ac:dyDescent="0.2">
      <c r="A365" s="3"/>
      <c r="E365" s="35"/>
      <c r="N365" s="31"/>
    </row>
    <row r="366" spans="1:16" x14ac:dyDescent="0.2">
      <c r="A366" s="3"/>
      <c r="E366" s="31"/>
      <c r="F366" s="31"/>
      <c r="G366" s="31"/>
      <c r="H366" s="31"/>
      <c r="I366" s="32"/>
      <c r="J366" s="31"/>
      <c r="K366" s="32"/>
      <c r="L366" s="31"/>
      <c r="M366" s="32"/>
      <c r="N366" s="31"/>
    </row>
    <row r="367" spans="1:16" ht="13.5" thickBot="1" x14ac:dyDescent="0.25">
      <c r="A367" s="3">
        <v>16</v>
      </c>
      <c r="B367" s="4" t="s">
        <v>443</v>
      </c>
      <c r="E367" s="45">
        <f>E350+E357+E364</f>
        <v>9000367.0099999998</v>
      </c>
      <c r="F367" s="31"/>
      <c r="G367" s="45">
        <f>G350+G357+G364</f>
        <v>0</v>
      </c>
      <c r="H367" s="31"/>
      <c r="I367" s="47">
        <f>I350+I357+I364</f>
        <v>9000367.0099999998</v>
      </c>
      <c r="J367" s="31"/>
      <c r="K367" s="47">
        <f>K350+K357+K364</f>
        <v>9284841.3060200009</v>
      </c>
      <c r="L367" s="31"/>
      <c r="M367" s="47">
        <f>M350+M357+M364</f>
        <v>9422896.2662527598</v>
      </c>
      <c r="N367" s="31"/>
    </row>
    <row r="368" spans="1:16" ht="13.5" thickTop="1" x14ac:dyDescent="0.2">
      <c r="A368" s="3"/>
      <c r="E368" s="31"/>
      <c r="F368" s="31"/>
      <c r="G368" s="31"/>
      <c r="H368" s="31"/>
      <c r="I368" s="32"/>
      <c r="J368" s="31"/>
      <c r="K368" s="32"/>
      <c r="L368" s="31"/>
      <c r="M368" s="32"/>
      <c r="N368" s="31"/>
    </row>
    <row r="369" spans="1:21" x14ac:dyDescent="0.2">
      <c r="E369" s="31"/>
      <c r="F369" s="31"/>
      <c r="G369" s="31"/>
      <c r="H369" s="31"/>
      <c r="I369" s="32"/>
      <c r="J369" s="31"/>
      <c r="K369" s="32"/>
      <c r="L369" s="31"/>
      <c r="M369" s="32"/>
      <c r="N369" s="31"/>
    </row>
    <row r="370" spans="1:21" x14ac:dyDescent="0.2">
      <c r="A370" s="1" t="s">
        <v>0</v>
      </c>
      <c r="I370" s="39" t="s">
        <v>52</v>
      </c>
      <c r="J370" s="1"/>
      <c r="K370" s="37"/>
      <c r="M370" s="37"/>
      <c r="O370" s="3" t="s">
        <v>1</v>
      </c>
      <c r="T370" s="1" t="s">
        <v>70</v>
      </c>
    </row>
    <row r="371" spans="1:21" x14ac:dyDescent="0.2">
      <c r="A371" s="77"/>
      <c r="B371" s="77"/>
      <c r="C371" s="77"/>
      <c r="D371" s="77"/>
      <c r="E371" s="77"/>
      <c r="F371" s="77"/>
      <c r="G371" s="77"/>
      <c r="H371" s="77"/>
      <c r="I371" s="79"/>
      <c r="J371" s="77"/>
      <c r="K371" s="79"/>
      <c r="L371" s="77"/>
      <c r="M371" s="79"/>
      <c r="N371" s="77"/>
      <c r="O371" s="29"/>
      <c r="P371" s="78"/>
      <c r="Q371" s="77"/>
      <c r="R371" s="77"/>
      <c r="S371" s="77"/>
      <c r="T371" s="77"/>
      <c r="U371" s="77"/>
    </row>
    <row r="372" spans="1:21" x14ac:dyDescent="0.2">
      <c r="A372" s="1" t="s">
        <v>3</v>
      </c>
      <c r="I372" s="37"/>
      <c r="K372" s="37"/>
      <c r="M372" s="37"/>
      <c r="O372" s="3" t="s">
        <v>4</v>
      </c>
      <c r="T372" s="1" t="s">
        <v>5</v>
      </c>
    </row>
    <row r="373" spans="1:21" x14ac:dyDescent="0.2">
      <c r="I373" s="37"/>
      <c r="K373" s="37"/>
      <c r="M373" s="37"/>
      <c r="O373" s="3" t="s">
        <v>6</v>
      </c>
      <c r="T373" s="1" t="s">
        <v>7</v>
      </c>
      <c r="U373" s="4" t="str">
        <f>U$4</f>
        <v>12/31/22</v>
      </c>
    </row>
    <row r="374" spans="1:21" x14ac:dyDescent="0.2">
      <c r="A374" s="1" t="s">
        <v>11</v>
      </c>
      <c r="C374" s="1" t="s">
        <v>85</v>
      </c>
      <c r="I374" s="37"/>
      <c r="K374" s="37"/>
      <c r="M374" s="37"/>
      <c r="O374" s="3" t="s">
        <v>12</v>
      </c>
      <c r="T374" s="1" t="s">
        <v>13</v>
      </c>
      <c r="U374" s="4" t="str">
        <f>U$5</f>
        <v>12/31/23</v>
      </c>
    </row>
    <row r="375" spans="1:21" x14ac:dyDescent="0.2">
      <c r="I375" s="37"/>
      <c r="K375" s="37"/>
      <c r="M375" s="37"/>
      <c r="T375" s="2" t="s">
        <v>14</v>
      </c>
      <c r="U375" s="4" t="str">
        <f>U$6</f>
        <v>12/31/24</v>
      </c>
    </row>
    <row r="376" spans="1:21" x14ac:dyDescent="0.2">
      <c r="A376" s="68" t="str">
        <f>A$7</f>
        <v xml:space="preserve">DOCKET NO.:  </v>
      </c>
      <c r="C376" s="40" t="s">
        <v>88</v>
      </c>
      <c r="I376" s="37"/>
      <c r="K376" s="39"/>
      <c r="L376" s="1"/>
      <c r="M376" s="39"/>
      <c r="N376" s="1"/>
      <c r="Q376" s="6"/>
      <c r="T376" s="2" t="s">
        <v>18</v>
      </c>
      <c r="U376" s="123" t="s">
        <v>163</v>
      </c>
    </row>
    <row r="377" spans="1:21" x14ac:dyDescent="0.2">
      <c r="I377" s="37"/>
      <c r="K377" s="37"/>
      <c r="M377" s="37"/>
      <c r="U377" s="2" t="s">
        <v>162</v>
      </c>
    </row>
    <row r="378" spans="1:21" x14ac:dyDescent="0.2">
      <c r="A378" s="77"/>
      <c r="B378" s="77"/>
      <c r="C378" s="77"/>
      <c r="D378" s="77"/>
      <c r="E378" s="77"/>
      <c r="F378" s="77"/>
      <c r="G378" s="77"/>
      <c r="H378" s="77"/>
      <c r="I378" s="79"/>
      <c r="J378" s="77"/>
      <c r="K378" s="79"/>
      <c r="L378" s="77"/>
      <c r="M378" s="79"/>
      <c r="N378" s="77"/>
      <c r="O378" s="29"/>
      <c r="P378" s="78"/>
      <c r="Q378" s="77"/>
      <c r="R378" s="77"/>
      <c r="S378" s="77"/>
      <c r="T378" s="77"/>
      <c r="U378" s="8" t="s">
        <v>416</v>
      </c>
    </row>
    <row r="379" spans="1:21" x14ac:dyDescent="0.2">
      <c r="E379" s="31"/>
      <c r="F379" s="31"/>
      <c r="G379" s="31"/>
      <c r="H379" s="31"/>
      <c r="I379" s="32"/>
      <c r="J379" s="31"/>
      <c r="K379" s="32"/>
      <c r="L379" s="31"/>
      <c r="M379" s="32"/>
      <c r="N379" s="31"/>
    </row>
    <row r="380" spans="1:21" x14ac:dyDescent="0.2">
      <c r="A380" s="3" t="s">
        <v>34</v>
      </c>
      <c r="E380" s="3" t="s">
        <v>35</v>
      </c>
      <c r="F380" s="3"/>
      <c r="G380" s="3"/>
      <c r="H380" s="3"/>
      <c r="I380" s="41" t="s">
        <v>36</v>
      </c>
      <c r="J380" s="3"/>
      <c r="K380" s="41"/>
      <c r="L380" s="3"/>
      <c r="M380" s="41" t="s">
        <v>21</v>
      </c>
      <c r="N380" s="3"/>
      <c r="O380" s="3" t="s">
        <v>37</v>
      </c>
    </row>
    <row r="381" spans="1:21" x14ac:dyDescent="0.2">
      <c r="A381" s="29" t="s">
        <v>38</v>
      </c>
      <c r="B381" s="29" t="s">
        <v>39</v>
      </c>
      <c r="E381" s="29" t="s">
        <v>40</v>
      </c>
      <c r="F381" s="3"/>
      <c r="G381" s="29" t="s">
        <v>41</v>
      </c>
      <c r="H381" s="3"/>
      <c r="I381" s="42" t="s">
        <v>40</v>
      </c>
      <c r="J381" s="3"/>
      <c r="K381" s="42" t="s">
        <v>42</v>
      </c>
      <c r="L381" s="3"/>
      <c r="M381" s="42" t="s">
        <v>23</v>
      </c>
      <c r="N381" s="3"/>
      <c r="O381" s="29" t="s">
        <v>43</v>
      </c>
      <c r="P381" s="29" t="s">
        <v>105</v>
      </c>
    </row>
    <row r="382" spans="1:21" x14ac:dyDescent="0.2">
      <c r="A382" s="3"/>
      <c r="E382" s="31"/>
      <c r="F382" s="31"/>
      <c r="G382" s="31"/>
      <c r="H382" s="31"/>
      <c r="I382" s="32"/>
      <c r="J382" s="31"/>
      <c r="K382" s="32"/>
      <c r="L382" s="31"/>
      <c r="M382" s="32"/>
      <c r="N382" s="31"/>
    </row>
    <row r="383" spans="1:21" x14ac:dyDescent="0.2">
      <c r="A383" s="3"/>
      <c r="B383" s="34" t="s">
        <v>71</v>
      </c>
      <c r="C383" s="34"/>
      <c r="D383" s="34"/>
      <c r="E383" s="49"/>
      <c r="F383" s="31"/>
      <c r="G383" s="31"/>
      <c r="H383" s="31"/>
      <c r="I383" s="32"/>
      <c r="J383" s="31"/>
      <c r="K383" s="32"/>
      <c r="L383" s="31"/>
      <c r="M383" s="32"/>
      <c r="N383" s="31"/>
    </row>
    <row r="384" spans="1:21" x14ac:dyDescent="0.2">
      <c r="A384" s="3"/>
      <c r="I384" s="37"/>
      <c r="K384" s="37"/>
      <c r="M384" s="37"/>
    </row>
    <row r="385" spans="1:22" x14ac:dyDescent="0.2">
      <c r="A385" s="3">
        <v>1</v>
      </c>
      <c r="B385" s="2">
        <v>920</v>
      </c>
      <c r="C385" s="2" t="str">
        <f>C359</f>
        <v>Payroll trended</v>
      </c>
      <c r="E385" s="31">
        <v>10288376.359999996</v>
      </c>
      <c r="F385" s="31"/>
      <c r="G385" s="31">
        <v>0</v>
      </c>
      <c r="H385" s="31"/>
      <c r="I385" s="32">
        <v>10288376.359999996</v>
      </c>
      <c r="J385" s="31"/>
      <c r="K385" s="31">
        <f>IF($O385=1,I385*(1+K$12),IF($O385=2,I385*(1+K$13),IF($O385=3,I385*(1+K$14),IF($O385=4,I385*(1+K$15)))))</f>
        <v>10802795.177999996</v>
      </c>
      <c r="L385" s="31"/>
      <c r="M385" s="31">
        <f>IF($O385=1,K385*(1+M$12),IF($O385=2,K385*(1+M$13),IF($O385=3,K385*(1+M$14),IF($O385=4,K385*(1+M$15)))))</f>
        <v>11342934.936899995</v>
      </c>
      <c r="N385" s="31"/>
      <c r="O385" s="9">
        <v>1</v>
      </c>
    </row>
    <row r="386" spans="1:22" x14ac:dyDescent="0.2">
      <c r="A386" s="3">
        <v>2</v>
      </c>
      <c r="C386" s="2" t="str">
        <f>C360</f>
        <v>Other trended</v>
      </c>
      <c r="E386" s="31">
        <v>58451.960000004619</v>
      </c>
      <c r="F386" s="50"/>
      <c r="G386" s="31">
        <v>0</v>
      </c>
      <c r="H386" s="50"/>
      <c r="I386" s="32">
        <v>58451.960000004619</v>
      </c>
      <c r="J386" s="50"/>
      <c r="K386" s="31">
        <f>IF($O386=1,I386*(1+K$12),IF($O386=2,I386*(1+K$13),IF($O386=3,I386*(1+K$14),IF($O386=4,I386*(1+K$15)))))</f>
        <v>62379.931712004924</v>
      </c>
      <c r="L386" s="50"/>
      <c r="M386" s="31">
        <f>IF($O386=1,K386*(1+M$12),IF($O386=2,K386*(1+M$13),IF($O386=3,K386*(1+M$14),IF($O386=4,K386*(1+M$15)))))</f>
        <v>65810.827956165187</v>
      </c>
      <c r="N386" s="31"/>
      <c r="O386" s="9">
        <v>3</v>
      </c>
    </row>
    <row r="387" spans="1:22" x14ac:dyDescent="0.2">
      <c r="A387" s="3">
        <v>3</v>
      </c>
      <c r="C387" s="2" t="str">
        <f>C361</f>
        <v>Payroll not trended</v>
      </c>
      <c r="E387" s="31">
        <v>0</v>
      </c>
      <c r="F387" s="31"/>
      <c r="G387" s="31">
        <v>0</v>
      </c>
      <c r="H387" s="31"/>
      <c r="I387" s="32">
        <v>0</v>
      </c>
      <c r="J387" s="31"/>
      <c r="K387" s="31">
        <f>'SCHG2-19c to 19e'!F163</f>
        <v>737250.48614018725</v>
      </c>
      <c r="L387" s="31"/>
      <c r="M387" s="32">
        <f>'SCHG2-19c to 19e'!I163</f>
        <v>3224276.8592541954</v>
      </c>
      <c r="N387" s="31"/>
      <c r="O387" s="3" t="s">
        <v>386</v>
      </c>
      <c r="P387" s="38"/>
    </row>
    <row r="388" spans="1:22" x14ac:dyDescent="0.2">
      <c r="A388" s="3">
        <v>4</v>
      </c>
      <c r="C388" s="2" t="str">
        <f>C362</f>
        <v>Other not trended</v>
      </c>
      <c r="E388" s="31">
        <v>6720693.25</v>
      </c>
      <c r="F388" s="31"/>
      <c r="G388" s="31">
        <v>0</v>
      </c>
      <c r="H388" s="31"/>
      <c r="I388" s="32">
        <v>6720693.25</v>
      </c>
      <c r="J388" s="31"/>
      <c r="K388" s="31">
        <f>'SCHG2-19b'!G30</f>
        <v>6665000.0000003995</v>
      </c>
      <c r="L388" s="31"/>
      <c r="M388" s="31">
        <f>'SCHG2-19b'!I30</f>
        <v>8049999.9999996005</v>
      </c>
      <c r="N388" s="31"/>
      <c r="O388" s="3" t="s">
        <v>383</v>
      </c>
      <c r="V388" s="4"/>
    </row>
    <row r="389" spans="1:22" x14ac:dyDescent="0.2">
      <c r="A389" s="3"/>
      <c r="E389" s="31"/>
      <c r="F389" s="31"/>
      <c r="G389" s="31"/>
      <c r="H389" s="31"/>
      <c r="I389" s="32"/>
      <c r="J389" s="31"/>
      <c r="K389" s="32"/>
      <c r="L389" s="31"/>
      <c r="M389" s="32"/>
      <c r="N389" s="31"/>
    </row>
    <row r="390" spans="1:22" x14ac:dyDescent="0.2">
      <c r="A390" s="3">
        <v>5</v>
      </c>
      <c r="C390" s="2" t="s">
        <v>48</v>
      </c>
      <c r="E390" s="33">
        <f>SUM(E385:E388)</f>
        <v>17067521.57</v>
      </c>
      <c r="F390" s="31"/>
      <c r="G390" s="33">
        <f>SUM(G385:G388)</f>
        <v>0</v>
      </c>
      <c r="H390" s="31"/>
      <c r="I390" s="33">
        <f>SUM(I385:I388)</f>
        <v>17067521.57</v>
      </c>
      <c r="J390" s="31"/>
      <c r="K390" s="33">
        <f>SUM(K385:K388)</f>
        <v>18267425.595852587</v>
      </c>
      <c r="L390" s="31"/>
      <c r="M390" s="33">
        <f>SUM(M385:M388)</f>
        <v>22683022.624109957</v>
      </c>
      <c r="N390" s="31"/>
      <c r="P390" s="3" t="s">
        <v>132</v>
      </c>
    </row>
    <row r="391" spans="1:22" ht="14.25" customHeight="1" x14ac:dyDescent="0.2">
      <c r="A391" s="3"/>
      <c r="E391" s="35"/>
      <c r="N391" s="31"/>
    </row>
    <row r="392" spans="1:22" x14ac:dyDescent="0.2">
      <c r="A392" s="3">
        <v>6</v>
      </c>
      <c r="B392" s="2">
        <v>921</v>
      </c>
      <c r="C392" s="2" t="str">
        <f>C385</f>
        <v>Payroll trended</v>
      </c>
      <c r="E392" s="31">
        <v>0</v>
      </c>
      <c r="F392" s="31"/>
      <c r="G392" s="31">
        <v>0</v>
      </c>
      <c r="H392" s="31"/>
      <c r="I392" s="32">
        <f>E392+G392</f>
        <v>0</v>
      </c>
      <c r="J392" s="31"/>
      <c r="K392" s="32" t="b">
        <f>IF($O392=1,I392*(1+K$12),IF($O392=2,I392*(1+K$13),IF($O392=3,I392*(1+K$14),IF($O392=4,I392*(1+K$15)))))</f>
        <v>0</v>
      </c>
      <c r="L392" s="31"/>
      <c r="M392" s="32" t="b">
        <f>IF($O392=1,K392*(1+M$12),IF($O392=2,K392*(1+M$13),IF($O392=3,K392*(1+M$14),IF($O392=4,K392*(1+M$15)))))</f>
        <v>0</v>
      </c>
      <c r="N392" s="31"/>
      <c r="O392" s="9"/>
    </row>
    <row r="393" spans="1:22" x14ac:dyDescent="0.2">
      <c r="A393" s="3">
        <v>7</v>
      </c>
      <c r="C393" s="2" t="str">
        <f>C386</f>
        <v>Other trended</v>
      </c>
      <c r="E393" s="31">
        <v>3660722.77</v>
      </c>
      <c r="F393" s="31"/>
      <c r="G393" s="31">
        <v>0</v>
      </c>
      <c r="H393" s="31"/>
      <c r="I393" s="32">
        <f>E393+G393</f>
        <v>3660722.77</v>
      </c>
      <c r="J393" s="31"/>
      <c r="K393" s="32">
        <f>IF($O393=1,I393*(1+K$12),IF($O393=2,I393*(1+K$13),IF($O393=3,I393*(1+K$14),IF($O393=4,I393*(1+K$15)))))</f>
        <v>3906723.3401439996</v>
      </c>
      <c r="L393" s="31"/>
      <c r="M393" s="32">
        <f>IF($O393=1,K393*(1+M$12),IF($O393=2,K393*(1+M$13),IF($O393=3,K393*(1+M$14),IF($O393=4,K393*(1+M$15)))))</f>
        <v>4121593.1238519191</v>
      </c>
      <c r="N393" s="31"/>
      <c r="O393" s="9">
        <v>3</v>
      </c>
      <c r="P393" s="4"/>
    </row>
    <row r="394" spans="1:22" x14ac:dyDescent="0.2">
      <c r="A394" s="3">
        <v>8</v>
      </c>
      <c r="C394" s="1" t="str">
        <f>C387</f>
        <v>Payroll not trended</v>
      </c>
      <c r="E394" s="31">
        <v>0</v>
      </c>
      <c r="F394" s="31"/>
      <c r="G394" s="31">
        <v>0</v>
      </c>
      <c r="H394" s="31"/>
      <c r="I394" s="32">
        <f>E394+G394</f>
        <v>0</v>
      </c>
      <c r="J394" s="31"/>
      <c r="K394" s="32">
        <v>0</v>
      </c>
      <c r="L394" s="31"/>
      <c r="M394" s="32">
        <v>0</v>
      </c>
      <c r="N394" s="31"/>
      <c r="O394" s="9"/>
      <c r="P394" s="43"/>
      <c r="Q394" s="3"/>
      <c r="R394" s="9"/>
    </row>
    <row r="395" spans="1:22" x14ac:dyDescent="0.2">
      <c r="A395" s="3">
        <v>9</v>
      </c>
      <c r="C395" s="1" t="str">
        <f>C388</f>
        <v>Other not trended</v>
      </c>
      <c r="E395" s="31">
        <v>0</v>
      </c>
      <c r="F395" s="31"/>
      <c r="G395" s="31">
        <v>0</v>
      </c>
      <c r="H395" s="31"/>
      <c r="I395" s="32">
        <f>E395+G395</f>
        <v>0</v>
      </c>
      <c r="J395" s="31"/>
      <c r="K395" s="32">
        <f>'SCHG2-19b'!G34</f>
        <v>-746128</v>
      </c>
      <c r="L395" s="31"/>
      <c r="M395" s="32">
        <f>'SCHG2-19b'!I34</f>
        <v>1152758.5040000002</v>
      </c>
      <c r="N395" s="31"/>
      <c r="O395" s="3" t="s">
        <v>383</v>
      </c>
      <c r="Q395" s="21"/>
      <c r="R395" s="21"/>
      <c r="V395" s="1"/>
    </row>
    <row r="396" spans="1:22" x14ac:dyDescent="0.2">
      <c r="A396" s="3"/>
      <c r="E396" s="31"/>
      <c r="F396" s="31"/>
      <c r="G396" s="31"/>
      <c r="H396" s="31"/>
      <c r="I396" s="32"/>
      <c r="J396" s="31"/>
      <c r="K396" s="32"/>
      <c r="L396" s="31"/>
      <c r="M396" s="32"/>
      <c r="N396" s="31"/>
      <c r="P396" s="51"/>
    </row>
    <row r="397" spans="1:22" x14ac:dyDescent="0.2">
      <c r="A397" s="3">
        <v>10</v>
      </c>
      <c r="C397" s="2" t="s">
        <v>48</v>
      </c>
      <c r="E397" s="33">
        <f>SUM(E392:E395)</f>
        <v>3660722.77</v>
      </c>
      <c r="F397" s="31"/>
      <c r="G397" s="33">
        <f>SUM(G392:G395)</f>
        <v>0</v>
      </c>
      <c r="H397" s="31"/>
      <c r="I397" s="33">
        <f>SUM(I392:I395)</f>
        <v>3660722.77</v>
      </c>
      <c r="J397" s="31"/>
      <c r="K397" s="33">
        <f>SUM(K392:K395)</f>
        <v>3160595.3401439996</v>
      </c>
      <c r="L397" s="31"/>
      <c r="M397" s="33">
        <f>SUM(M392:M395)</f>
        <v>5274351.6278519193</v>
      </c>
      <c r="N397" s="31"/>
      <c r="P397" s="3" t="s">
        <v>112</v>
      </c>
    </row>
    <row r="398" spans="1:22" x14ac:dyDescent="0.2">
      <c r="A398" s="3"/>
      <c r="E398" s="35"/>
      <c r="N398" s="31"/>
    </row>
    <row r="399" spans="1:22" x14ac:dyDescent="0.2">
      <c r="A399" s="3">
        <v>11</v>
      </c>
      <c r="B399" s="2">
        <v>922</v>
      </c>
      <c r="C399" s="2" t="str">
        <f>C392</f>
        <v>Payroll trended</v>
      </c>
      <c r="E399" s="31">
        <v>0</v>
      </c>
      <c r="F399" s="31"/>
      <c r="G399" s="31">
        <v>0</v>
      </c>
      <c r="H399" s="31"/>
      <c r="I399" s="32">
        <f>E399+G399</f>
        <v>0</v>
      </c>
      <c r="J399" s="31"/>
      <c r="K399" s="32" t="b">
        <f>IF($O399=1,I399*(1+K$12),IF($O399=2,I399*(1+K$13),IF($O399=3,I399*(1+K$14),IF($O399=4,I399*(1+K$15)))))</f>
        <v>0</v>
      </c>
      <c r="L399" s="31"/>
      <c r="M399" s="32" t="b">
        <f>IF($O399=1,K399*(1+M$12),IF($O399=2,K399*(1+M$13),IF($O399=3,K399*(1+M$14),IF($O399=4,K399*(1+M$15)))))</f>
        <v>0</v>
      </c>
      <c r="N399" s="31"/>
      <c r="O399" s="9"/>
    </row>
    <row r="400" spans="1:22" x14ac:dyDescent="0.2">
      <c r="A400" s="3">
        <v>12</v>
      </c>
      <c r="C400" s="2" t="str">
        <f>C393</f>
        <v>Other trended</v>
      </c>
      <c r="E400" s="31">
        <v>-1782188</v>
      </c>
      <c r="F400" s="31"/>
      <c r="G400" s="31">
        <v>0</v>
      </c>
      <c r="H400" s="31"/>
      <c r="I400" s="32">
        <f>E400+G400</f>
        <v>-1782188</v>
      </c>
      <c r="J400" s="31"/>
      <c r="K400" s="32">
        <f>IF($O400=1,I400*(1+K$12),IF($O400=2,I400*(1+K$13),IF($O400=3,I400*(1+K$14),IF($O400=4,I400*(1+K$15)))))</f>
        <v>-1832089.264</v>
      </c>
      <c r="L400" s="31"/>
      <c r="M400" s="32">
        <f>IF($O400=1,K400*(1+M$12),IF($O400=2,K400*(1+M$13),IF($O400=3,K400*(1+M$14),IF($O400=4,K400*(1+M$15)))))</f>
        <v>-1872395.2278080001</v>
      </c>
      <c r="N400" s="31"/>
      <c r="O400" s="9">
        <v>4</v>
      </c>
    </row>
    <row r="401" spans="1:22" x14ac:dyDescent="0.2">
      <c r="A401" s="3">
        <v>13</v>
      </c>
      <c r="C401" s="1" t="str">
        <f>C394</f>
        <v>Payroll not trended</v>
      </c>
      <c r="E401" s="31">
        <v>0</v>
      </c>
      <c r="F401" s="31"/>
      <c r="G401" s="31">
        <v>0</v>
      </c>
      <c r="H401" s="31"/>
      <c r="I401" s="32">
        <f>E401+G401</f>
        <v>0</v>
      </c>
      <c r="J401" s="31"/>
      <c r="K401" s="32">
        <v>0</v>
      </c>
      <c r="L401" s="31"/>
      <c r="M401" s="32">
        <v>0</v>
      </c>
      <c r="N401" s="31"/>
    </row>
    <row r="402" spans="1:22" x14ac:dyDescent="0.2">
      <c r="A402" s="3">
        <v>14</v>
      </c>
      <c r="C402" s="1" t="str">
        <f>C395</f>
        <v>Other not trended</v>
      </c>
      <c r="E402" s="31">
        <v>-11000000.01</v>
      </c>
      <c r="F402" s="31"/>
      <c r="G402" s="31">
        <v>0</v>
      </c>
      <c r="H402" s="31"/>
      <c r="I402" s="32">
        <f>E402+G402</f>
        <v>-11000000.01</v>
      </c>
      <c r="J402" s="31"/>
      <c r="K402" s="32">
        <f>'SCHG2-19b'!G36</f>
        <v>-11000000.0000004</v>
      </c>
      <c r="L402" s="31"/>
      <c r="M402" s="32">
        <f>'SCHG2-19b'!I36</f>
        <v>-11000000.0000004</v>
      </c>
      <c r="N402" s="31"/>
      <c r="O402" s="3" t="s">
        <v>383</v>
      </c>
      <c r="V402" s="1"/>
    </row>
    <row r="403" spans="1:22" x14ac:dyDescent="0.2">
      <c r="A403" s="3"/>
      <c r="E403" s="31"/>
      <c r="F403" s="31"/>
      <c r="G403" s="31"/>
      <c r="H403" s="31"/>
      <c r="I403" s="32"/>
      <c r="J403" s="31"/>
      <c r="K403" s="32"/>
      <c r="L403" s="31"/>
      <c r="M403" s="32"/>
      <c r="N403" s="31"/>
    </row>
    <row r="404" spans="1:22" x14ac:dyDescent="0.2">
      <c r="A404" s="3">
        <v>15</v>
      </c>
      <c r="C404" s="2" t="s">
        <v>48</v>
      </c>
      <c r="E404" s="33">
        <f>SUM(E399:E402)</f>
        <v>-12782188.01</v>
      </c>
      <c r="F404" s="31"/>
      <c r="G404" s="33">
        <f>SUM(G399:G402)</f>
        <v>0</v>
      </c>
      <c r="H404" s="31"/>
      <c r="I404" s="33">
        <f>SUM(I399:I402)</f>
        <v>-12782188.01</v>
      </c>
      <c r="J404" s="31"/>
      <c r="K404" s="33">
        <f>SUM(K399:K402)</f>
        <v>-12832089.264000401</v>
      </c>
      <c r="L404" s="31"/>
      <c r="M404" s="33">
        <f>SUM(M399:M402)</f>
        <v>-12872395.227808401</v>
      </c>
      <c r="N404" s="31"/>
      <c r="P404" s="3" t="s">
        <v>112</v>
      </c>
    </row>
    <row r="405" spans="1:22" x14ac:dyDescent="0.2">
      <c r="A405" s="3"/>
      <c r="E405" s="35"/>
      <c r="N405" s="31"/>
    </row>
    <row r="406" spans="1:22" x14ac:dyDescent="0.2">
      <c r="A406" s="3">
        <v>16</v>
      </c>
      <c r="B406" s="2">
        <v>923</v>
      </c>
      <c r="C406" s="2" t="str">
        <f>C399</f>
        <v>Payroll trended</v>
      </c>
      <c r="E406" s="31">
        <v>0.08</v>
      </c>
      <c r="F406" s="31"/>
      <c r="G406" s="31">
        <v>0</v>
      </c>
      <c r="H406" s="31"/>
      <c r="I406" s="32">
        <f>E406+G406</f>
        <v>0.08</v>
      </c>
      <c r="J406" s="31"/>
      <c r="K406" s="32" t="b">
        <f>IF($O406=1,I406*(1+K$12),IF($O406=2,I406*(1+K$13),IF($O406=3,I406*(1+K$14),IF($O406=4,I406*(1+K$15)))))</f>
        <v>0</v>
      </c>
      <c r="L406" s="31"/>
      <c r="M406" s="32" t="b">
        <f>IF($O406=1,K406*(1+M$12),IF($O406=2,K406*(1+M$13),IF($O406=3,K406*(1+M$14),IF($O406=4,K406*(1+M$15)))))</f>
        <v>0</v>
      </c>
      <c r="N406" s="31"/>
      <c r="O406" s="9"/>
    </row>
    <row r="407" spans="1:22" x14ac:dyDescent="0.2">
      <c r="A407" s="3">
        <v>17</v>
      </c>
      <c r="C407" s="2" t="str">
        <f>C400</f>
        <v>Other trended</v>
      </c>
      <c r="E407" s="31">
        <v>2962465.9299999997</v>
      </c>
      <c r="F407" s="31"/>
      <c r="G407" s="31">
        <v>0</v>
      </c>
      <c r="H407" s="31"/>
      <c r="I407" s="32">
        <f>E407+G407</f>
        <v>2962465.9299999997</v>
      </c>
      <c r="J407" s="31"/>
      <c r="K407" s="32">
        <f>IF($O407=1,I407*(1+K$12),IF($O407=2,I407*(1+K$13),IF($O407=3,I407*(1+K$14),IF($O407=4,I407*(1+K$15)))))</f>
        <v>3045414.9760399996</v>
      </c>
      <c r="L407" s="31"/>
      <c r="M407" s="32">
        <f>IF($O407=1,K407*(1+M$12),IF($O407=2,K407*(1+M$13),IF($O407=3,K407*(1+M$14),IF($O407=4,K407*(1+M$15)))))</f>
        <v>3112414.1055128798</v>
      </c>
      <c r="N407" s="31"/>
      <c r="O407" s="9">
        <v>4</v>
      </c>
    </row>
    <row r="408" spans="1:22" x14ac:dyDescent="0.2">
      <c r="A408" s="3">
        <v>18</v>
      </c>
      <c r="C408" s="1" t="str">
        <f>C401</f>
        <v>Payroll not trended</v>
      </c>
      <c r="E408" s="31">
        <v>0</v>
      </c>
      <c r="F408" s="31"/>
      <c r="G408" s="31">
        <v>0</v>
      </c>
      <c r="H408" s="31"/>
      <c r="I408" s="32">
        <f>E408+G408</f>
        <v>0</v>
      </c>
      <c r="J408" s="31"/>
      <c r="K408" s="32">
        <v>0</v>
      </c>
      <c r="L408" s="31"/>
      <c r="M408" s="32">
        <v>0</v>
      </c>
      <c r="N408" s="31"/>
    </row>
    <row r="409" spans="1:22" x14ac:dyDescent="0.2">
      <c r="A409" s="3">
        <v>19</v>
      </c>
      <c r="C409" s="1" t="str">
        <f>C402</f>
        <v>Other not trended</v>
      </c>
      <c r="E409" s="31">
        <f>'SCHG2-19b'!E42</f>
        <v>1936251.8399999999</v>
      </c>
      <c r="F409" s="31"/>
      <c r="G409" s="31">
        <v>0</v>
      </c>
      <c r="H409" s="31"/>
      <c r="I409" s="32">
        <f>E409+G409</f>
        <v>1936251.8399999999</v>
      </c>
      <c r="J409" s="31"/>
      <c r="K409" s="32">
        <f>'SCHG2-19b'!G42</f>
        <v>859726</v>
      </c>
      <c r="L409" s="31"/>
      <c r="M409" s="32">
        <f>'SCHG2-19b'!I42</f>
        <v>1664167.9720000001</v>
      </c>
      <c r="N409" s="31"/>
      <c r="O409" s="3" t="s">
        <v>383</v>
      </c>
    </row>
    <row r="410" spans="1:22" x14ac:dyDescent="0.2">
      <c r="A410" s="3"/>
      <c r="C410" s="31"/>
      <c r="E410" s="31"/>
      <c r="F410" s="31"/>
      <c r="G410" s="31"/>
      <c r="H410" s="31"/>
      <c r="I410" s="32"/>
      <c r="J410" s="31"/>
      <c r="K410" s="32"/>
      <c r="L410" s="31"/>
      <c r="M410" s="32"/>
      <c r="N410" s="31"/>
      <c r="V410" s="1"/>
    </row>
    <row r="411" spans="1:22" x14ac:dyDescent="0.2">
      <c r="A411" s="3">
        <v>20</v>
      </c>
      <c r="C411" s="2" t="s">
        <v>48</v>
      </c>
      <c r="E411" s="33">
        <f>SUM(E406:E409)</f>
        <v>4898717.8499999996</v>
      </c>
      <c r="F411" s="31"/>
      <c r="G411" s="33">
        <f>SUM(G406:G409)</f>
        <v>0</v>
      </c>
      <c r="H411" s="31"/>
      <c r="I411" s="33">
        <f>SUM(I406:I409)</f>
        <v>4898717.8499999996</v>
      </c>
      <c r="J411" s="31"/>
      <c r="K411" s="33">
        <f>SUM(K406:K409)</f>
        <v>3905140.9760399996</v>
      </c>
      <c r="L411" s="31"/>
      <c r="M411" s="33">
        <f>SUM(M406:M409)</f>
        <v>4776582.0775128799</v>
      </c>
      <c r="N411" s="31"/>
      <c r="P411" s="3" t="s">
        <v>112</v>
      </c>
    </row>
    <row r="412" spans="1:22" x14ac:dyDescent="0.2">
      <c r="A412" s="3"/>
      <c r="E412" s="35"/>
      <c r="N412" s="31"/>
    </row>
    <row r="413" spans="1:22" x14ac:dyDescent="0.2">
      <c r="A413" s="3">
        <v>21</v>
      </c>
      <c r="B413" s="2">
        <v>924</v>
      </c>
      <c r="C413" s="2" t="str">
        <f>C406</f>
        <v>Payroll trended</v>
      </c>
      <c r="E413" s="31">
        <v>0</v>
      </c>
      <c r="F413" s="31"/>
      <c r="G413" s="31">
        <v>0</v>
      </c>
      <c r="H413" s="31"/>
      <c r="I413" s="32">
        <f>E413+G413</f>
        <v>0</v>
      </c>
      <c r="J413" s="31"/>
      <c r="K413" s="32" t="b">
        <f>IF($O413=1,I413*(1+K$12),IF($O413=2,I413*(1+K$13),IF($O413=3,I413*(1+K$14),IF($O413=4,I413*(1+K$15)))))</f>
        <v>0</v>
      </c>
      <c r="L413" s="31"/>
      <c r="M413" s="32" t="b">
        <f>IF($O413=1,K413*(1+M$12),IF($O413=2,K413*(1+M$13),IF($O413=3,K413*(1+M$14),IF($O413=4,K413*(1+M$15)))))</f>
        <v>0</v>
      </c>
      <c r="N413" s="31"/>
      <c r="O413" s="9"/>
    </row>
    <row r="414" spans="1:22" x14ac:dyDescent="0.2">
      <c r="A414" s="3">
        <v>22</v>
      </c>
      <c r="C414" s="2" t="str">
        <f>C407</f>
        <v>Other trended</v>
      </c>
      <c r="E414" s="31">
        <v>72023.050000000047</v>
      </c>
      <c r="F414" s="31"/>
      <c r="G414" s="31">
        <v>0</v>
      </c>
      <c r="H414" s="31"/>
      <c r="I414" s="32">
        <f>E414+G414</f>
        <v>72023.050000000047</v>
      </c>
      <c r="J414" s="31"/>
      <c r="K414" s="32">
        <f>IF($O414=1,I414*(1+K$12),IF($O414=2,I414*(1+K$13),IF($O414=3,I414*(1+K$14),IF($O414=4,I414*(1+K$15)))))</f>
        <v>74039.695400000055</v>
      </c>
      <c r="L414" s="31"/>
      <c r="M414" s="32">
        <f>IF($O414=1,K414*(1+M$12),IF($O414=2,K414*(1+M$13),IF($O414=3,K414*(1+M$14),IF($O414=4,K414*(1+M$15)))))</f>
        <v>75668.568698800053</v>
      </c>
      <c r="N414" s="31"/>
      <c r="O414" s="9">
        <v>4</v>
      </c>
    </row>
    <row r="415" spans="1:22" x14ac:dyDescent="0.2">
      <c r="A415" s="3">
        <v>23</v>
      </c>
      <c r="C415" s="1" t="str">
        <f>C408</f>
        <v>Payroll not trended</v>
      </c>
      <c r="E415" s="31">
        <v>0</v>
      </c>
      <c r="F415" s="31"/>
      <c r="G415" s="31">
        <v>0</v>
      </c>
      <c r="H415" s="31"/>
      <c r="I415" s="32">
        <f>E415+G415</f>
        <v>0</v>
      </c>
      <c r="J415" s="31"/>
      <c r="K415" s="32">
        <v>0</v>
      </c>
      <c r="L415" s="31"/>
      <c r="M415" s="32">
        <v>0</v>
      </c>
      <c r="N415" s="31"/>
    </row>
    <row r="416" spans="1:22" x14ac:dyDescent="0.2">
      <c r="A416" s="3">
        <v>24</v>
      </c>
      <c r="C416" s="1" t="str">
        <f>C409</f>
        <v>Other not trended</v>
      </c>
      <c r="E416" s="31">
        <v>380000.04</v>
      </c>
      <c r="F416" s="31"/>
      <c r="G416" s="31">
        <v>0</v>
      </c>
      <c r="H416" s="31"/>
      <c r="I416" s="32">
        <f>E416+G416</f>
        <v>380000.04</v>
      </c>
      <c r="J416" s="31"/>
      <c r="K416" s="32">
        <f>'SCHG2-19b'!G44</f>
        <v>380000.04</v>
      </c>
      <c r="L416" s="31"/>
      <c r="M416" s="32">
        <f>'SCHG2-19b'!I44</f>
        <v>500000.0000004</v>
      </c>
      <c r="N416" s="31"/>
      <c r="O416" s="3" t="s">
        <v>383</v>
      </c>
      <c r="V416" s="1"/>
    </row>
    <row r="417" spans="1:22" x14ac:dyDescent="0.2">
      <c r="A417" s="3"/>
      <c r="E417" s="31"/>
      <c r="F417" s="31"/>
      <c r="G417" s="31"/>
      <c r="H417" s="31"/>
      <c r="I417" s="32"/>
      <c r="J417" s="31"/>
      <c r="K417" s="32"/>
      <c r="L417" s="31"/>
      <c r="M417" s="32"/>
      <c r="N417" s="31"/>
    </row>
    <row r="418" spans="1:22" x14ac:dyDescent="0.2">
      <c r="A418" s="3">
        <v>25</v>
      </c>
      <c r="C418" s="2" t="s">
        <v>48</v>
      </c>
      <c r="E418" s="33">
        <f>SUM(E413:E416)</f>
        <v>452023.09</v>
      </c>
      <c r="F418" s="31"/>
      <c r="G418" s="33">
        <f>SUM(G413:G416)</f>
        <v>0</v>
      </c>
      <c r="H418" s="31"/>
      <c r="I418" s="33">
        <f>SUM(I413:I416)</f>
        <v>452023.09</v>
      </c>
      <c r="J418" s="31"/>
      <c r="K418" s="33">
        <f>SUM(K413:K416)</f>
        <v>454039.73540000001</v>
      </c>
      <c r="L418" s="31"/>
      <c r="M418" s="33">
        <f>SUM(M413:M416)</f>
        <v>575668.56869920006</v>
      </c>
      <c r="N418" s="31"/>
      <c r="P418" s="3" t="s">
        <v>112</v>
      </c>
    </row>
    <row r="419" spans="1:22" x14ac:dyDescent="0.2">
      <c r="A419" s="3"/>
      <c r="E419" s="35"/>
    </row>
    <row r="420" spans="1:22" x14ac:dyDescent="0.2">
      <c r="A420" s="3">
        <v>26</v>
      </c>
      <c r="B420" s="2">
        <v>925</v>
      </c>
      <c r="C420" s="2" t="str">
        <f>C413</f>
        <v>Payroll trended</v>
      </c>
      <c r="E420" s="31">
        <v>2058520</v>
      </c>
      <c r="F420" s="31"/>
      <c r="G420" s="31">
        <v>0</v>
      </c>
      <c r="H420" s="31"/>
      <c r="I420" s="32">
        <f>E420+G420</f>
        <v>2058520</v>
      </c>
      <c r="J420" s="31"/>
      <c r="K420" s="32">
        <f>IF($O420=1,I420*(1+K$12),IF($O420=2,I420*(1+K$13),IF($O420=3,I420*(1+K$14),IF($O420=4,I420*(1+K$15)))))</f>
        <v>2161446</v>
      </c>
      <c r="L420" s="31"/>
      <c r="M420" s="32">
        <f>IF($O420=1,K420*(1+M$12),IF($O420=2,K420*(1+M$13),IF($O420=3,K420*(1+M$14),IF($O420=4,K420*(1+M$15)))))</f>
        <v>2269518.3000000003</v>
      </c>
      <c r="N420" s="31"/>
      <c r="O420" s="9">
        <v>1</v>
      </c>
    </row>
    <row r="421" spans="1:22" x14ac:dyDescent="0.2">
      <c r="A421" s="3">
        <v>27</v>
      </c>
      <c r="C421" s="2" t="str">
        <f>C414</f>
        <v>Other trended</v>
      </c>
      <c r="E421" s="31">
        <v>363568.20999999996</v>
      </c>
      <c r="F421" s="31"/>
      <c r="G421" s="31">
        <v>0</v>
      </c>
      <c r="H421" s="31"/>
      <c r="I421" s="32">
        <f>E421+G421</f>
        <v>363568.20999999996</v>
      </c>
      <c r="J421" s="31"/>
      <c r="K421" s="32">
        <f>IF($O421=1,I421*(1+K$12),IF($O421=2,I421*(1+K$13),IF($O421=3,I421*(1+K$14),IF($O421=4,I421*(1+K$15)))))</f>
        <v>373748.11987999995</v>
      </c>
      <c r="L421" s="31"/>
      <c r="M421" s="32">
        <f>IF($O421=1,K421*(1+M$12),IF($O421=2,K421*(1+M$13),IF($O421=3,K421*(1+M$14),IF($O421=4,K421*(1+M$15)))))</f>
        <v>381970.57851735997</v>
      </c>
      <c r="N421" s="31"/>
      <c r="O421" s="9">
        <v>4</v>
      </c>
    </row>
    <row r="422" spans="1:22" x14ac:dyDescent="0.2">
      <c r="A422" s="3">
        <v>28</v>
      </c>
      <c r="C422" s="1" t="str">
        <f>C415</f>
        <v>Payroll not trended</v>
      </c>
      <c r="E422" s="31">
        <v>0</v>
      </c>
      <c r="F422" s="31"/>
      <c r="G422" s="31">
        <v>0</v>
      </c>
      <c r="H422" s="31"/>
      <c r="I422" s="32">
        <f>E422+G422</f>
        <v>0</v>
      </c>
      <c r="J422" s="31"/>
      <c r="K422" s="32">
        <f>'SCHG2-19c to 19e'!F170</f>
        <v>0</v>
      </c>
      <c r="L422" s="31"/>
      <c r="M422" s="32">
        <f>'SCHG2-19c to 19e'!I170</f>
        <v>248882.16236295053</v>
      </c>
      <c r="N422" s="31"/>
      <c r="O422" s="3" t="s">
        <v>386</v>
      </c>
      <c r="P422" s="38"/>
    </row>
    <row r="423" spans="1:22" x14ac:dyDescent="0.2">
      <c r="A423" s="3">
        <v>29</v>
      </c>
      <c r="C423" s="1" t="str">
        <f>C416</f>
        <v>Other not trended</v>
      </c>
      <c r="E423" s="31">
        <f>'SCHG2-19b'!E49</f>
        <v>6466884.8099999996</v>
      </c>
      <c r="F423" s="31"/>
      <c r="G423" s="31">
        <v>0</v>
      </c>
      <c r="H423" s="31"/>
      <c r="I423" s="32">
        <f>E423+G423</f>
        <v>6466884.8099999996</v>
      </c>
      <c r="J423" s="31"/>
      <c r="K423" s="32">
        <f>'SCHG2-19b'!G49</f>
        <v>6995808.3700000001</v>
      </c>
      <c r="L423" s="31"/>
      <c r="M423" s="32">
        <f>'SCHG2-19b'!I49</f>
        <v>7908971.4093149994</v>
      </c>
      <c r="N423" s="31"/>
      <c r="O423" s="3" t="s">
        <v>383</v>
      </c>
      <c r="V423" s="52"/>
    </row>
    <row r="424" spans="1:22" x14ac:dyDescent="0.2">
      <c r="A424" s="3"/>
      <c r="E424" s="31"/>
      <c r="F424" s="31"/>
      <c r="G424" s="31"/>
      <c r="H424" s="31"/>
      <c r="I424" s="32"/>
      <c r="J424" s="31"/>
      <c r="K424" s="32"/>
      <c r="L424" s="31"/>
      <c r="M424" s="32"/>
      <c r="N424" s="31"/>
    </row>
    <row r="425" spans="1:22" x14ac:dyDescent="0.2">
      <c r="A425" s="3">
        <v>30</v>
      </c>
      <c r="C425" s="2" t="s">
        <v>48</v>
      </c>
      <c r="E425" s="33">
        <f>SUM(E420:E423)</f>
        <v>8888973.0199999996</v>
      </c>
      <c r="F425" s="31"/>
      <c r="G425" s="33">
        <f>SUM(G420:G423)</f>
        <v>0</v>
      </c>
      <c r="H425" s="31"/>
      <c r="I425" s="33">
        <f>SUM(I420:I423)</f>
        <v>8888973.0199999996</v>
      </c>
      <c r="J425" s="31"/>
      <c r="K425" s="33">
        <f>SUM(K420:K423)</f>
        <v>9531002.4898799993</v>
      </c>
      <c r="L425" s="31"/>
      <c r="M425" s="33">
        <f>SUM(M420:M423)</f>
        <v>10809342.450195311</v>
      </c>
      <c r="N425" s="31"/>
      <c r="P425" s="3" t="s">
        <v>112</v>
      </c>
    </row>
    <row r="426" spans="1:22" x14ac:dyDescent="0.2">
      <c r="E426" s="35"/>
    </row>
    <row r="427" spans="1:22" x14ac:dyDescent="0.2">
      <c r="I427" s="37"/>
      <c r="K427" s="37"/>
      <c r="M427" s="37"/>
    </row>
    <row r="428" spans="1:22" x14ac:dyDescent="0.2">
      <c r="A428" s="1" t="s">
        <v>0</v>
      </c>
      <c r="I428" s="39" t="s">
        <v>52</v>
      </c>
      <c r="J428" s="1"/>
      <c r="K428" s="37"/>
      <c r="M428" s="37"/>
      <c r="O428" s="3" t="s">
        <v>1</v>
      </c>
      <c r="T428" s="1" t="s">
        <v>92</v>
      </c>
    </row>
    <row r="429" spans="1:22" x14ac:dyDescent="0.2">
      <c r="A429" s="77"/>
      <c r="B429" s="77"/>
      <c r="C429" s="77"/>
      <c r="D429" s="77"/>
      <c r="E429" s="77"/>
      <c r="F429" s="77"/>
      <c r="G429" s="77"/>
      <c r="H429" s="77"/>
      <c r="I429" s="79"/>
      <c r="J429" s="77"/>
      <c r="K429" s="79"/>
      <c r="L429" s="77"/>
      <c r="M429" s="79"/>
      <c r="N429" s="77"/>
      <c r="O429" s="29"/>
      <c r="P429" s="78"/>
      <c r="Q429" s="77"/>
      <c r="R429" s="77"/>
      <c r="S429" s="77"/>
      <c r="T429" s="77"/>
      <c r="U429" s="77"/>
    </row>
    <row r="430" spans="1:22" x14ac:dyDescent="0.2">
      <c r="A430" s="1" t="s">
        <v>3</v>
      </c>
      <c r="I430" s="37"/>
      <c r="K430" s="37"/>
      <c r="M430" s="37"/>
      <c r="O430" s="3" t="s">
        <v>4</v>
      </c>
      <c r="T430" s="1" t="s">
        <v>5</v>
      </c>
    </row>
    <row r="431" spans="1:22" x14ac:dyDescent="0.2">
      <c r="I431" s="37"/>
      <c r="K431" s="37"/>
      <c r="M431" s="37"/>
      <c r="O431" s="3" t="s">
        <v>6</v>
      </c>
      <c r="T431" s="1" t="s">
        <v>7</v>
      </c>
      <c r="U431" s="4" t="str">
        <f>U$4</f>
        <v>12/31/22</v>
      </c>
    </row>
    <row r="432" spans="1:22" x14ac:dyDescent="0.2">
      <c r="A432" s="1" t="s">
        <v>11</v>
      </c>
      <c r="C432" s="1" t="s">
        <v>85</v>
      </c>
      <c r="I432" s="37"/>
      <c r="K432" s="37"/>
      <c r="M432" s="37"/>
      <c r="O432" s="3" t="s">
        <v>12</v>
      </c>
      <c r="T432" s="1" t="s">
        <v>13</v>
      </c>
      <c r="U432" s="4" t="str">
        <f>U$5</f>
        <v>12/31/23</v>
      </c>
    </row>
    <row r="433" spans="1:23" x14ac:dyDescent="0.2">
      <c r="I433" s="37"/>
      <c r="K433" s="37"/>
      <c r="M433" s="37"/>
      <c r="T433" s="2" t="s">
        <v>14</v>
      </c>
      <c r="U433" s="4" t="str">
        <f>U$6</f>
        <v>12/31/24</v>
      </c>
    </row>
    <row r="434" spans="1:23" x14ac:dyDescent="0.2">
      <c r="A434" s="68" t="str">
        <f>A$7</f>
        <v xml:space="preserve">DOCKET NO.:  </v>
      </c>
      <c r="C434" s="40" t="s">
        <v>88</v>
      </c>
      <c r="I434" s="37"/>
      <c r="K434" s="39"/>
      <c r="L434" s="1"/>
      <c r="M434" s="39"/>
      <c r="N434" s="1"/>
      <c r="Q434" s="6"/>
      <c r="T434" s="2" t="s">
        <v>18</v>
      </c>
      <c r="U434" s="123" t="s">
        <v>409</v>
      </c>
    </row>
    <row r="435" spans="1:23" x14ac:dyDescent="0.2">
      <c r="I435" s="37"/>
      <c r="K435" s="37"/>
      <c r="M435" s="37"/>
      <c r="U435" s="2" t="s">
        <v>410</v>
      </c>
    </row>
    <row r="436" spans="1:23" x14ac:dyDescent="0.2">
      <c r="A436" s="77"/>
      <c r="B436" s="77"/>
      <c r="C436" s="77"/>
      <c r="D436" s="77"/>
      <c r="E436" s="77"/>
      <c r="F436" s="77"/>
      <c r="G436" s="77"/>
      <c r="H436" s="77"/>
      <c r="I436" s="79"/>
      <c r="J436" s="77"/>
      <c r="K436" s="79"/>
      <c r="L436" s="77"/>
      <c r="M436" s="79"/>
      <c r="N436" s="77"/>
      <c r="O436" s="29"/>
      <c r="P436" s="78"/>
      <c r="Q436" s="77"/>
      <c r="R436" s="77"/>
      <c r="S436" s="77"/>
      <c r="T436" s="77"/>
      <c r="U436" s="8"/>
    </row>
    <row r="437" spans="1:23" x14ac:dyDescent="0.2">
      <c r="I437" s="37"/>
      <c r="K437" s="37"/>
      <c r="M437" s="37"/>
    </row>
    <row r="438" spans="1:23" x14ac:dyDescent="0.2">
      <c r="A438" s="3" t="s">
        <v>34</v>
      </c>
      <c r="E438" s="3" t="s">
        <v>35</v>
      </c>
      <c r="F438" s="3"/>
      <c r="G438" s="3"/>
      <c r="H438" s="3"/>
      <c r="I438" s="41" t="s">
        <v>36</v>
      </c>
      <c r="J438" s="3"/>
      <c r="K438" s="41"/>
      <c r="L438" s="3"/>
      <c r="M438" s="41" t="s">
        <v>21</v>
      </c>
      <c r="N438" s="3"/>
      <c r="O438" s="3" t="s">
        <v>37</v>
      </c>
    </row>
    <row r="439" spans="1:23" x14ac:dyDescent="0.2">
      <c r="A439" s="29" t="s">
        <v>38</v>
      </c>
      <c r="B439" s="29" t="s">
        <v>39</v>
      </c>
      <c r="E439" s="29" t="s">
        <v>40</v>
      </c>
      <c r="F439" s="3"/>
      <c r="G439" s="29" t="s">
        <v>41</v>
      </c>
      <c r="H439" s="3"/>
      <c r="I439" s="42" t="s">
        <v>40</v>
      </c>
      <c r="J439" s="3"/>
      <c r="K439" s="42" t="s">
        <v>42</v>
      </c>
      <c r="L439" s="3"/>
      <c r="M439" s="42" t="s">
        <v>23</v>
      </c>
      <c r="N439" s="3"/>
      <c r="O439" s="29" t="s">
        <v>43</v>
      </c>
      <c r="P439" s="29" t="s">
        <v>105</v>
      </c>
    </row>
    <row r="440" spans="1:23" x14ac:dyDescent="0.2">
      <c r="A440" s="3"/>
      <c r="E440" s="31"/>
      <c r="F440" s="31"/>
      <c r="G440" s="31"/>
      <c r="H440" s="31"/>
      <c r="I440" s="32"/>
      <c r="J440" s="31"/>
      <c r="K440" s="32"/>
      <c r="L440" s="31"/>
      <c r="M440" s="32"/>
      <c r="N440" s="31"/>
    </row>
    <row r="441" spans="1:23" x14ac:dyDescent="0.2">
      <c r="A441" s="3"/>
      <c r="B441" s="34" t="s">
        <v>71</v>
      </c>
      <c r="C441" s="34"/>
      <c r="D441" s="34"/>
      <c r="E441" s="49"/>
      <c r="F441" s="31"/>
      <c r="G441" s="31"/>
      <c r="H441" s="31"/>
      <c r="I441" s="32"/>
      <c r="J441" s="31"/>
      <c r="K441" s="32"/>
      <c r="L441" s="31"/>
      <c r="M441" s="32"/>
      <c r="N441" s="31"/>
    </row>
    <row r="442" spans="1:23" x14ac:dyDescent="0.2">
      <c r="A442" s="3"/>
      <c r="E442" s="53"/>
      <c r="I442" s="37"/>
      <c r="K442" s="37"/>
      <c r="M442" s="37"/>
    </row>
    <row r="443" spans="1:23" x14ac:dyDescent="0.2">
      <c r="A443" s="3">
        <v>1</v>
      </c>
      <c r="B443" s="2">
        <v>926</v>
      </c>
      <c r="C443" s="2" t="s">
        <v>44</v>
      </c>
      <c r="E443" s="31">
        <v>0</v>
      </c>
      <c r="F443" s="31"/>
      <c r="G443" s="31">
        <v>0</v>
      </c>
      <c r="H443" s="31"/>
      <c r="I443" s="32">
        <f>E443+G443</f>
        <v>0</v>
      </c>
      <c r="J443" s="31"/>
      <c r="K443" s="32" t="b">
        <f>IF($O443=1,I443*(1+K$12),IF($O443=2,I443*(1+K$13),IF($O443=3,I443*(1+K$14),IF($O443=4,I443*(1+K$15)))))</f>
        <v>0</v>
      </c>
      <c r="L443" s="31"/>
      <c r="M443" s="32" t="b">
        <f>IF($O443=1,K443*(1+M$12),IF($O443=2,K443*(1+M$13),IF($O443=3,K443*(1+M$14),IF($O443=4,K443*(1+M$15)))))</f>
        <v>0</v>
      </c>
      <c r="N443" s="31"/>
      <c r="O443" s="9"/>
    </row>
    <row r="444" spans="1:23" x14ac:dyDescent="0.2">
      <c r="A444" s="3">
        <v>2</v>
      </c>
      <c r="C444" s="2" t="s">
        <v>45</v>
      </c>
      <c r="E444" s="31">
        <v>1645182.0824099984</v>
      </c>
      <c r="F444" s="31"/>
      <c r="G444" s="31">
        <v>0</v>
      </c>
      <c r="H444" s="31"/>
      <c r="I444" s="32">
        <f>E444+G444</f>
        <v>1645182.0824099984</v>
      </c>
      <c r="J444" s="31"/>
      <c r="K444" s="32">
        <f>IF($O444=1,I444*(1+K$12),IF($O444=2,I444*(1+K$13),IF($O444=3,I444*(1+K$14),IF($O444=4,I444*(1+K$15)))))</f>
        <v>1755738.3183479502</v>
      </c>
      <c r="L444" s="31"/>
      <c r="M444" s="32">
        <f>IF($O444=1,K444*(1+M$12),IF($O444=2,K444*(1+M$13),IF($O444=3,K444*(1+M$14),IF($O444=4,K444*(1+M$15)))))</f>
        <v>1852303.9258570874</v>
      </c>
      <c r="N444" s="31"/>
      <c r="O444" s="9">
        <v>3</v>
      </c>
    </row>
    <row r="445" spans="1:23" x14ac:dyDescent="0.2">
      <c r="A445" s="3">
        <v>3</v>
      </c>
      <c r="C445" s="2" t="s">
        <v>46</v>
      </c>
      <c r="E445" s="31">
        <v>0</v>
      </c>
      <c r="F445" s="31"/>
      <c r="G445" s="31">
        <v>0</v>
      </c>
      <c r="H445" s="31"/>
      <c r="I445" s="32">
        <f>E445+G445</f>
        <v>0</v>
      </c>
      <c r="J445" s="31"/>
      <c r="K445" s="32">
        <v>0</v>
      </c>
      <c r="L445" s="31"/>
      <c r="M445" s="32">
        <v>0</v>
      </c>
      <c r="N445" s="31"/>
    </row>
    <row r="446" spans="1:23" x14ac:dyDescent="0.2">
      <c r="A446" s="3">
        <v>4</v>
      </c>
      <c r="C446" s="2" t="s">
        <v>47</v>
      </c>
      <c r="E446" s="31">
        <f>'SCHG2-19b'!E51</f>
        <v>8538087.5375900008</v>
      </c>
      <c r="F446" s="31"/>
      <c r="G446" s="31">
        <v>0</v>
      </c>
      <c r="H446" s="31"/>
      <c r="I446" s="32">
        <f>E446+G446</f>
        <v>8538087.5375900008</v>
      </c>
      <c r="J446" s="31"/>
      <c r="K446" s="32">
        <f>'SCHG2-19b'!G51</f>
        <v>9390035.4987643734</v>
      </c>
      <c r="L446" s="31"/>
      <c r="M446" s="32">
        <f>'SCHG2-19b'!I51</f>
        <v>10412563.173030229</v>
      </c>
      <c r="N446" s="31"/>
      <c r="O446" s="3" t="s">
        <v>383</v>
      </c>
      <c r="V446" s="52"/>
    </row>
    <row r="447" spans="1:23" x14ac:dyDescent="0.2">
      <c r="A447" s="3">
        <v>5</v>
      </c>
      <c r="E447" s="31"/>
      <c r="F447" s="31"/>
      <c r="G447" s="31"/>
      <c r="H447" s="31"/>
      <c r="I447" s="32"/>
      <c r="J447" s="31"/>
      <c r="K447" s="32"/>
      <c r="L447" s="31"/>
      <c r="M447" s="32"/>
      <c r="N447" s="31"/>
      <c r="O447" s="9"/>
    </row>
    <row r="448" spans="1:23" x14ac:dyDescent="0.2">
      <c r="A448" s="3">
        <v>6</v>
      </c>
      <c r="C448" s="2" t="s">
        <v>48</v>
      </c>
      <c r="E448" s="33">
        <f>SUM(E443:E446)</f>
        <v>10183269.619999999</v>
      </c>
      <c r="F448" s="31"/>
      <c r="G448" s="33">
        <f>SUM(G443:G446)</f>
        <v>0</v>
      </c>
      <c r="H448" s="31"/>
      <c r="I448" s="33">
        <f>SUM(I443:I446)</f>
        <v>10183269.619999999</v>
      </c>
      <c r="J448" s="31"/>
      <c r="K448" s="33">
        <f>SUM(K443:K446)</f>
        <v>11145773.817112323</v>
      </c>
      <c r="L448" s="31"/>
      <c r="M448" s="33">
        <f>SUM(M443:M446)</f>
        <v>12264867.098887317</v>
      </c>
      <c r="N448" s="31"/>
      <c r="P448" s="3" t="s">
        <v>132</v>
      </c>
      <c r="V448" s="48"/>
      <c r="W448" s="48"/>
    </row>
    <row r="449" spans="1:22" x14ac:dyDescent="0.2">
      <c r="A449" s="3"/>
      <c r="E449" s="35"/>
      <c r="K449" s="2">
        <f>K448-I448</f>
        <v>962504.19711232372</v>
      </c>
      <c r="M449" s="2">
        <f>M448-K448</f>
        <v>1119093.281774994</v>
      </c>
      <c r="N449" s="31"/>
      <c r="P449" s="43"/>
    </row>
    <row r="450" spans="1:22" x14ac:dyDescent="0.2">
      <c r="A450" s="3">
        <v>9</v>
      </c>
      <c r="B450" s="2">
        <v>928</v>
      </c>
      <c r="C450" s="2" t="str">
        <f>C420</f>
        <v>Payroll trended</v>
      </c>
      <c r="E450" s="31">
        <v>0</v>
      </c>
      <c r="F450" s="31"/>
      <c r="G450" s="31">
        <v>0</v>
      </c>
      <c r="H450" s="31"/>
      <c r="I450" s="32">
        <f>E450+G450</f>
        <v>0</v>
      </c>
      <c r="J450" s="31"/>
      <c r="K450" s="32" t="b">
        <f>IF($O450=1,I450*(1+K$12),IF($O450=2,I450*(1+K$13),IF($O450=3,I450*(1+K$14),IF($O450=4,I450*(1+K$15)))))</f>
        <v>0</v>
      </c>
      <c r="L450" s="31"/>
      <c r="M450" s="32" t="b">
        <f>IF($O450=1,K450*(1+M$12),IF($O450=2,K450*(1+M$13),IF($O450=3,K450*(1+M$14),IF($O450=4,K450*(1+M$15)))))</f>
        <v>0</v>
      </c>
      <c r="N450" s="31"/>
      <c r="O450" s="9"/>
      <c r="P450" s="43"/>
    </row>
    <row r="451" spans="1:22" x14ac:dyDescent="0.2">
      <c r="A451" s="3">
        <v>10</v>
      </c>
      <c r="C451" s="2" t="str">
        <f>C421</f>
        <v>Other trended</v>
      </c>
      <c r="E451" s="31">
        <v>0</v>
      </c>
      <c r="F451" s="31"/>
      <c r="G451" s="31">
        <v>0</v>
      </c>
      <c r="H451" s="31"/>
      <c r="I451" s="32">
        <f>E451+G451</f>
        <v>0</v>
      </c>
      <c r="J451" s="31"/>
      <c r="K451" s="32" t="b">
        <f>IF($O451=1,I451*(1+K$12),IF($O451=2,I451*(1+K$13),IF($O451=3,I451*(1+K$14),IF($O451=4,I451*(1+K$15)))))</f>
        <v>0</v>
      </c>
      <c r="L451" s="31"/>
      <c r="M451" s="32" t="b">
        <f>IF($O451=1,K451*(1+M$12),IF($O451=2,K451*(1+M$13),IF($O451=3,K451*(1+M$14),IF($O451=4,K451*(1+M$15)))))</f>
        <v>0</v>
      </c>
      <c r="N451" s="31"/>
      <c r="O451" s="9"/>
      <c r="P451" s="54"/>
    </row>
    <row r="452" spans="1:22" x14ac:dyDescent="0.2">
      <c r="A452" s="3">
        <v>11</v>
      </c>
      <c r="C452" s="2" t="str">
        <f>C422</f>
        <v>Payroll not trended</v>
      </c>
      <c r="E452" s="31">
        <v>0</v>
      </c>
      <c r="F452" s="31"/>
      <c r="G452" s="31">
        <v>0</v>
      </c>
      <c r="H452" s="31"/>
      <c r="I452" s="32">
        <f>E452+G452</f>
        <v>0</v>
      </c>
      <c r="J452" s="31"/>
      <c r="K452" s="32">
        <v>0</v>
      </c>
      <c r="L452" s="31"/>
      <c r="M452" s="32">
        <v>0</v>
      </c>
      <c r="N452" s="31"/>
      <c r="P452" s="4"/>
    </row>
    <row r="453" spans="1:22" x14ac:dyDescent="0.2">
      <c r="A453" s="3">
        <v>12</v>
      </c>
      <c r="C453" s="2" t="str">
        <f>C423</f>
        <v>Other not trended</v>
      </c>
      <c r="E453" s="31">
        <f>'SCHG2-19b'!E53</f>
        <v>423476.42</v>
      </c>
      <c r="F453" s="31"/>
      <c r="G453" s="31">
        <v>0</v>
      </c>
      <c r="H453" s="31"/>
      <c r="I453" s="32">
        <f>E453+G453</f>
        <v>423476.42</v>
      </c>
      <c r="J453" s="31"/>
      <c r="K453" s="32">
        <f>'SCHG2-19b'!G53</f>
        <v>388186.7</v>
      </c>
      <c r="L453" s="31"/>
      <c r="M453" s="32">
        <f>'SCHG2-19b'!I53</f>
        <v>1082603.1733331999</v>
      </c>
      <c r="N453" s="31"/>
      <c r="O453" s="3" t="s">
        <v>383</v>
      </c>
      <c r="V453" s="55"/>
    </row>
    <row r="454" spans="1:22" x14ac:dyDescent="0.2">
      <c r="A454" s="3"/>
      <c r="E454" s="31"/>
      <c r="F454" s="31"/>
      <c r="G454" s="31"/>
      <c r="H454" s="31"/>
      <c r="I454" s="32"/>
      <c r="J454" s="31"/>
      <c r="K454" s="32"/>
      <c r="L454" s="31"/>
      <c r="M454" s="32"/>
      <c r="N454" s="31"/>
    </row>
    <row r="455" spans="1:22" x14ac:dyDescent="0.2">
      <c r="A455" s="3">
        <v>13</v>
      </c>
      <c r="C455" s="2" t="s">
        <v>48</v>
      </c>
      <c r="E455" s="33">
        <f>SUM(E450:E453)</f>
        <v>423476.42</v>
      </c>
      <c r="F455" s="31"/>
      <c r="G455" s="33">
        <f>SUM(G450:G453)</f>
        <v>0</v>
      </c>
      <c r="H455" s="31"/>
      <c r="I455" s="33">
        <f>SUM(I450:I453)</f>
        <v>423476.42</v>
      </c>
      <c r="J455" s="31"/>
      <c r="K455" s="33">
        <f>SUM(K450:K453)</f>
        <v>388186.7</v>
      </c>
      <c r="L455" s="31"/>
      <c r="M455" s="33">
        <f>SUM(M450:M453)</f>
        <v>1082603.1733331999</v>
      </c>
      <c r="N455" s="31"/>
      <c r="P455" s="3" t="s">
        <v>112</v>
      </c>
    </row>
    <row r="456" spans="1:22" x14ac:dyDescent="0.2">
      <c r="A456" s="3"/>
      <c r="E456" s="35"/>
      <c r="N456" s="31"/>
    </row>
    <row r="457" spans="1:22" x14ac:dyDescent="0.2">
      <c r="A457" s="3">
        <v>14</v>
      </c>
      <c r="B457" s="56">
        <v>930.1</v>
      </c>
      <c r="C457" s="2" t="str">
        <f>C450</f>
        <v>Payroll trended</v>
      </c>
      <c r="E457" s="31">
        <v>0</v>
      </c>
      <c r="F457" s="31"/>
      <c r="G457" s="31">
        <v>0</v>
      </c>
      <c r="H457" s="31"/>
      <c r="I457" s="32">
        <f>E457+G457</f>
        <v>0</v>
      </c>
      <c r="J457" s="31"/>
      <c r="K457" s="32" t="b">
        <f>IF($O457=1,I457*(1+K$12),IF($O457=2,I457*(1+K$13),IF($O457=3,I457*(1+K$14),IF($O457=4,I457*(1+K$15)))))</f>
        <v>0</v>
      </c>
      <c r="L457" s="31"/>
      <c r="M457" s="32" t="b">
        <f>IF($O457=1,K457*(1+M$12),IF($O457=2,K457*(1+M$13),IF($O457=3,K457*(1+M$14),IF($O457=4,K457*(1+M$15)))))</f>
        <v>0</v>
      </c>
      <c r="N457" s="31"/>
      <c r="O457" s="9"/>
    </row>
    <row r="458" spans="1:22" x14ac:dyDescent="0.2">
      <c r="A458" s="3">
        <v>15</v>
      </c>
      <c r="C458" s="2" t="str">
        <f>C451</f>
        <v>Other trended</v>
      </c>
      <c r="E458" s="31">
        <v>8842.0300000000007</v>
      </c>
      <c r="F458" s="31"/>
      <c r="G458" s="31">
        <v>0</v>
      </c>
      <c r="H458" s="31"/>
      <c r="I458" s="32">
        <f>E458+G458</f>
        <v>8842.0300000000007</v>
      </c>
      <c r="J458" s="31"/>
      <c r="K458" s="32">
        <f>IF($O458=1,I458*(1+K$12),IF($O458=2,I458*(1+K$13),IF($O458=3,I458*(1+K$14),IF($O458=4,I458*(1+K$15)))))</f>
        <v>9089.6068400000004</v>
      </c>
      <c r="L458" s="31"/>
      <c r="M458" s="32">
        <f>IF($O458=1,K458*(1+M$12),IF($O458=2,K458*(1+M$13),IF($O458=3,K458*(1+M$14),IF($O458=4,K458*(1+M$15)))))</f>
        <v>9289.5781904800006</v>
      </c>
      <c r="N458" s="31"/>
      <c r="O458" s="9">
        <v>4</v>
      </c>
    </row>
    <row r="459" spans="1:22" x14ac:dyDescent="0.2">
      <c r="A459" s="3">
        <v>16</v>
      </c>
      <c r="C459" s="2" t="str">
        <f>C452</f>
        <v>Payroll not trended</v>
      </c>
      <c r="E459" s="31">
        <v>0</v>
      </c>
      <c r="F459" s="31"/>
      <c r="G459" s="31">
        <v>0</v>
      </c>
      <c r="H459" s="31"/>
      <c r="I459" s="32">
        <f>E459+G459</f>
        <v>0</v>
      </c>
      <c r="J459" s="31"/>
      <c r="K459" s="32" t="b">
        <v>0</v>
      </c>
      <c r="L459" s="31"/>
      <c r="M459" s="32">
        <v>0</v>
      </c>
      <c r="N459" s="31"/>
    </row>
    <row r="460" spans="1:22" x14ac:dyDescent="0.2">
      <c r="A460" s="3">
        <v>17</v>
      </c>
      <c r="C460" s="2" t="str">
        <f>C453</f>
        <v>Other not trended</v>
      </c>
      <c r="E460" s="31">
        <v>0</v>
      </c>
      <c r="F460" s="31"/>
      <c r="G460" s="31">
        <v>0</v>
      </c>
      <c r="H460" s="31"/>
      <c r="I460" s="32">
        <f>E460+G460</f>
        <v>0</v>
      </c>
      <c r="J460" s="31"/>
      <c r="K460" s="32">
        <v>0</v>
      </c>
      <c r="L460" s="31"/>
      <c r="M460" s="32">
        <v>0</v>
      </c>
      <c r="N460" s="31"/>
    </row>
    <row r="461" spans="1:22" x14ac:dyDescent="0.2">
      <c r="A461" s="3"/>
      <c r="E461" s="31"/>
      <c r="F461" s="31"/>
      <c r="G461" s="31"/>
      <c r="H461" s="31"/>
      <c r="I461" s="32"/>
      <c r="J461" s="31"/>
      <c r="K461" s="32"/>
      <c r="L461" s="31"/>
      <c r="M461" s="32"/>
      <c r="N461" s="31"/>
    </row>
    <row r="462" spans="1:22" x14ac:dyDescent="0.2">
      <c r="A462" s="3">
        <v>18</v>
      </c>
      <c r="C462" s="2" t="s">
        <v>48</v>
      </c>
      <c r="E462" s="33">
        <f>SUM(E457:E460)</f>
        <v>8842.0300000000007</v>
      </c>
      <c r="F462" s="31"/>
      <c r="G462" s="33">
        <f>SUM(G457:G460)</f>
        <v>0</v>
      </c>
      <c r="H462" s="31"/>
      <c r="I462" s="33">
        <f>SUM(I457:I460)</f>
        <v>8842.0300000000007</v>
      </c>
      <c r="J462" s="31"/>
      <c r="K462" s="33">
        <f>SUM(K457:K460)</f>
        <v>9089.6068400000004</v>
      </c>
      <c r="L462" s="31"/>
      <c r="M462" s="33">
        <f>SUM(M457:M460)</f>
        <v>9289.5781904800006</v>
      </c>
      <c r="N462" s="31"/>
      <c r="P462" s="3" t="s">
        <v>112</v>
      </c>
    </row>
    <row r="463" spans="1:22" x14ac:dyDescent="0.2">
      <c r="A463" s="3"/>
      <c r="E463" s="35"/>
      <c r="N463" s="31"/>
    </row>
    <row r="464" spans="1:22" x14ac:dyDescent="0.2">
      <c r="A464" s="3">
        <v>19</v>
      </c>
      <c r="B464" s="56">
        <v>930.2</v>
      </c>
      <c r="C464" s="2" t="str">
        <f>C457</f>
        <v>Payroll trended</v>
      </c>
      <c r="E464" s="31">
        <v>1471820.2399999995</v>
      </c>
      <c r="F464" s="31"/>
      <c r="G464" s="31">
        <v>0</v>
      </c>
      <c r="H464" s="31"/>
      <c r="I464" s="32">
        <f>E464+G464</f>
        <v>1471820.2399999995</v>
      </c>
      <c r="J464" s="31"/>
      <c r="K464" s="32">
        <f>IF($O464=1,I464*(1+K$12),IF($O464=2,I464*(1+K$13),IF($O464=3,I464*(1+K$14),IF($O464=4,I464*(1+K$15)))))</f>
        <v>1545411.2519999996</v>
      </c>
      <c r="L464" s="31"/>
      <c r="M464" s="32">
        <f>IF($O464=1,K464*(1+M$12),IF($O464=2,K464*(1+M$13),IF($O464=3,K464*(1+M$14),IF($O464=4,K464*(1+M$15)))))</f>
        <v>1622681.8145999997</v>
      </c>
      <c r="N464" s="31"/>
      <c r="O464" s="9">
        <v>1</v>
      </c>
    </row>
    <row r="465" spans="1:45" x14ac:dyDescent="0.2">
      <c r="A465" s="3">
        <v>20</v>
      </c>
      <c r="C465" s="2" t="str">
        <f>C458</f>
        <v>Other trended</v>
      </c>
      <c r="E465" s="31">
        <v>19931920.560000002</v>
      </c>
      <c r="F465" s="31"/>
      <c r="G465" s="31">
        <v>0</v>
      </c>
      <c r="H465" s="31"/>
      <c r="I465" s="32">
        <f>E465+G465</f>
        <v>19931920.560000002</v>
      </c>
      <c r="J465" s="31"/>
      <c r="K465" s="32">
        <f>IF($O465=1,I465*(1+K$12),IF($O465=2,I465*(1+K$13),IF($O465=3,I465*(1+K$14),IF($O465=4,I465*(1+K$15)))))</f>
        <v>20490014.335680004</v>
      </c>
      <c r="L465" s="31"/>
      <c r="M465" s="32">
        <f>IF($O465=1,K465*(1+M$12),IF($O465=2,K465*(1+M$13),IF($O465=3,K465*(1+M$14),IF($O465=4,K465*(1+M$15)))))</f>
        <v>20940794.651064966</v>
      </c>
      <c r="N465" s="31"/>
      <c r="O465" s="9">
        <v>4</v>
      </c>
    </row>
    <row r="466" spans="1:45" x14ac:dyDescent="0.2">
      <c r="A466" s="3">
        <v>21</v>
      </c>
      <c r="C466" s="2" t="str">
        <f>C459</f>
        <v>Payroll not trended</v>
      </c>
      <c r="E466" s="31">
        <v>0</v>
      </c>
      <c r="F466" s="31"/>
      <c r="G466" s="31">
        <v>0</v>
      </c>
      <c r="H466" s="31"/>
      <c r="I466" s="32">
        <f t="shared" ref="I466:I467" si="1">E466+G466</f>
        <v>0</v>
      </c>
      <c r="J466" s="31"/>
      <c r="K466" s="32">
        <v>0</v>
      </c>
      <c r="L466" s="31"/>
      <c r="M466" s="32">
        <v>0</v>
      </c>
      <c r="N466" s="31"/>
    </row>
    <row r="467" spans="1:45" x14ac:dyDescent="0.2">
      <c r="A467" s="3">
        <v>22</v>
      </c>
      <c r="C467" s="2" t="str">
        <f>C460</f>
        <v>Other not trended</v>
      </c>
      <c r="E467" s="31">
        <f>'SCHG2-19b'!E63</f>
        <v>2300509.2100000004</v>
      </c>
      <c r="F467" s="31"/>
      <c r="G467" s="31">
        <v>0</v>
      </c>
      <c r="H467" s="31"/>
      <c r="I467" s="32">
        <f t="shared" si="1"/>
        <v>2300509.2100000004</v>
      </c>
      <c r="J467" s="31"/>
      <c r="K467" s="32">
        <f>'SCHG2-19b'!G63</f>
        <v>5486854.3081500996</v>
      </c>
      <c r="L467" s="31"/>
      <c r="M467" s="32">
        <f>'SCHG2-19b'!I63</f>
        <v>6848615.2307951991</v>
      </c>
      <c r="N467" s="31"/>
      <c r="O467" s="3" t="s">
        <v>383</v>
      </c>
      <c r="V467" s="1"/>
    </row>
    <row r="468" spans="1:45" x14ac:dyDescent="0.2">
      <c r="A468" s="3">
        <v>23</v>
      </c>
      <c r="C468" s="2" t="s">
        <v>72</v>
      </c>
      <c r="E468" s="31">
        <v>0</v>
      </c>
      <c r="F468" s="31"/>
      <c r="G468" s="31">
        <v>0</v>
      </c>
      <c r="H468" s="31"/>
      <c r="I468" s="32">
        <v>0</v>
      </c>
      <c r="J468" s="31"/>
      <c r="K468" s="32">
        <v>-47707.298242062301</v>
      </c>
      <c r="L468" s="31"/>
      <c r="M468" s="32">
        <v>-11401.7570730149</v>
      </c>
      <c r="N468" s="31"/>
    </row>
    <row r="469" spans="1:45" x14ac:dyDescent="0.2">
      <c r="A469" s="3"/>
      <c r="E469" s="31"/>
      <c r="F469" s="31"/>
      <c r="G469" s="31"/>
      <c r="H469" s="31"/>
      <c r="I469" s="32"/>
      <c r="J469" s="31"/>
      <c r="K469" s="32"/>
      <c r="L469" s="31"/>
      <c r="M469" s="32"/>
      <c r="N469" s="31"/>
    </row>
    <row r="470" spans="1:45" x14ac:dyDescent="0.2">
      <c r="A470" s="3">
        <v>24</v>
      </c>
      <c r="C470" s="2" t="s">
        <v>48</v>
      </c>
      <c r="E470" s="33">
        <f>SUM(E464:E468)</f>
        <v>23704250.010000002</v>
      </c>
      <c r="F470" s="31"/>
      <c r="G470" s="33">
        <f>SUM(G464:G468)</f>
        <v>0</v>
      </c>
      <c r="H470" s="31"/>
      <c r="I470" s="33">
        <f>SUM(I464:I468)</f>
        <v>23704250.010000002</v>
      </c>
      <c r="J470" s="31"/>
      <c r="K470" s="33">
        <f>SUM(K464:K468)</f>
        <v>27474572.59758804</v>
      </c>
      <c r="L470" s="31"/>
      <c r="M470" s="33">
        <f>SUM(M464:M468)</f>
        <v>29400689.93938715</v>
      </c>
      <c r="N470" s="31"/>
      <c r="P470" s="3" t="s">
        <v>112</v>
      </c>
      <c r="V470" s="48"/>
      <c r="W470" s="48"/>
    </row>
    <row r="471" spans="1:45" x14ac:dyDescent="0.2">
      <c r="A471" s="3"/>
      <c r="E471" s="35"/>
      <c r="N471" s="31"/>
    </row>
    <row r="472" spans="1:45" x14ac:dyDescent="0.2">
      <c r="A472" s="3">
        <v>25</v>
      </c>
      <c r="B472" s="2">
        <v>931</v>
      </c>
      <c r="C472" s="2" t="str">
        <f>C464</f>
        <v>Payroll trended</v>
      </c>
      <c r="E472" s="31">
        <v>0</v>
      </c>
      <c r="F472" s="31"/>
      <c r="G472" s="31">
        <v>0</v>
      </c>
      <c r="H472" s="31"/>
      <c r="I472" s="32">
        <f>E472+G472</f>
        <v>0</v>
      </c>
      <c r="J472" s="31"/>
      <c r="K472" s="32" t="b">
        <f>IF($O472=1,I472*(1+K$12),IF($O472=2,I472*(1+K$13),IF($O472=3,I472*(1+K$14),IF($O472=4,I472*(1+K$15)))))</f>
        <v>0</v>
      </c>
      <c r="L472" s="31"/>
      <c r="M472" s="32" t="b">
        <f>IF($O472=1,K472*(1+M$12),IF($O472=2,K472*(1+M$13),IF($O472=3,K472*(1+M$14),IF($O472=4,K472*(1+M$15)))))</f>
        <v>0</v>
      </c>
      <c r="N472" s="31"/>
      <c r="O472" s="9"/>
    </row>
    <row r="473" spans="1:45" s="1" customFormat="1" x14ac:dyDescent="0.2">
      <c r="A473" s="3">
        <v>26</v>
      </c>
      <c r="B473" s="2"/>
      <c r="C473" s="2" t="str">
        <f>C465</f>
        <v>Other trended</v>
      </c>
      <c r="D473" s="2"/>
      <c r="E473" s="31">
        <v>505779.17</v>
      </c>
      <c r="F473" s="31"/>
      <c r="G473" s="31">
        <v>0</v>
      </c>
      <c r="H473" s="31"/>
      <c r="I473" s="32">
        <f>E473+G473</f>
        <v>505779.17</v>
      </c>
      <c r="J473" s="31"/>
      <c r="K473" s="32">
        <f>IF($O473=1,I473*(1+K$12),IF($O473=2,I473*(1+K$13),IF($O473=3,I473*(1+K$14),IF($O473=4,I473*(1+K$15)))))</f>
        <v>519940.98676</v>
      </c>
      <c r="L473" s="31"/>
      <c r="M473" s="32">
        <f>IF($O473=1,K473*(1+M$12),IF($O473=2,K473*(1+M$13),IF($O473=3,K473*(1+M$14),IF($O473=4,K473*(1+M$15)))))</f>
        <v>531379.68846872007</v>
      </c>
      <c r="N473" s="31"/>
      <c r="O473" s="9">
        <v>4</v>
      </c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</row>
    <row r="474" spans="1:45" s="1" customFormat="1" x14ac:dyDescent="0.2">
      <c r="A474" s="3">
        <v>27</v>
      </c>
      <c r="B474" s="2"/>
      <c r="C474" s="2" t="str">
        <f>C466</f>
        <v>Payroll not trended</v>
      </c>
      <c r="D474" s="2"/>
      <c r="E474" s="31">
        <v>0</v>
      </c>
      <c r="F474" s="31"/>
      <c r="G474" s="31">
        <v>0</v>
      </c>
      <c r="H474" s="31"/>
      <c r="I474" s="32">
        <f>E474+G474</f>
        <v>0</v>
      </c>
      <c r="J474" s="31"/>
      <c r="K474" s="32">
        <v>0</v>
      </c>
      <c r="L474" s="31"/>
      <c r="M474" s="32">
        <v>0</v>
      </c>
      <c r="N474" s="31"/>
      <c r="O474" s="3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</row>
    <row r="475" spans="1:45" s="1" customFormat="1" x14ac:dyDescent="0.2">
      <c r="A475" s="3">
        <v>28</v>
      </c>
      <c r="B475" s="2"/>
      <c r="C475" s="2" t="str">
        <f>C467</f>
        <v>Other not trended</v>
      </c>
      <c r="D475" s="2"/>
      <c r="E475" s="31">
        <v>0</v>
      </c>
      <c r="F475" s="31"/>
      <c r="G475" s="31">
        <v>0</v>
      </c>
      <c r="H475" s="31"/>
      <c r="I475" s="32">
        <f>E475+G475</f>
        <v>0</v>
      </c>
      <c r="J475" s="31"/>
      <c r="K475" s="32">
        <v>0</v>
      </c>
      <c r="L475" s="31"/>
      <c r="M475" s="32">
        <v>0</v>
      </c>
      <c r="N475" s="31"/>
      <c r="O475" s="3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</row>
    <row r="476" spans="1:45" s="1" customFormat="1" x14ac:dyDescent="0.2">
      <c r="A476" s="3"/>
      <c r="B476" s="2"/>
      <c r="C476" s="2"/>
      <c r="D476" s="2"/>
      <c r="E476" s="31"/>
      <c r="F476" s="31"/>
      <c r="G476" s="31"/>
      <c r="H476" s="31"/>
      <c r="I476" s="32"/>
      <c r="J476" s="31"/>
      <c r="K476" s="32"/>
      <c r="L476" s="31"/>
      <c r="M476" s="32"/>
      <c r="N476" s="31"/>
      <c r="O476" s="3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</row>
    <row r="477" spans="1:45" s="1" customFormat="1" x14ac:dyDescent="0.2">
      <c r="A477" s="3">
        <v>29</v>
      </c>
      <c r="B477" s="2"/>
      <c r="C477" s="2" t="s">
        <v>48</v>
      </c>
      <c r="D477" s="2"/>
      <c r="E477" s="33">
        <f>SUM(E472:E475)</f>
        <v>505779.17</v>
      </c>
      <c r="F477" s="31"/>
      <c r="G477" s="33">
        <f>SUM(G472:G475)</f>
        <v>0</v>
      </c>
      <c r="H477" s="31"/>
      <c r="I477" s="33">
        <f>SUM(I472:I475)</f>
        <v>505779.17</v>
      </c>
      <c r="J477" s="31"/>
      <c r="K477" s="33">
        <f>SUM(K472:K475)</f>
        <v>519940.98676</v>
      </c>
      <c r="L477" s="31"/>
      <c r="M477" s="33">
        <f>SUM(M472:M475)</f>
        <v>531379.68846872007</v>
      </c>
      <c r="N477" s="31"/>
      <c r="O477" s="3"/>
      <c r="P477" s="3" t="s">
        <v>112</v>
      </c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</row>
    <row r="478" spans="1:45" s="1" customFormat="1" x14ac:dyDescent="0.2">
      <c r="A478" s="3"/>
      <c r="B478" s="2"/>
      <c r="C478" s="2"/>
      <c r="D478" s="2"/>
      <c r="E478" s="35"/>
      <c r="F478" s="2"/>
      <c r="G478" s="2"/>
      <c r="H478" s="2"/>
      <c r="I478" s="2"/>
      <c r="J478" s="2"/>
      <c r="K478" s="2"/>
      <c r="L478" s="2"/>
      <c r="M478" s="2"/>
      <c r="N478" s="31"/>
      <c r="O478" s="3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</row>
    <row r="479" spans="1:45" s="1" customFormat="1" x14ac:dyDescent="0.2">
      <c r="A479" s="3">
        <v>30</v>
      </c>
      <c r="B479" s="2">
        <v>932</v>
      </c>
      <c r="C479" s="2" t="str">
        <f>C472</f>
        <v>Payroll trended</v>
      </c>
      <c r="D479" s="2"/>
      <c r="E479" s="31">
        <v>9588.380000000001</v>
      </c>
      <c r="F479" s="31"/>
      <c r="G479" s="31">
        <v>0</v>
      </c>
      <c r="H479" s="31"/>
      <c r="I479" s="32">
        <f>E479+G479</f>
        <v>9588.380000000001</v>
      </c>
      <c r="J479" s="31"/>
      <c r="K479" s="32">
        <f>IF($O479=1,I479*(1+K$12),IF($O479=2,I479*(1+K$13),IF($O479=3,I479*(1+K$14),IF($O479=4,I479*(1+K$15)))))</f>
        <v>10067.799000000001</v>
      </c>
      <c r="L479" s="31"/>
      <c r="M479" s="32">
        <f>IF($O479=1,K479*(1+M$12),IF($O479=2,K479*(1+M$13),IF($O479=3,K479*(1+M$14),IF($O479=4,K479*(1+M$15)))))</f>
        <v>10571.188950000002</v>
      </c>
      <c r="N479" s="31"/>
      <c r="O479" s="9">
        <v>1</v>
      </c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</row>
    <row r="480" spans="1:45" s="1" customFormat="1" x14ac:dyDescent="0.2">
      <c r="A480" s="3">
        <v>31</v>
      </c>
      <c r="B480" s="2"/>
      <c r="C480" s="2" t="str">
        <f>C473</f>
        <v>Other trended</v>
      </c>
      <c r="D480" s="2"/>
      <c r="E480" s="31">
        <v>432503.1</v>
      </c>
      <c r="F480" s="31"/>
      <c r="G480" s="31">
        <v>0</v>
      </c>
      <c r="H480" s="31"/>
      <c r="I480" s="32">
        <f>E480+G480</f>
        <v>432503.1</v>
      </c>
      <c r="J480" s="31"/>
      <c r="K480" s="32">
        <f>IF($O480=1,I480*(1+K$12),IF($O480=2,I480*(1+K$13),IF($O480=3,I480*(1+K$14),IF($O480=4,I480*(1+K$15)))))</f>
        <v>444613.18679999997</v>
      </c>
      <c r="L480" s="31"/>
      <c r="M480" s="32">
        <f>IF($O480=1,K480*(1+M$12),IF($O480=2,K480*(1+M$13),IF($O480=3,K480*(1+M$14),IF($O480=4,K480*(1+M$15)))))</f>
        <v>454394.67690959998</v>
      </c>
      <c r="N480" s="31"/>
      <c r="O480" s="9">
        <v>4</v>
      </c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</row>
    <row r="481" spans="1:45" s="1" customFormat="1" x14ac:dyDescent="0.2">
      <c r="A481" s="3">
        <v>32</v>
      </c>
      <c r="B481" s="2"/>
      <c r="C481" s="2" t="str">
        <f>C474</f>
        <v>Payroll not trended</v>
      </c>
      <c r="D481" s="2"/>
      <c r="E481" s="31">
        <v>0</v>
      </c>
      <c r="F481" s="31"/>
      <c r="G481" s="31">
        <v>0</v>
      </c>
      <c r="H481" s="31"/>
      <c r="I481" s="32">
        <f>E481+G481</f>
        <v>0</v>
      </c>
      <c r="J481" s="31"/>
      <c r="K481" s="32" t="b">
        <v>0</v>
      </c>
      <c r="L481" s="31"/>
      <c r="M481" s="32">
        <v>0</v>
      </c>
      <c r="N481" s="31"/>
      <c r="O481" s="3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</row>
    <row r="482" spans="1:45" s="1" customFormat="1" x14ac:dyDescent="0.2">
      <c r="A482" s="3">
        <v>33</v>
      </c>
      <c r="B482" s="2"/>
      <c r="C482" s="2" t="str">
        <f>C475</f>
        <v>Other not trended</v>
      </c>
      <c r="D482" s="2"/>
      <c r="E482" s="31">
        <v>0</v>
      </c>
      <c r="F482" s="31"/>
      <c r="G482" s="31">
        <v>0</v>
      </c>
      <c r="H482" s="31"/>
      <c r="I482" s="32">
        <f>E482+G482</f>
        <v>0</v>
      </c>
      <c r="J482" s="31"/>
      <c r="K482" s="32">
        <v>0</v>
      </c>
      <c r="L482" s="31"/>
      <c r="M482" s="32">
        <v>0</v>
      </c>
      <c r="N482" s="31"/>
      <c r="O482" s="3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</row>
    <row r="483" spans="1:45" s="1" customFormat="1" x14ac:dyDescent="0.2">
      <c r="A483" s="3"/>
      <c r="B483" s="2"/>
      <c r="C483" s="2"/>
      <c r="D483" s="2"/>
      <c r="E483" s="31"/>
      <c r="F483" s="31"/>
      <c r="G483" s="31"/>
      <c r="H483" s="31"/>
      <c r="I483" s="32"/>
      <c r="J483" s="31"/>
      <c r="K483" s="32"/>
      <c r="L483" s="31"/>
      <c r="M483" s="32"/>
      <c r="N483" s="31"/>
      <c r="O483" s="3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</row>
    <row r="484" spans="1:45" s="1" customFormat="1" x14ac:dyDescent="0.2">
      <c r="A484" s="3">
        <v>34</v>
      </c>
      <c r="B484" s="2"/>
      <c r="C484" s="2" t="s">
        <v>48</v>
      </c>
      <c r="D484" s="2"/>
      <c r="E484" s="33">
        <f>SUM(E479:E482)</f>
        <v>442091.48</v>
      </c>
      <c r="F484" s="31"/>
      <c r="G484" s="33">
        <f>SUM(G479:G482)</f>
        <v>0</v>
      </c>
      <c r="H484" s="31"/>
      <c r="I484" s="33">
        <f>SUM(I479:I482)</f>
        <v>442091.48</v>
      </c>
      <c r="J484" s="31"/>
      <c r="K484" s="33">
        <f>SUM(K479:K482)</f>
        <v>454680.98579999997</v>
      </c>
      <c r="L484" s="31"/>
      <c r="M484" s="33">
        <f>SUM(M479:M482)</f>
        <v>464965.86585959996</v>
      </c>
      <c r="N484" s="31"/>
      <c r="O484" s="3"/>
      <c r="P484" s="3" t="s">
        <v>112</v>
      </c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</row>
    <row r="485" spans="1:45" s="1" customFormat="1" x14ac:dyDescent="0.2">
      <c r="A485" s="3"/>
      <c r="B485" s="2"/>
      <c r="C485" s="2"/>
      <c r="D485" s="2"/>
      <c r="E485" s="35"/>
      <c r="F485" s="2"/>
      <c r="G485" s="2"/>
      <c r="H485" s="2"/>
      <c r="I485" s="2"/>
      <c r="J485" s="2"/>
      <c r="K485" s="2"/>
      <c r="L485" s="2"/>
      <c r="M485" s="2"/>
      <c r="N485" s="31"/>
      <c r="O485" s="3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</row>
    <row r="486" spans="1:45" s="1" customFormat="1" x14ac:dyDescent="0.2">
      <c r="A486" s="3">
        <v>35</v>
      </c>
      <c r="B486" s="2">
        <v>935</v>
      </c>
      <c r="C486" s="2" t="str">
        <f>C472</f>
        <v>Payroll trended</v>
      </c>
      <c r="D486" s="2"/>
      <c r="E486" s="31">
        <v>0</v>
      </c>
      <c r="F486" s="31"/>
      <c r="G486" s="31">
        <v>0</v>
      </c>
      <c r="H486" s="31"/>
      <c r="I486" s="32">
        <f>E486+G486</f>
        <v>0</v>
      </c>
      <c r="J486" s="31"/>
      <c r="K486" s="32" t="b">
        <f>IF($O486=1,I486*(1+K$12),IF($O486=2,I486*(1+K$13),IF($O486=3,I486*(1+K$14),IF($O486=4,I486*(1+K$15)))))</f>
        <v>0</v>
      </c>
      <c r="L486" s="31"/>
      <c r="M486" s="32" t="b">
        <f>IF($O486=1,K486*(1+M$12),IF($O486=2,K486*(1+M$13),IF($O486=3,K486*(1+M$14),IF($O486=4,K486*(1+M$15)))))</f>
        <v>0</v>
      </c>
      <c r="N486" s="31"/>
      <c r="O486" s="9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</row>
    <row r="487" spans="1:45" s="1" customFormat="1" x14ac:dyDescent="0.2">
      <c r="A487" s="3">
        <v>36</v>
      </c>
      <c r="B487" s="2"/>
      <c r="C487" s="2" t="str">
        <f>C473</f>
        <v>Other trended</v>
      </c>
      <c r="D487" s="2"/>
      <c r="E487" s="31">
        <v>0</v>
      </c>
      <c r="F487" s="31"/>
      <c r="G487" s="31">
        <v>0</v>
      </c>
      <c r="H487" s="31"/>
      <c r="I487" s="32">
        <f>E487+G487</f>
        <v>0</v>
      </c>
      <c r="J487" s="31"/>
      <c r="K487" s="32" t="b">
        <f>IF($O487=1,I487*(1+K$12),IF($O487=2,I487*(1+K$13),IF($O487=3,I487*(1+K$14),IF($O487=4,I487*(1+K$15)))))</f>
        <v>0</v>
      </c>
      <c r="L487" s="31"/>
      <c r="M487" s="32" t="b">
        <f>IF($O487=1,K487*(1+M$12),IF($O487=2,K487*(1+M$13),IF($O487=3,K487*(1+M$14),IF($O487=4,K487*(1+M$15)))))</f>
        <v>0</v>
      </c>
      <c r="N487" s="31"/>
      <c r="O487" s="9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</row>
    <row r="488" spans="1:45" s="1" customFormat="1" x14ac:dyDescent="0.2">
      <c r="A488" s="3">
        <v>37</v>
      </c>
      <c r="B488" s="2"/>
      <c r="C488" s="2" t="str">
        <f>C474</f>
        <v>Payroll not trended</v>
      </c>
      <c r="D488" s="2"/>
      <c r="E488" s="31">
        <v>0</v>
      </c>
      <c r="F488" s="31"/>
      <c r="G488" s="31">
        <v>0</v>
      </c>
      <c r="H488" s="31"/>
      <c r="I488" s="32">
        <f>E488+G488</f>
        <v>0</v>
      </c>
      <c r="J488" s="31"/>
      <c r="K488" s="32" t="b">
        <v>0</v>
      </c>
      <c r="L488" s="31"/>
      <c r="M488" s="32">
        <v>0</v>
      </c>
      <c r="N488" s="31"/>
      <c r="O488" s="3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</row>
    <row r="489" spans="1:45" x14ac:dyDescent="0.2">
      <c r="A489" s="3">
        <v>38</v>
      </c>
      <c r="C489" s="2" t="str">
        <f>C475</f>
        <v>Other not trended</v>
      </c>
      <c r="E489" s="31">
        <v>0</v>
      </c>
      <c r="F489" s="31"/>
      <c r="G489" s="31">
        <v>0</v>
      </c>
      <c r="H489" s="31"/>
      <c r="I489" s="32">
        <f>E489+G489</f>
        <v>0</v>
      </c>
      <c r="J489" s="31"/>
      <c r="K489" s="32">
        <v>0</v>
      </c>
      <c r="L489" s="31"/>
      <c r="M489" s="32">
        <v>0</v>
      </c>
      <c r="N489" s="31"/>
    </row>
    <row r="490" spans="1:45" x14ac:dyDescent="0.2">
      <c r="A490" s="3"/>
      <c r="E490" s="31"/>
      <c r="F490" s="31"/>
      <c r="G490" s="31"/>
      <c r="H490" s="31"/>
      <c r="I490" s="32"/>
      <c r="J490" s="31"/>
      <c r="K490" s="32"/>
      <c r="L490" s="31"/>
      <c r="M490" s="32"/>
      <c r="N490" s="31"/>
    </row>
    <row r="491" spans="1:45" x14ac:dyDescent="0.2">
      <c r="A491" s="3">
        <v>39</v>
      </c>
      <c r="C491" s="2" t="s">
        <v>48</v>
      </c>
      <c r="E491" s="33">
        <f>SUM(E486:E489)</f>
        <v>0</v>
      </c>
      <c r="F491" s="31"/>
      <c r="G491" s="33">
        <f>SUM(G486:G489)</f>
        <v>0</v>
      </c>
      <c r="H491" s="31"/>
      <c r="I491" s="33">
        <f>SUM(I486:I489)</f>
        <v>0</v>
      </c>
      <c r="J491" s="31"/>
      <c r="K491" s="33">
        <f>SUM(K486:K489)</f>
        <v>0</v>
      </c>
      <c r="L491" s="31"/>
      <c r="M491" s="33">
        <f>SUM(M486:M489)</f>
        <v>0</v>
      </c>
      <c r="N491" s="31"/>
    </row>
    <row r="492" spans="1:45" x14ac:dyDescent="0.2">
      <c r="A492" s="3"/>
      <c r="E492" s="35"/>
      <c r="N492" s="31"/>
    </row>
    <row r="493" spans="1:45" x14ac:dyDescent="0.2">
      <c r="A493" s="3"/>
      <c r="E493" s="31"/>
      <c r="F493" s="31"/>
      <c r="G493" s="31"/>
      <c r="H493" s="31"/>
      <c r="I493" s="32"/>
      <c r="J493" s="31"/>
      <c r="K493" s="32"/>
      <c r="L493" s="31"/>
      <c r="M493" s="32"/>
      <c r="N493" s="31"/>
    </row>
    <row r="494" spans="1:45" ht="13.5" thickBot="1" x14ac:dyDescent="0.25">
      <c r="A494" s="3">
        <v>40</v>
      </c>
      <c r="B494" s="2" t="s">
        <v>103</v>
      </c>
      <c r="E494" s="45">
        <f>E491+E477+E470+E462+E455+E425+E418+E411+E404+E397+E390+E448+E484</f>
        <v>57453479.020000011</v>
      </c>
      <c r="F494" s="57"/>
      <c r="G494" s="45">
        <f>G491+G477+G470+G462+G455+G425+G418+G411+G404+G397+G390+G448+G484</f>
        <v>0</v>
      </c>
      <c r="H494" s="57"/>
      <c r="I494" s="45">
        <f>I491+I477+I470+I462+I455+I425+I418+I411+I404+I397+I390+I448+I484</f>
        <v>57453479.020000011</v>
      </c>
      <c r="J494" s="57"/>
      <c r="K494" s="45">
        <f>K491+K477+K470+K462+K455+K425+K418+K411+K404+K397+K390+K448+K484</f>
        <v>62478359.567416549</v>
      </c>
      <c r="L494" s="57"/>
      <c r="M494" s="45">
        <f>M491+M477+M470+M462+M455+M425+M418+M411+M404+M397+M390+M448+M484</f>
        <v>75000367.464687347</v>
      </c>
      <c r="N494" s="31"/>
    </row>
    <row r="495" spans="1:45" ht="13.5" thickTop="1" x14ac:dyDescent="0.2">
      <c r="A495" s="3"/>
      <c r="E495" s="31"/>
      <c r="F495" s="31"/>
      <c r="G495" s="31"/>
      <c r="H495" s="31"/>
      <c r="I495" s="32"/>
      <c r="J495" s="31"/>
      <c r="K495" s="32"/>
      <c r="L495" s="31"/>
      <c r="M495" s="32"/>
      <c r="N495" s="31"/>
    </row>
    <row r="496" spans="1:45" x14ac:dyDescent="0.2">
      <c r="A496" s="3"/>
      <c r="E496" s="31"/>
      <c r="F496" s="31"/>
      <c r="G496" s="31"/>
      <c r="H496" s="31"/>
      <c r="I496" s="32"/>
      <c r="J496" s="31"/>
      <c r="K496" s="32"/>
      <c r="L496" s="31"/>
      <c r="M496" s="32"/>
      <c r="N496" s="31"/>
    </row>
    <row r="497" spans="1:21" x14ac:dyDescent="0.2">
      <c r="A497" s="1" t="s">
        <v>0</v>
      </c>
      <c r="I497" s="39" t="s">
        <v>52</v>
      </c>
      <c r="J497" s="1"/>
      <c r="K497" s="37"/>
      <c r="M497" s="37"/>
      <c r="O497" s="3" t="s">
        <v>1</v>
      </c>
      <c r="T497" s="1" t="s">
        <v>93</v>
      </c>
    </row>
    <row r="498" spans="1:21" x14ac:dyDescent="0.2">
      <c r="A498" s="77"/>
      <c r="B498" s="77"/>
      <c r="C498" s="77"/>
      <c r="D498" s="77"/>
      <c r="E498" s="77"/>
      <c r="F498" s="77"/>
      <c r="G498" s="77"/>
      <c r="H498" s="77"/>
      <c r="I498" s="79"/>
      <c r="J498" s="77"/>
      <c r="K498" s="79"/>
      <c r="L498" s="77"/>
      <c r="M498" s="79"/>
      <c r="N498" s="77"/>
      <c r="O498" s="29"/>
      <c r="P498" s="78"/>
      <c r="Q498" s="77"/>
      <c r="R498" s="77"/>
      <c r="S498" s="77"/>
      <c r="T498" s="77"/>
      <c r="U498" s="77"/>
    </row>
    <row r="499" spans="1:21" x14ac:dyDescent="0.2">
      <c r="A499" s="1" t="s">
        <v>3</v>
      </c>
      <c r="I499" s="37"/>
      <c r="K499" s="37"/>
      <c r="M499" s="37"/>
      <c r="O499" s="3" t="s">
        <v>4</v>
      </c>
      <c r="S499" s="1"/>
      <c r="T499" s="1" t="s">
        <v>5</v>
      </c>
    </row>
    <row r="500" spans="1:21" x14ac:dyDescent="0.2">
      <c r="I500" s="37"/>
      <c r="K500" s="37"/>
      <c r="M500" s="37"/>
      <c r="O500" s="3" t="s">
        <v>6</v>
      </c>
      <c r="S500" s="1"/>
      <c r="T500" s="1" t="s">
        <v>7</v>
      </c>
      <c r="U500" s="4" t="str">
        <f>U$4</f>
        <v>12/31/22</v>
      </c>
    </row>
    <row r="501" spans="1:21" x14ac:dyDescent="0.2">
      <c r="A501" s="1" t="s">
        <v>11</v>
      </c>
      <c r="C501" s="1" t="s">
        <v>85</v>
      </c>
      <c r="I501" s="37"/>
      <c r="K501" s="37"/>
      <c r="M501" s="37"/>
      <c r="O501" s="3" t="s">
        <v>12</v>
      </c>
      <c r="S501" s="1"/>
      <c r="T501" s="1" t="s">
        <v>13</v>
      </c>
      <c r="U501" s="4" t="str">
        <f>U$5</f>
        <v>12/31/23</v>
      </c>
    </row>
    <row r="502" spans="1:21" x14ac:dyDescent="0.2">
      <c r="I502" s="37"/>
      <c r="K502" s="37"/>
      <c r="M502" s="37"/>
      <c r="T502" s="2" t="s">
        <v>14</v>
      </c>
      <c r="U502" s="4" t="str">
        <f>U$6</f>
        <v>12/31/24</v>
      </c>
    </row>
    <row r="503" spans="1:21" x14ac:dyDescent="0.2">
      <c r="A503" s="68" t="str">
        <f>A$7</f>
        <v xml:space="preserve">DOCKET NO.:  </v>
      </c>
      <c r="C503" s="40" t="s">
        <v>88</v>
      </c>
      <c r="I503" s="37"/>
      <c r="K503" s="39"/>
      <c r="L503" s="1"/>
      <c r="M503" s="39"/>
      <c r="N503" s="1"/>
      <c r="Q503" s="6"/>
      <c r="T503" s="2" t="s">
        <v>18</v>
      </c>
      <c r="U503" s="2" t="str">
        <f>U310</f>
        <v>R. PARSONS</v>
      </c>
    </row>
    <row r="504" spans="1:21" x14ac:dyDescent="0.2">
      <c r="I504" s="37"/>
      <c r="K504" s="37"/>
      <c r="M504" s="37"/>
    </row>
    <row r="505" spans="1:21" x14ac:dyDescent="0.2">
      <c r="A505" s="77"/>
      <c r="B505" s="77"/>
      <c r="C505" s="77"/>
      <c r="D505" s="77"/>
      <c r="E505" s="77"/>
      <c r="F505" s="77"/>
      <c r="G505" s="77"/>
      <c r="H505" s="77"/>
      <c r="I505" s="79"/>
      <c r="J505" s="77"/>
      <c r="K505" s="79"/>
      <c r="L505" s="77"/>
      <c r="M505" s="79"/>
      <c r="N505" s="77"/>
      <c r="O505" s="29"/>
      <c r="P505" s="78"/>
      <c r="Q505" s="77"/>
      <c r="R505" s="77"/>
      <c r="S505" s="77"/>
      <c r="T505" s="77"/>
      <c r="U505" s="77"/>
    </row>
    <row r="506" spans="1:21" x14ac:dyDescent="0.2">
      <c r="I506" s="37"/>
      <c r="J506" s="3"/>
      <c r="K506" s="41" t="s">
        <v>20</v>
      </c>
      <c r="L506" s="3"/>
      <c r="M506" s="41" t="s">
        <v>21</v>
      </c>
      <c r="N506" s="3"/>
    </row>
    <row r="507" spans="1:21" x14ac:dyDescent="0.2">
      <c r="I507" s="37"/>
      <c r="J507" s="3"/>
      <c r="K507" s="41" t="s">
        <v>22</v>
      </c>
      <c r="L507" s="3"/>
      <c r="M507" s="41" t="s">
        <v>23</v>
      </c>
      <c r="N507" s="3"/>
    </row>
    <row r="508" spans="1:21" x14ac:dyDescent="0.2">
      <c r="C508" s="8" t="s">
        <v>24</v>
      </c>
      <c r="I508" s="37"/>
      <c r="J508" s="9"/>
      <c r="K508" s="69" t="str">
        <f>K11</f>
        <v>12/31/2023</v>
      </c>
      <c r="L508" s="3"/>
      <c r="M508" s="69" t="str">
        <f>M11</f>
        <v>12/31/2024</v>
      </c>
      <c r="N508" s="9"/>
    </row>
    <row r="509" spans="1:21" x14ac:dyDescent="0.2">
      <c r="B509" s="3" t="s">
        <v>25</v>
      </c>
      <c r="C509" s="2" t="s">
        <v>26</v>
      </c>
      <c r="I509" s="37"/>
      <c r="J509" s="9"/>
      <c r="K509" s="58">
        <f>K12</f>
        <v>0.05</v>
      </c>
      <c r="L509" s="3"/>
      <c r="M509" s="58">
        <f>M12</f>
        <v>0.05</v>
      </c>
      <c r="N509" s="9"/>
    </row>
    <row r="510" spans="1:21" x14ac:dyDescent="0.2">
      <c r="B510" s="3" t="s">
        <v>27</v>
      </c>
      <c r="C510" s="2" t="s">
        <v>73</v>
      </c>
      <c r="I510" s="37"/>
      <c r="J510" s="9"/>
      <c r="K510" s="58">
        <f>K13</f>
        <v>0.09</v>
      </c>
      <c r="L510" s="3"/>
      <c r="M510" s="58">
        <f>M13</f>
        <v>8.3900000000000002E-2</v>
      </c>
      <c r="N510" s="14"/>
    </row>
    <row r="511" spans="1:21" x14ac:dyDescent="0.2">
      <c r="B511" s="3" t="s">
        <v>29</v>
      </c>
      <c r="C511" s="2" t="s">
        <v>30</v>
      </c>
      <c r="I511" s="37"/>
      <c r="J511" s="9"/>
      <c r="K511" s="58">
        <f>K14</f>
        <v>6.7199999999999996E-2</v>
      </c>
      <c r="L511" s="3"/>
      <c r="M511" s="58">
        <f>M14</f>
        <v>5.5E-2</v>
      </c>
      <c r="N511" s="14"/>
    </row>
    <row r="512" spans="1:21" x14ac:dyDescent="0.2">
      <c r="B512" s="3" t="s">
        <v>31</v>
      </c>
      <c r="C512" s="2" t="s">
        <v>32</v>
      </c>
      <c r="I512" s="37"/>
      <c r="J512" s="9"/>
      <c r="K512" s="58">
        <v>2.8000000000000001E-2</v>
      </c>
      <c r="L512" s="3"/>
      <c r="M512" s="58">
        <v>2.1999999999999999E-2</v>
      </c>
      <c r="N512" s="14"/>
    </row>
    <row r="513" spans="1:29" x14ac:dyDescent="0.2">
      <c r="B513" s="3"/>
      <c r="C513" s="2" t="s">
        <v>33</v>
      </c>
      <c r="I513" s="37"/>
      <c r="J513" s="9"/>
      <c r="K513" s="58">
        <f>K16</f>
        <v>3.8124459181492654E-2</v>
      </c>
      <c r="L513" s="3"/>
      <c r="M513" s="58">
        <f>M16</f>
        <v>3.2294481525399821E-2</v>
      </c>
      <c r="N513" s="14"/>
    </row>
    <row r="514" spans="1:29" x14ac:dyDescent="0.2">
      <c r="E514" s="31"/>
      <c r="F514" s="31"/>
      <c r="G514" s="31"/>
      <c r="H514" s="31"/>
      <c r="I514" s="32"/>
      <c r="J514" s="31"/>
      <c r="K514" s="32"/>
      <c r="L514" s="31"/>
      <c r="M514" s="32"/>
      <c r="N514" s="31"/>
    </row>
    <row r="515" spans="1:29" x14ac:dyDescent="0.2">
      <c r="A515" s="3" t="s">
        <v>34</v>
      </c>
      <c r="E515" s="3" t="s">
        <v>35</v>
      </c>
      <c r="F515" s="3"/>
      <c r="G515" s="3"/>
      <c r="H515" s="3"/>
      <c r="I515" s="41" t="s">
        <v>36</v>
      </c>
      <c r="J515" s="3"/>
      <c r="K515" s="41"/>
      <c r="L515" s="3"/>
      <c r="M515" s="41" t="s">
        <v>21</v>
      </c>
      <c r="N515" s="3"/>
      <c r="O515" s="3" t="s">
        <v>37</v>
      </c>
    </row>
    <row r="516" spans="1:29" x14ac:dyDescent="0.2">
      <c r="A516" s="29" t="s">
        <v>38</v>
      </c>
      <c r="E516" s="29" t="s">
        <v>40</v>
      </c>
      <c r="F516" s="3"/>
      <c r="G516" s="29" t="s">
        <v>41</v>
      </c>
      <c r="H516" s="3"/>
      <c r="I516" s="42" t="s">
        <v>40</v>
      </c>
      <c r="J516" s="3"/>
      <c r="K516" s="42" t="s">
        <v>42</v>
      </c>
      <c r="L516" s="3"/>
      <c r="M516" s="42" t="s">
        <v>23</v>
      </c>
      <c r="N516" s="3"/>
      <c r="O516" s="29" t="s">
        <v>43</v>
      </c>
    </row>
    <row r="517" spans="1:29" x14ac:dyDescent="0.2">
      <c r="A517" s="3"/>
      <c r="E517" s="31"/>
      <c r="F517" s="31"/>
      <c r="G517" s="31"/>
      <c r="H517" s="31"/>
      <c r="I517" s="32"/>
      <c r="J517" s="31"/>
      <c r="K517" s="32"/>
      <c r="L517" s="31"/>
      <c r="M517" s="32"/>
      <c r="N517" s="31"/>
    </row>
    <row r="518" spans="1:29" x14ac:dyDescent="0.2">
      <c r="A518" s="3"/>
      <c r="B518" s="34" t="s">
        <v>74</v>
      </c>
      <c r="C518" s="34"/>
      <c r="D518" s="31"/>
      <c r="E518" s="31"/>
      <c r="F518" s="31"/>
      <c r="G518" s="31"/>
      <c r="H518" s="31"/>
      <c r="I518" s="32"/>
      <c r="J518" s="31"/>
      <c r="K518" s="32"/>
      <c r="L518" s="31"/>
      <c r="M518" s="32"/>
      <c r="N518" s="31"/>
    </row>
    <row r="519" spans="1:29" x14ac:dyDescent="0.2">
      <c r="A519" s="3"/>
      <c r="I519" s="37"/>
      <c r="K519" s="37"/>
      <c r="M519" s="37"/>
    </row>
    <row r="520" spans="1:29" x14ac:dyDescent="0.2">
      <c r="A520" s="3">
        <v>1</v>
      </c>
      <c r="C520" s="2" t="str">
        <f>C486</f>
        <v>Payroll trended</v>
      </c>
      <c r="E520" s="31">
        <f>E486+E472+E464+E457+E450+E443+E420+E413+E406+E399+E392+E385+E359+E352+E345+E319+E293+E286+E279+E272+E245+E238+E231+E224+E201+E194+E187+E180+E173+E166+E141+E134+E127+E120+E113+E106+E83+E76+E69+E62+E55+E48+E28+E21+E479+E37</f>
        <v>45049445.150000006</v>
      </c>
      <c r="F520" s="31"/>
      <c r="G520" s="31">
        <f>G486+G472+G464+G457+G450+G443+G420+G413+G406+G399+G392+G385+G359+G352+G345+G319+G293+G286+G279+G272+G245+G238+G231+G224+G201+G194+G187+G180+G173+G166+G141+G134+G127+G120+G113+G106+G83+G76+G69+G62+G55+G48+G28+G21+G479+G37</f>
        <v>-428301.79</v>
      </c>
      <c r="H520" s="31"/>
      <c r="I520" s="31">
        <f>I486+I472+I464+I457+I450+I443+I420+I413+I406+I399+I392+I385+I359+I352+I345+I319+I293+I286+I279+I272+I245+I238+I231+I224+I201+I194+I187+I180+I173+I166+I141+I134+I127+I120+I113+I106+I83+I76+I69+I62+I55+I48+I28+I21+I479+I37</f>
        <v>44621143.360000014</v>
      </c>
      <c r="J520" s="31"/>
      <c r="K520" s="31">
        <f>K486+K472+K464+K457+K450+K443+K420+K413+K406+K399+K392+K385+K359+K352+K345+K319+K293+K286+K279+K272+K245+K238+K231+K224+K201+K194+K187+K180+K173+K166+K141+K134+K127+K120+K113+K106+K83+K76+K69+K62+K55+K48+K28+K21+K479+K37</f>
        <v>46852200.444000006</v>
      </c>
      <c r="L520" s="31"/>
      <c r="M520" s="31">
        <f>M486+M472+M464+M457+M450+M443+M420+M413+M406+M399+M392+M385+M359+M352+M345+M319+M293+M286+M279+M272+M245+M238+M231+M224+M201+M194+M187+M180+M173+M166+M141+M134+M127+M120+M113+M106+M83+M76+M69+M62+M55+M48+M28+M21+M479+M37</f>
        <v>49194810.466200002</v>
      </c>
      <c r="N520" s="31"/>
      <c r="AB520" s="59"/>
      <c r="AC520" s="59"/>
    </row>
    <row r="521" spans="1:29" x14ac:dyDescent="0.2">
      <c r="A521" s="3">
        <v>2</v>
      </c>
      <c r="C521" s="2" t="str">
        <f>C487</f>
        <v>Other trended</v>
      </c>
      <c r="E521" s="31">
        <f>E487+E473+E465+E458+E451+E444+E421+E414+E407+E400+E393+E386+E360+E353+E346+E320+E294+E287+E280+E273+E246+E239+E232+E225+E202+E195+E188+E181+E174+E167+E142+E135+E128+E121+E114+E107+E84+E77+E70+E63+E56+E49+E29+E22+E480+E38</f>
        <v>73067991.592409998</v>
      </c>
      <c r="F521" s="31"/>
      <c r="G521" s="31">
        <f>G487+G473+G465+G458+G451+G444+G421+G414+G407+G400+G393+G386+G360+G353+G346+G320+G294+G287+G280+G273+G246+G239+G232+G225+G202+G195+G188+G181+G174+G167+G142+G135+G128+G121+G114+G107+G84+G77+G70+G63+G56+G49+G29+G22+G480+G38</f>
        <v>-22396349.289999999</v>
      </c>
      <c r="H521" s="31"/>
      <c r="I521" s="31">
        <f>I487+I473+I465+I458+I451+I444+I421+I414+I407+I400+I393+I386+I360+I353+I346+I320+I294+I287+I280+I273+I246+I239+I232+I225+I202+I195+I188+I181+I174+I167+I142+I135+I128+I121+I114+I107+I84+I77+I70+I63+I56+I49+I29+I22+I480+I38</f>
        <v>50671642.302410014</v>
      </c>
      <c r="J521" s="31"/>
      <c r="K521" s="31">
        <f>K487+K473+K465+K458+K451+K444+K421+K414+K407+K400+K393+K386+K360+K353+K346+K320+K294+K287+K280+K273+K246+K239+K232+K225+K202+K195+K188+K181+K174+K167+K142+K135+K128+K121+K114+K107+K84+K77+K70+K63+K56+K49+K29+K22+K480+K38</f>
        <v>53133671.317835964</v>
      </c>
      <c r="L521" s="31"/>
      <c r="M521" s="31">
        <f>M487+M473+M465+M458+M451+M444+M421+M414+M407+M400+M393+M386+M360+M353+M346+M320+M294+M287+M280+M273+M246+M239+M232+M225+M202+M195+M188+M181+M174+M167+M142+M135+M128+M121+M114+M107+M84+M77+M70+M63+M56+M49+M29+M22+M480+M38</f>
        <v>55239852.173947796</v>
      </c>
      <c r="N521" s="31"/>
      <c r="AB521" s="59"/>
      <c r="AC521" s="59"/>
    </row>
    <row r="522" spans="1:29" x14ac:dyDescent="0.2">
      <c r="A522" s="3">
        <v>3</v>
      </c>
      <c r="C522" s="2" t="str">
        <f>C488</f>
        <v>Payroll not trended</v>
      </c>
      <c r="E522" s="31">
        <f>E488+E474+E466+E459+E452+E445+E422+E415+E408+E401+E394+E387+E361+E354+E347+E321+E295+E288+E281+E274+E247+E240+E233+E226+E203+E196+E189+E182+E175+E168+E143+E136+E129+E122+E115+E108+E85+E78+E71+E64+E57+E50+E30+E23+E481+E39</f>
        <v>0</v>
      </c>
      <c r="F522" s="31"/>
      <c r="G522" s="31">
        <f>G488+G474+G466+G459+G452+G445+G422+G415+G408+G401+G394+G387+G361+G354+G347+G321+G295+G288+G281+G274+G247+G240+G233+G226+G203+G196+G189+G182+G175+G168+G143+G136+G129+G122+G115+G108+G85+G78+G71+G64+G57+G50+G30+G23+G481+G39</f>
        <v>0</v>
      </c>
      <c r="H522" s="31"/>
      <c r="I522" s="31">
        <f>I488+I474+I466+I459+I452+I445+I422+I415+I408+I401+I394+I387+I361+I354+I347+I321+I295+I288+I281+I274+I247+I240+I233+I226+I203+I196+I189+I182+I175+I168+I143+I136+I129+I122+I115+I108+I85+I78+I71+I64+I57+I50+I30+I23+I481+I39</f>
        <v>0</v>
      </c>
      <c r="J522" s="31"/>
      <c r="K522" s="31">
        <f>K488+K474+K466+K459+K452+K445+K422+K415+K408+K401+K394+K387+K361+K354+K347+K321+K295+K288+K281+K274+K247+K240+K233+K226+K203+K196+K189+K182+K175+K168+K143+K136+K129+K122+K115+K108+K85+K78+K71+K64+K57+K50+K30+K23+K481+K39</f>
        <v>1551793.7950024165</v>
      </c>
      <c r="L522" s="31"/>
      <c r="M522" s="31">
        <f>M488+M474+M466+M459+M452+M445+M422+M415+M408+M401+M394+M387+M361+M354+M347+M321+M295+M288+M281+M274+M247+M240+M233+M226+M203+M196+M189+M182+M175+M168+M143+M136+M129+M122+M115+M108+M85+M78+M71+M64+M57+M50+M30+M23+M481+M39</f>
        <v>7663232.9210807988</v>
      </c>
      <c r="N522" s="31"/>
      <c r="O522" s="3" t="s">
        <v>386</v>
      </c>
      <c r="AB522" s="59"/>
      <c r="AC522" s="59"/>
    </row>
    <row r="523" spans="1:29" x14ac:dyDescent="0.2">
      <c r="A523" s="3">
        <v>4</v>
      </c>
      <c r="C523" s="2" t="str">
        <f>C489</f>
        <v>Other not trended</v>
      </c>
      <c r="E523" s="31">
        <f>E489+E475+E467+E460+E453+E446+E423+E416+E409+E402+E395+E388+E362+E355+E348+E322+E296+E289+E282+E275+E248+E241+E234+E227+E204+E197+E190+E183+E176+E169+E144+E137+E130+E123+E116+E109+E86+E79+E72+E65+E58+E51+E31+E24+E482+E40</f>
        <v>34923854.937590003</v>
      </c>
      <c r="F523" s="31"/>
      <c r="G523" s="31">
        <f>G489+G475+G467+G460+G453+G446+G423+G416+G409+G402+G395+G388+G362+G355+G348+G322+G296+G289+G282+G275+G248+G241+G234+G227+G204+G197+G190+G183+G176+G169+G144+G137+G130+G123+G116+G109+G86+G79+G72+G65+G58+G51+G31+G24+G482+G40</f>
        <v>-7673249.2000000002</v>
      </c>
      <c r="H523" s="31"/>
      <c r="I523" s="31">
        <f>I489+I475+I467+I460+I453+I446+I423+I416+I409+I402+I395+I388+I362+I355+I348+I322+I296+I289+I282+I275+I248+I241+I234+I227+I204+I197+I190+I183+I176+I169+I144+I137+I130+I123+I116+I109+I86+I79+I72+I65+I58+I51+I31+I24+I482+I40</f>
        <v>27250605.737590004</v>
      </c>
      <c r="J523" s="31"/>
      <c r="K523" s="31">
        <f>K489+K475+K467+K460+K453+K446+K423+K416+K409+K402+K395+K388+K362+K355+K348+K322+K296+K289+K282+K275+K248+K241+K234+K227+K204+K197+K190+K183+K176+K169+K144+K137+K130+K123+K116+K109+K86+K79+K72+K65+K58+K51+K31+K24+K482+K40</f>
        <v>28487392.741403673</v>
      </c>
      <c r="L523" s="31"/>
      <c r="M523" s="31">
        <f>M489+M475+M467+M460+M453+M446+M423+M416+M409+M402+M395+M388+M362+M355+M348+M322+M296+M289+M282+M275+M248+M241+M234+M227+M204+M197+M190+M183+M176+M169+M144+M137+M130+M123+M116+M109+M86+M79+M72+M65+M58+M51+M31+M24+M482+M40</f>
        <v>38872691.745844424</v>
      </c>
      <c r="N523" s="31"/>
      <c r="O523" s="3" t="s">
        <v>383</v>
      </c>
      <c r="AB523" s="59"/>
      <c r="AC523" s="59"/>
    </row>
    <row r="524" spans="1:29" x14ac:dyDescent="0.2">
      <c r="A524" s="3">
        <v>5</v>
      </c>
      <c r="C524" s="2" t="s">
        <v>72</v>
      </c>
      <c r="E524" s="31">
        <f>E468</f>
        <v>0</v>
      </c>
      <c r="F524" s="31"/>
      <c r="G524" s="31">
        <f>G468</f>
        <v>0</v>
      </c>
      <c r="H524" s="31"/>
      <c r="I524" s="31">
        <f>I468</f>
        <v>0</v>
      </c>
      <c r="J524" s="31"/>
      <c r="K524" s="31">
        <f>K468</f>
        <v>-47707.298242062301</v>
      </c>
      <c r="L524" s="31"/>
      <c r="M524" s="31">
        <f>M468</f>
        <v>-11401.7570730149</v>
      </c>
      <c r="N524" s="31"/>
      <c r="AB524" s="59"/>
      <c r="AC524" s="59"/>
    </row>
    <row r="525" spans="1:29" x14ac:dyDescent="0.2">
      <c r="A525" s="3"/>
      <c r="E525" s="31"/>
      <c r="F525" s="31"/>
      <c r="G525" s="31"/>
      <c r="H525" s="31"/>
      <c r="I525" s="32"/>
      <c r="J525" s="31"/>
      <c r="K525" s="32"/>
      <c r="L525" s="31"/>
      <c r="M525" s="32"/>
      <c r="N525" s="31"/>
    </row>
    <row r="526" spans="1:29" ht="13.5" thickBot="1" x14ac:dyDescent="0.25">
      <c r="B526" s="60" t="s">
        <v>75</v>
      </c>
      <c r="C526" s="60"/>
      <c r="E526" s="45">
        <f>SUM(E520:E525)</f>
        <v>153041291.68000001</v>
      </c>
      <c r="F526" s="31"/>
      <c r="G526" s="45">
        <f>SUM(G520:G525)</f>
        <v>-30497900.279999997</v>
      </c>
      <c r="H526" s="31"/>
      <c r="I526" s="47">
        <f>SUM(I520:I524)</f>
        <v>122543391.40000002</v>
      </c>
      <c r="J526" s="31"/>
      <c r="K526" s="47">
        <f>SUM(K520:K524)</f>
        <v>129977350.99999999</v>
      </c>
      <c r="L526" s="31"/>
      <c r="M526" s="47">
        <f>SUM(M520:M524)</f>
        <v>150959185.55000001</v>
      </c>
      <c r="N526" s="31"/>
    </row>
    <row r="527" spans="1:29" ht="13.5" thickTop="1" x14ac:dyDescent="0.2">
      <c r="E527" s="31"/>
      <c r="F527" s="31"/>
      <c r="G527" s="31"/>
      <c r="H527" s="31"/>
      <c r="I527" s="32"/>
      <c r="J527" s="31"/>
      <c r="K527" s="32"/>
      <c r="L527" s="31"/>
      <c r="M527" s="32"/>
      <c r="N527" s="31"/>
    </row>
    <row r="528" spans="1:29" x14ac:dyDescent="0.2">
      <c r="B528" s="61" t="s">
        <v>76</v>
      </c>
      <c r="E528" s="31"/>
      <c r="F528" s="31"/>
      <c r="G528" s="31"/>
      <c r="H528" s="31"/>
      <c r="I528" s="32"/>
      <c r="J528" s="31"/>
      <c r="K528" s="32"/>
      <c r="L528" s="31"/>
      <c r="M528" s="32">
        <v>299014</v>
      </c>
      <c r="N528" s="31"/>
    </row>
    <row r="529" spans="1:23" x14ac:dyDescent="0.2">
      <c r="E529" s="31"/>
      <c r="F529" s="31"/>
      <c r="G529" s="31"/>
      <c r="H529" s="31"/>
      <c r="I529" s="32"/>
      <c r="J529" s="31"/>
      <c r="K529" s="32"/>
      <c r="L529" s="31"/>
      <c r="M529" s="32"/>
      <c r="N529" s="31"/>
    </row>
    <row r="530" spans="1:23" ht="13.5" thickBot="1" x14ac:dyDescent="0.25">
      <c r="B530" s="2" t="s">
        <v>77</v>
      </c>
      <c r="E530" s="31"/>
      <c r="F530" s="31"/>
      <c r="G530" s="31"/>
      <c r="H530" s="31"/>
      <c r="I530" s="32"/>
      <c r="J530" s="31"/>
      <c r="K530" s="32"/>
      <c r="L530" s="31"/>
      <c r="M530" s="45">
        <f>M528+M526</f>
        <v>151258199.55000001</v>
      </c>
      <c r="N530" s="31"/>
    </row>
    <row r="531" spans="1:23" ht="13.5" thickTop="1" x14ac:dyDescent="0.2">
      <c r="A531" s="3"/>
      <c r="E531" s="31"/>
      <c r="F531" s="31"/>
      <c r="G531" s="31"/>
      <c r="H531" s="31"/>
      <c r="I531" s="32"/>
      <c r="J531" s="31"/>
      <c r="K531" s="32"/>
      <c r="L531" s="31"/>
      <c r="M531" s="31"/>
      <c r="N531" s="31"/>
    </row>
    <row r="532" spans="1:23" ht="52.5" customHeight="1" x14ac:dyDescent="0.2">
      <c r="A532" s="77"/>
      <c r="B532" s="77"/>
      <c r="C532" s="77"/>
      <c r="D532" s="77"/>
      <c r="E532" s="80"/>
      <c r="F532" s="77"/>
      <c r="G532" s="77"/>
      <c r="H532" s="77"/>
      <c r="I532" s="79"/>
      <c r="J532" s="77"/>
      <c r="K532" s="81"/>
      <c r="L532" s="8"/>
      <c r="M532" s="77"/>
      <c r="N532" s="77"/>
      <c r="O532" s="29"/>
      <c r="P532" s="78"/>
      <c r="Q532" s="77"/>
      <c r="R532" s="77"/>
      <c r="S532" s="77"/>
      <c r="T532" s="77"/>
      <c r="U532" s="77"/>
    </row>
    <row r="533" spans="1:23" x14ac:dyDescent="0.2">
      <c r="A533" s="4"/>
      <c r="E533" s="62"/>
      <c r="G533" s="62"/>
      <c r="I533" s="37"/>
      <c r="K533" s="37"/>
      <c r="S533" s="4" t="s">
        <v>78</v>
      </c>
    </row>
    <row r="534" spans="1:23" x14ac:dyDescent="0.2">
      <c r="A534" s="4"/>
      <c r="E534" s="62"/>
      <c r="G534" s="62"/>
      <c r="I534" s="37"/>
      <c r="K534" s="37"/>
      <c r="S534" s="4"/>
    </row>
    <row r="535" spans="1:23" x14ac:dyDescent="0.2">
      <c r="A535" s="1" t="s">
        <v>0</v>
      </c>
      <c r="I535" s="39" t="s">
        <v>52</v>
      </c>
      <c r="J535" s="1"/>
      <c r="K535" s="37"/>
      <c r="M535" s="37"/>
      <c r="O535" s="3" t="s">
        <v>1</v>
      </c>
      <c r="T535" s="1" t="s">
        <v>161</v>
      </c>
    </row>
    <row r="536" spans="1:23" x14ac:dyDescent="0.2">
      <c r="A536" s="77"/>
      <c r="B536" s="77"/>
      <c r="C536" s="77"/>
      <c r="D536" s="77"/>
      <c r="E536" s="77"/>
      <c r="F536" s="77"/>
      <c r="G536" s="77"/>
      <c r="H536" s="77"/>
      <c r="I536" s="79"/>
      <c r="J536" s="77"/>
      <c r="K536" s="79"/>
      <c r="L536" s="77"/>
      <c r="M536" s="79"/>
      <c r="N536" s="77"/>
      <c r="O536" s="29"/>
      <c r="P536" s="78"/>
      <c r="Q536" s="77"/>
      <c r="R536" s="77"/>
      <c r="S536" s="77"/>
      <c r="T536" s="77"/>
      <c r="U536" s="77"/>
    </row>
    <row r="537" spans="1:23" x14ac:dyDescent="0.2">
      <c r="A537" s="1" t="s">
        <v>3</v>
      </c>
      <c r="I537" s="37"/>
      <c r="K537" s="37"/>
      <c r="M537" s="37"/>
      <c r="O537" s="3" t="s">
        <v>4</v>
      </c>
      <c r="S537" s="1"/>
      <c r="T537" s="1" t="s">
        <v>5</v>
      </c>
    </row>
    <row r="538" spans="1:23" x14ac:dyDescent="0.2">
      <c r="I538" s="37"/>
      <c r="K538" s="37"/>
      <c r="M538" s="37"/>
      <c r="O538" s="3" t="s">
        <v>6</v>
      </c>
      <c r="S538" s="1"/>
      <c r="T538" s="1" t="s">
        <v>7</v>
      </c>
      <c r="U538" s="4" t="str">
        <f>U$4</f>
        <v>12/31/22</v>
      </c>
    </row>
    <row r="539" spans="1:23" x14ac:dyDescent="0.2">
      <c r="A539" s="1" t="s">
        <v>11</v>
      </c>
      <c r="C539" s="1" t="s">
        <v>85</v>
      </c>
      <c r="I539" s="37"/>
      <c r="K539" s="37"/>
      <c r="M539" s="37"/>
      <c r="O539" s="3" t="s">
        <v>12</v>
      </c>
      <c r="S539" s="1"/>
      <c r="T539" s="1" t="s">
        <v>13</v>
      </c>
      <c r="U539" s="4" t="str">
        <f>U$5</f>
        <v>12/31/23</v>
      </c>
    </row>
    <row r="540" spans="1:23" x14ac:dyDescent="0.2">
      <c r="I540" s="37"/>
      <c r="K540" s="37"/>
      <c r="M540" s="37"/>
      <c r="T540" s="2" t="s">
        <v>14</v>
      </c>
      <c r="U540" s="4" t="str">
        <f>U$6</f>
        <v>12/31/24</v>
      </c>
    </row>
    <row r="541" spans="1:23" x14ac:dyDescent="0.2">
      <c r="A541" s="68" t="str">
        <f>A$7</f>
        <v xml:space="preserve">DOCKET NO.:  </v>
      </c>
      <c r="C541" s="40" t="s">
        <v>88</v>
      </c>
      <c r="I541" s="37"/>
      <c r="K541" s="39"/>
      <c r="L541" s="1"/>
      <c r="M541" s="39"/>
      <c r="N541" s="1"/>
      <c r="Q541" s="6"/>
      <c r="T541" s="2" t="s">
        <v>18</v>
      </c>
      <c r="U541" s="2" t="s">
        <v>409</v>
      </c>
    </row>
    <row r="542" spans="1:23" x14ac:dyDescent="0.2">
      <c r="I542" s="37"/>
      <c r="K542" s="37"/>
      <c r="M542" s="37"/>
      <c r="U542" s="2" t="s">
        <v>410</v>
      </c>
    </row>
    <row r="543" spans="1:23" x14ac:dyDescent="0.2">
      <c r="A543" s="118"/>
      <c r="B543" s="118"/>
      <c r="C543" s="118"/>
      <c r="D543" s="118"/>
      <c r="E543" s="118"/>
      <c r="F543" s="118"/>
      <c r="G543" s="118"/>
      <c r="H543" s="118"/>
      <c r="I543" s="124"/>
      <c r="J543" s="118"/>
      <c r="K543" s="124"/>
      <c r="L543" s="118"/>
      <c r="M543" s="124"/>
      <c r="N543" s="118"/>
      <c r="Q543" s="118"/>
      <c r="R543" s="118"/>
      <c r="S543" s="118"/>
      <c r="T543" s="118"/>
      <c r="U543" s="2" t="s">
        <v>415</v>
      </c>
      <c r="W543" s="118"/>
    </row>
    <row r="544" spans="1:23" x14ac:dyDescent="0.2">
      <c r="A544" s="8"/>
      <c r="B544" s="8"/>
      <c r="C544" s="8"/>
      <c r="D544" s="8"/>
      <c r="E544" s="293"/>
      <c r="F544" s="293"/>
      <c r="G544" s="293"/>
      <c r="H544" s="293"/>
      <c r="I544" s="294"/>
      <c r="J544" s="293"/>
      <c r="K544" s="294"/>
      <c r="L544" s="293"/>
      <c r="M544" s="294"/>
      <c r="N544" s="293"/>
      <c r="O544" s="29"/>
      <c r="P544" s="78"/>
      <c r="Q544" s="8"/>
      <c r="R544" s="8"/>
      <c r="S544" s="8"/>
      <c r="T544" s="8"/>
      <c r="U544" s="8"/>
    </row>
    <row r="545" spans="1:29" x14ac:dyDescent="0.2">
      <c r="E545" s="31"/>
      <c r="F545" s="31"/>
      <c r="G545" s="31"/>
      <c r="H545" s="31"/>
      <c r="I545" s="32"/>
      <c r="J545" s="31"/>
      <c r="K545" s="32"/>
      <c r="L545" s="31"/>
      <c r="M545" s="32"/>
      <c r="N545" s="31"/>
      <c r="O545" s="41" t="s">
        <v>96</v>
      </c>
      <c r="P545" s="41" t="s">
        <v>97</v>
      </c>
    </row>
    <row r="546" spans="1:29" x14ac:dyDescent="0.2">
      <c r="A546" s="3" t="s">
        <v>34</v>
      </c>
      <c r="E546" s="31"/>
      <c r="F546" s="31"/>
      <c r="G546" s="31"/>
      <c r="H546" s="3"/>
      <c r="I546" s="41" t="s">
        <v>36</v>
      </c>
      <c r="J546" s="3"/>
      <c r="K546" s="41"/>
      <c r="L546" s="3"/>
      <c r="M546" s="41" t="s">
        <v>21</v>
      </c>
      <c r="N546" s="3"/>
      <c r="O546" s="41" t="s">
        <v>98</v>
      </c>
      <c r="P546" s="41" t="s">
        <v>98</v>
      </c>
    </row>
    <row r="547" spans="1:29" x14ac:dyDescent="0.2">
      <c r="A547" s="29" t="s">
        <v>38</v>
      </c>
      <c r="E547" s="31"/>
      <c r="F547" s="31"/>
      <c r="G547" s="31"/>
      <c r="H547" s="3"/>
      <c r="I547" s="42" t="s">
        <v>40</v>
      </c>
      <c r="J547" s="3"/>
      <c r="K547" s="42" t="s">
        <v>42</v>
      </c>
      <c r="L547" s="3"/>
      <c r="M547" s="42" t="s">
        <v>23</v>
      </c>
      <c r="N547" s="3"/>
      <c r="O547" s="42" t="s">
        <v>99</v>
      </c>
      <c r="P547" s="42" t="s">
        <v>96</v>
      </c>
    </row>
    <row r="548" spans="1:29" x14ac:dyDescent="0.2">
      <c r="A548" s="3"/>
      <c r="E548" s="31"/>
      <c r="F548" s="31"/>
      <c r="G548" s="31"/>
      <c r="H548" s="31"/>
      <c r="I548" s="32"/>
      <c r="J548" s="31"/>
      <c r="K548" s="32"/>
      <c r="L548" s="31"/>
      <c r="M548" s="32"/>
      <c r="N548" s="31"/>
    </row>
    <row r="549" spans="1:29" x14ac:dyDescent="0.2">
      <c r="A549" s="3">
        <v>1</v>
      </c>
      <c r="B549" s="37" t="s">
        <v>101</v>
      </c>
      <c r="C549" s="37"/>
      <c r="D549" s="37"/>
      <c r="E549" s="37"/>
      <c r="F549" s="37"/>
      <c r="G549" s="31"/>
      <c r="H549" s="31"/>
      <c r="I549" s="32"/>
      <c r="J549" s="31"/>
      <c r="K549" s="32"/>
      <c r="L549" s="31"/>
      <c r="M549" s="32"/>
      <c r="N549" s="31"/>
    </row>
    <row r="550" spans="1:29" x14ac:dyDescent="0.2">
      <c r="A550" s="3">
        <v>2</v>
      </c>
      <c r="B550" s="37"/>
      <c r="C550" s="39" t="s">
        <v>94</v>
      </c>
      <c r="G550" s="31"/>
      <c r="I550" s="31">
        <f>+I48+I50+I55+I57+I62+I64+I69+I71+I76+I78+I83+I85+I106+I108+I113+I115+I120+I122+I127+I129+I134+I136+I141+I143</f>
        <v>17275815.890000001</v>
      </c>
      <c r="J550" s="31"/>
      <c r="K550" s="31">
        <f>+K48+K50+K55+K57+K62+K64+K69+K71+K76+K78+K83+K85+K106+K108+K113+K115+K120+K122+K127+K129+K134+K136+K141+K143</f>
        <v>18786101.473993644</v>
      </c>
      <c r="L550" s="31"/>
      <c r="M550" s="31">
        <f>+M48+M50+M55+M57+M62+M64+M69+M71+M76+M78+M83+M85+M106+M108+M113+M115+M120+M122+M127+M129+M134+M136+M141+M143</f>
        <v>22536428.958954189</v>
      </c>
    </row>
    <row r="551" spans="1:29" x14ac:dyDescent="0.2">
      <c r="A551" s="3">
        <v>3</v>
      </c>
      <c r="B551" s="37"/>
      <c r="C551" s="39" t="s">
        <v>95</v>
      </c>
      <c r="G551" s="31"/>
      <c r="H551" s="31"/>
      <c r="I551" s="31">
        <f>+I49+I51+I56+I58+I63+I65+I70+I72+I77+I79+I84+I86+I107+I109+I114+I116+I121+I123+I128+I130+I135+I137+I142+I144</f>
        <v>12460342.779999997</v>
      </c>
      <c r="J551" s="31"/>
      <c r="K551" s="31">
        <f>+K49+K51+K56+K58+K63+K65+K70+K72+K77+K79+K84+K86+K107+K109+K114+K116+K121+K123+K128+K130+K135+K137+K142+K144</f>
        <v>11682230.885751994</v>
      </c>
      <c r="L551" s="31"/>
      <c r="M551" s="31">
        <f>+M49+M51+M56+M58+M63+M65+M70+M72+M77+M79+M84+M86+M107+M109+M114+M116+M121+M123+M128+M130+M135+M137+M142+M144</f>
        <v>12874082.595673274</v>
      </c>
      <c r="N551" s="31"/>
      <c r="AB551" s="59"/>
      <c r="AC551" s="59"/>
    </row>
    <row r="552" spans="1:29" x14ac:dyDescent="0.2">
      <c r="A552" s="3">
        <v>4</v>
      </c>
      <c r="B552" s="37"/>
      <c r="C552" s="37" t="s">
        <v>101</v>
      </c>
      <c r="G552" s="31"/>
      <c r="H552" s="31"/>
      <c r="I552" s="73">
        <f>SUM(I550:I551)</f>
        <v>29736158.669999998</v>
      </c>
      <c r="K552" s="73">
        <f>SUM(K550:K551)</f>
        <v>30468332.359745637</v>
      </c>
      <c r="M552" s="73">
        <f>SUM(M550:M551)</f>
        <v>35410511.554627463</v>
      </c>
      <c r="N552" s="31"/>
      <c r="O552" s="74">
        <f>K552/I552-1</f>
        <v>2.4622335987341426E-2</v>
      </c>
      <c r="P552" s="74">
        <f>M552/K552-1</f>
        <v>0.16220707902646381</v>
      </c>
      <c r="AB552" s="59"/>
      <c r="AC552" s="59"/>
    </row>
    <row r="553" spans="1:29" x14ac:dyDescent="0.2">
      <c r="A553" s="3"/>
      <c r="B553" s="37"/>
      <c r="C553" s="39"/>
      <c r="G553" s="31"/>
      <c r="H553" s="31"/>
      <c r="I553" s="37"/>
      <c r="K553" s="37"/>
      <c r="M553" s="37"/>
      <c r="N553" s="31"/>
      <c r="O553" s="76"/>
      <c r="AB553" s="59"/>
      <c r="AC553" s="59"/>
    </row>
    <row r="554" spans="1:29" x14ac:dyDescent="0.2">
      <c r="A554" s="3">
        <v>5</v>
      </c>
      <c r="B554" s="37" t="s">
        <v>102</v>
      </c>
      <c r="C554" s="39"/>
      <c r="G554" s="31"/>
      <c r="H554" s="31"/>
      <c r="I554" s="37"/>
      <c r="K554" s="37"/>
      <c r="M554" s="37"/>
      <c r="N554" s="31"/>
      <c r="O554" s="75"/>
      <c r="AB554" s="59"/>
      <c r="AC554" s="59"/>
    </row>
    <row r="555" spans="1:29" x14ac:dyDescent="0.2">
      <c r="A555" s="3">
        <v>6</v>
      </c>
      <c r="B555" s="37"/>
      <c r="C555" s="39" t="s">
        <v>94</v>
      </c>
      <c r="G555" s="31"/>
      <c r="H555" s="31"/>
      <c r="I555" s="31">
        <f>I166+I168+I173+I175+I180+I182+I187+I189+I194+I196+I201+I203+I224+I226+I231+I233+I238+I240+I245+I247</f>
        <v>5827763.870000001</v>
      </c>
      <c r="J555" s="31"/>
      <c r="K555" s="31">
        <f>K166+K168+K173+K175+K180+K182+K187+K189+K194+K196+K201+K203+K224+K226+K231+K233+K238+K240+K245+K247</f>
        <v>6137780.8582232622</v>
      </c>
      <c r="L555" s="31"/>
      <c r="M555" s="31">
        <f>M166+M168+M173+M175+M180+M182+M187+M189+M194+M196+M201+M203+M224+M226+M231+M233+M238+M240+M245+M247</f>
        <v>6659832.6801881092</v>
      </c>
      <c r="N555" s="31"/>
      <c r="AB555" s="59"/>
      <c r="AC555" s="59"/>
    </row>
    <row r="556" spans="1:29" x14ac:dyDescent="0.2">
      <c r="A556" s="3">
        <v>7</v>
      </c>
      <c r="B556" s="37"/>
      <c r="C556" s="39" t="s">
        <v>95</v>
      </c>
      <c r="G556" s="31"/>
      <c r="H556" s="31"/>
      <c r="I556" s="31">
        <f>I167+I169+I174+I176+I181+I183+I188+I190+I195+I197+I202+I204+I225+I227+I232+I234+I239+I241+I246+I248</f>
        <v>5683248.0099999998</v>
      </c>
      <c r="J556" s="31"/>
      <c r="K556" s="31">
        <f>K167+K169+K174+K176+K181+K183+K188+K190+K195+K197+K202+K204+K225+K227+K232+K234+K239+K241+K246+K248</f>
        <v>6084047.884296</v>
      </c>
      <c r="L556" s="31"/>
      <c r="M556" s="31">
        <f>M167+M169+M174+M176+M181+M183+M188+M190+M195+M197+M202+M204+M225+M227+M232+M234+M239+M241+M246+M248</f>
        <v>5887016.3471812792</v>
      </c>
      <c r="N556" s="31"/>
    </row>
    <row r="557" spans="1:29" x14ac:dyDescent="0.2">
      <c r="A557" s="3">
        <v>8</v>
      </c>
      <c r="B557" s="37"/>
      <c r="C557" s="37" t="s">
        <v>102</v>
      </c>
      <c r="G557" s="31"/>
      <c r="H557" s="31"/>
      <c r="I557" s="73">
        <f>SUM(I555:I556)</f>
        <v>11511011.880000001</v>
      </c>
      <c r="K557" s="73">
        <f>SUM(K555:K556)</f>
        <v>12221828.742519263</v>
      </c>
      <c r="M557" s="73">
        <f>SUM(M555:M556)</f>
        <v>12546849.027369387</v>
      </c>
      <c r="N557" s="31"/>
      <c r="O557" s="74">
        <f>K557/I557-1</f>
        <v>6.1751031962210323E-2</v>
      </c>
      <c r="P557" s="74">
        <f>M557/K557-1</f>
        <v>2.6593424903704532E-2</v>
      </c>
    </row>
    <row r="558" spans="1:29" x14ac:dyDescent="0.2">
      <c r="A558" s="3"/>
      <c r="B558" s="37"/>
      <c r="C558" s="39"/>
      <c r="G558" s="31"/>
      <c r="H558" s="31"/>
      <c r="I558" s="37"/>
      <c r="K558" s="37"/>
      <c r="M558" s="37"/>
      <c r="N558" s="31"/>
    </row>
    <row r="559" spans="1:29" x14ac:dyDescent="0.2">
      <c r="A559" s="3">
        <v>9</v>
      </c>
      <c r="B559" s="37" t="s">
        <v>60</v>
      </c>
      <c r="C559" s="39"/>
      <c r="G559" s="31"/>
      <c r="H559" s="31"/>
      <c r="I559" s="37"/>
      <c r="K559" s="37"/>
      <c r="M559" s="37"/>
      <c r="N559" s="31"/>
    </row>
    <row r="560" spans="1:29" x14ac:dyDescent="0.2">
      <c r="A560" s="3">
        <v>10</v>
      </c>
      <c r="B560" s="37"/>
      <c r="C560" s="39" t="s">
        <v>94</v>
      </c>
      <c r="G560" s="31"/>
      <c r="H560" s="31"/>
      <c r="I560" s="31">
        <f>I272+I274+I279+I281+I286+I288+I293+I295</f>
        <v>7689024.3900000006</v>
      </c>
      <c r="J560" s="31"/>
      <c r="K560" s="31">
        <f>K272+K274+K279+K281+K286+K288+K293+K295</f>
        <v>8222895.334145329</v>
      </c>
      <c r="L560" s="31"/>
      <c r="M560" s="31">
        <f>M272+M274+M279+M281+M286+M288+M293+M295</f>
        <v>8942658.3356963601</v>
      </c>
      <c r="N560" s="31"/>
    </row>
    <row r="561" spans="1:45" x14ac:dyDescent="0.2">
      <c r="A561" s="3">
        <v>11</v>
      </c>
      <c r="B561" s="37"/>
      <c r="C561" s="39" t="s">
        <v>95</v>
      </c>
      <c r="G561" s="31"/>
      <c r="H561" s="31"/>
      <c r="I561" s="31">
        <f>I273+I275+I280+I282+I287+I289+I294+I296</f>
        <v>7878044.1500000004</v>
      </c>
      <c r="J561" s="31"/>
      <c r="K561" s="31">
        <f>K273+K275+K280+K282+K287+K289+K294+K296</f>
        <v>8442900.5487047993</v>
      </c>
      <c r="L561" s="31"/>
      <c r="M561" s="31">
        <f>M273+M275+M280+M282+M287+M289+M294+M296</f>
        <v>9221417.2818499189</v>
      </c>
      <c r="N561" s="31"/>
    </row>
    <row r="562" spans="1:45" x14ac:dyDescent="0.2">
      <c r="A562" s="3">
        <v>12</v>
      </c>
      <c r="B562" s="37"/>
      <c r="C562" s="37" t="s">
        <v>60</v>
      </c>
      <c r="G562" s="31"/>
      <c r="H562" s="31"/>
      <c r="I562" s="73">
        <f>SUM(I560:I561)</f>
        <v>15567068.540000001</v>
      </c>
      <c r="K562" s="73">
        <f>SUM(K560:K561)</f>
        <v>16665795.882850129</v>
      </c>
      <c r="M562" s="73">
        <f>SUM(M560:M561)</f>
        <v>18164075.617546279</v>
      </c>
      <c r="N562" s="31"/>
      <c r="O562" s="74">
        <f>K562/I562-1</f>
        <v>7.0580234167204825E-2</v>
      </c>
      <c r="P562" s="74">
        <f>M562/K562-1</f>
        <v>8.9901481167061981E-2</v>
      </c>
    </row>
    <row r="563" spans="1:45" x14ac:dyDescent="0.2">
      <c r="A563" s="3"/>
      <c r="B563" s="37"/>
      <c r="C563" s="39"/>
      <c r="G563" s="31"/>
      <c r="H563" s="31"/>
      <c r="I563" s="37"/>
      <c r="K563" s="37"/>
      <c r="M563" s="37"/>
      <c r="N563" s="31"/>
    </row>
    <row r="564" spans="1:45" x14ac:dyDescent="0.2">
      <c r="A564" s="3">
        <v>13</v>
      </c>
      <c r="B564" s="37" t="s">
        <v>443</v>
      </c>
      <c r="C564" s="39"/>
      <c r="G564" s="31"/>
      <c r="H564" s="31"/>
      <c r="I564" s="37"/>
      <c r="K564" s="37"/>
      <c r="M564" s="37"/>
      <c r="N564" s="31"/>
    </row>
    <row r="565" spans="1:45" x14ac:dyDescent="0.2">
      <c r="A565" s="3">
        <v>14</v>
      </c>
      <c r="B565" s="37"/>
      <c r="C565" s="39" t="s">
        <v>94</v>
      </c>
      <c r="I565" s="31">
        <f>I345+I347+I352+I354+I359+I361</f>
        <v>234.15</v>
      </c>
      <c r="J565" s="31"/>
      <c r="K565" s="31">
        <f>K345+K347+K352+K354+K359+K361</f>
        <v>245.85750000000002</v>
      </c>
      <c r="L565" s="31"/>
      <c r="M565" s="31">
        <f>M345+M347+M352+M354+M359+M361</f>
        <v>258.15037500000005</v>
      </c>
    </row>
    <row r="566" spans="1:45" x14ac:dyDescent="0.2">
      <c r="A566" s="3">
        <v>15</v>
      </c>
      <c r="B566" s="37"/>
      <c r="C566" s="39" t="s">
        <v>95</v>
      </c>
      <c r="I566" s="31">
        <f>I346+I348+I353+I355+I360+I362</f>
        <v>9000132.8599999994</v>
      </c>
      <c r="J566" s="31"/>
      <c r="K566" s="31">
        <f>K346+K348+K353+K355+K360+K362</f>
        <v>9284595.448520001</v>
      </c>
      <c r="L566" s="31"/>
      <c r="M566" s="31">
        <f>M346+M348+M353+M355+M360+M362</f>
        <v>9422638.1158777606</v>
      </c>
    </row>
    <row r="567" spans="1:45" x14ac:dyDescent="0.2">
      <c r="A567" s="3">
        <v>16</v>
      </c>
      <c r="B567" s="37"/>
      <c r="C567" s="37" t="s">
        <v>444</v>
      </c>
      <c r="G567" s="31"/>
      <c r="H567" s="31"/>
      <c r="I567" s="73">
        <f>SUM(I565:I566)</f>
        <v>9000367.0099999998</v>
      </c>
      <c r="K567" s="73">
        <f>SUM(K565:K566)</f>
        <v>9284841.3060200009</v>
      </c>
      <c r="M567" s="73">
        <f>SUM(M565:M566)</f>
        <v>9422896.2662527598</v>
      </c>
      <c r="N567" s="31"/>
      <c r="O567" s="74">
        <f>K567/I567-1</f>
        <v>3.1606966216370047E-2</v>
      </c>
      <c r="P567" s="74">
        <f>M567/K567-1</f>
        <v>1.4868855124454239E-2</v>
      </c>
    </row>
    <row r="568" spans="1:45" s="1" customFormat="1" ht="15" x14ac:dyDescent="0.2">
      <c r="A568" s="72"/>
      <c r="B568" s="37"/>
      <c r="C568" s="39"/>
      <c r="G568" s="63"/>
      <c r="H568" s="63"/>
      <c r="I568" s="37"/>
      <c r="K568" s="37"/>
      <c r="M568" s="37"/>
      <c r="N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</row>
    <row r="569" spans="1:45" s="1" customFormat="1" x14ac:dyDescent="0.2">
      <c r="A569" s="3">
        <v>17</v>
      </c>
      <c r="B569" s="37" t="s">
        <v>103</v>
      </c>
      <c r="C569" s="39"/>
      <c r="G569" s="63"/>
      <c r="H569" s="63"/>
      <c r="I569" s="37"/>
      <c r="K569" s="37"/>
      <c r="M569" s="37"/>
      <c r="N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</row>
    <row r="570" spans="1:45" s="1" customFormat="1" x14ac:dyDescent="0.2">
      <c r="A570" s="3">
        <v>18</v>
      </c>
      <c r="B570" s="37"/>
      <c r="C570" s="39" t="s">
        <v>94</v>
      </c>
      <c r="G570" s="63"/>
      <c r="H570" s="63"/>
      <c r="I570" s="31">
        <f>I385+I387+I392+I394+I399+I401+I406+I408+I413+I415+I420+I422+I443+I445+I450+I452+I457+I459+I464+I466+I472+I474+I479+I481+I486+I488</f>
        <v>13828305.059999997</v>
      </c>
      <c r="J570" s="31"/>
      <c r="K570" s="31">
        <f>K385+K387+K392+K394+K399+K401+K406+K408+K413+K415+K420+K422+K443+K445+K450+K452+K457+K459+K464+K466+K472+K474+K479+K481+K486+K488</f>
        <v>15256970.715140184</v>
      </c>
      <c r="L570" s="31"/>
      <c r="M570" s="31">
        <f>M385+M387+M392+M394+M399+M401+M406+M408+M413+M415+M420+M422+M443+M445+M450+M452+M457+M459+M464+M466+M472+M474+M479+M481+M486+M488</f>
        <v>18718865.262067139</v>
      </c>
      <c r="N570" s="31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</row>
    <row r="571" spans="1:45" s="1" customFormat="1" x14ac:dyDescent="0.2">
      <c r="A571" s="3">
        <v>19</v>
      </c>
      <c r="B571" s="37"/>
      <c r="C571" s="39" t="s">
        <v>95</v>
      </c>
      <c r="I571" s="31">
        <f>I386+I388+I393+I395+I400+I402+I407+I409+I414+I416+I421+I423+I444+I446+I451+I453+I458+I460+I465+I467+I468+I473+I475+I480+I482+I487+I489</f>
        <v>43625173.960000008</v>
      </c>
      <c r="J571" s="31"/>
      <c r="K571" s="31">
        <f>K386+K388+K393+K395+K400+K402+K407+K409+K414+K416+K421+K423+K444+K446+K451+K453+K458+K460+K465+K467+K468+K473+K475+K480+K482+K487+K489</f>
        <v>47221388.852276362</v>
      </c>
      <c r="L571" s="31"/>
      <c r="M571" s="31">
        <f>M386+M388+M393+M395+M400+M402+M407+M409+M414+M416+M421+M423+M444+M446+M451+M453+M458+M460+M465+M467+M468+M473+M475+M480+M482+M487+M489</f>
        <v>56281502.202620186</v>
      </c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</row>
    <row r="572" spans="1:45" s="1" customFormat="1" x14ac:dyDescent="0.2">
      <c r="A572" s="3">
        <v>20</v>
      </c>
      <c r="B572" s="37"/>
      <c r="C572" s="37" t="s">
        <v>103</v>
      </c>
      <c r="G572" s="63"/>
      <c r="H572" s="63"/>
      <c r="I572" s="73">
        <f>SUM(I570:I571)</f>
        <v>57453479.020000003</v>
      </c>
      <c r="J572" s="2"/>
      <c r="K572" s="73">
        <f>SUM(K570:K571)</f>
        <v>62478359.567416549</v>
      </c>
      <c r="L572" s="2"/>
      <c r="M572" s="73">
        <f>SUM(M570:M571)</f>
        <v>75000367.464687318</v>
      </c>
      <c r="N572" s="2"/>
      <c r="O572" s="74">
        <f>K572/I572-1</f>
        <v>8.7459987334576272E-2</v>
      </c>
      <c r="P572" s="74">
        <f>M572/K572-1</f>
        <v>0.2004215216911871</v>
      </c>
      <c r="Q572" s="2"/>
      <c r="R572" s="2"/>
      <c r="S572" s="2"/>
      <c r="T572" s="2"/>
      <c r="U572" s="2"/>
      <c r="V572" s="2"/>
      <c r="W572" s="2">
        <v>161627.69731400907</v>
      </c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</row>
    <row r="573" spans="1:45" s="1" customFormat="1" x14ac:dyDescent="0.2">
      <c r="A573" s="3"/>
      <c r="B573" s="37"/>
      <c r="C573" s="39"/>
      <c r="G573" s="63"/>
      <c r="H573" s="63"/>
      <c r="I573" s="37"/>
      <c r="K573" s="37"/>
      <c r="M573" s="37"/>
      <c r="N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</row>
    <row r="574" spans="1:45" s="1" customFormat="1" x14ac:dyDescent="0.2">
      <c r="A574" s="3">
        <v>21</v>
      </c>
      <c r="B574" s="37" t="s">
        <v>100</v>
      </c>
      <c r="C574" s="39"/>
      <c r="G574" s="63"/>
      <c r="H574" s="63"/>
      <c r="I574" s="37"/>
      <c r="K574" s="37"/>
      <c r="M574" s="37"/>
      <c r="N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</row>
    <row r="575" spans="1:45" s="1" customFormat="1" x14ac:dyDescent="0.2">
      <c r="A575" s="3">
        <v>22</v>
      </c>
      <c r="B575" s="37"/>
      <c r="C575" s="39" t="s">
        <v>94</v>
      </c>
      <c r="G575" s="63"/>
      <c r="H575" s="63"/>
      <c r="I575" s="31">
        <f>I21+I23+I28+I30+I37+I39</f>
        <v>0</v>
      </c>
      <c r="J575" s="31"/>
      <c r="K575" s="31">
        <f>K21+K23+K28+K30+K37+K39</f>
        <v>0</v>
      </c>
      <c r="L575" s="31"/>
      <c r="M575" s="31">
        <f>M21+M23+M28+M30+M37+M39</f>
        <v>0</v>
      </c>
      <c r="N575" s="31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</row>
    <row r="576" spans="1:45" s="1" customFormat="1" x14ac:dyDescent="0.2">
      <c r="A576" s="3">
        <v>23</v>
      </c>
      <c r="B576" s="37"/>
      <c r="C576" s="39" t="s">
        <v>95</v>
      </c>
      <c r="I576" s="31">
        <f>I22+I24+I29+I31+I38+I40</f>
        <v>-724693.7200000002</v>
      </c>
      <c r="J576" s="31"/>
      <c r="K576" s="31">
        <f>K22+K24+K29+K31+K38+K40</f>
        <v>-1141806.8585516</v>
      </c>
      <c r="L576" s="31"/>
      <c r="M576" s="31">
        <f>M22+M24+M29+M31+M38+M40</f>
        <v>414485.61951679998</v>
      </c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</row>
    <row r="577" spans="1:45" s="1" customFormat="1" x14ac:dyDescent="0.2">
      <c r="A577" s="3">
        <v>24</v>
      </c>
      <c r="B577" s="37"/>
      <c r="C577" s="37" t="s">
        <v>100</v>
      </c>
      <c r="G577" s="63"/>
      <c r="H577" s="63"/>
      <c r="I577" s="73">
        <f>SUM(I575:I576)</f>
        <v>-724693.7200000002</v>
      </c>
      <c r="J577" s="2"/>
      <c r="K577" s="73">
        <f>SUM(K575:K576)</f>
        <v>-1141806.8585516</v>
      </c>
      <c r="L577" s="2"/>
      <c r="M577" s="73">
        <f>SUM(M575:M576)</f>
        <v>414485.61951679998</v>
      </c>
      <c r="N577" s="2"/>
      <c r="O577" s="74">
        <f>K577/I577-1</f>
        <v>0.57557162017576147</v>
      </c>
      <c r="P577" s="74">
        <f>M577/K577-1</f>
        <v>-1.3630085214609602</v>
      </c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</row>
    <row r="578" spans="1:45" s="1" customFormat="1" x14ac:dyDescent="0.2">
      <c r="A578" s="3"/>
      <c r="B578" s="37"/>
      <c r="C578" s="39"/>
      <c r="G578" s="63"/>
      <c r="H578" s="63"/>
      <c r="I578" s="37"/>
      <c r="K578" s="37"/>
      <c r="M578" s="37"/>
      <c r="N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</row>
    <row r="579" spans="1:45" s="1" customFormat="1" x14ac:dyDescent="0.2">
      <c r="A579" s="3">
        <v>25</v>
      </c>
      <c r="B579" s="37" t="s">
        <v>75</v>
      </c>
      <c r="C579" s="39"/>
      <c r="G579" s="63"/>
      <c r="H579" s="63"/>
      <c r="I579" s="37"/>
      <c r="K579" s="37"/>
      <c r="M579" s="37"/>
      <c r="N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</row>
    <row r="580" spans="1:45" s="1" customFormat="1" x14ac:dyDescent="0.2">
      <c r="A580" s="3">
        <v>26</v>
      </c>
      <c r="B580" s="37"/>
      <c r="C580" s="39" t="s">
        <v>94</v>
      </c>
      <c r="G580" s="63"/>
      <c r="H580" s="63"/>
      <c r="I580" s="31">
        <f>I550+I555+I560+I565+I570+I575</f>
        <v>44621143.359999999</v>
      </c>
      <c r="J580" s="31"/>
      <c r="K580" s="31">
        <f>K550+K555+K560+K565+K570+K575</f>
        <v>48403994.239002421</v>
      </c>
      <c r="L580" s="31"/>
      <c r="M580" s="31">
        <f>M550+M555+M560+M565+M570+M575</f>
        <v>56858043.387280799</v>
      </c>
      <c r="N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</row>
    <row r="581" spans="1:45" s="1" customFormat="1" x14ac:dyDescent="0.2">
      <c r="A581" s="3">
        <v>27</v>
      </c>
      <c r="B581" s="37"/>
      <c r="C581" s="39" t="s">
        <v>95</v>
      </c>
      <c r="G581" s="63"/>
      <c r="H581" s="63"/>
      <c r="I581" s="31">
        <f>I551+I556+I561+I566+I571+I576</f>
        <v>77922248.040000007</v>
      </c>
      <c r="J581" s="31"/>
      <c r="K581" s="31">
        <f>K551+K556+K561+K566+K571+K576</f>
        <v>81573356.760997549</v>
      </c>
      <c r="L581" s="31"/>
      <c r="M581" s="31">
        <f>M551+M556+M561+M566+M571+M576</f>
        <v>94101142.162719235</v>
      </c>
      <c r="N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</row>
    <row r="582" spans="1:45" s="1" customFormat="1" x14ac:dyDescent="0.2">
      <c r="A582" s="3">
        <v>28</v>
      </c>
      <c r="B582" s="37"/>
      <c r="C582" s="37" t="s">
        <v>75</v>
      </c>
      <c r="G582" s="63"/>
      <c r="H582" s="63"/>
      <c r="I582" s="73">
        <f>SUM(I580:I581)</f>
        <v>122543391.40000001</v>
      </c>
      <c r="J582" s="2"/>
      <c r="K582" s="73">
        <f>SUM(K580:K581)</f>
        <v>129977350.99999997</v>
      </c>
      <c r="L582" s="2"/>
      <c r="M582" s="73">
        <f>SUM(M580:M581)</f>
        <v>150959185.55000004</v>
      </c>
      <c r="N582" s="2"/>
      <c r="O582" s="74">
        <f>K582/I582-1</f>
        <v>6.0663896396782491E-2</v>
      </c>
      <c r="P582" s="74">
        <f>M582/K582-1</f>
        <v>0.1614268515904751</v>
      </c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</row>
    <row r="583" spans="1:45" s="1" customFormat="1" x14ac:dyDescent="0.2">
      <c r="A583" s="3"/>
      <c r="B583" s="37"/>
      <c r="C583" s="39"/>
      <c r="G583" s="63"/>
      <c r="H583" s="63"/>
      <c r="I583" s="37"/>
      <c r="K583" s="37"/>
      <c r="M583" s="37"/>
      <c r="N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</row>
    <row r="584" spans="1:45" s="1" customFormat="1" ht="13.5" thickBot="1" x14ac:dyDescent="0.25">
      <c r="A584" s="3">
        <v>29</v>
      </c>
      <c r="B584" s="37"/>
      <c r="C584" s="39" t="s">
        <v>75</v>
      </c>
      <c r="G584" s="63"/>
      <c r="H584" s="64"/>
      <c r="I584" s="47">
        <f>I552+I557+I562+I567+I572+I577</f>
        <v>122543391.40000001</v>
      </c>
      <c r="K584" s="47">
        <f>K552+K557+K562+K567+K572+K577</f>
        <v>129977350.99999997</v>
      </c>
      <c r="M584" s="47">
        <f>M552+M557+M562+M567+M572+M577</f>
        <v>150959185.55000001</v>
      </c>
      <c r="N584" s="2"/>
      <c r="O584" s="74">
        <f>K584/I584-1</f>
        <v>6.0663896396782491E-2</v>
      </c>
      <c r="P584" s="74">
        <f>M584/K584-1</f>
        <v>0.16142685159047487</v>
      </c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</row>
    <row r="585" spans="1:45" ht="52.5" customHeight="1" thickTop="1" x14ac:dyDescent="0.2">
      <c r="A585" s="77"/>
      <c r="B585" s="77"/>
      <c r="C585" s="77"/>
      <c r="D585" s="77"/>
      <c r="E585" s="80"/>
      <c r="F585" s="77"/>
      <c r="G585" s="77"/>
      <c r="H585" s="77"/>
      <c r="I585" s="79"/>
      <c r="J585" s="77"/>
      <c r="K585" s="81"/>
      <c r="L585" s="8"/>
      <c r="M585" s="77"/>
      <c r="N585" s="77"/>
      <c r="O585" s="29"/>
      <c r="P585" s="78"/>
      <c r="Q585" s="77"/>
      <c r="R585" s="77"/>
      <c r="S585" s="77"/>
      <c r="T585" s="77"/>
      <c r="U585" s="77"/>
    </row>
    <row r="586" spans="1:45" x14ac:dyDescent="0.2">
      <c r="A586" s="4"/>
      <c r="E586" s="62"/>
      <c r="G586" s="62"/>
      <c r="I586" s="37"/>
      <c r="K586" s="37"/>
      <c r="S586" s="4" t="s">
        <v>78</v>
      </c>
    </row>
    <row r="587" spans="1:45" s="1" customFormat="1" x14ac:dyDescent="0.2">
      <c r="A587" s="2"/>
      <c r="B587" s="2"/>
      <c r="C587" s="64"/>
      <c r="D587" s="64"/>
      <c r="E587" s="64"/>
      <c r="F587" s="64"/>
      <c r="G587" s="21"/>
      <c r="H587" s="64"/>
      <c r="I587" s="64"/>
      <c r="J587" s="64"/>
      <c r="K587" s="64"/>
      <c r="L587" s="64"/>
      <c r="M587" s="64"/>
      <c r="N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</row>
    <row r="588" spans="1:45" s="1" customFormat="1" x14ac:dyDescent="0.2">
      <c r="A588" s="2"/>
      <c r="B588" s="2"/>
      <c r="C588" s="64"/>
      <c r="D588" s="64"/>
      <c r="E588" s="64"/>
      <c r="F588" s="64"/>
      <c r="G588" s="296"/>
      <c r="H588" s="64"/>
      <c r="I588" s="64"/>
      <c r="J588" s="64"/>
      <c r="K588" s="297"/>
      <c r="L588" s="64"/>
      <c r="M588" s="64"/>
      <c r="N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</row>
    <row r="589" spans="1:45" s="1" customFormat="1" x14ac:dyDescent="0.2">
      <c r="A589" s="2"/>
      <c r="B589" s="2"/>
      <c r="C589" s="64"/>
      <c r="D589" s="64"/>
      <c r="E589" s="64"/>
      <c r="F589" s="64"/>
      <c r="G589" s="297"/>
      <c r="H589" s="64"/>
      <c r="I589" s="298"/>
      <c r="J589" s="64"/>
      <c r="K589" s="297"/>
      <c r="L589" s="2"/>
      <c r="M589" s="299"/>
      <c r="N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</row>
    <row r="590" spans="1:45" s="1" customForma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65"/>
      <c r="L590" s="64"/>
      <c r="M590" s="65"/>
      <c r="N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</row>
    <row r="591" spans="1:45" s="1" customForma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4"/>
      <c r="M591" s="2"/>
      <c r="N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</row>
    <row r="593" spans="1:45" s="1" customFormat="1" x14ac:dyDescent="0.2">
      <c r="A593" s="2"/>
      <c r="B593" s="2"/>
      <c r="C593" s="64"/>
      <c r="D593" s="2"/>
      <c r="E593" s="2"/>
      <c r="F593" s="2"/>
      <c r="G593" s="2"/>
      <c r="H593" s="2"/>
      <c r="I593" s="2"/>
      <c r="J593" s="2"/>
      <c r="K593" s="64"/>
      <c r="L593" s="64"/>
      <c r="M593" s="66"/>
      <c r="N593" s="2"/>
      <c r="O593" s="3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</row>
    <row r="595" spans="1:45" s="1" customForma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67"/>
      <c r="N595" s="2"/>
      <c r="O595" s="3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</row>
  </sheetData>
  <printOptions horizontalCentered="1"/>
  <pageMargins left="0" right="0" top="1" bottom="0.25" header="0.5" footer="0.5"/>
  <pageSetup scale="47" fitToHeight="0" orientation="landscape" cellComments="asDisplayed" horizontalDpi="1200" verticalDpi="1200" r:id="rId1"/>
  <headerFooter alignWithMargins="0"/>
  <rowBreaks count="10" manualBreakCount="10">
    <brk id="90" max="20" man="1"/>
    <brk id="150" max="20" man="1"/>
    <brk id="208" max="20" man="1"/>
    <brk id="256" max="20" man="1"/>
    <brk id="303" max="20" man="1"/>
    <brk id="329" max="20" man="1"/>
    <brk id="369" max="20" man="1"/>
    <brk id="427" max="20" man="1"/>
    <brk id="496" max="20" man="1"/>
    <brk id="534" max="20" man="1"/>
  </rowBreaks>
  <customProperties>
    <customPr name="_pios_id" r:id="rId2"/>
    <customPr name="EpmWorksheetKeyString_GUID" r:id="rId3"/>
  </customProperties>
  <ignoredErrors>
    <ignoredError sqref="U4:U6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0197-25D5-4AD6-A634-0525C6306BEE}">
  <sheetPr>
    <tabColor rgb="FFFF0000"/>
    <pageSetUpPr fitToPage="1"/>
  </sheetPr>
  <dimension ref="A1:Q535"/>
  <sheetViews>
    <sheetView topLeftCell="E31" zoomScale="115" zoomScaleNormal="115" workbookViewId="0">
      <selection activeCell="P31" sqref="P31"/>
    </sheetView>
  </sheetViews>
  <sheetFormatPr defaultColWidth="8.85546875" defaultRowHeight="12.75" x14ac:dyDescent="0.2"/>
  <cols>
    <col min="1" max="1" width="4.28515625" style="94" customWidth="1"/>
    <col min="2" max="2" width="14.5703125" style="104" customWidth="1"/>
    <col min="3" max="3" width="73.85546875" style="103" customWidth="1"/>
    <col min="4" max="4" width="15.85546875" style="94" customWidth="1"/>
    <col min="5" max="5" width="14.5703125" style="104" customWidth="1"/>
    <col min="6" max="6" width="1.7109375" style="104" customWidth="1"/>
    <col min="7" max="7" width="14.5703125" style="104" customWidth="1"/>
    <col min="8" max="8" width="1.7109375" style="104" customWidth="1"/>
    <col min="9" max="9" width="14.5703125" style="104" customWidth="1"/>
    <col min="10" max="10" width="1.85546875" style="91" customWidth="1"/>
    <col min="11" max="11" width="14.5703125" style="94" customWidth="1"/>
    <col min="12" max="12" width="8.85546875" style="94" customWidth="1"/>
    <col min="13" max="13" width="10.42578125" style="94" hidden="1" customWidth="1"/>
    <col min="14" max="14" width="11.5703125" style="94" bestFit="1" customWidth="1"/>
    <col min="15" max="15" width="28.85546875" style="2" customWidth="1"/>
    <col min="16" max="16" width="27" style="2" customWidth="1"/>
    <col min="17" max="16384" width="8.85546875" style="94"/>
  </cols>
  <sheetData>
    <row r="1" spans="1:16" s="2" customFormat="1" x14ac:dyDescent="0.2">
      <c r="A1" s="1" t="s">
        <v>0</v>
      </c>
      <c r="G1" s="3" t="s">
        <v>1</v>
      </c>
      <c r="H1" s="3"/>
      <c r="J1" s="37"/>
      <c r="L1" s="1"/>
      <c r="O1" s="1" t="s">
        <v>164</v>
      </c>
    </row>
    <row r="2" spans="1:16" s="2" customFormat="1" x14ac:dyDescent="0.2">
      <c r="A2" s="77"/>
      <c r="B2" s="77"/>
      <c r="C2" s="77"/>
      <c r="D2" s="77"/>
      <c r="E2" s="77"/>
      <c r="F2" s="77"/>
      <c r="G2" s="77"/>
      <c r="H2" s="77"/>
      <c r="I2" s="77"/>
      <c r="J2" s="79"/>
      <c r="K2" s="29"/>
      <c r="L2" s="78"/>
      <c r="M2" s="77"/>
      <c r="N2" s="77"/>
      <c r="O2" s="77"/>
      <c r="P2" s="77"/>
    </row>
    <row r="3" spans="1:16" s="2" customFormat="1" x14ac:dyDescent="0.2">
      <c r="A3" s="1" t="s">
        <v>3</v>
      </c>
      <c r="G3" s="3" t="s">
        <v>4</v>
      </c>
      <c r="H3" s="3"/>
      <c r="J3" s="37"/>
      <c r="L3" s="1"/>
      <c r="N3" s="1"/>
      <c r="O3" s="1" t="s">
        <v>5</v>
      </c>
    </row>
    <row r="4" spans="1:16" s="2" customFormat="1" x14ac:dyDescent="0.2">
      <c r="G4" s="3" t="s">
        <v>6</v>
      </c>
      <c r="H4" s="3"/>
      <c r="J4" s="37"/>
      <c r="L4" s="1"/>
      <c r="N4" s="1"/>
      <c r="O4" s="1" t="s">
        <v>7</v>
      </c>
      <c r="P4" s="4" t="s">
        <v>79</v>
      </c>
    </row>
    <row r="5" spans="1:16" s="2" customFormat="1" x14ac:dyDescent="0.2">
      <c r="A5" s="1" t="s">
        <v>11</v>
      </c>
      <c r="C5" s="1" t="s">
        <v>85</v>
      </c>
      <c r="G5" s="3" t="s">
        <v>12</v>
      </c>
      <c r="H5" s="3"/>
      <c r="J5" s="37"/>
      <c r="L5" s="1"/>
      <c r="N5" s="1"/>
      <c r="O5" s="1" t="s">
        <v>13</v>
      </c>
      <c r="P5" s="4" t="s">
        <v>80</v>
      </c>
    </row>
    <row r="6" spans="1:16" s="2" customFormat="1" x14ac:dyDescent="0.2">
      <c r="J6" s="37"/>
      <c r="K6" s="3"/>
      <c r="L6" s="1"/>
      <c r="O6" s="2" t="s">
        <v>14</v>
      </c>
      <c r="P6" s="4" t="s">
        <v>83</v>
      </c>
    </row>
    <row r="7" spans="1:16" s="2" customFormat="1" x14ac:dyDescent="0.2">
      <c r="A7" s="68" t="s">
        <v>82</v>
      </c>
      <c r="C7" s="40" t="s">
        <v>88</v>
      </c>
      <c r="J7" s="39"/>
      <c r="K7" s="3"/>
      <c r="L7" s="1"/>
      <c r="M7" s="6"/>
      <c r="O7" s="2" t="s">
        <v>18</v>
      </c>
      <c r="P7" s="2" t="s">
        <v>409</v>
      </c>
    </row>
    <row r="8" spans="1:16" s="2" customFormat="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24"/>
      <c r="K8" s="3"/>
      <c r="L8" s="1"/>
      <c r="M8" s="118"/>
      <c r="N8" s="118"/>
      <c r="O8" s="118"/>
      <c r="P8" s="2" t="s">
        <v>86</v>
      </c>
    </row>
    <row r="9" spans="1:16" s="2" customFormat="1" x14ac:dyDescent="0.2">
      <c r="A9" s="118"/>
      <c r="B9" s="118"/>
      <c r="C9" s="118"/>
      <c r="D9" s="118"/>
      <c r="E9" s="118"/>
      <c r="F9" s="118"/>
      <c r="G9" s="118"/>
      <c r="H9" s="118"/>
      <c r="I9" s="118"/>
      <c r="J9" s="124"/>
      <c r="K9" s="3"/>
      <c r="L9" s="1"/>
      <c r="M9" s="118"/>
      <c r="N9" s="118"/>
      <c r="O9" s="118"/>
      <c r="P9" s="2" t="s">
        <v>442</v>
      </c>
    </row>
    <row r="10" spans="1:16" s="2" customForma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2" customFormat="1" x14ac:dyDescent="0.2"/>
    <row r="12" spans="1:16" x14ac:dyDescent="0.2">
      <c r="A12" s="94" t="s">
        <v>107</v>
      </c>
      <c r="B12" s="102"/>
      <c r="C12" s="114"/>
      <c r="D12" s="91"/>
      <c r="E12" s="102">
        <v>2022</v>
      </c>
      <c r="F12" s="102"/>
      <c r="G12" s="102">
        <v>2023</v>
      </c>
      <c r="H12" s="102"/>
      <c r="I12" s="102">
        <v>2024</v>
      </c>
      <c r="M12" s="91" t="s">
        <v>106</v>
      </c>
    </row>
    <row r="13" spans="1:16" x14ac:dyDescent="0.2">
      <c r="A13" s="115" t="s">
        <v>364</v>
      </c>
      <c r="B13" s="116" t="s">
        <v>108</v>
      </c>
      <c r="C13" s="117" t="s">
        <v>363</v>
      </c>
      <c r="D13" s="91"/>
      <c r="E13" s="116" t="s">
        <v>109</v>
      </c>
      <c r="F13" s="102"/>
      <c r="G13" s="116" t="s">
        <v>109</v>
      </c>
      <c r="H13" s="102"/>
      <c r="I13" s="116" t="s">
        <v>109</v>
      </c>
      <c r="J13" s="94"/>
      <c r="K13" s="115" t="s">
        <v>105</v>
      </c>
      <c r="M13" s="115" t="s">
        <v>105</v>
      </c>
    </row>
    <row r="14" spans="1:16" x14ac:dyDescent="0.2">
      <c r="A14" s="91">
        <v>1</v>
      </c>
      <c r="B14" s="95" t="s">
        <v>110</v>
      </c>
      <c r="C14" s="92" t="s">
        <v>111</v>
      </c>
      <c r="D14" s="37"/>
      <c r="E14" s="93">
        <f>+'SCHG2-19'!I24</f>
        <v>-1104661.2000000002</v>
      </c>
      <c r="F14" s="119"/>
      <c r="G14" s="93">
        <v>-1166806.8585516</v>
      </c>
      <c r="H14" s="119"/>
      <c r="I14" s="93">
        <v>388935.61951679998</v>
      </c>
      <c r="J14" s="94"/>
      <c r="K14" s="91" t="s">
        <v>112</v>
      </c>
    </row>
    <row r="15" spans="1:16" x14ac:dyDescent="0.2">
      <c r="A15" s="91"/>
      <c r="B15" s="95"/>
      <c r="C15" s="92"/>
      <c r="D15" s="37"/>
      <c r="E15" s="96"/>
      <c r="F15" s="96"/>
      <c r="G15" s="97"/>
      <c r="H15" s="98"/>
      <c r="I15" s="97"/>
      <c r="J15" s="94"/>
      <c r="K15" s="91"/>
    </row>
    <row r="16" spans="1:16" x14ac:dyDescent="0.2">
      <c r="A16" s="91">
        <f>+A14+1</f>
        <v>2</v>
      </c>
      <c r="B16" s="95" t="s">
        <v>113</v>
      </c>
      <c r="C16" s="92" t="s">
        <v>114</v>
      </c>
      <c r="D16" s="37"/>
      <c r="E16" s="97">
        <f>+'SCHG2-19'!I31</f>
        <v>379967.48</v>
      </c>
      <c r="F16" s="98"/>
      <c r="G16" s="97">
        <v>25000</v>
      </c>
      <c r="H16" s="98"/>
      <c r="I16" s="97">
        <v>25550</v>
      </c>
      <c r="J16" s="94"/>
      <c r="K16" s="91" t="s">
        <v>115</v>
      </c>
    </row>
    <row r="17" spans="1:17" x14ac:dyDescent="0.2">
      <c r="A17" s="91"/>
      <c r="B17" s="95"/>
      <c r="C17" s="92"/>
      <c r="D17" s="37"/>
      <c r="E17" s="96"/>
      <c r="F17" s="96"/>
      <c r="G17" s="97"/>
      <c r="H17" s="98"/>
      <c r="I17" s="97"/>
      <c r="J17" s="94"/>
      <c r="K17" s="91"/>
    </row>
    <row r="18" spans="1:17" x14ac:dyDescent="0.2">
      <c r="A18" s="91">
        <f>+A16+1</f>
        <v>3</v>
      </c>
      <c r="B18" s="95" t="s">
        <v>116</v>
      </c>
      <c r="C18" s="92" t="s">
        <v>117</v>
      </c>
      <c r="D18" s="37"/>
      <c r="E18" s="97">
        <v>0</v>
      </c>
      <c r="F18" s="98"/>
      <c r="G18" s="87">
        <v>-1605208.0000000005</v>
      </c>
      <c r="H18" s="101"/>
      <c r="I18" s="98">
        <v>-1135304.5760000004</v>
      </c>
      <c r="J18" s="94"/>
      <c r="K18" s="91" t="s">
        <v>115</v>
      </c>
    </row>
    <row r="19" spans="1:17" x14ac:dyDescent="0.2">
      <c r="A19" s="91"/>
      <c r="B19" s="95"/>
      <c r="C19" s="92"/>
      <c r="D19" s="37"/>
      <c r="E19" s="96"/>
      <c r="F19" s="96"/>
      <c r="G19" s="97"/>
      <c r="H19" s="98"/>
      <c r="I19" s="97"/>
      <c r="J19" s="94"/>
      <c r="K19" s="91"/>
    </row>
    <row r="20" spans="1:17" x14ac:dyDescent="0.2">
      <c r="A20" s="91">
        <f>+A18+1</f>
        <v>4</v>
      </c>
      <c r="B20" s="95" t="s">
        <v>118</v>
      </c>
      <c r="C20" s="92" t="s">
        <v>119</v>
      </c>
      <c r="D20" s="37"/>
      <c r="E20" s="99">
        <f>+'SCHG2-19'!I183</f>
        <v>1437474.96</v>
      </c>
      <c r="F20" s="99"/>
      <c r="G20" s="98">
        <v>1437474.96</v>
      </c>
      <c r="H20" s="98"/>
      <c r="I20" s="97">
        <v>998571</v>
      </c>
      <c r="J20" s="94"/>
      <c r="K20" s="91" t="s">
        <v>120</v>
      </c>
    </row>
    <row r="21" spans="1:17" x14ac:dyDescent="0.2">
      <c r="A21" s="91"/>
      <c r="B21" s="95"/>
      <c r="C21" s="92"/>
      <c r="D21" s="37"/>
      <c r="E21" s="96"/>
      <c r="F21" s="96"/>
      <c r="G21" s="97"/>
      <c r="H21" s="98"/>
      <c r="I21" s="97"/>
      <c r="J21" s="94"/>
      <c r="K21" s="91"/>
    </row>
    <row r="22" spans="1:17" x14ac:dyDescent="0.2">
      <c r="A22" s="91">
        <f>+A20+1</f>
        <v>5</v>
      </c>
      <c r="B22" s="95" t="s">
        <v>121</v>
      </c>
      <c r="C22" s="92" t="s">
        <v>122</v>
      </c>
      <c r="D22" s="37"/>
      <c r="E22" s="99">
        <f>+'SCHG2-19'!I234</f>
        <v>26770.37</v>
      </c>
      <c r="F22" s="99"/>
      <c r="G22" s="97">
        <v>153999</v>
      </c>
      <c r="H22" s="98"/>
      <c r="I22" s="97">
        <v>157386.978</v>
      </c>
      <c r="J22" s="94"/>
      <c r="K22" s="91" t="s">
        <v>120</v>
      </c>
    </row>
    <row r="23" spans="1:17" x14ac:dyDescent="0.2">
      <c r="A23" s="91"/>
      <c r="B23" s="95"/>
      <c r="C23" s="92"/>
      <c r="D23" s="37"/>
      <c r="E23" s="96"/>
      <c r="F23" s="96"/>
      <c r="G23" s="97"/>
      <c r="H23" s="98"/>
      <c r="I23" s="97"/>
      <c r="J23" s="94"/>
      <c r="K23" s="91"/>
    </row>
    <row r="24" spans="1:17" x14ac:dyDescent="0.2">
      <c r="A24" s="91">
        <f>+A22+1</f>
        <v>6</v>
      </c>
      <c r="B24" s="95" t="s">
        <v>123</v>
      </c>
      <c r="C24" s="92" t="s">
        <v>124</v>
      </c>
      <c r="D24" s="37"/>
      <c r="E24" s="97">
        <f>+'SCHG2-19'!I289</f>
        <v>2168369.2799999998</v>
      </c>
      <c r="F24" s="98"/>
      <c r="G24" s="97">
        <v>2224004.3099999996</v>
      </c>
      <c r="H24" s="98"/>
      <c r="I24" s="98">
        <v>2297213.1599999997</v>
      </c>
      <c r="J24" s="94"/>
      <c r="K24" s="91" t="s">
        <v>440</v>
      </c>
    </row>
    <row r="25" spans="1:17" x14ac:dyDescent="0.2">
      <c r="A25" s="91"/>
      <c r="B25" s="95"/>
      <c r="C25" s="92"/>
      <c r="D25" s="37"/>
      <c r="E25" s="96"/>
      <c r="F25" s="96"/>
      <c r="G25" s="97"/>
      <c r="H25" s="98"/>
      <c r="I25" s="97"/>
      <c r="J25" s="94"/>
      <c r="K25" s="91"/>
    </row>
    <row r="26" spans="1:17" x14ac:dyDescent="0.2">
      <c r="A26" s="91">
        <f>+A24+1</f>
        <v>7</v>
      </c>
      <c r="B26" s="95" t="s">
        <v>125</v>
      </c>
      <c r="C26" s="92" t="s">
        <v>126</v>
      </c>
      <c r="D26" s="37"/>
      <c r="E26" s="100">
        <f>+'SCHG2-19'!I296</f>
        <v>990791.75</v>
      </c>
      <c r="F26" s="100"/>
      <c r="G26" s="97">
        <v>1182904.1730407998</v>
      </c>
      <c r="H26" s="98"/>
      <c r="I26" s="97">
        <v>1611232.4925744</v>
      </c>
      <c r="J26" s="94"/>
      <c r="K26" s="91" t="s">
        <v>112</v>
      </c>
    </row>
    <row r="27" spans="1:17" x14ac:dyDescent="0.2">
      <c r="A27" s="91"/>
      <c r="B27" s="95"/>
      <c r="C27" s="92"/>
      <c r="D27" s="37"/>
      <c r="E27" s="96"/>
      <c r="F27" s="96"/>
      <c r="G27" s="97"/>
      <c r="H27" s="98"/>
      <c r="I27" s="97"/>
      <c r="J27" s="94"/>
      <c r="K27" s="91"/>
    </row>
    <row r="28" spans="1:17" x14ac:dyDescent="0.2">
      <c r="A28" s="91">
        <f>+A26+1</f>
        <v>8</v>
      </c>
      <c r="B28" s="95" t="s">
        <v>127</v>
      </c>
      <c r="C28" s="92" t="s">
        <v>128</v>
      </c>
      <c r="D28" s="37"/>
      <c r="E28" s="97">
        <f>+'SCHG2-19'!I348</f>
        <v>7585990</v>
      </c>
      <c r="F28" s="98"/>
      <c r="G28" s="97">
        <v>7816542.2400000002</v>
      </c>
      <c r="H28" s="98"/>
      <c r="I28" s="97">
        <v>7909427.6092800004</v>
      </c>
      <c r="J28" s="94"/>
      <c r="K28" s="91" t="s">
        <v>112</v>
      </c>
      <c r="M28" s="94" t="s">
        <v>129</v>
      </c>
    </row>
    <row r="29" spans="1:17" x14ac:dyDescent="0.2">
      <c r="A29" s="91"/>
      <c r="B29" s="95"/>
      <c r="C29" s="92"/>
      <c r="D29" s="37"/>
      <c r="E29" s="85"/>
      <c r="F29" s="85"/>
      <c r="G29" s="97"/>
      <c r="H29" s="98"/>
      <c r="I29" s="97"/>
      <c r="J29" s="94"/>
      <c r="K29" s="91"/>
      <c r="N29" s="94" t="s">
        <v>468</v>
      </c>
      <c r="O29" s="94" t="s">
        <v>469</v>
      </c>
      <c r="P29" s="94" t="s">
        <v>470</v>
      </c>
    </row>
    <row r="30" spans="1:17" x14ac:dyDescent="0.2">
      <c r="A30" s="91">
        <f>+A28+1</f>
        <v>9</v>
      </c>
      <c r="B30" s="95" t="s">
        <v>130</v>
      </c>
      <c r="C30" s="92" t="s">
        <v>131</v>
      </c>
      <c r="D30" s="37"/>
      <c r="E30" s="100">
        <f>+'SCHG2-19'!I388</f>
        <v>6720693.25</v>
      </c>
      <c r="F30" s="100"/>
      <c r="G30" s="97">
        <v>6665000.0000003995</v>
      </c>
      <c r="H30" s="98"/>
      <c r="I30" s="97">
        <v>8049999.9999996005</v>
      </c>
      <c r="J30" s="94"/>
      <c r="K30" s="91" t="s">
        <v>132</v>
      </c>
      <c r="L30" s="320"/>
      <c r="N30" s="97">
        <v>5957000</v>
      </c>
      <c r="O30" s="97">
        <f>+N30*1.05</f>
        <v>6254850</v>
      </c>
      <c r="P30" s="97">
        <f>+O30*1.05</f>
        <v>6567592.5</v>
      </c>
    </row>
    <row r="31" spans="1:17" x14ac:dyDescent="0.2">
      <c r="A31" s="91"/>
      <c r="B31" s="95"/>
      <c r="C31" s="92"/>
      <c r="D31" s="37"/>
      <c r="E31" s="96"/>
      <c r="F31" s="96"/>
      <c r="G31" s="97"/>
      <c r="H31" s="98"/>
      <c r="I31" s="97"/>
      <c r="J31" s="94"/>
      <c r="K31" s="91"/>
      <c r="N31" s="97"/>
      <c r="O31" s="97">
        <f>+G30-O30</f>
        <v>410150.00000039954</v>
      </c>
      <c r="P31" s="97">
        <f>+I30-P30</f>
        <v>1482407.4999996005</v>
      </c>
      <c r="Q31" s="94" t="s">
        <v>471</v>
      </c>
    </row>
    <row r="32" spans="1:17" x14ac:dyDescent="0.2">
      <c r="A32" s="91">
        <f>+A30+1</f>
        <v>10</v>
      </c>
      <c r="B32" s="95">
        <v>921</v>
      </c>
      <c r="C32" s="92" t="s">
        <v>438</v>
      </c>
      <c r="D32" s="37"/>
      <c r="E32" s="86">
        <v>0</v>
      </c>
      <c r="F32" s="120"/>
      <c r="G32" s="87">
        <v>-746128</v>
      </c>
      <c r="H32" s="101"/>
      <c r="I32" s="86">
        <v>0</v>
      </c>
      <c r="J32" s="94"/>
      <c r="K32" s="91" t="s">
        <v>112</v>
      </c>
      <c r="M32" s="94" t="s">
        <v>115</v>
      </c>
      <c r="N32" s="97"/>
      <c r="O32" s="97"/>
      <c r="P32" s="97"/>
    </row>
    <row r="33" spans="1:16" x14ac:dyDescent="0.2">
      <c r="A33" s="102">
        <f>+A32+1</f>
        <v>11</v>
      </c>
      <c r="B33" s="102">
        <v>921</v>
      </c>
      <c r="C33" s="103" t="s">
        <v>439</v>
      </c>
      <c r="E33" s="89">
        <v>0</v>
      </c>
      <c r="F33" s="120"/>
      <c r="G33" s="89">
        <v>0</v>
      </c>
      <c r="H33" s="120"/>
      <c r="I33" s="301">
        <v>1152758.5040000002</v>
      </c>
      <c r="J33" s="94"/>
      <c r="K33" s="91" t="s">
        <v>112</v>
      </c>
      <c r="M33" s="94" t="s">
        <v>112</v>
      </c>
      <c r="N33" s="97"/>
      <c r="O33" s="97"/>
      <c r="P33" s="97"/>
    </row>
    <row r="34" spans="1:16" x14ac:dyDescent="0.2">
      <c r="A34" s="102">
        <f>+A33+1</f>
        <v>12</v>
      </c>
      <c r="B34" s="102" t="s">
        <v>134</v>
      </c>
      <c r="E34" s="105">
        <v>0</v>
      </c>
      <c r="F34" s="105"/>
      <c r="G34" s="105">
        <v>-746128</v>
      </c>
      <c r="H34" s="105"/>
      <c r="I34" s="105">
        <v>1152758.5040000002</v>
      </c>
      <c r="J34" s="94"/>
      <c r="K34" s="91" t="s">
        <v>112</v>
      </c>
      <c r="N34" s="97"/>
      <c r="O34" s="97"/>
      <c r="P34" s="97"/>
    </row>
    <row r="35" spans="1:16" x14ac:dyDescent="0.2">
      <c r="A35" s="91"/>
      <c r="B35" s="102"/>
      <c r="G35" s="105"/>
      <c r="H35" s="105"/>
      <c r="I35" s="105"/>
      <c r="J35" s="94"/>
      <c r="K35" s="91"/>
      <c r="N35" s="97"/>
      <c r="O35" s="97"/>
      <c r="P35" s="97"/>
    </row>
    <row r="36" spans="1:16" x14ac:dyDescent="0.2">
      <c r="A36" s="91">
        <f>+A34+1</f>
        <v>13</v>
      </c>
      <c r="B36" s="95" t="s">
        <v>135</v>
      </c>
      <c r="C36" s="92" t="s">
        <v>136</v>
      </c>
      <c r="D36" s="37"/>
      <c r="E36" s="85">
        <f>+'SCHG2-19'!I402</f>
        <v>-11000000.01</v>
      </c>
      <c r="F36" s="85"/>
      <c r="G36" s="97">
        <v>-11000000.0000004</v>
      </c>
      <c r="H36" s="98"/>
      <c r="I36" s="97">
        <v>-11000000.0000004</v>
      </c>
      <c r="J36" s="94"/>
      <c r="K36" s="91" t="s">
        <v>112</v>
      </c>
    </row>
    <row r="37" spans="1:16" x14ac:dyDescent="0.2">
      <c r="A37" s="91"/>
      <c r="B37" s="95"/>
      <c r="C37" s="92"/>
      <c r="D37" s="37"/>
      <c r="E37" s="96"/>
      <c r="F37" s="96"/>
      <c r="G37" s="97"/>
      <c r="H37" s="98"/>
      <c r="I37" s="97"/>
      <c r="J37" s="94"/>
      <c r="K37" s="91"/>
    </row>
    <row r="38" spans="1:16" x14ac:dyDescent="0.2">
      <c r="A38" s="91">
        <f>+A36+1</f>
        <v>14</v>
      </c>
      <c r="B38" s="102">
        <v>923</v>
      </c>
      <c r="C38" s="103" t="s">
        <v>137</v>
      </c>
      <c r="E38" s="106">
        <v>772433.74</v>
      </c>
      <c r="F38" s="105"/>
      <c r="G38" s="106">
        <v>0</v>
      </c>
      <c r="H38" s="105"/>
      <c r="I38" s="106">
        <v>0</v>
      </c>
      <c r="J38" s="94"/>
      <c r="K38" s="91" t="s">
        <v>112</v>
      </c>
    </row>
    <row r="39" spans="1:16" x14ac:dyDescent="0.2">
      <c r="A39" s="91">
        <f t="shared" ref="A39:A41" si="0">+A38+1</f>
        <v>15</v>
      </c>
      <c r="B39" s="102">
        <v>923</v>
      </c>
      <c r="C39" s="92" t="s">
        <v>138</v>
      </c>
      <c r="D39" s="37"/>
      <c r="E39" s="101">
        <v>317444.64</v>
      </c>
      <c r="F39" s="101"/>
      <c r="G39" s="101">
        <v>452450</v>
      </c>
      <c r="H39" s="101"/>
      <c r="I39" s="101">
        <v>647931.9</v>
      </c>
      <c r="J39" s="94"/>
      <c r="K39" s="91" t="s">
        <v>112</v>
      </c>
    </row>
    <row r="40" spans="1:16" x14ac:dyDescent="0.2">
      <c r="A40" s="91">
        <f t="shared" si="0"/>
        <v>16</v>
      </c>
      <c r="B40" s="102">
        <v>923</v>
      </c>
      <c r="C40" s="103" t="s">
        <v>139</v>
      </c>
      <c r="E40" s="105">
        <v>846373.46</v>
      </c>
      <c r="F40" s="105"/>
      <c r="G40" s="101">
        <v>0</v>
      </c>
      <c r="H40" s="101"/>
      <c r="I40" s="101">
        <v>599999.99999999988</v>
      </c>
      <c r="J40" s="94"/>
      <c r="K40" s="91" t="s">
        <v>112</v>
      </c>
    </row>
    <row r="41" spans="1:16" x14ac:dyDescent="0.2">
      <c r="A41" s="91">
        <f t="shared" si="0"/>
        <v>17</v>
      </c>
      <c r="B41" s="102">
        <v>923</v>
      </c>
      <c r="C41" s="103" t="s">
        <v>140</v>
      </c>
      <c r="E41" s="106">
        <v>0</v>
      </c>
      <c r="F41" s="105"/>
      <c r="G41" s="107">
        <v>407276.00000000006</v>
      </c>
      <c r="H41" s="110"/>
      <c r="I41" s="98">
        <v>416236.07200000004</v>
      </c>
      <c r="J41" s="94"/>
      <c r="K41" s="91" t="s">
        <v>120</v>
      </c>
    </row>
    <row r="42" spans="1:16" x14ac:dyDescent="0.2">
      <c r="A42" s="91">
        <f>+A41+1</f>
        <v>18</v>
      </c>
      <c r="B42" s="102" t="s">
        <v>141</v>
      </c>
      <c r="E42" s="108">
        <f>SUM(E38:E41)</f>
        <v>1936251.8399999999</v>
      </c>
      <c r="F42" s="105"/>
      <c r="G42" s="108">
        <f t="shared" ref="G42:I42" si="1">SUM(G38:G41)</f>
        <v>859726</v>
      </c>
      <c r="H42" s="105"/>
      <c r="I42" s="108">
        <f t="shared" si="1"/>
        <v>1664167.9720000001</v>
      </c>
      <c r="J42" s="94"/>
      <c r="K42" s="91"/>
      <c r="N42" s="295"/>
    </row>
    <row r="43" spans="1:16" x14ac:dyDescent="0.2">
      <c r="A43" s="91"/>
      <c r="B43" s="95"/>
      <c r="C43" s="92"/>
      <c r="D43" s="37"/>
      <c r="E43" s="96"/>
      <c r="F43" s="96"/>
      <c r="G43" s="97"/>
      <c r="H43" s="98"/>
      <c r="I43" s="97"/>
      <c r="J43" s="94"/>
      <c r="K43" s="91"/>
    </row>
    <row r="44" spans="1:16" x14ac:dyDescent="0.2">
      <c r="A44" s="91">
        <f>+A42+1</f>
        <v>19</v>
      </c>
      <c r="B44" s="95" t="s">
        <v>142</v>
      </c>
      <c r="C44" s="92" t="s">
        <v>143</v>
      </c>
      <c r="D44" s="37"/>
      <c r="E44" s="100">
        <v>380000.04</v>
      </c>
      <c r="F44" s="100"/>
      <c r="G44" s="98">
        <v>380000.04</v>
      </c>
      <c r="H44" s="98"/>
      <c r="I44" s="98">
        <v>500000.0000004</v>
      </c>
      <c r="J44" s="94"/>
      <c r="K44" s="91" t="s">
        <v>112</v>
      </c>
    </row>
    <row r="45" spans="1:16" x14ac:dyDescent="0.2">
      <c r="A45" s="91"/>
      <c r="B45" s="95"/>
      <c r="C45" s="92"/>
      <c r="D45" s="37"/>
      <c r="E45" s="98"/>
      <c r="F45" s="98"/>
      <c r="G45" s="98"/>
      <c r="H45" s="98"/>
      <c r="I45" s="98"/>
      <c r="J45" s="94"/>
      <c r="K45" s="91"/>
    </row>
    <row r="46" spans="1:16" x14ac:dyDescent="0.2">
      <c r="A46" s="91">
        <f>+A44+1</f>
        <v>20</v>
      </c>
      <c r="B46" s="95">
        <v>925</v>
      </c>
      <c r="C46" s="92" t="s">
        <v>144</v>
      </c>
      <c r="D46" s="37"/>
      <c r="E46" s="98">
        <v>5996923.8399999999</v>
      </c>
      <c r="F46" s="98"/>
      <c r="G46" s="98">
        <v>6995808.3700000001</v>
      </c>
      <c r="H46" s="98"/>
      <c r="I46" s="98">
        <v>7908971.4093149994</v>
      </c>
      <c r="J46" s="94"/>
      <c r="K46" s="91" t="s">
        <v>112</v>
      </c>
    </row>
    <row r="47" spans="1:16" x14ac:dyDescent="0.2">
      <c r="A47" s="91">
        <f t="shared" ref="A47:A49" si="2">+A46+1</f>
        <v>21</v>
      </c>
      <c r="B47" s="95">
        <v>925</v>
      </c>
      <c r="C47" s="92" t="s">
        <v>145</v>
      </c>
      <c r="D47" s="37"/>
      <c r="E47" s="98">
        <v>-2580941</v>
      </c>
      <c r="F47" s="98"/>
      <c r="G47" s="98">
        <v>0</v>
      </c>
      <c r="H47" s="98"/>
      <c r="I47" s="98">
        <v>0</v>
      </c>
      <c r="J47" s="94"/>
      <c r="K47" s="91" t="s">
        <v>112</v>
      </c>
    </row>
    <row r="48" spans="1:16" x14ac:dyDescent="0.2">
      <c r="A48" s="91">
        <f t="shared" si="2"/>
        <v>22</v>
      </c>
      <c r="B48" s="95">
        <v>925</v>
      </c>
      <c r="C48" s="92" t="s">
        <v>146</v>
      </c>
      <c r="D48" s="37"/>
      <c r="E48" s="98">
        <v>3050901.9699999997</v>
      </c>
      <c r="F48" s="98"/>
      <c r="G48" s="98">
        <v>0</v>
      </c>
      <c r="H48" s="98"/>
      <c r="I48" s="98">
        <v>0</v>
      </c>
      <c r="J48" s="94"/>
      <c r="K48" s="91" t="s">
        <v>112</v>
      </c>
    </row>
    <row r="49" spans="1:16" x14ac:dyDescent="0.2">
      <c r="A49" s="91">
        <f t="shared" si="2"/>
        <v>23</v>
      </c>
      <c r="B49" s="95" t="s">
        <v>147</v>
      </c>
      <c r="C49" s="92"/>
      <c r="D49" s="37"/>
      <c r="E49" s="109">
        <v>6466884.8099999996</v>
      </c>
      <c r="F49" s="98"/>
      <c r="G49" s="109">
        <v>6995808.3700000001</v>
      </c>
      <c r="H49" s="98"/>
      <c r="I49" s="109">
        <v>7908971.4093149994</v>
      </c>
      <c r="J49" s="94"/>
      <c r="K49" s="91"/>
    </row>
    <row r="50" spans="1:16" x14ac:dyDescent="0.2">
      <c r="A50" s="91"/>
      <c r="B50" s="95"/>
      <c r="C50" s="92"/>
      <c r="D50" s="37"/>
      <c r="E50" s="98"/>
      <c r="F50" s="98"/>
      <c r="G50" s="98"/>
      <c r="H50" s="98"/>
      <c r="I50" s="98"/>
      <c r="J50" s="94"/>
      <c r="K50" s="91"/>
    </row>
    <row r="51" spans="1:16" x14ac:dyDescent="0.2">
      <c r="A51" s="91">
        <f>+A49+1</f>
        <v>24</v>
      </c>
      <c r="B51" s="95" t="s">
        <v>148</v>
      </c>
      <c r="C51" s="92" t="s">
        <v>149</v>
      </c>
      <c r="D51" s="37"/>
      <c r="E51" s="98">
        <v>8538087.5375900008</v>
      </c>
      <c r="F51" s="98"/>
      <c r="G51" s="98">
        <v>9390035.4987643734</v>
      </c>
      <c r="H51" s="98"/>
      <c r="I51" s="98">
        <v>10412563.173030229</v>
      </c>
      <c r="J51" s="94"/>
      <c r="K51" s="91" t="s">
        <v>132</v>
      </c>
    </row>
    <row r="52" spans="1:16" x14ac:dyDescent="0.2">
      <c r="A52" s="91"/>
      <c r="B52" s="95"/>
      <c r="C52" s="92"/>
      <c r="D52" s="37"/>
      <c r="E52" s="98"/>
      <c r="F52" s="98"/>
      <c r="G52" s="98"/>
      <c r="H52" s="98"/>
      <c r="I52" s="98"/>
      <c r="J52" s="94"/>
      <c r="K52" s="91"/>
    </row>
    <row r="53" spans="1:16" x14ac:dyDescent="0.2">
      <c r="A53" s="91">
        <f>+A51+1</f>
        <v>25</v>
      </c>
      <c r="B53" s="95" t="s">
        <v>150</v>
      </c>
      <c r="C53" s="92" t="s">
        <v>151</v>
      </c>
      <c r="D53" s="37"/>
      <c r="E53" s="98">
        <v>423476.42</v>
      </c>
      <c r="F53" s="98"/>
      <c r="G53" s="98">
        <v>388186.7</v>
      </c>
      <c r="H53" s="98"/>
      <c r="I53" s="98">
        <v>1082603.1733331999</v>
      </c>
      <c r="J53" s="94"/>
      <c r="K53" s="91" t="s">
        <v>112</v>
      </c>
    </row>
    <row r="54" spans="1:16" x14ac:dyDescent="0.2">
      <c r="A54" s="91"/>
      <c r="B54" s="95"/>
      <c r="C54" s="92"/>
      <c r="D54" s="37"/>
      <c r="E54" s="98"/>
      <c r="F54" s="98"/>
      <c r="G54" s="98"/>
      <c r="H54" s="98"/>
      <c r="I54" s="98"/>
      <c r="J54" s="94"/>
      <c r="K54" s="91"/>
      <c r="M54" s="94" t="s">
        <v>152</v>
      </c>
    </row>
    <row r="55" spans="1:16" x14ac:dyDescent="0.2">
      <c r="A55" s="91">
        <f>+A53+1</f>
        <v>26</v>
      </c>
      <c r="B55" s="95">
        <v>930.2</v>
      </c>
      <c r="C55" s="92" t="s">
        <v>153</v>
      </c>
      <c r="D55" s="37"/>
      <c r="E55" s="98">
        <v>890733.53000000026</v>
      </c>
      <c r="F55" s="98"/>
      <c r="G55" s="98">
        <v>1091827.4685298004</v>
      </c>
      <c r="H55" s="98"/>
      <c r="I55" s="98">
        <v>1183550.2628470999</v>
      </c>
      <c r="J55" s="94"/>
      <c r="K55" s="91" t="s">
        <v>112</v>
      </c>
    </row>
    <row r="56" spans="1:16" x14ac:dyDescent="0.2">
      <c r="A56" s="91">
        <f>+A55+1</f>
        <v>27</v>
      </c>
      <c r="B56" s="95">
        <v>930.2</v>
      </c>
      <c r="C56" s="92" t="s">
        <v>137</v>
      </c>
      <c r="D56" s="37"/>
      <c r="E56" s="98">
        <v>514862.87</v>
      </c>
      <c r="F56" s="98"/>
      <c r="G56" s="98">
        <v>0</v>
      </c>
      <c r="H56" s="98"/>
      <c r="I56" s="98">
        <v>0</v>
      </c>
      <c r="J56" s="94"/>
      <c r="K56" s="91" t="s">
        <v>112</v>
      </c>
    </row>
    <row r="57" spans="1:16" x14ac:dyDescent="0.2">
      <c r="A57" s="91">
        <f t="shared" ref="A57:A63" si="3">+A56+1</f>
        <v>28</v>
      </c>
      <c r="B57" s="95">
        <v>930.2</v>
      </c>
      <c r="C57" s="92" t="s">
        <v>154</v>
      </c>
      <c r="D57" s="37"/>
      <c r="E57" s="101">
        <v>0</v>
      </c>
      <c r="F57" s="101"/>
      <c r="G57" s="101">
        <v>3166000</v>
      </c>
      <c r="H57" s="101"/>
      <c r="I57" s="101">
        <v>3957000</v>
      </c>
      <c r="J57" s="94"/>
      <c r="K57" s="91" t="s">
        <v>115</v>
      </c>
    </row>
    <row r="58" spans="1:16" x14ac:dyDescent="0.2">
      <c r="A58" s="91">
        <f t="shared" si="3"/>
        <v>29</v>
      </c>
      <c r="B58" s="95">
        <v>930.2</v>
      </c>
      <c r="C58" s="92" t="s">
        <v>155</v>
      </c>
      <c r="D58" s="37"/>
      <c r="E58" s="101">
        <v>55842.23</v>
      </c>
      <c r="F58" s="101"/>
      <c r="G58" s="101">
        <v>400000</v>
      </c>
      <c r="H58" s="101"/>
      <c r="I58" s="101">
        <v>408800</v>
      </c>
      <c r="J58" s="94"/>
      <c r="K58" s="91" t="s">
        <v>112</v>
      </c>
    </row>
    <row r="59" spans="1:16" x14ac:dyDescent="0.2">
      <c r="A59" s="91">
        <f t="shared" si="3"/>
        <v>30</v>
      </c>
      <c r="B59" s="95">
        <v>930.2</v>
      </c>
      <c r="C59" s="92" t="s">
        <v>156</v>
      </c>
      <c r="D59" s="37"/>
      <c r="E59" s="101">
        <v>0</v>
      </c>
      <c r="F59" s="101"/>
      <c r="G59" s="101">
        <v>120503.02166699999</v>
      </c>
      <c r="H59" s="101"/>
      <c r="I59" s="101">
        <v>154603.62599999999</v>
      </c>
      <c r="J59" s="94"/>
      <c r="K59" s="91" t="s">
        <v>112</v>
      </c>
      <c r="M59" s="94" t="s">
        <v>157</v>
      </c>
    </row>
    <row r="60" spans="1:16" x14ac:dyDescent="0.2">
      <c r="A60" s="91">
        <f t="shared" si="3"/>
        <v>31</v>
      </c>
      <c r="B60" s="102">
        <v>930.2</v>
      </c>
      <c r="C60" s="103" t="s">
        <v>158</v>
      </c>
      <c r="E60" s="105">
        <v>0</v>
      </c>
      <c r="F60" s="105"/>
      <c r="G60" s="110">
        <v>334119.99999999988</v>
      </c>
      <c r="H60" s="110"/>
      <c r="I60" s="98">
        <v>341470.6399999999</v>
      </c>
      <c r="J60" s="94"/>
      <c r="K60" s="91" t="s">
        <v>120</v>
      </c>
    </row>
    <row r="61" spans="1:16" ht="15" customHeight="1" x14ac:dyDescent="0.2">
      <c r="A61" s="91">
        <f t="shared" si="3"/>
        <v>32</v>
      </c>
      <c r="B61" s="102">
        <v>930.2</v>
      </c>
      <c r="C61" s="111" t="s">
        <v>159</v>
      </c>
      <c r="D61" s="104"/>
      <c r="E61" s="105">
        <v>0</v>
      </c>
      <c r="F61" s="105"/>
      <c r="G61" s="105">
        <v>0</v>
      </c>
      <c r="H61" s="105"/>
      <c r="I61" s="110">
        <v>420550.00000000017</v>
      </c>
      <c r="J61" s="94"/>
      <c r="K61" s="102" t="s">
        <v>120</v>
      </c>
    </row>
    <row r="62" spans="1:16" x14ac:dyDescent="0.2">
      <c r="A62" s="91">
        <f t="shared" si="3"/>
        <v>33</v>
      </c>
      <c r="B62" s="102">
        <v>930.2</v>
      </c>
      <c r="C62" s="103" t="s">
        <v>419</v>
      </c>
      <c r="E62" s="98">
        <v>839070.58</v>
      </c>
      <c r="F62" s="98"/>
      <c r="G62" s="98">
        <v>374403.81795330002</v>
      </c>
      <c r="H62" s="98"/>
      <c r="I62" s="98">
        <v>382640.7019481</v>
      </c>
      <c r="J62" s="94"/>
      <c r="K62" s="91" t="s">
        <v>120</v>
      </c>
    </row>
    <row r="63" spans="1:16" s="91" customFormat="1" x14ac:dyDescent="0.2">
      <c r="A63" s="91">
        <f t="shared" si="3"/>
        <v>34</v>
      </c>
      <c r="B63" s="102" t="s">
        <v>160</v>
      </c>
      <c r="C63" s="103"/>
      <c r="D63" s="94"/>
      <c r="E63" s="108">
        <f>SUM(E55:E62)</f>
        <v>2300509.2100000004</v>
      </c>
      <c r="F63" s="105"/>
      <c r="G63" s="108">
        <f t="shared" ref="G63:I63" si="4">SUM(G55:G62)</f>
        <v>5486854.3081500996</v>
      </c>
      <c r="H63" s="105"/>
      <c r="I63" s="108">
        <f t="shared" si="4"/>
        <v>6848615.2307951991</v>
      </c>
      <c r="K63" s="94"/>
      <c r="L63" s="94"/>
      <c r="M63" s="94"/>
      <c r="O63" s="2"/>
      <c r="P63" s="2"/>
    </row>
    <row r="64" spans="1:16" s="91" customFormat="1" x14ac:dyDescent="0.2">
      <c r="B64" s="102"/>
      <c r="C64" s="103"/>
      <c r="D64" s="94"/>
      <c r="E64" s="105"/>
      <c r="F64" s="105"/>
      <c r="G64" s="105"/>
      <c r="H64" s="105"/>
      <c r="I64" s="105"/>
      <c r="K64" s="94"/>
      <c r="L64" s="94"/>
      <c r="M64" s="94"/>
      <c r="O64" s="2"/>
      <c r="P64" s="2"/>
    </row>
    <row r="65" spans="1:16" s="91" customFormat="1" ht="13.5" thickBot="1" x14ac:dyDescent="0.25">
      <c r="A65" s="91">
        <f>+A63+1</f>
        <v>35</v>
      </c>
      <c r="B65" s="292" t="s">
        <v>381</v>
      </c>
      <c r="C65" s="103"/>
      <c r="D65" s="94"/>
      <c r="E65" s="112">
        <f>+E63+E53+E51+E49+E44+E42+E36+E34+E30+E28+E26+E24+E22+E20+E18+E16+E14</f>
        <v>27250605.737590004</v>
      </c>
      <c r="F65" s="121"/>
      <c r="G65" s="112">
        <f>+G63+G53+G51+G49+G44+G42+G36+G34+G30+G28+G26+G24+G22+G20+G18+G16+G14</f>
        <v>28487392.741403673</v>
      </c>
      <c r="H65" s="121"/>
      <c r="I65" s="112">
        <f>+I63+I53+I51+I49+I44+I42+I36+I34+I30+I28+I26+I24+I22+I20+I18+I16+I14</f>
        <v>38872691.745844424</v>
      </c>
      <c r="K65" s="94"/>
      <c r="L65" s="94"/>
      <c r="M65" s="94"/>
      <c r="O65" s="2"/>
      <c r="P65" s="2"/>
    </row>
    <row r="66" spans="1:16" s="91" customFormat="1" ht="13.5" thickTop="1" x14ac:dyDescent="0.2">
      <c r="B66" s="104"/>
      <c r="C66" s="103"/>
      <c r="D66" s="94"/>
      <c r="E66" s="106"/>
      <c r="F66" s="105"/>
      <c r="G66" s="106"/>
      <c r="H66" s="105"/>
      <c r="I66" s="106"/>
      <c r="K66" s="94"/>
      <c r="L66" s="94"/>
      <c r="M66" s="94"/>
      <c r="O66" s="2"/>
      <c r="P66" s="2"/>
    </row>
    <row r="67" spans="1:16" s="91" customFormat="1" x14ac:dyDescent="0.2">
      <c r="B67" s="104"/>
      <c r="C67" s="103"/>
      <c r="K67" s="94"/>
      <c r="L67" s="94"/>
      <c r="M67" s="94"/>
      <c r="O67" s="2"/>
      <c r="P67" s="2"/>
    </row>
    <row r="68" spans="1:16" s="91" customFormat="1" x14ac:dyDescent="0.2">
      <c r="A68" s="94"/>
      <c r="B68" s="104"/>
      <c r="C68" s="103"/>
      <c r="D68" s="94"/>
      <c r="E68" s="104"/>
      <c r="F68" s="104"/>
      <c r="G68" s="106"/>
      <c r="H68" s="105"/>
      <c r="I68" s="106"/>
      <c r="K68" s="94"/>
      <c r="L68" s="94"/>
      <c r="M68" s="94"/>
      <c r="O68" s="2"/>
      <c r="P68" s="2"/>
    </row>
    <row r="69" spans="1:16" s="91" customFormat="1" x14ac:dyDescent="0.2">
      <c r="A69" s="94"/>
      <c r="B69" s="104"/>
      <c r="C69" s="103"/>
      <c r="D69" s="94"/>
      <c r="E69" s="104"/>
      <c r="F69" s="104"/>
      <c r="G69" s="106"/>
      <c r="H69" s="105"/>
      <c r="I69" s="106"/>
      <c r="K69" s="94"/>
      <c r="L69" s="94"/>
      <c r="M69" s="94"/>
      <c r="O69" s="2"/>
      <c r="P69" s="2"/>
    </row>
    <row r="70" spans="1:16" s="91" customFormat="1" x14ac:dyDescent="0.2">
      <c r="A70" s="94"/>
      <c r="B70" s="104"/>
      <c r="C70" s="103"/>
      <c r="D70" s="94"/>
      <c r="E70" s="104"/>
      <c r="F70" s="104"/>
      <c r="G70" s="106"/>
      <c r="H70" s="105"/>
      <c r="I70" s="113"/>
      <c r="K70" s="94"/>
      <c r="L70" s="94"/>
      <c r="M70" s="94"/>
      <c r="O70" s="2"/>
      <c r="P70" s="2"/>
    </row>
    <row r="71" spans="1:16" s="91" customFormat="1" x14ac:dyDescent="0.2">
      <c r="A71" s="94"/>
      <c r="B71" s="104"/>
      <c r="C71" s="103"/>
      <c r="D71" s="94"/>
      <c r="E71" s="104"/>
      <c r="F71" s="104"/>
      <c r="G71" s="113"/>
      <c r="H71" s="122"/>
      <c r="I71" s="113"/>
      <c r="K71" s="94"/>
      <c r="L71" s="94"/>
      <c r="M71" s="94"/>
      <c r="O71" s="2"/>
      <c r="P71" s="2"/>
    </row>
    <row r="72" spans="1:16" s="91" customFormat="1" x14ac:dyDescent="0.2">
      <c r="A72" s="94"/>
      <c r="B72" s="104"/>
      <c r="C72" s="103"/>
      <c r="D72" s="94"/>
      <c r="E72" s="104"/>
      <c r="F72" s="104"/>
      <c r="G72" s="113"/>
      <c r="H72" s="122"/>
      <c r="I72" s="113"/>
      <c r="K72" s="94"/>
      <c r="L72" s="94"/>
      <c r="M72" s="94"/>
      <c r="O72" s="2"/>
      <c r="P72" s="2"/>
    </row>
    <row r="73" spans="1:16" s="91" customFormat="1" x14ac:dyDescent="0.2">
      <c r="A73" s="94"/>
      <c r="B73" s="104"/>
      <c r="C73" s="103"/>
      <c r="D73" s="94"/>
      <c r="E73" s="104"/>
      <c r="F73" s="104"/>
      <c r="G73" s="113"/>
      <c r="H73" s="122"/>
      <c r="I73" s="113"/>
      <c r="K73" s="94"/>
      <c r="L73" s="94"/>
      <c r="M73" s="94"/>
      <c r="O73" s="2"/>
      <c r="P73" s="2"/>
    </row>
    <row r="74" spans="1:16" s="91" customFormat="1" x14ac:dyDescent="0.2">
      <c r="A74" s="94"/>
      <c r="B74" s="104"/>
      <c r="C74" s="103"/>
      <c r="D74" s="94"/>
      <c r="E74" s="104"/>
      <c r="F74" s="104"/>
      <c r="G74" s="113"/>
      <c r="H74" s="122"/>
      <c r="I74" s="113"/>
      <c r="K74" s="94"/>
      <c r="L74" s="94"/>
      <c r="M74" s="94"/>
      <c r="O74" s="2"/>
      <c r="P74" s="2"/>
    </row>
    <row r="75" spans="1:16" s="91" customFormat="1" x14ac:dyDescent="0.2">
      <c r="A75" s="94"/>
      <c r="B75" s="104"/>
      <c r="C75" s="103"/>
      <c r="D75" s="94"/>
      <c r="E75" s="104"/>
      <c r="F75" s="104"/>
      <c r="G75" s="113"/>
      <c r="H75" s="122"/>
      <c r="I75" s="113"/>
      <c r="K75" s="94"/>
      <c r="L75" s="94"/>
      <c r="M75" s="94"/>
      <c r="O75" s="2"/>
      <c r="P75" s="2"/>
    </row>
    <row r="76" spans="1:16" s="91" customFormat="1" x14ac:dyDescent="0.2">
      <c r="A76" s="94"/>
      <c r="B76" s="104"/>
      <c r="C76" s="103"/>
      <c r="D76" s="94"/>
      <c r="E76" s="104"/>
      <c r="F76" s="104"/>
      <c r="G76" s="113"/>
      <c r="H76" s="122"/>
      <c r="I76" s="113"/>
      <c r="K76" s="94"/>
      <c r="L76" s="94"/>
      <c r="M76" s="94"/>
      <c r="O76" s="2"/>
      <c r="P76" s="2"/>
    </row>
    <row r="77" spans="1:16" s="91" customFormat="1" x14ac:dyDescent="0.2">
      <c r="A77" s="94"/>
      <c r="B77" s="104"/>
      <c r="C77" s="103"/>
      <c r="D77" s="94"/>
      <c r="E77" s="104"/>
      <c r="F77" s="104"/>
      <c r="G77" s="113"/>
      <c r="H77" s="122"/>
      <c r="I77" s="113"/>
      <c r="K77" s="94"/>
      <c r="L77" s="94"/>
      <c r="M77" s="94"/>
      <c r="O77" s="2"/>
      <c r="P77" s="2"/>
    </row>
    <row r="78" spans="1:16" s="91" customFormat="1" x14ac:dyDescent="0.2">
      <c r="A78" s="94"/>
      <c r="B78" s="104"/>
      <c r="C78" s="103"/>
      <c r="D78" s="94"/>
      <c r="E78" s="104"/>
      <c r="F78" s="104"/>
      <c r="G78" s="113"/>
      <c r="H78" s="122"/>
      <c r="I78" s="113"/>
      <c r="K78" s="94"/>
      <c r="L78" s="94"/>
      <c r="M78" s="94"/>
      <c r="O78" s="2"/>
      <c r="P78" s="2"/>
    </row>
    <row r="79" spans="1:16" s="91" customFormat="1" x14ac:dyDescent="0.2">
      <c r="A79" s="94"/>
      <c r="B79" s="104"/>
      <c r="C79" s="103"/>
      <c r="D79" s="94"/>
      <c r="E79" s="104"/>
      <c r="F79" s="104"/>
      <c r="G79" s="113"/>
      <c r="H79" s="122"/>
      <c r="I79" s="113"/>
      <c r="K79" s="94"/>
      <c r="L79" s="94"/>
      <c r="M79" s="94"/>
      <c r="O79" s="2"/>
      <c r="P79" s="2"/>
    </row>
    <row r="80" spans="1:16" s="91" customFormat="1" x14ac:dyDescent="0.2">
      <c r="A80" s="94"/>
      <c r="B80" s="104"/>
      <c r="C80" s="103"/>
      <c r="D80" s="94"/>
      <c r="E80" s="104"/>
      <c r="F80" s="104"/>
      <c r="G80" s="113"/>
      <c r="H80" s="122"/>
      <c r="I80" s="113"/>
      <c r="K80" s="94"/>
      <c r="L80" s="94"/>
      <c r="M80" s="94"/>
      <c r="O80" s="2"/>
      <c r="P80" s="2"/>
    </row>
    <row r="81" spans="1:16" s="91" customFormat="1" x14ac:dyDescent="0.2">
      <c r="A81" s="94"/>
      <c r="B81" s="104"/>
      <c r="C81" s="103"/>
      <c r="D81" s="94"/>
      <c r="E81" s="104"/>
      <c r="F81" s="104"/>
      <c r="G81" s="113"/>
      <c r="H81" s="122"/>
      <c r="I81" s="113"/>
      <c r="K81" s="94"/>
      <c r="L81" s="94"/>
      <c r="M81" s="94"/>
      <c r="O81" s="2"/>
      <c r="P81" s="2"/>
    </row>
    <row r="82" spans="1:16" s="91" customFormat="1" x14ac:dyDescent="0.2">
      <c r="A82" s="94"/>
      <c r="B82" s="104"/>
      <c r="C82" s="103"/>
      <c r="D82" s="94"/>
      <c r="E82" s="104"/>
      <c r="F82" s="104"/>
      <c r="G82" s="113"/>
      <c r="H82" s="122"/>
      <c r="I82" s="113"/>
      <c r="K82" s="94"/>
      <c r="L82" s="94"/>
      <c r="M82" s="94"/>
      <c r="O82" s="2"/>
      <c r="P82" s="2"/>
    </row>
    <row r="83" spans="1:16" s="91" customFormat="1" x14ac:dyDescent="0.2">
      <c r="A83" s="94"/>
      <c r="B83" s="104"/>
      <c r="C83" s="103"/>
      <c r="D83" s="94"/>
      <c r="E83" s="104"/>
      <c r="F83" s="104"/>
      <c r="G83" s="113"/>
      <c r="H83" s="122"/>
      <c r="I83" s="113"/>
      <c r="K83" s="94"/>
      <c r="L83" s="94"/>
      <c r="M83" s="94"/>
      <c r="O83" s="2"/>
      <c r="P83" s="2"/>
    </row>
    <row r="84" spans="1:16" s="91" customFormat="1" x14ac:dyDescent="0.2">
      <c r="A84" s="94"/>
      <c r="B84" s="104"/>
      <c r="C84" s="103"/>
      <c r="D84" s="94"/>
      <c r="E84" s="104"/>
      <c r="F84" s="104"/>
      <c r="G84" s="113"/>
      <c r="H84" s="122"/>
      <c r="I84" s="113"/>
      <c r="K84" s="94"/>
      <c r="L84" s="94"/>
      <c r="M84" s="94"/>
      <c r="O84" s="2"/>
      <c r="P84" s="2"/>
    </row>
    <row r="85" spans="1:16" s="91" customFormat="1" x14ac:dyDescent="0.2">
      <c r="A85" s="94"/>
      <c r="B85" s="104"/>
      <c r="C85" s="103"/>
      <c r="D85" s="94"/>
      <c r="E85" s="104"/>
      <c r="F85" s="104"/>
      <c r="G85" s="113"/>
      <c r="H85" s="122"/>
      <c r="I85" s="113"/>
      <c r="K85" s="94"/>
      <c r="L85" s="94"/>
      <c r="M85" s="94"/>
      <c r="O85" s="2"/>
      <c r="P85" s="2"/>
    </row>
    <row r="86" spans="1:16" s="91" customFormat="1" x14ac:dyDescent="0.2">
      <c r="A86" s="94"/>
      <c r="B86" s="104"/>
      <c r="C86" s="103"/>
      <c r="D86" s="94"/>
      <c r="E86" s="104"/>
      <c r="F86" s="104"/>
      <c r="G86" s="113"/>
      <c r="H86" s="122"/>
      <c r="I86" s="113"/>
      <c r="K86" s="94"/>
      <c r="L86" s="94"/>
      <c r="M86" s="94"/>
      <c r="O86" s="2"/>
      <c r="P86" s="2"/>
    </row>
    <row r="143" spans="15:16" x14ac:dyDescent="0.2">
      <c r="O143" s="1"/>
    </row>
    <row r="144" spans="15:16" x14ac:dyDescent="0.2">
      <c r="O144" s="77"/>
      <c r="P144" s="77"/>
    </row>
    <row r="145" spans="15:16" x14ac:dyDescent="0.2">
      <c r="O145" s="1"/>
    </row>
    <row r="146" spans="15:16" x14ac:dyDescent="0.2">
      <c r="O146" s="1"/>
      <c r="P146" s="4"/>
    </row>
    <row r="147" spans="15:16" x14ac:dyDescent="0.2">
      <c r="O147" s="1"/>
      <c r="P147" s="4"/>
    </row>
    <row r="148" spans="15:16" x14ac:dyDescent="0.2">
      <c r="P148" s="4"/>
    </row>
    <row r="151" spans="15:16" x14ac:dyDescent="0.2">
      <c r="O151" s="77"/>
      <c r="P151" s="77"/>
    </row>
    <row r="201" spans="15:16" x14ac:dyDescent="0.2">
      <c r="O201" s="1"/>
    </row>
    <row r="202" spans="15:16" x14ac:dyDescent="0.2">
      <c r="O202" s="77"/>
      <c r="P202" s="77"/>
    </row>
    <row r="203" spans="15:16" x14ac:dyDescent="0.2">
      <c r="O203" s="1"/>
    </row>
    <row r="204" spans="15:16" x14ac:dyDescent="0.2">
      <c r="O204" s="1"/>
      <c r="P204" s="4"/>
    </row>
    <row r="205" spans="15:16" x14ac:dyDescent="0.2">
      <c r="O205" s="1"/>
      <c r="P205" s="4"/>
    </row>
    <row r="206" spans="15:16" x14ac:dyDescent="0.2">
      <c r="P206" s="4"/>
    </row>
    <row r="209" spans="15:16" x14ac:dyDescent="0.2">
      <c r="O209" s="77"/>
      <c r="P209" s="77"/>
    </row>
    <row r="249" spans="15:16" x14ac:dyDescent="0.2">
      <c r="O249" s="1"/>
    </row>
    <row r="250" spans="15:16" x14ac:dyDescent="0.2">
      <c r="O250" s="77"/>
      <c r="P250" s="77"/>
    </row>
    <row r="251" spans="15:16" x14ac:dyDescent="0.2">
      <c r="O251" s="1"/>
    </row>
    <row r="252" spans="15:16" x14ac:dyDescent="0.2">
      <c r="O252" s="1"/>
      <c r="P252" s="4"/>
    </row>
    <row r="253" spans="15:16" x14ac:dyDescent="0.2">
      <c r="O253" s="1"/>
      <c r="P253" s="4"/>
    </row>
    <row r="254" spans="15:16" x14ac:dyDescent="0.2">
      <c r="P254" s="4"/>
    </row>
    <row r="257" spans="15:16" x14ac:dyDescent="0.2">
      <c r="O257" s="77"/>
      <c r="P257" s="77"/>
    </row>
    <row r="296" spans="15:16" x14ac:dyDescent="0.2">
      <c r="O296" s="1"/>
    </row>
    <row r="297" spans="15:16" x14ac:dyDescent="0.2">
      <c r="O297" s="77"/>
      <c r="P297" s="77"/>
    </row>
    <row r="298" spans="15:16" x14ac:dyDescent="0.2">
      <c r="O298" s="1"/>
    </row>
    <row r="299" spans="15:16" x14ac:dyDescent="0.2">
      <c r="O299" s="1"/>
      <c r="P299" s="4"/>
    </row>
    <row r="300" spans="15:16" x14ac:dyDescent="0.2">
      <c r="O300" s="1"/>
      <c r="P300" s="4"/>
    </row>
    <row r="301" spans="15:16" x14ac:dyDescent="0.2">
      <c r="P301" s="4"/>
    </row>
    <row r="304" spans="15:16" x14ac:dyDescent="0.2">
      <c r="O304" s="77"/>
      <c r="P304" s="77"/>
    </row>
    <row r="314" spans="15:15" x14ac:dyDescent="0.2">
      <c r="O314" s="4"/>
    </row>
    <row r="322" spans="15:16" x14ac:dyDescent="0.2">
      <c r="O322" s="1"/>
    </row>
    <row r="323" spans="15:16" x14ac:dyDescent="0.2">
      <c r="O323" s="77"/>
      <c r="P323" s="77"/>
    </row>
    <row r="324" spans="15:16" x14ac:dyDescent="0.2">
      <c r="O324" s="1"/>
    </row>
    <row r="325" spans="15:16" x14ac:dyDescent="0.2">
      <c r="O325" s="1"/>
      <c r="P325" s="4"/>
    </row>
    <row r="326" spans="15:16" x14ac:dyDescent="0.2">
      <c r="O326" s="1"/>
      <c r="P326" s="4"/>
    </row>
    <row r="327" spans="15:16" x14ac:dyDescent="0.2">
      <c r="P327" s="4"/>
    </row>
    <row r="330" spans="15:16" x14ac:dyDescent="0.2">
      <c r="O330" s="77"/>
      <c r="P330" s="77"/>
    </row>
    <row r="362" spans="15:16" x14ac:dyDescent="0.2">
      <c r="O362" s="1"/>
    </row>
    <row r="363" spans="15:16" x14ac:dyDescent="0.2">
      <c r="O363" s="77"/>
      <c r="P363" s="77"/>
    </row>
    <row r="364" spans="15:16" x14ac:dyDescent="0.2">
      <c r="O364" s="1"/>
    </row>
    <row r="365" spans="15:16" x14ac:dyDescent="0.2">
      <c r="O365" s="1"/>
      <c r="P365" s="4"/>
    </row>
    <row r="366" spans="15:16" x14ac:dyDescent="0.2">
      <c r="O366" s="1"/>
      <c r="P366" s="4"/>
    </row>
    <row r="367" spans="15:16" x14ac:dyDescent="0.2">
      <c r="P367" s="4"/>
    </row>
    <row r="370" spans="15:16" x14ac:dyDescent="0.2">
      <c r="O370" s="77"/>
      <c r="P370" s="77"/>
    </row>
    <row r="420" spans="15:16" x14ac:dyDescent="0.2">
      <c r="O420" s="1"/>
    </row>
    <row r="421" spans="15:16" x14ac:dyDescent="0.2">
      <c r="O421" s="77"/>
      <c r="P421" s="77"/>
    </row>
    <row r="422" spans="15:16" x14ac:dyDescent="0.2">
      <c r="O422" s="1"/>
    </row>
    <row r="423" spans="15:16" x14ac:dyDescent="0.2">
      <c r="O423" s="1"/>
      <c r="P423" s="4"/>
    </row>
    <row r="424" spans="15:16" x14ac:dyDescent="0.2">
      <c r="O424" s="1"/>
      <c r="P424" s="4"/>
    </row>
    <row r="425" spans="15:16" x14ac:dyDescent="0.2">
      <c r="P425" s="4"/>
    </row>
    <row r="428" spans="15:16" x14ac:dyDescent="0.2">
      <c r="O428" s="77"/>
      <c r="P428" s="77"/>
    </row>
    <row r="489" spans="15:16" x14ac:dyDescent="0.2">
      <c r="O489" s="1"/>
    </row>
    <row r="490" spans="15:16" x14ac:dyDescent="0.2">
      <c r="O490" s="77"/>
      <c r="P490" s="77"/>
    </row>
    <row r="491" spans="15:16" x14ac:dyDescent="0.2">
      <c r="O491" s="1"/>
    </row>
    <row r="492" spans="15:16" x14ac:dyDescent="0.2">
      <c r="O492" s="1"/>
      <c r="P492" s="4"/>
    </row>
    <row r="493" spans="15:16" x14ac:dyDescent="0.2">
      <c r="O493" s="1"/>
      <c r="P493" s="4"/>
    </row>
    <row r="494" spans="15:16" x14ac:dyDescent="0.2">
      <c r="P494" s="4"/>
    </row>
    <row r="497" spans="15:16" x14ac:dyDescent="0.2">
      <c r="O497" s="77"/>
      <c r="P497" s="77"/>
    </row>
    <row r="524" spans="15:16" x14ac:dyDescent="0.2">
      <c r="O524" s="77"/>
      <c r="P524" s="77"/>
    </row>
    <row r="527" spans="15:16" x14ac:dyDescent="0.2">
      <c r="O527" s="1"/>
    </row>
    <row r="528" spans="15:16" x14ac:dyDescent="0.2">
      <c r="O528" s="77"/>
      <c r="P528" s="77"/>
    </row>
    <row r="529" spans="15:16" x14ac:dyDescent="0.2">
      <c r="O529" s="1"/>
    </row>
    <row r="530" spans="15:16" x14ac:dyDescent="0.2">
      <c r="O530" s="1"/>
      <c r="P530" s="4"/>
    </row>
    <row r="531" spans="15:16" x14ac:dyDescent="0.2">
      <c r="O531" s="1"/>
      <c r="P531" s="4"/>
    </row>
    <row r="532" spans="15:16" x14ac:dyDescent="0.2">
      <c r="P532" s="4"/>
    </row>
    <row r="535" spans="15:16" x14ac:dyDescent="0.2">
      <c r="O535" s="77"/>
      <c r="P535" s="77"/>
    </row>
  </sheetData>
  <printOptions horizontalCentered="1"/>
  <pageMargins left="0.5" right="0.5" top="1" bottom="0.25" header="0.3" footer="0.3"/>
  <pageSetup scale="52" orientation="landscape" r:id="rId1"/>
  <rowBreaks count="1" manualBreakCount="1">
    <brk id="50" max="13" man="1"/>
  </rowBreaks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8FA6-7BED-4CBC-9A97-C969FD134529}">
  <sheetPr>
    <tabColor rgb="FFFF0000"/>
  </sheetPr>
  <dimension ref="A1:V183"/>
  <sheetViews>
    <sheetView topLeftCell="A84" zoomScale="70" zoomScaleNormal="70" workbookViewId="0">
      <selection activeCell="I172" sqref="I172"/>
    </sheetView>
  </sheetViews>
  <sheetFormatPr defaultColWidth="8.85546875" defaultRowHeight="12.75" x14ac:dyDescent="0.2"/>
  <cols>
    <col min="1" max="1" width="5.28515625" style="37" customWidth="1"/>
    <col min="2" max="2" width="14.5703125" style="37" customWidth="1"/>
    <col min="3" max="3" width="62.28515625" style="37" customWidth="1"/>
    <col min="4" max="5" width="12.28515625" style="37" customWidth="1"/>
    <col min="6" max="6" width="14.5703125" style="37" customWidth="1"/>
    <col min="7" max="7" width="1.5703125" style="37" customWidth="1"/>
    <col min="8" max="8" width="12.28515625" style="37" customWidth="1"/>
    <col min="9" max="9" width="14.5703125" style="37" customWidth="1"/>
    <col min="10" max="10" width="2.7109375" style="37" customWidth="1"/>
    <col min="11" max="11" width="11.85546875" style="41" customWidth="1"/>
    <col min="12" max="12" width="2.28515625" style="41" customWidth="1"/>
    <col min="13" max="13" width="14.85546875" style="37" customWidth="1"/>
    <col min="14" max="14" width="26.7109375" style="37" bestFit="1" customWidth="1"/>
    <col min="15" max="15" width="29.42578125" style="37" customWidth="1"/>
    <col min="16" max="16" width="8.85546875" style="37"/>
    <col min="17" max="17" width="0" style="41" hidden="1" customWidth="1"/>
    <col min="18" max="16384" width="8.85546875" style="37"/>
  </cols>
  <sheetData>
    <row r="1" spans="1:17" s="2" customFormat="1" x14ac:dyDescent="0.2">
      <c r="A1" s="1" t="s">
        <v>0</v>
      </c>
      <c r="H1" s="3" t="s">
        <v>1</v>
      </c>
      <c r="I1" s="3"/>
      <c r="J1" s="3"/>
      <c r="K1" s="41"/>
      <c r="L1" s="41"/>
      <c r="N1" s="1" t="s">
        <v>269</v>
      </c>
      <c r="Q1" s="3"/>
    </row>
    <row r="2" spans="1:17" s="2" customForma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42"/>
      <c r="L2" s="42"/>
      <c r="M2" s="77"/>
      <c r="N2" s="77"/>
      <c r="O2" s="77"/>
      <c r="Q2" s="3"/>
    </row>
    <row r="3" spans="1:17" s="2" customFormat="1" x14ac:dyDescent="0.2">
      <c r="A3" s="1" t="s">
        <v>3</v>
      </c>
      <c r="H3" s="3" t="s">
        <v>4</v>
      </c>
      <c r="I3" s="3"/>
      <c r="J3" s="3"/>
      <c r="K3" s="41"/>
      <c r="L3" s="41"/>
      <c r="N3" s="1" t="s">
        <v>5</v>
      </c>
      <c r="Q3" s="3"/>
    </row>
    <row r="4" spans="1:17" s="2" customFormat="1" x14ac:dyDescent="0.2">
      <c r="H4" s="3" t="s">
        <v>6</v>
      </c>
      <c r="I4" s="3"/>
      <c r="J4" s="3"/>
      <c r="K4" s="41"/>
      <c r="L4" s="41"/>
      <c r="N4" s="1" t="s">
        <v>7</v>
      </c>
      <c r="O4" s="4" t="s">
        <v>79</v>
      </c>
      <c r="Q4" s="3"/>
    </row>
    <row r="5" spans="1:17" s="2" customFormat="1" x14ac:dyDescent="0.2">
      <c r="A5" s="1" t="s">
        <v>11</v>
      </c>
      <c r="C5" s="1" t="s">
        <v>85</v>
      </c>
      <c r="H5" s="3" t="s">
        <v>12</v>
      </c>
      <c r="I5" s="3"/>
      <c r="J5" s="3"/>
      <c r="K5" s="41"/>
      <c r="L5" s="41"/>
      <c r="N5" s="1" t="s">
        <v>13</v>
      </c>
      <c r="O5" s="4" t="s">
        <v>80</v>
      </c>
      <c r="Q5" s="3"/>
    </row>
    <row r="6" spans="1:17" s="2" customFormat="1" x14ac:dyDescent="0.2">
      <c r="K6" s="41"/>
      <c r="L6" s="41"/>
      <c r="N6" s="2" t="s">
        <v>14</v>
      </c>
      <c r="O6" s="4" t="s">
        <v>83</v>
      </c>
      <c r="Q6" s="3"/>
    </row>
    <row r="7" spans="1:17" s="2" customFormat="1" x14ac:dyDescent="0.2">
      <c r="A7" s="68" t="s">
        <v>82</v>
      </c>
      <c r="C7" s="40" t="s">
        <v>88</v>
      </c>
      <c r="K7" s="41"/>
      <c r="L7" s="41"/>
      <c r="M7" s="132"/>
      <c r="N7" s="2" t="s">
        <v>18</v>
      </c>
      <c r="O7" s="2" t="s">
        <v>411</v>
      </c>
      <c r="Q7" s="3"/>
    </row>
    <row r="8" spans="1:17" s="2" customForma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42"/>
      <c r="L8" s="42"/>
      <c r="M8" s="77"/>
      <c r="N8" s="77"/>
      <c r="O8" s="77"/>
      <c r="Q8" s="3" t="s">
        <v>396</v>
      </c>
    </row>
    <row r="9" spans="1:17" x14ac:dyDescent="0.2">
      <c r="B9" s="133"/>
    </row>
    <row r="10" spans="1:17" x14ac:dyDescent="0.2">
      <c r="A10" s="37" t="s">
        <v>107</v>
      </c>
      <c r="C10" s="41"/>
      <c r="D10" s="41" t="s">
        <v>165</v>
      </c>
      <c r="E10" s="41">
        <v>2023</v>
      </c>
      <c r="F10" s="41">
        <v>2023</v>
      </c>
      <c r="G10" s="41"/>
      <c r="H10" s="41">
        <v>2024</v>
      </c>
      <c r="I10" s="41">
        <v>2024</v>
      </c>
      <c r="J10" s="41"/>
    </row>
    <row r="11" spans="1:17" x14ac:dyDescent="0.2">
      <c r="A11" s="42" t="s">
        <v>364</v>
      </c>
      <c r="B11" s="134" t="s">
        <v>108</v>
      </c>
      <c r="C11" s="135" t="s">
        <v>365</v>
      </c>
      <c r="D11" s="42" t="s">
        <v>167</v>
      </c>
      <c r="E11" s="42" t="s">
        <v>168</v>
      </c>
      <c r="F11" s="42" t="s">
        <v>382</v>
      </c>
      <c r="G11" s="41"/>
      <c r="H11" s="42" t="s">
        <v>168</v>
      </c>
      <c r="I11" s="42" t="s">
        <v>382</v>
      </c>
      <c r="J11" s="41"/>
      <c r="M11" s="42" t="s">
        <v>105</v>
      </c>
    </row>
    <row r="12" spans="1:17" x14ac:dyDescent="0.2">
      <c r="A12" s="41">
        <v>1</v>
      </c>
      <c r="B12" s="41">
        <v>870</v>
      </c>
      <c r="C12" s="37" t="s">
        <v>401</v>
      </c>
      <c r="D12" s="126">
        <f>+'IRR 202 Detail '!L34</f>
        <v>45231</v>
      </c>
      <c r="E12" s="41">
        <v>1</v>
      </c>
      <c r="F12" s="127">
        <f>+'IRR 202 Detail '!X34</f>
        <v>1123.9202531409999</v>
      </c>
      <c r="G12" s="128"/>
      <c r="H12" s="41"/>
      <c r="I12" s="127">
        <f>+'IRR 202 Detail '!AD34</f>
        <v>7080.6975947883011</v>
      </c>
      <c r="J12" s="127"/>
      <c r="K12" s="291"/>
      <c r="M12" s="41" t="s">
        <v>120</v>
      </c>
      <c r="Q12" s="41">
        <f>+E12</f>
        <v>1</v>
      </c>
    </row>
    <row r="13" spans="1:17" x14ac:dyDescent="0.2">
      <c r="A13" s="41">
        <f>+A12+1</f>
        <v>2</v>
      </c>
      <c r="B13" s="41">
        <v>870</v>
      </c>
      <c r="C13" s="37" t="s">
        <v>169</v>
      </c>
      <c r="D13" s="126">
        <f>+'IRR 202 Detail '!L35</f>
        <v>45231</v>
      </c>
      <c r="E13" s="41">
        <v>1</v>
      </c>
      <c r="F13" s="62">
        <f>+'IRR 202 Detail '!X35</f>
        <v>946.43759285775002</v>
      </c>
      <c r="G13" s="67"/>
      <c r="H13" s="41"/>
      <c r="I13" s="62">
        <f>+'IRR 202 Detail '!AD35</f>
        <v>5962.5568350038257</v>
      </c>
      <c r="J13" s="62"/>
      <c r="K13" s="291"/>
      <c r="M13" s="41" t="s">
        <v>120</v>
      </c>
    </row>
    <row r="14" spans="1:17" x14ac:dyDescent="0.2">
      <c r="A14" s="41">
        <f t="shared" ref="A14:A34" si="0">+A13+1</f>
        <v>3</v>
      </c>
      <c r="B14" s="41">
        <v>870</v>
      </c>
      <c r="C14" s="37" t="s">
        <v>170</v>
      </c>
      <c r="D14" s="126">
        <f>+'IRR 202 Detail '!L36</f>
        <v>44927</v>
      </c>
      <c r="E14" s="41">
        <v>1</v>
      </c>
      <c r="F14" s="62">
        <f>+'IRR 202 Detail '!X36</f>
        <v>7786.7235382545014</v>
      </c>
      <c r="G14" s="67"/>
      <c r="H14" s="41"/>
      <c r="I14" s="62">
        <f>+'IRR 202 Detail '!AD36</f>
        <v>8176.0597151672264</v>
      </c>
      <c r="J14" s="62"/>
      <c r="K14" s="291"/>
      <c r="M14" s="41" t="s">
        <v>120</v>
      </c>
      <c r="Q14" s="41">
        <f>+E14</f>
        <v>1</v>
      </c>
    </row>
    <row r="15" spans="1:17" x14ac:dyDescent="0.2">
      <c r="A15" s="41">
        <f t="shared" si="0"/>
        <v>4</v>
      </c>
      <c r="B15" s="41">
        <v>870</v>
      </c>
      <c r="C15" s="37" t="s">
        <v>171</v>
      </c>
      <c r="D15" s="126">
        <f>+'IRR 202 Detail '!L37</f>
        <v>45231</v>
      </c>
      <c r="E15" s="41">
        <v>1</v>
      </c>
      <c r="F15" s="62">
        <f>+'IRR 202 Detail '!X37</f>
        <v>1862.8794723262502</v>
      </c>
      <c r="G15" s="67"/>
      <c r="H15" s="41"/>
      <c r="I15" s="62">
        <f>+'IRR 202 Detail '!AD37</f>
        <v>11736.140675655377</v>
      </c>
      <c r="J15" s="62"/>
      <c r="K15" s="291"/>
      <c r="M15" s="41" t="s">
        <v>120</v>
      </c>
    </row>
    <row r="16" spans="1:17" x14ac:dyDescent="0.2">
      <c r="A16" s="41">
        <f t="shared" si="0"/>
        <v>5</v>
      </c>
      <c r="B16" s="41">
        <v>870</v>
      </c>
      <c r="C16" s="37" t="s">
        <v>172</v>
      </c>
      <c r="D16" s="126">
        <f>+'IRR 202 Detail '!L38</f>
        <v>45231</v>
      </c>
      <c r="E16" s="41">
        <v>2</v>
      </c>
      <c r="F16" s="62">
        <f>+'IRR 202 Detail '!X38</f>
        <v>1431.4045524379999</v>
      </c>
      <c r="G16" s="67"/>
      <c r="H16" s="41"/>
      <c r="I16" s="62">
        <f>+'IRR 202 Detail '!AD38</f>
        <v>9017.8486803594024</v>
      </c>
      <c r="J16" s="62"/>
      <c r="K16" s="291"/>
      <c r="M16" s="41" t="s">
        <v>120</v>
      </c>
    </row>
    <row r="17" spans="1:17" x14ac:dyDescent="0.2">
      <c r="A17" s="41">
        <f t="shared" si="0"/>
        <v>6</v>
      </c>
      <c r="B17" s="41">
        <v>870</v>
      </c>
      <c r="C17" s="37" t="s">
        <v>403</v>
      </c>
      <c r="D17" s="126">
        <f>+'IRR 202 Detail '!L39</f>
        <v>45231</v>
      </c>
      <c r="E17" s="41">
        <v>1</v>
      </c>
      <c r="F17" s="62">
        <f>+'IRR 202 Detail '!X39</f>
        <v>1297.7872563757501</v>
      </c>
      <c r="G17" s="67"/>
      <c r="H17" s="41"/>
      <c r="I17" s="62">
        <f>+'IRR 202 Detail '!AD39</f>
        <v>8176.0597151672264</v>
      </c>
      <c r="J17" s="62"/>
      <c r="K17" s="291"/>
      <c r="M17" s="41" t="s">
        <v>120</v>
      </c>
    </row>
    <row r="18" spans="1:17" x14ac:dyDescent="0.2">
      <c r="A18" s="41">
        <f t="shared" si="0"/>
        <v>7</v>
      </c>
      <c r="B18" s="41">
        <v>870</v>
      </c>
      <c r="C18" s="37" t="s">
        <v>404</v>
      </c>
      <c r="D18" s="126">
        <f>+'IRR 202 Detail '!L40</f>
        <v>45231</v>
      </c>
      <c r="E18" s="41">
        <v>3</v>
      </c>
      <c r="F18" s="62">
        <f>+'IRR 202 Detail '!X40</f>
        <v>3371.7607594229994</v>
      </c>
      <c r="G18" s="67"/>
      <c r="H18" s="41"/>
      <c r="I18" s="62">
        <f>+'IRR 202 Detail '!AD40</f>
        <v>21242.092784364901</v>
      </c>
      <c r="J18" s="62"/>
      <c r="K18" s="291"/>
      <c r="M18" s="41" t="s">
        <v>120</v>
      </c>
      <c r="Q18" s="41">
        <f t="shared" ref="Q18" si="1">+E18</f>
        <v>3</v>
      </c>
    </row>
    <row r="19" spans="1:17" x14ac:dyDescent="0.2">
      <c r="A19" s="41">
        <f t="shared" si="0"/>
        <v>8</v>
      </c>
      <c r="B19" s="41">
        <v>870</v>
      </c>
      <c r="C19" s="37" t="s">
        <v>173</v>
      </c>
      <c r="D19" s="126">
        <f>+'IRR 202 Detail '!L41</f>
        <v>45231</v>
      </c>
      <c r="E19" s="41">
        <v>1</v>
      </c>
      <c r="F19" s="62">
        <f>+'IRR 202 Detail '!X41</f>
        <v>790.20475000074998</v>
      </c>
      <c r="G19" s="67"/>
      <c r="H19" s="41"/>
      <c r="I19" s="62">
        <f>+'IRR 202 Detail '!AD41</f>
        <v>4978.2899250047258</v>
      </c>
      <c r="J19" s="62"/>
      <c r="K19" s="291"/>
      <c r="M19" s="41" t="s">
        <v>120</v>
      </c>
      <c r="Q19" s="41">
        <f>+E19</f>
        <v>1</v>
      </c>
    </row>
    <row r="20" spans="1:17" x14ac:dyDescent="0.2">
      <c r="A20" s="41">
        <f t="shared" si="0"/>
        <v>9</v>
      </c>
      <c r="B20" s="41">
        <v>870</v>
      </c>
      <c r="C20" s="37" t="s">
        <v>402</v>
      </c>
      <c r="D20" s="126">
        <f>+'IRR 202 Detail '!L42</f>
        <v>44958</v>
      </c>
      <c r="E20" s="41">
        <v>3</v>
      </c>
      <c r="F20" s="62">
        <f>+'IRR 202 Detail '!X42</f>
        <v>25556.814864937129</v>
      </c>
      <c r="G20" s="67"/>
      <c r="H20" s="41"/>
      <c r="I20" s="62">
        <f>+'IRR 202 Detail '!AD42</f>
        <v>29274.169754382532</v>
      </c>
      <c r="J20" s="62"/>
      <c r="K20" s="291"/>
      <c r="M20" s="41" t="s">
        <v>120</v>
      </c>
      <c r="Q20" s="41">
        <f>+E20</f>
        <v>3</v>
      </c>
    </row>
    <row r="21" spans="1:17" x14ac:dyDescent="0.2">
      <c r="A21" s="41">
        <f t="shared" si="0"/>
        <v>10</v>
      </c>
      <c r="B21" s="41">
        <v>870</v>
      </c>
      <c r="C21" s="37" t="s">
        <v>174</v>
      </c>
      <c r="D21" s="126">
        <f>+'IRR 202 Detail '!L43</f>
        <v>44927</v>
      </c>
      <c r="E21" s="41">
        <v>1</v>
      </c>
      <c r="F21" s="62">
        <f>+'IRR 202 Detail '!X43</f>
        <v>11177.276833957501</v>
      </c>
      <c r="G21" s="67"/>
      <c r="H21" s="41"/>
      <c r="I21" s="62">
        <f>+'IRR 202 Detail '!AD43</f>
        <v>11736.140675655377</v>
      </c>
      <c r="J21" s="62"/>
      <c r="K21" s="291"/>
      <c r="M21" s="41" t="s">
        <v>120</v>
      </c>
      <c r="Q21" s="41">
        <f>+E21</f>
        <v>1</v>
      </c>
    </row>
    <row r="22" spans="1:17" x14ac:dyDescent="0.2">
      <c r="A22" s="41">
        <f t="shared" si="0"/>
        <v>11</v>
      </c>
      <c r="B22" s="41">
        <v>870</v>
      </c>
      <c r="C22" s="37" t="s">
        <v>175</v>
      </c>
      <c r="D22" s="126">
        <f>+'IRR 202 Detail '!L44</f>
        <v>45231</v>
      </c>
      <c r="E22" s="41">
        <v>1</v>
      </c>
      <c r="F22" s="62">
        <f>+'IRR 202 Detail '!X44</f>
        <v>1548.8978706022501</v>
      </c>
      <c r="G22" s="67"/>
      <c r="H22" s="41"/>
      <c r="I22" s="62">
        <f>+'IRR 202 Detail '!AD44</f>
        <v>9758.0565847941762</v>
      </c>
      <c r="J22" s="62"/>
      <c r="K22" s="291"/>
      <c r="M22" s="41" t="s">
        <v>120</v>
      </c>
      <c r="Q22" s="41">
        <f t="shared" ref="Q22" si="2">+E22</f>
        <v>1</v>
      </c>
    </row>
    <row r="23" spans="1:17" x14ac:dyDescent="0.2">
      <c r="A23" s="41">
        <f t="shared" si="0"/>
        <v>12</v>
      </c>
      <c r="B23" s="41">
        <v>870</v>
      </c>
      <c r="C23" s="37" t="s">
        <v>176</v>
      </c>
      <c r="D23" s="126">
        <f>+'IRR 202 Detail '!L45</f>
        <v>45231</v>
      </c>
      <c r="E23" s="41">
        <v>1</v>
      </c>
      <c r="F23" s="62">
        <f>+'IRR 202 Detail '!X45</f>
        <v>1297.7872563757501</v>
      </c>
      <c r="G23" s="67"/>
      <c r="H23" s="41"/>
      <c r="I23" s="62">
        <f>+'IRR 202 Detail '!AD45</f>
        <v>8176.0597151672264</v>
      </c>
      <c r="J23" s="62"/>
      <c r="K23" s="291"/>
      <c r="M23" s="41" t="s">
        <v>120</v>
      </c>
      <c r="Q23" s="41">
        <f>+E23</f>
        <v>1</v>
      </c>
    </row>
    <row r="24" spans="1:17" x14ac:dyDescent="0.2">
      <c r="A24" s="41">
        <f t="shared" si="0"/>
        <v>13</v>
      </c>
      <c r="B24" s="41">
        <v>870</v>
      </c>
      <c r="C24" s="37" t="s">
        <v>177</v>
      </c>
      <c r="D24" s="126">
        <f>+'IRR 202 Detail '!L46</f>
        <v>45231</v>
      </c>
      <c r="E24" s="41">
        <v>1</v>
      </c>
      <c r="F24" s="62">
        <f>+'IRR 202 Detail '!X46</f>
        <v>1862.8794723262502</v>
      </c>
      <c r="G24" s="67"/>
      <c r="H24" s="41"/>
      <c r="I24" s="62">
        <f>+'IRR 202 Detail '!AD46</f>
        <v>11736.140675655377</v>
      </c>
      <c r="J24" s="62"/>
      <c r="K24" s="291"/>
      <c r="M24" s="41" t="s">
        <v>120</v>
      </c>
    </row>
    <row r="25" spans="1:17" x14ac:dyDescent="0.2">
      <c r="A25" s="41">
        <f t="shared" si="0"/>
        <v>14</v>
      </c>
      <c r="B25" s="41">
        <v>870</v>
      </c>
      <c r="C25" s="37" t="s">
        <v>178</v>
      </c>
      <c r="D25" s="126">
        <f>+'IRR 202 Detail '!L47</f>
        <v>44986</v>
      </c>
      <c r="E25" s="41">
        <v>1</v>
      </c>
      <c r="F25" s="62">
        <f>+'IRR 202 Detail '!X47</f>
        <v>10640.052981880002</v>
      </c>
      <c r="G25" s="67"/>
      <c r="H25" s="41"/>
      <c r="I25" s="62">
        <f>+'IRR 202 Detail '!AD47</f>
        <v>13406.466757168802</v>
      </c>
      <c r="J25" s="62"/>
      <c r="K25" s="291"/>
      <c r="M25" s="41" t="s">
        <v>120</v>
      </c>
      <c r="Q25" s="41">
        <f>+E25</f>
        <v>1</v>
      </c>
    </row>
    <row r="26" spans="1:17" x14ac:dyDescent="0.2">
      <c r="A26" s="41">
        <f t="shared" si="0"/>
        <v>15</v>
      </c>
      <c r="B26" s="41">
        <v>870</v>
      </c>
      <c r="C26" s="37" t="s">
        <v>405</v>
      </c>
      <c r="D26" s="126">
        <f>+'IRR 202 Detail '!L48</f>
        <v>44927</v>
      </c>
      <c r="E26" s="41">
        <v>1</v>
      </c>
      <c r="F26" s="62">
        <f>+'IRR 202 Detail '!X48</f>
        <v>6743.5215188460006</v>
      </c>
      <c r="G26" s="67"/>
      <c r="H26" s="41"/>
      <c r="I26" s="62">
        <f>+'IRR 202 Detail '!AD48</f>
        <v>7080.6975947883011</v>
      </c>
      <c r="J26" s="62"/>
      <c r="K26" s="291"/>
      <c r="M26" s="41" t="s">
        <v>120</v>
      </c>
      <c r="Q26" s="41">
        <f>+E26</f>
        <v>1</v>
      </c>
    </row>
    <row r="27" spans="1:17" x14ac:dyDescent="0.2">
      <c r="A27" s="41">
        <f t="shared" si="0"/>
        <v>16</v>
      </c>
      <c r="B27" s="41">
        <v>870</v>
      </c>
      <c r="C27" s="37" t="s">
        <v>179</v>
      </c>
      <c r="D27" s="126">
        <f>+'IRR 202 Detail '!L49</f>
        <v>45231</v>
      </c>
      <c r="E27" s="41">
        <v>1</v>
      </c>
      <c r="F27" s="62">
        <f>+'IRR 202 Detail '!X49</f>
        <v>1297.7872563757501</v>
      </c>
      <c r="G27" s="67"/>
      <c r="H27" s="41"/>
      <c r="I27" s="62">
        <f>+'IRR 202 Detail '!AD49</f>
        <v>8176.0597151672264</v>
      </c>
      <c r="J27" s="62"/>
      <c r="K27" s="291"/>
      <c r="M27" s="41" t="s">
        <v>120</v>
      </c>
    </row>
    <row r="28" spans="1:17" x14ac:dyDescent="0.2">
      <c r="A28" s="41">
        <f t="shared" si="0"/>
        <v>17</v>
      </c>
      <c r="B28" s="41">
        <v>870</v>
      </c>
      <c r="C28" s="37" t="s">
        <v>180</v>
      </c>
      <c r="D28" s="126">
        <f>+'IRR 202 Detail '!L50</f>
        <v>44958</v>
      </c>
      <c r="E28" s="41">
        <v>1</v>
      </c>
      <c r="F28" s="62">
        <f>+'IRR 202 Detail '!X50</f>
        <v>15557.740381943377</v>
      </c>
      <c r="G28" s="67"/>
      <c r="H28" s="41"/>
      <c r="I28" s="62">
        <f>+'IRR 202 Detail '!AD50</f>
        <v>17820.684437498778</v>
      </c>
      <c r="J28" s="62"/>
      <c r="K28" s="291"/>
      <c r="M28" s="41" t="s">
        <v>120</v>
      </c>
    </row>
    <row r="29" spans="1:17" x14ac:dyDescent="0.2">
      <c r="A29" s="41">
        <f t="shared" si="0"/>
        <v>18</v>
      </c>
      <c r="B29" s="41">
        <v>870</v>
      </c>
      <c r="C29" s="37" t="s">
        <v>181</v>
      </c>
      <c r="D29" s="126">
        <f>+'IRR 202 Detail '!L131</f>
        <v>45309</v>
      </c>
      <c r="E29" s="41"/>
      <c r="F29" s="62"/>
      <c r="G29" s="67"/>
      <c r="H29" s="41">
        <v>1</v>
      </c>
      <c r="I29" s="62">
        <f>+'IRR 202 Detail '!X131</f>
        <v>11736.140675655377</v>
      </c>
      <c r="J29" s="62"/>
      <c r="K29" s="291"/>
      <c r="M29" s="41" t="s">
        <v>120</v>
      </c>
    </row>
    <row r="30" spans="1:17" x14ac:dyDescent="0.2">
      <c r="A30" s="41">
        <f t="shared" si="0"/>
        <v>19</v>
      </c>
      <c r="B30" s="41">
        <v>870</v>
      </c>
      <c r="C30" s="37" t="s">
        <v>182</v>
      </c>
      <c r="D30" s="126">
        <f>+'IRR 202 Detail '!L132</f>
        <v>45309</v>
      </c>
      <c r="E30" s="41"/>
      <c r="F30" s="62"/>
      <c r="G30" s="67"/>
      <c r="H30" s="41">
        <v>1</v>
      </c>
      <c r="I30" s="62">
        <f>+'IRR 202 Detail '!X132</f>
        <v>15022.478822787451</v>
      </c>
      <c r="J30" s="62"/>
      <c r="K30" s="291"/>
      <c r="M30" s="41" t="s">
        <v>120</v>
      </c>
    </row>
    <row r="31" spans="1:17" x14ac:dyDescent="0.2">
      <c r="A31" s="41">
        <f t="shared" si="0"/>
        <v>20</v>
      </c>
      <c r="B31" s="41">
        <v>870</v>
      </c>
      <c r="C31" s="37" t="s">
        <v>183</v>
      </c>
      <c r="D31" s="126">
        <f>+'IRR 202 Detail '!L133</f>
        <v>45309</v>
      </c>
      <c r="E31" s="41"/>
      <c r="F31" s="62"/>
      <c r="G31" s="67"/>
      <c r="H31" s="41">
        <v>1</v>
      </c>
      <c r="I31" s="62">
        <f>+'IRR 202 Detail '!X133</f>
        <v>11736.140675655377</v>
      </c>
      <c r="J31" s="62"/>
      <c r="K31" s="291"/>
      <c r="M31" s="41" t="s">
        <v>120</v>
      </c>
    </row>
    <row r="32" spans="1:17" x14ac:dyDescent="0.2">
      <c r="A32" s="41">
        <f t="shared" si="0"/>
        <v>21</v>
      </c>
      <c r="B32" s="41">
        <v>870</v>
      </c>
      <c r="C32" s="37" t="s">
        <v>184</v>
      </c>
      <c r="D32" s="126">
        <f>+'IRR 202 Detail '!L134</f>
        <v>45309</v>
      </c>
      <c r="E32" s="41"/>
      <c r="F32" s="62"/>
      <c r="G32" s="67"/>
      <c r="H32" s="41">
        <v>1</v>
      </c>
      <c r="I32" s="62">
        <f>+'IRR 202 Detail '!X134</f>
        <v>15022.478822787451</v>
      </c>
      <c r="J32" s="62"/>
      <c r="K32" s="291"/>
      <c r="M32" s="41" t="s">
        <v>120</v>
      </c>
    </row>
    <row r="33" spans="1:17" x14ac:dyDescent="0.2">
      <c r="A33" s="41">
        <f t="shared" si="0"/>
        <v>22</v>
      </c>
      <c r="B33" s="41">
        <v>870</v>
      </c>
      <c r="C33" s="37" t="s">
        <v>185</v>
      </c>
      <c r="D33" s="126">
        <f>+'IRR 202 Detail '!L135</f>
        <v>45309</v>
      </c>
      <c r="E33" s="41"/>
      <c r="F33" s="62"/>
      <c r="G33" s="67"/>
      <c r="H33" s="41">
        <v>2</v>
      </c>
      <c r="I33" s="62">
        <f>+'IRR 202 Detail '!X135</f>
        <v>23472.281351310754</v>
      </c>
      <c r="J33" s="62"/>
      <c r="K33" s="291"/>
      <c r="M33" s="41" t="s">
        <v>120</v>
      </c>
    </row>
    <row r="34" spans="1:17" x14ac:dyDescent="0.2">
      <c r="A34" s="41">
        <f t="shared" si="0"/>
        <v>23</v>
      </c>
      <c r="B34" s="41" t="s">
        <v>186</v>
      </c>
      <c r="E34" s="129">
        <f>SUM(E12:E33)</f>
        <v>22</v>
      </c>
      <c r="F34" s="130">
        <f>SUM(F12:F33)</f>
        <v>94293.876612061023</v>
      </c>
      <c r="G34" s="67"/>
      <c r="H34" s="129">
        <f>SUM(H12:H33)</f>
        <v>6</v>
      </c>
      <c r="I34" s="130">
        <f>SUM(I12:I33)</f>
        <v>270523.74218398507</v>
      </c>
      <c r="J34" s="67"/>
      <c r="M34" s="41"/>
    </row>
    <row r="35" spans="1:17" x14ac:dyDescent="0.2">
      <c r="A35" s="41"/>
      <c r="B35" s="41"/>
      <c r="E35" s="41"/>
      <c r="F35" s="62"/>
      <c r="G35" s="67"/>
      <c r="H35" s="41"/>
      <c r="I35" s="62"/>
      <c r="J35" s="62"/>
      <c r="M35" s="41"/>
    </row>
    <row r="36" spans="1:17" x14ac:dyDescent="0.2">
      <c r="A36" s="41">
        <f>+A34+1</f>
        <v>24</v>
      </c>
      <c r="B36" s="41">
        <v>874</v>
      </c>
      <c r="C36" s="37" t="s">
        <v>187</v>
      </c>
      <c r="D36" s="126">
        <f>+'IRR 202 Detail '!L7</f>
        <v>45231</v>
      </c>
      <c r="E36" s="41">
        <v>3</v>
      </c>
      <c r="F36" s="62">
        <f>+'IRR 202 Detail '!X7</f>
        <v>16831.361175015973</v>
      </c>
      <c r="G36" s="128"/>
      <c r="H36" s="41"/>
      <c r="I36" s="62">
        <f>+'IRR 202 Detail '!AD7</f>
        <v>106037.57540260063</v>
      </c>
      <c r="J36" s="127"/>
      <c r="K36" s="291"/>
      <c r="M36" s="41" t="s">
        <v>115</v>
      </c>
      <c r="Q36" s="41">
        <f>+E36</f>
        <v>3</v>
      </c>
    </row>
    <row r="37" spans="1:17" x14ac:dyDescent="0.2">
      <c r="A37" s="41">
        <f t="shared" ref="A37:A70" si="3">+A36+1</f>
        <v>25</v>
      </c>
      <c r="B37" s="41">
        <v>874</v>
      </c>
      <c r="C37" s="37" t="s">
        <v>188</v>
      </c>
      <c r="D37" s="126">
        <f>+'IRR 202 Detail '!L8</f>
        <v>45231</v>
      </c>
      <c r="E37" s="41">
        <v>1</v>
      </c>
      <c r="F37" s="62">
        <f>+'IRR 202 Detail '!X8</f>
        <v>6719.7069092900247</v>
      </c>
      <c r="G37" s="67"/>
      <c r="H37" s="41"/>
      <c r="I37" s="62">
        <f>+'IRR 202 Detail '!AD8</f>
        <v>42334.15352852716</v>
      </c>
      <c r="J37" s="62"/>
      <c r="K37" s="291"/>
      <c r="M37" s="41" t="s">
        <v>115</v>
      </c>
      <c r="Q37" s="41">
        <f t="shared" ref="Q37:Q41" si="4">+E37</f>
        <v>1</v>
      </c>
    </row>
    <row r="38" spans="1:17" x14ac:dyDescent="0.2">
      <c r="A38" s="41">
        <f t="shared" si="3"/>
        <v>26</v>
      </c>
      <c r="B38" s="41">
        <v>874</v>
      </c>
      <c r="C38" s="37" t="s">
        <v>189</v>
      </c>
      <c r="D38" s="126">
        <f>+'IRR 202 Detail '!L9</f>
        <v>45232</v>
      </c>
      <c r="E38" s="41">
        <v>1</v>
      </c>
      <c r="F38" s="62">
        <f>+'IRR 202 Detail '!X9</f>
        <v>10997.174881275974</v>
      </c>
      <c r="G38" s="67"/>
      <c r="H38" s="41"/>
      <c r="I38" s="62">
        <f>+'IRR 202 Detail '!AD9</f>
        <v>69282.201752038658</v>
      </c>
      <c r="J38" s="62"/>
      <c r="K38" s="291"/>
      <c r="M38" s="41" t="s">
        <v>115</v>
      </c>
      <c r="Q38" s="41">
        <f>+E38</f>
        <v>1</v>
      </c>
    </row>
    <row r="39" spans="1:17" x14ac:dyDescent="0.2">
      <c r="A39" s="41">
        <f t="shared" si="3"/>
        <v>27</v>
      </c>
      <c r="B39" s="41">
        <v>874</v>
      </c>
      <c r="C39" s="37" t="s">
        <v>187</v>
      </c>
      <c r="D39" s="126">
        <f>+'IRR 202 Detail '!L10</f>
        <v>44927</v>
      </c>
      <c r="E39" s="41">
        <v>2</v>
      </c>
      <c r="F39" s="62">
        <f>+'IRR 202 Detail '!X10</f>
        <v>60977.833933858798</v>
      </c>
      <c r="G39" s="67"/>
      <c r="H39" s="41"/>
      <c r="I39" s="62">
        <f>+'IRR 202 Detail '!AD10</f>
        <v>64026.725630551737</v>
      </c>
      <c r="J39" s="62"/>
      <c r="K39" s="291"/>
      <c r="M39" s="41" t="s">
        <v>115</v>
      </c>
      <c r="Q39" s="41">
        <f t="shared" si="4"/>
        <v>2</v>
      </c>
    </row>
    <row r="40" spans="1:17" x14ac:dyDescent="0.2">
      <c r="A40" s="41">
        <f t="shared" si="3"/>
        <v>28</v>
      </c>
      <c r="B40" s="41">
        <v>874</v>
      </c>
      <c r="C40" s="37" t="s">
        <v>190</v>
      </c>
      <c r="D40" s="126">
        <f>+'IRR 202 Detail '!L11</f>
        <v>45231</v>
      </c>
      <c r="E40" s="41">
        <v>1</v>
      </c>
      <c r="F40" s="62">
        <f>+'IRR 202 Detail '!X11</f>
        <v>5678.6255571464999</v>
      </c>
      <c r="G40" s="67"/>
      <c r="H40" s="41"/>
      <c r="I40" s="62">
        <f>+'IRR 202 Detail '!AD11</f>
        <v>35775.341010022952</v>
      </c>
      <c r="J40" s="62"/>
      <c r="K40" s="291"/>
      <c r="M40" s="41" t="s">
        <v>115</v>
      </c>
      <c r="Q40" s="41">
        <f t="shared" si="4"/>
        <v>1</v>
      </c>
    </row>
    <row r="41" spans="1:17" x14ac:dyDescent="0.2">
      <c r="A41" s="41">
        <f t="shared" si="3"/>
        <v>29</v>
      </c>
      <c r="B41" s="41">
        <v>874</v>
      </c>
      <c r="C41" s="37" t="s">
        <v>191</v>
      </c>
      <c r="D41" s="126">
        <f>+'IRR 202 Detail '!L12</f>
        <v>45231</v>
      </c>
      <c r="E41" s="41">
        <v>2</v>
      </c>
      <c r="F41" s="62">
        <f>+'IRR 202 Detail '!X12</f>
        <v>11357.251114293</v>
      </c>
      <c r="G41" s="67"/>
      <c r="H41" s="41"/>
      <c r="I41" s="62">
        <f>+'IRR 202 Detail '!AD12</f>
        <v>71550.682020045904</v>
      </c>
      <c r="J41" s="62"/>
      <c r="K41" s="291"/>
      <c r="M41" s="41" t="s">
        <v>115</v>
      </c>
      <c r="Q41" s="41">
        <f t="shared" si="4"/>
        <v>2</v>
      </c>
    </row>
    <row r="42" spans="1:17" x14ac:dyDescent="0.2">
      <c r="A42" s="41">
        <f t="shared" si="3"/>
        <v>30</v>
      </c>
      <c r="B42" s="41">
        <v>874</v>
      </c>
      <c r="C42" s="37" t="s">
        <v>192</v>
      </c>
      <c r="D42" s="126">
        <f>+'IRR 202 Detail '!L13</f>
        <v>44927</v>
      </c>
      <c r="E42" s="41">
        <v>1</v>
      </c>
      <c r="F42" s="62">
        <f>+'IRR 202 Detail '!X13</f>
        <v>46720.341229527003</v>
      </c>
      <c r="G42" s="67"/>
      <c r="H42" s="41"/>
      <c r="I42" s="62">
        <f>+'IRR 202 Detail '!AD13</f>
        <v>49056.358291003358</v>
      </c>
      <c r="J42" s="62"/>
      <c r="K42" s="291"/>
      <c r="M42" s="41" t="s">
        <v>115</v>
      </c>
      <c r="Q42" s="41">
        <f>+E42</f>
        <v>1</v>
      </c>
    </row>
    <row r="43" spans="1:17" x14ac:dyDescent="0.2">
      <c r="A43" s="41">
        <f t="shared" si="3"/>
        <v>31</v>
      </c>
      <c r="B43" s="41">
        <v>874</v>
      </c>
      <c r="C43" s="37" t="s">
        <v>193</v>
      </c>
      <c r="D43" s="126">
        <f>+'IRR 202 Detail '!L14</f>
        <v>45231</v>
      </c>
      <c r="E43" s="41">
        <v>1</v>
      </c>
      <c r="F43" s="62">
        <f>+'IRR 202 Detail '!X14</f>
        <v>10997.174881275974</v>
      </c>
      <c r="G43" s="67"/>
      <c r="H43" s="41"/>
      <c r="I43" s="62">
        <f>+'IRR 202 Detail '!AD14</f>
        <v>69282.201752038658</v>
      </c>
      <c r="J43" s="62"/>
      <c r="K43" s="291"/>
      <c r="M43" s="41" t="s">
        <v>115</v>
      </c>
    </row>
    <row r="44" spans="1:17" x14ac:dyDescent="0.2">
      <c r="A44" s="41">
        <f t="shared" si="3"/>
        <v>32</v>
      </c>
      <c r="B44" s="41">
        <v>874</v>
      </c>
      <c r="C44" s="37" t="s">
        <v>194</v>
      </c>
      <c r="D44" s="126">
        <f>+'IRR 202 Detail '!L15</f>
        <v>45232</v>
      </c>
      <c r="E44" s="41">
        <v>2</v>
      </c>
      <c r="F44" s="62">
        <f>+'IRR 202 Detail '!X15</f>
        <v>13439.413818580049</v>
      </c>
      <c r="G44" s="67"/>
      <c r="H44" s="41"/>
      <c r="I44" s="62">
        <f>+'IRR 202 Detail '!AD15</f>
        <v>84668.30705705432</v>
      </c>
      <c r="J44" s="62"/>
      <c r="K44" s="291"/>
      <c r="M44" s="41" t="s">
        <v>115</v>
      </c>
      <c r="Q44" s="41">
        <f t="shared" ref="Q44:Q49" si="5">+E44</f>
        <v>2</v>
      </c>
    </row>
    <row r="45" spans="1:17" x14ac:dyDescent="0.2">
      <c r="A45" s="41">
        <f t="shared" si="3"/>
        <v>33</v>
      </c>
      <c r="B45" s="41">
        <v>874</v>
      </c>
      <c r="C45" s="37" t="s">
        <v>195</v>
      </c>
      <c r="D45" s="126">
        <f>+'IRR 202 Detail '!L16</f>
        <v>45231</v>
      </c>
      <c r="E45" s="41">
        <v>1</v>
      </c>
      <c r="F45" s="62">
        <f>+'IRR 202 Detail '!X16</f>
        <v>6479.6789500061495</v>
      </c>
      <c r="G45" s="67"/>
      <c r="H45" s="41"/>
      <c r="I45" s="62">
        <f>+'IRR 202 Detail '!AD16</f>
        <v>40821.977385038743</v>
      </c>
      <c r="J45" s="62"/>
      <c r="K45" s="291"/>
      <c r="M45" s="41" t="s">
        <v>115</v>
      </c>
      <c r="Q45" s="41">
        <f t="shared" si="5"/>
        <v>1</v>
      </c>
    </row>
    <row r="46" spans="1:17" x14ac:dyDescent="0.2">
      <c r="A46" s="41">
        <f t="shared" si="3"/>
        <v>34</v>
      </c>
      <c r="B46" s="41">
        <v>874</v>
      </c>
      <c r="C46" s="37" t="s">
        <v>196</v>
      </c>
      <c r="D46" s="126">
        <f>+'IRR 202 Detail '!L17</f>
        <v>45231</v>
      </c>
      <c r="E46" s="41">
        <v>1</v>
      </c>
      <c r="F46" s="62">
        <f>+'IRR 202 Detail '!X17</f>
        <v>7760.7882614335495</v>
      </c>
      <c r="G46" s="67"/>
      <c r="H46" s="41"/>
      <c r="I46" s="62">
        <f>+'IRR 202 Detail '!AD17</f>
        <v>48892.966047031361</v>
      </c>
      <c r="J46" s="62"/>
      <c r="K46" s="291"/>
      <c r="M46" s="41" t="s">
        <v>115</v>
      </c>
      <c r="Q46" s="41">
        <f t="shared" si="5"/>
        <v>1</v>
      </c>
    </row>
    <row r="47" spans="1:17" x14ac:dyDescent="0.2">
      <c r="A47" s="41">
        <f t="shared" si="3"/>
        <v>35</v>
      </c>
      <c r="B47" s="41">
        <v>874</v>
      </c>
      <c r="C47" s="37" t="s">
        <v>197</v>
      </c>
      <c r="D47" s="126">
        <f>+'IRR 202 Detail '!L18</f>
        <v>45231</v>
      </c>
      <c r="E47" s="41">
        <v>1</v>
      </c>
      <c r="F47" s="62">
        <f>+'IRR 202 Detail '!X18</f>
        <v>5531.4332500052496</v>
      </c>
      <c r="G47" s="67"/>
      <c r="H47" s="41"/>
      <c r="I47" s="62">
        <f>+'IRR 202 Detail '!AD18</f>
        <v>34848.029475033072</v>
      </c>
      <c r="J47" s="62"/>
      <c r="K47" s="291"/>
      <c r="M47" s="41" t="s">
        <v>115</v>
      </c>
      <c r="Q47" s="41">
        <f t="shared" si="5"/>
        <v>1</v>
      </c>
    </row>
    <row r="48" spans="1:17" x14ac:dyDescent="0.2">
      <c r="A48" s="41">
        <f t="shared" si="3"/>
        <v>36</v>
      </c>
      <c r="B48" s="41">
        <v>874</v>
      </c>
      <c r="C48" s="37" t="s">
        <v>198</v>
      </c>
      <c r="D48" s="126">
        <f>+'IRR 202 Detail '!L19</f>
        <v>45231</v>
      </c>
      <c r="E48" s="41">
        <v>1</v>
      </c>
      <c r="F48" s="62">
        <f>+'IRR 202 Detail '!X19</f>
        <v>5136.3308750048745</v>
      </c>
      <c r="G48" s="67"/>
      <c r="H48" s="41"/>
      <c r="I48" s="62">
        <f>+'IRR 202 Detail '!AD19</f>
        <v>32358.884512530716</v>
      </c>
      <c r="J48" s="62"/>
      <c r="K48" s="291"/>
      <c r="M48" s="41" t="s">
        <v>115</v>
      </c>
      <c r="Q48" s="41">
        <f t="shared" si="5"/>
        <v>1</v>
      </c>
    </row>
    <row r="49" spans="1:17" x14ac:dyDescent="0.2">
      <c r="A49" s="41">
        <f t="shared" si="3"/>
        <v>37</v>
      </c>
      <c r="B49" s="41">
        <v>874</v>
      </c>
      <c r="C49" s="37" t="s">
        <v>199</v>
      </c>
      <c r="D49" s="126">
        <f>+'IRR 202 Detail '!L20</f>
        <v>44927</v>
      </c>
      <c r="E49" s="41">
        <v>1</v>
      </c>
      <c r="F49" s="62">
        <f>+'IRR 202 Detail '!X20</f>
        <v>40318.24145574015</v>
      </c>
      <c r="G49" s="67"/>
      <c r="H49" s="41"/>
      <c r="I49" s="62">
        <f>+'IRR 202 Detail '!AD20</f>
        <v>42334.15352852716</v>
      </c>
      <c r="J49" s="62"/>
      <c r="K49" s="291"/>
      <c r="M49" s="41" t="s">
        <v>115</v>
      </c>
      <c r="Q49" s="41">
        <f t="shared" si="5"/>
        <v>1</v>
      </c>
    </row>
    <row r="50" spans="1:17" x14ac:dyDescent="0.2">
      <c r="A50" s="41">
        <f t="shared" si="3"/>
        <v>38</v>
      </c>
      <c r="B50" s="41">
        <v>874</v>
      </c>
      <c r="C50" s="37" t="s">
        <v>200</v>
      </c>
      <c r="D50" s="126">
        <f>+'IRR 202 Detail '!L21</f>
        <v>45231</v>
      </c>
      <c r="E50" s="41">
        <v>1</v>
      </c>
      <c r="F50" s="62">
        <f>+'IRR 202 Detail '!X21</f>
        <v>5610.4537250053245</v>
      </c>
      <c r="G50" s="67"/>
      <c r="H50" s="41"/>
      <c r="I50" s="62">
        <f>+'IRR 202 Detail '!AD21</f>
        <v>35345.858467533544</v>
      </c>
      <c r="J50" s="62"/>
      <c r="K50" s="291"/>
      <c r="M50" s="41" t="s">
        <v>115</v>
      </c>
    </row>
    <row r="51" spans="1:17" x14ac:dyDescent="0.2">
      <c r="A51" s="41">
        <f t="shared" si="3"/>
        <v>39</v>
      </c>
      <c r="B51" s="41">
        <v>874</v>
      </c>
      <c r="C51" s="37" t="s">
        <v>201</v>
      </c>
      <c r="D51" s="126">
        <f>+'IRR 202 Detail '!L22</f>
        <v>45231</v>
      </c>
      <c r="E51" s="41">
        <v>1</v>
      </c>
      <c r="F51" s="62">
        <f>+'IRR 202 Detail '!X22</f>
        <v>5610.4537250053245</v>
      </c>
      <c r="G51" s="67"/>
      <c r="H51" s="41"/>
      <c r="I51" s="62">
        <f>+'IRR 202 Detail '!AD22</f>
        <v>35345.858467533544</v>
      </c>
      <c r="J51" s="62"/>
      <c r="K51" s="291"/>
      <c r="M51" s="41" t="s">
        <v>115</v>
      </c>
      <c r="Q51" s="41">
        <f t="shared" ref="Q51:Q54" si="6">+E51</f>
        <v>1</v>
      </c>
    </row>
    <row r="52" spans="1:17" x14ac:dyDescent="0.2">
      <c r="A52" s="41">
        <f t="shared" si="3"/>
        <v>40</v>
      </c>
      <c r="B52" s="41">
        <v>874</v>
      </c>
      <c r="C52" s="37" t="s">
        <v>199</v>
      </c>
      <c r="D52" s="126">
        <f>+'IRR 202 Detail '!L24</f>
        <v>45231</v>
      </c>
      <c r="E52" s="41">
        <v>7</v>
      </c>
      <c r="F52" s="62">
        <f>+'IRR 202 Detail '!X24</f>
        <v>53000.505200034</v>
      </c>
      <c r="G52" s="67"/>
      <c r="H52" s="41"/>
      <c r="I52" s="62">
        <f>+'IRR 202 Detail '!AD24</f>
        <v>333903.18276021426</v>
      </c>
      <c r="J52" s="62"/>
      <c r="K52" s="291"/>
      <c r="M52" s="41" t="s">
        <v>115</v>
      </c>
      <c r="Q52" s="41">
        <f t="shared" si="6"/>
        <v>7</v>
      </c>
    </row>
    <row r="53" spans="1:17" x14ac:dyDescent="0.2">
      <c r="A53" s="41">
        <f t="shared" si="3"/>
        <v>41</v>
      </c>
      <c r="B53" s="41">
        <v>874</v>
      </c>
      <c r="C53" s="37" t="s">
        <v>202</v>
      </c>
      <c r="D53" s="126">
        <f>+'IRR 202 Detail '!L25</f>
        <v>45231</v>
      </c>
      <c r="E53" s="41">
        <v>1</v>
      </c>
      <c r="F53" s="62">
        <f>+'IRR 202 Detail '!X25</f>
        <v>7571.5007428620002</v>
      </c>
      <c r="G53" s="67"/>
      <c r="H53" s="41"/>
      <c r="I53" s="62">
        <f>+'IRR 202 Detail '!AD25</f>
        <v>47700.454680030605</v>
      </c>
      <c r="J53" s="62"/>
      <c r="K53" s="291"/>
      <c r="M53" s="41" t="s">
        <v>115</v>
      </c>
      <c r="Q53" s="41">
        <f t="shared" si="6"/>
        <v>1</v>
      </c>
    </row>
    <row r="54" spans="1:17" x14ac:dyDescent="0.2">
      <c r="A54" s="41">
        <f t="shared" si="3"/>
        <v>42</v>
      </c>
      <c r="B54" s="41">
        <v>874</v>
      </c>
      <c r="C54" s="37" t="s">
        <v>203</v>
      </c>
      <c r="D54" s="126">
        <f>+'IRR 202 Detail '!L27</f>
        <v>45232</v>
      </c>
      <c r="E54" s="41">
        <v>1</v>
      </c>
      <c r="F54" s="62">
        <f>+'IRR 202 Detail '!X27</f>
        <v>7571.5007428620002</v>
      </c>
      <c r="G54" s="67"/>
      <c r="H54" s="41"/>
      <c r="I54" s="62">
        <f>+'IRR 202 Detail '!AD27</f>
        <v>47700.454680030605</v>
      </c>
      <c r="J54" s="62"/>
      <c r="K54" s="291"/>
      <c r="M54" s="41" t="s">
        <v>115</v>
      </c>
      <c r="Q54" s="41">
        <f t="shared" si="6"/>
        <v>1</v>
      </c>
    </row>
    <row r="55" spans="1:17" x14ac:dyDescent="0.2">
      <c r="A55" s="41">
        <f t="shared" si="3"/>
        <v>43</v>
      </c>
      <c r="B55" s="41">
        <v>874</v>
      </c>
      <c r="C55" s="37" t="s">
        <v>204</v>
      </c>
      <c r="D55" s="126">
        <f>+'IRR 202 Detail '!L109</f>
        <v>45292</v>
      </c>
      <c r="E55" s="41"/>
      <c r="F55" s="62"/>
      <c r="G55" s="67"/>
      <c r="H55" s="41">
        <v>2</v>
      </c>
      <c r="I55" s="62">
        <f>+'IRR 202 Detail '!X109</f>
        <v>84668.307057054306</v>
      </c>
      <c r="J55" s="62"/>
      <c r="K55" s="291"/>
      <c r="M55" s="41" t="s">
        <v>115</v>
      </c>
    </row>
    <row r="56" spans="1:17" x14ac:dyDescent="0.2">
      <c r="A56" s="41">
        <f t="shared" si="3"/>
        <v>44</v>
      </c>
      <c r="B56" s="41">
        <v>874</v>
      </c>
      <c r="C56" s="37" t="s">
        <v>205</v>
      </c>
      <c r="D56" s="126">
        <f>+'IRR 202 Detail '!L110</f>
        <v>45293</v>
      </c>
      <c r="E56" s="41"/>
      <c r="F56" s="62"/>
      <c r="G56" s="67"/>
      <c r="H56" s="41">
        <v>1</v>
      </c>
      <c r="I56" s="62">
        <f>+'IRR 202 Detail '!X110</f>
        <v>35345.858467533544</v>
      </c>
      <c r="J56" s="62"/>
      <c r="K56" s="291"/>
      <c r="M56" s="41" t="s">
        <v>115</v>
      </c>
    </row>
    <row r="57" spans="1:17" x14ac:dyDescent="0.2">
      <c r="A57" s="41">
        <f t="shared" si="3"/>
        <v>45</v>
      </c>
      <c r="B57" s="41">
        <v>874</v>
      </c>
      <c r="C57" s="37" t="s">
        <v>206</v>
      </c>
      <c r="D57" s="126">
        <f>+'IRR 202 Detail '!L111</f>
        <v>45293</v>
      </c>
      <c r="E57" s="41"/>
      <c r="F57" s="62"/>
      <c r="G57" s="67"/>
      <c r="H57" s="41">
        <v>1</v>
      </c>
      <c r="I57" s="62">
        <f>+'IRR 202 Detail '!X111</f>
        <v>42334.153528527153</v>
      </c>
      <c r="J57" s="62"/>
      <c r="K57" s="291"/>
      <c r="M57" s="41" t="s">
        <v>115</v>
      </c>
    </row>
    <row r="58" spans="1:17" x14ac:dyDescent="0.2">
      <c r="A58" s="41">
        <f t="shared" si="3"/>
        <v>46</v>
      </c>
      <c r="B58" s="41">
        <v>874</v>
      </c>
      <c r="C58" s="37" t="s">
        <v>207</v>
      </c>
      <c r="D58" s="126">
        <f>+'IRR 202 Detail '!L112</f>
        <v>45294</v>
      </c>
      <c r="E58" s="41"/>
      <c r="F58" s="62"/>
      <c r="G58" s="67"/>
      <c r="H58" s="41">
        <v>1</v>
      </c>
      <c r="I58" s="62">
        <f>+'IRR 202 Detail '!X112</f>
        <v>35345.858467533544</v>
      </c>
      <c r="J58" s="62"/>
      <c r="K58" s="291"/>
      <c r="M58" s="41" t="s">
        <v>115</v>
      </c>
    </row>
    <row r="59" spans="1:17" x14ac:dyDescent="0.2">
      <c r="A59" s="41">
        <f t="shared" si="3"/>
        <v>47</v>
      </c>
      <c r="B59" s="41">
        <v>874</v>
      </c>
      <c r="C59" s="37" t="s">
        <v>208</v>
      </c>
      <c r="D59" s="126">
        <f>+'IRR 202 Detail '!L113</f>
        <v>45295</v>
      </c>
      <c r="E59" s="41"/>
      <c r="F59" s="62"/>
      <c r="G59" s="67"/>
      <c r="H59" s="41">
        <v>1</v>
      </c>
      <c r="I59" s="62">
        <f>+'IRR 202 Detail '!X113</f>
        <v>35345.858467533544</v>
      </c>
      <c r="J59" s="62"/>
      <c r="K59" s="291"/>
      <c r="M59" s="41" t="s">
        <v>115</v>
      </c>
    </row>
    <row r="60" spans="1:17" x14ac:dyDescent="0.2">
      <c r="A60" s="41">
        <f t="shared" si="3"/>
        <v>48</v>
      </c>
      <c r="B60" s="41">
        <v>874</v>
      </c>
      <c r="C60" s="37" t="s">
        <v>198</v>
      </c>
      <c r="D60" s="126">
        <f>+'IRR 202 Detail '!L114</f>
        <v>45296</v>
      </c>
      <c r="E60" s="41"/>
      <c r="F60" s="62"/>
      <c r="G60" s="67"/>
      <c r="H60" s="41">
        <v>2</v>
      </c>
      <c r="I60" s="62">
        <f>+'IRR 202 Detail '!X114</f>
        <v>70691.716935067088</v>
      </c>
      <c r="J60" s="62"/>
      <c r="K60" s="291"/>
      <c r="M60" s="41" t="s">
        <v>115</v>
      </c>
    </row>
    <row r="61" spans="1:17" x14ac:dyDescent="0.2">
      <c r="A61" s="41">
        <f t="shared" si="3"/>
        <v>49</v>
      </c>
      <c r="B61" s="41">
        <v>874</v>
      </c>
      <c r="C61" s="37" t="s">
        <v>209</v>
      </c>
      <c r="D61" s="126">
        <f>+'IRR 202 Detail '!L115</f>
        <v>45297</v>
      </c>
      <c r="E61" s="41"/>
      <c r="F61" s="62"/>
      <c r="G61" s="67"/>
      <c r="H61" s="41">
        <v>1</v>
      </c>
      <c r="I61" s="62">
        <f>+'IRR 202 Detail '!X115</f>
        <v>42334.153528527153</v>
      </c>
      <c r="J61" s="62"/>
      <c r="K61" s="291"/>
      <c r="M61" s="41" t="s">
        <v>115</v>
      </c>
      <c r="Q61" s="41">
        <f>+H61</f>
        <v>1</v>
      </c>
    </row>
    <row r="62" spans="1:17" x14ac:dyDescent="0.2">
      <c r="A62" s="41">
        <f t="shared" si="3"/>
        <v>50</v>
      </c>
      <c r="B62" s="41">
        <v>874</v>
      </c>
      <c r="C62" s="37" t="s">
        <v>210</v>
      </c>
      <c r="D62" s="126">
        <f>+'IRR 202 Detail '!L116</f>
        <v>45298</v>
      </c>
      <c r="E62" s="41"/>
      <c r="F62" s="62"/>
      <c r="G62" s="67"/>
      <c r="H62" s="41">
        <v>3</v>
      </c>
      <c r="I62" s="62">
        <f>+'IRR 202 Detail '!X116</f>
        <v>106037.57540260065</v>
      </c>
      <c r="J62" s="62"/>
      <c r="K62" s="291"/>
      <c r="M62" s="41" t="s">
        <v>115</v>
      </c>
    </row>
    <row r="63" spans="1:17" x14ac:dyDescent="0.2">
      <c r="A63" s="41">
        <f t="shared" si="3"/>
        <v>51</v>
      </c>
      <c r="B63" s="41">
        <v>874</v>
      </c>
      <c r="C63" s="37" t="s">
        <v>211</v>
      </c>
      <c r="D63" s="126">
        <f>+'IRR 202 Detail '!L117</f>
        <v>45299</v>
      </c>
      <c r="E63" s="41"/>
      <c r="F63" s="62"/>
      <c r="G63" s="67"/>
      <c r="H63" s="41">
        <v>3</v>
      </c>
      <c r="I63" s="62">
        <f>+'IRR 202 Detail '!X117</f>
        <v>127002.46058558146</v>
      </c>
      <c r="J63" s="62"/>
      <c r="K63" s="291"/>
      <c r="M63" s="41" t="s">
        <v>115</v>
      </c>
    </row>
    <row r="64" spans="1:17" x14ac:dyDescent="0.2">
      <c r="A64" s="41">
        <f t="shared" si="3"/>
        <v>52</v>
      </c>
      <c r="B64" s="41">
        <v>874</v>
      </c>
      <c r="C64" s="37" t="s">
        <v>212</v>
      </c>
      <c r="D64" s="126">
        <f>+'IRR 202 Detail '!L118</f>
        <v>45300</v>
      </c>
      <c r="E64" s="41"/>
      <c r="F64" s="62"/>
      <c r="G64" s="67"/>
      <c r="H64" s="41">
        <v>4</v>
      </c>
      <c r="I64" s="62">
        <f>+'IRR 202 Detail '!X118</f>
        <v>141383.43387013418</v>
      </c>
      <c r="J64" s="62"/>
      <c r="K64" s="291"/>
      <c r="M64" s="41" t="s">
        <v>115</v>
      </c>
    </row>
    <row r="65" spans="1:17" x14ac:dyDescent="0.2">
      <c r="A65" s="41">
        <f t="shared" si="3"/>
        <v>53</v>
      </c>
      <c r="B65" s="41">
        <v>874</v>
      </c>
      <c r="C65" s="37" t="s">
        <v>213</v>
      </c>
      <c r="D65" s="126">
        <f>+'IRR 202 Detail '!L119</f>
        <v>45444</v>
      </c>
      <c r="E65" s="41"/>
      <c r="F65" s="62"/>
      <c r="G65" s="67"/>
      <c r="H65" s="41">
        <v>2</v>
      </c>
      <c r="I65" s="62">
        <f>+'IRR 202 Detail '!X119</f>
        <v>41236.834878789145</v>
      </c>
      <c r="J65" s="62"/>
      <c r="K65" s="291"/>
      <c r="M65" s="41" t="s">
        <v>115</v>
      </c>
    </row>
    <row r="66" spans="1:17" x14ac:dyDescent="0.2">
      <c r="A66" s="41">
        <f t="shared" si="3"/>
        <v>54</v>
      </c>
      <c r="B66" s="41">
        <v>874</v>
      </c>
      <c r="C66" s="37" t="s">
        <v>214</v>
      </c>
      <c r="D66" s="126">
        <f>+'IRR 202 Detail '!L120</f>
        <v>45444</v>
      </c>
      <c r="E66" s="41"/>
      <c r="F66" s="62"/>
      <c r="G66" s="67"/>
      <c r="H66" s="41">
        <v>2</v>
      </c>
      <c r="I66" s="62">
        <f>+'IRR 202 Detail '!X120</f>
        <v>49389.845783281686</v>
      </c>
      <c r="J66" s="62"/>
      <c r="K66" s="291"/>
      <c r="M66" s="41" t="s">
        <v>115</v>
      </c>
    </row>
    <row r="67" spans="1:17" x14ac:dyDescent="0.2">
      <c r="A67" s="41">
        <f t="shared" si="3"/>
        <v>55</v>
      </c>
      <c r="B67" s="41">
        <v>874</v>
      </c>
      <c r="C67" s="37" t="s">
        <v>200</v>
      </c>
      <c r="D67" s="126">
        <f>+'IRR 202 Detail '!L121</f>
        <v>45302</v>
      </c>
      <c r="E67" s="41"/>
      <c r="F67" s="62"/>
      <c r="G67" s="67"/>
      <c r="H67" s="41">
        <v>2</v>
      </c>
      <c r="I67" s="62">
        <f>+'IRR 202 Detail '!X121</f>
        <v>70691.716935067088</v>
      </c>
      <c r="J67" s="62"/>
      <c r="K67" s="291"/>
      <c r="M67" s="41" t="s">
        <v>115</v>
      </c>
    </row>
    <row r="68" spans="1:17" x14ac:dyDescent="0.2">
      <c r="A68" s="41">
        <f t="shared" si="3"/>
        <v>56</v>
      </c>
      <c r="B68" s="41">
        <v>874</v>
      </c>
      <c r="C68" s="37" t="s">
        <v>215</v>
      </c>
      <c r="D68" s="126">
        <v>45303</v>
      </c>
      <c r="E68" s="41"/>
      <c r="F68" s="62"/>
      <c r="G68" s="67"/>
      <c r="H68" s="41">
        <v>1</v>
      </c>
      <c r="I68" s="62">
        <f>+'IRR 202 Detail '!X122</f>
        <v>35345.858467533544</v>
      </c>
      <c r="J68" s="62"/>
      <c r="K68" s="291"/>
      <c r="M68" s="41" t="s">
        <v>115</v>
      </c>
    </row>
    <row r="69" spans="1:17" x14ac:dyDescent="0.2">
      <c r="A69" s="41">
        <f t="shared" si="3"/>
        <v>57</v>
      </c>
      <c r="B69" s="41">
        <v>874</v>
      </c>
      <c r="C69" s="37" t="s">
        <v>216</v>
      </c>
      <c r="D69" s="126">
        <f>+'IRR 202 Detail '!L124</f>
        <v>45305</v>
      </c>
      <c r="E69" s="41"/>
      <c r="F69" s="62"/>
      <c r="G69" s="67"/>
      <c r="H69" s="41">
        <v>2</v>
      </c>
      <c r="I69" s="62">
        <f>+'IRR 202 Detail '!X124</f>
        <v>100545.90584599387</v>
      </c>
      <c r="J69" s="62"/>
      <c r="K69" s="291"/>
      <c r="M69" s="41" t="s">
        <v>115</v>
      </c>
    </row>
    <row r="70" spans="1:17" x14ac:dyDescent="0.2">
      <c r="A70" s="41">
        <f t="shared" si="3"/>
        <v>58</v>
      </c>
      <c r="B70" s="41">
        <v>874</v>
      </c>
      <c r="C70" s="37" t="s">
        <v>217</v>
      </c>
      <c r="D70" s="126">
        <f>+'IRR 202 Detail '!L126</f>
        <v>45307</v>
      </c>
      <c r="E70" s="41"/>
      <c r="F70" s="62"/>
      <c r="G70" s="67"/>
      <c r="H70" s="41">
        <v>1</v>
      </c>
      <c r="I70" s="62">
        <f>+'IRR 202 Detail '!X126</f>
        <v>35345.858467533544</v>
      </c>
      <c r="J70" s="62"/>
      <c r="K70" s="291"/>
      <c r="M70" s="41" t="s">
        <v>115</v>
      </c>
    </row>
    <row r="71" spans="1:17" x14ac:dyDescent="0.2">
      <c r="A71" s="41"/>
      <c r="C71" s="39" t="s">
        <v>267</v>
      </c>
      <c r="E71" s="138">
        <f>-(SUM(E36:E54)+E85+E86)*0.05</f>
        <v>-1.6</v>
      </c>
      <c r="F71" s="62">
        <f>-(SUM(F36:F54)+F85+F86)*0.05</f>
        <v>-17905.792099272094</v>
      </c>
      <c r="G71" s="67"/>
      <c r="H71" s="138">
        <v>-2</v>
      </c>
      <c r="I71" s="62">
        <f>(F71*1.05)-(SUM(I55:I70)+I92)*0.05</f>
        <v>-75619.681478507933</v>
      </c>
      <c r="J71" s="62"/>
      <c r="M71" s="41" t="s">
        <v>115</v>
      </c>
    </row>
    <row r="72" spans="1:17" x14ac:dyDescent="0.2">
      <c r="A72" s="41">
        <f>+A70+1</f>
        <v>59</v>
      </c>
      <c r="B72" s="41" t="s">
        <v>116</v>
      </c>
      <c r="E72" s="141">
        <f>SUM(E36:E71)</f>
        <v>28.4</v>
      </c>
      <c r="F72" s="140">
        <f>SUM(F36:F71)</f>
        <v>310403.97832894983</v>
      </c>
      <c r="G72" s="67"/>
      <c r="H72" s="141">
        <f>SUM(H36:H71)</f>
        <v>27</v>
      </c>
      <c r="I72" s="140">
        <f>SUM(I36:I71)</f>
        <v>2268691.0816571703</v>
      </c>
      <c r="J72" s="67"/>
      <c r="M72" s="41"/>
    </row>
    <row r="73" spans="1:17" x14ac:dyDescent="0.2">
      <c r="A73" s="41"/>
      <c r="B73" s="41"/>
      <c r="E73" s="41"/>
      <c r="F73" s="62"/>
      <c r="G73" s="67"/>
      <c r="H73" s="41"/>
      <c r="I73" s="62"/>
      <c r="J73" s="62"/>
      <c r="M73" s="41"/>
    </row>
    <row r="74" spans="1:17" s="2" customFormat="1" x14ac:dyDescent="0.2">
      <c r="A74" s="1" t="s">
        <v>0</v>
      </c>
      <c r="H74" s="3" t="s">
        <v>1</v>
      </c>
      <c r="I74" s="3"/>
      <c r="J74" s="3"/>
      <c r="M74" s="41"/>
      <c r="N74" s="1" t="s">
        <v>379</v>
      </c>
      <c r="Q74" s="3"/>
    </row>
    <row r="75" spans="1:17" s="2" customFormat="1" x14ac:dyDescent="0.2">
      <c r="A75" s="77"/>
      <c r="B75" s="77"/>
      <c r="C75" s="77"/>
      <c r="D75" s="77"/>
      <c r="E75" s="77"/>
      <c r="F75" s="77"/>
      <c r="G75" s="77"/>
      <c r="H75" s="77"/>
      <c r="I75" s="77"/>
      <c r="J75" s="77"/>
      <c r="M75" s="42"/>
      <c r="N75" s="77"/>
      <c r="O75" s="77"/>
      <c r="Q75" s="3"/>
    </row>
    <row r="76" spans="1:17" s="2" customFormat="1" x14ac:dyDescent="0.2">
      <c r="A76" s="1" t="s">
        <v>3</v>
      </c>
      <c r="H76" s="3" t="s">
        <v>4</v>
      </c>
      <c r="I76" s="3"/>
      <c r="J76" s="3"/>
      <c r="M76" s="41"/>
      <c r="N76" s="1" t="s">
        <v>5</v>
      </c>
      <c r="Q76" s="3"/>
    </row>
    <row r="77" spans="1:17" s="2" customFormat="1" x14ac:dyDescent="0.2">
      <c r="H77" s="3" t="s">
        <v>6</v>
      </c>
      <c r="I77" s="3"/>
      <c r="J77" s="3"/>
      <c r="M77" s="41"/>
      <c r="N77" s="1" t="s">
        <v>7</v>
      </c>
      <c r="O77" s="4" t="str">
        <f>O$4</f>
        <v>12/31/22</v>
      </c>
      <c r="Q77" s="3"/>
    </row>
    <row r="78" spans="1:17" s="2" customFormat="1" x14ac:dyDescent="0.2">
      <c r="A78" s="1" t="s">
        <v>11</v>
      </c>
      <c r="C78" s="1" t="s">
        <v>85</v>
      </c>
      <c r="H78" s="3" t="s">
        <v>12</v>
      </c>
      <c r="I78" s="3"/>
      <c r="J78" s="3"/>
      <c r="M78" s="41"/>
      <c r="N78" s="1" t="s">
        <v>13</v>
      </c>
      <c r="O78" s="4" t="str">
        <f>O$5</f>
        <v>12/31/23</v>
      </c>
      <c r="Q78" s="3"/>
    </row>
    <row r="79" spans="1:17" s="2" customFormat="1" x14ac:dyDescent="0.2">
      <c r="M79" s="41"/>
      <c r="N79" s="2" t="s">
        <v>14</v>
      </c>
      <c r="O79" s="4" t="str">
        <f>O$6</f>
        <v>12/31/24</v>
      </c>
      <c r="Q79" s="3"/>
    </row>
    <row r="80" spans="1:17" s="2" customFormat="1" x14ac:dyDescent="0.2">
      <c r="A80" s="68" t="str">
        <f>A$7</f>
        <v xml:space="preserve">DOCKET NO.:  </v>
      </c>
      <c r="C80" s="40" t="s">
        <v>88</v>
      </c>
      <c r="M80" s="41"/>
      <c r="N80" s="2" t="s">
        <v>18</v>
      </c>
      <c r="O80" s="2" t="s">
        <v>411</v>
      </c>
      <c r="Q80" s="3"/>
    </row>
    <row r="81" spans="1:17" s="2" customFormat="1" x14ac:dyDescent="0.2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8"/>
      <c r="L81" s="8"/>
      <c r="M81" s="42"/>
      <c r="N81" s="77"/>
      <c r="O81" s="77"/>
      <c r="Q81" s="3"/>
    </row>
    <row r="82" spans="1:17" x14ac:dyDescent="0.2">
      <c r="B82" s="133"/>
      <c r="M82" s="41"/>
    </row>
    <row r="83" spans="1:17" x14ac:dyDescent="0.2">
      <c r="A83" s="37" t="s">
        <v>107</v>
      </c>
      <c r="C83" s="41"/>
      <c r="D83" s="41" t="s">
        <v>165</v>
      </c>
      <c r="E83" s="41">
        <v>2023</v>
      </c>
      <c r="F83" s="41">
        <v>2023</v>
      </c>
      <c r="G83" s="41"/>
      <c r="H83" s="41">
        <v>2024</v>
      </c>
      <c r="I83" s="41">
        <v>2024</v>
      </c>
      <c r="J83" s="41"/>
    </row>
    <row r="84" spans="1:17" x14ac:dyDescent="0.2">
      <c r="A84" s="42" t="s">
        <v>364</v>
      </c>
      <c r="B84" s="134" t="s">
        <v>108</v>
      </c>
      <c r="C84" s="135" t="s">
        <v>365</v>
      </c>
      <c r="D84" s="42" t="s">
        <v>167</v>
      </c>
      <c r="E84" s="42" t="s">
        <v>168</v>
      </c>
      <c r="F84" s="42" t="s">
        <v>382</v>
      </c>
      <c r="G84" s="41"/>
      <c r="H84" s="42" t="s">
        <v>168</v>
      </c>
      <c r="I84" s="42" t="s">
        <v>382</v>
      </c>
      <c r="J84" s="41"/>
      <c r="K84" s="291"/>
      <c r="M84" s="42" t="s">
        <v>105</v>
      </c>
    </row>
    <row r="85" spans="1:17" x14ac:dyDescent="0.2">
      <c r="A85" s="41">
        <v>1</v>
      </c>
      <c r="B85" s="41">
        <v>880</v>
      </c>
      <c r="C85" s="37" t="s">
        <v>218</v>
      </c>
      <c r="D85" s="126">
        <f>+'IRR 202 Detail '!L23</f>
        <v>45232</v>
      </c>
      <c r="E85" s="41">
        <v>1</v>
      </c>
      <c r="F85" s="127">
        <f>+'IRR 202 Detail '!X23</f>
        <v>14903.035778610001</v>
      </c>
      <c r="G85" s="67"/>
      <c r="H85" s="41"/>
      <c r="I85" s="127">
        <f>+'IRR 202 Detail '!AD23</f>
        <v>93889.125405243016</v>
      </c>
      <c r="J85" s="62"/>
      <c r="K85" s="291"/>
      <c r="M85" s="41" t="s">
        <v>115</v>
      </c>
      <c r="Q85" s="41">
        <f>+E85</f>
        <v>1</v>
      </c>
    </row>
    <row r="86" spans="1:17" x14ac:dyDescent="0.2">
      <c r="A86" s="41">
        <f>+A85+1</f>
        <v>2</v>
      </c>
      <c r="B86" s="41">
        <v>880</v>
      </c>
      <c r="C86" s="37" t="s">
        <v>219</v>
      </c>
      <c r="D86" s="126">
        <f>+'IRR 202 Detail '!L26</f>
        <v>45231</v>
      </c>
      <c r="E86" s="41">
        <v>1</v>
      </c>
      <c r="F86" s="62">
        <f>+'IRR 202 Detail '!X26</f>
        <v>14903.035778610001</v>
      </c>
      <c r="G86" s="67"/>
      <c r="H86" s="41"/>
      <c r="I86" s="62">
        <f>+'IRR 202 Detail '!AD26</f>
        <v>93889.125405243016</v>
      </c>
      <c r="J86" s="62"/>
      <c r="K86" s="291"/>
      <c r="M86" s="41" t="s">
        <v>115</v>
      </c>
      <c r="Q86" s="41">
        <f t="shared" ref="Q86:Q89" si="7">+E86</f>
        <v>1</v>
      </c>
    </row>
    <row r="87" spans="1:17" x14ac:dyDescent="0.2">
      <c r="A87" s="41">
        <f t="shared" ref="A87:A97" si="8">+A86+1</f>
        <v>3</v>
      </c>
      <c r="B87" s="41">
        <v>880</v>
      </c>
      <c r="C87" s="37" t="s">
        <v>398</v>
      </c>
      <c r="D87" s="126">
        <f>+'IRR 202 Detail '!L56</f>
        <v>44958</v>
      </c>
      <c r="E87" s="41">
        <v>1</v>
      </c>
      <c r="F87" s="62">
        <f>+'IRR 202 Detail '!X56</f>
        <v>54247.507316506359</v>
      </c>
      <c r="G87" s="67"/>
      <c r="H87" s="41"/>
      <c r="I87" s="62">
        <f>+'IRR 202 Detail '!AD56</f>
        <v>62138.053835270926</v>
      </c>
      <c r="J87" s="62"/>
      <c r="K87" s="291"/>
      <c r="M87" s="41" t="s">
        <v>120</v>
      </c>
      <c r="Q87" s="41">
        <f t="shared" si="7"/>
        <v>1</v>
      </c>
    </row>
    <row r="88" spans="1:17" x14ac:dyDescent="0.2">
      <c r="A88" s="41">
        <f t="shared" si="8"/>
        <v>4</v>
      </c>
      <c r="B88" s="41">
        <v>880</v>
      </c>
      <c r="C88" s="37" t="s">
        <v>399</v>
      </c>
      <c r="D88" s="126">
        <f>+'IRR 202 Detail '!L57</f>
        <v>44927</v>
      </c>
      <c r="E88" s="41">
        <v>1</v>
      </c>
      <c r="F88" s="62">
        <f>+'IRR 202 Detail '!X57</f>
        <v>62293.788306036011</v>
      </c>
      <c r="G88" s="67"/>
      <c r="H88" s="41"/>
      <c r="I88" s="62">
        <f>+'IRR 202 Detail '!AD57</f>
        <v>65408.477721337811</v>
      </c>
      <c r="J88" s="62"/>
      <c r="K88" s="291"/>
      <c r="M88" s="41" t="s">
        <v>120</v>
      </c>
      <c r="Q88" s="41">
        <f t="shared" si="7"/>
        <v>1</v>
      </c>
    </row>
    <row r="89" spans="1:17" x14ac:dyDescent="0.2">
      <c r="A89" s="41">
        <f t="shared" si="8"/>
        <v>5</v>
      </c>
      <c r="B89" s="41">
        <v>880</v>
      </c>
      <c r="C89" s="37" t="s">
        <v>400</v>
      </c>
      <c r="D89" s="126">
        <f>+'IRR 202 Detail '!L58</f>
        <v>45231</v>
      </c>
      <c r="E89" s="41">
        <v>2</v>
      </c>
      <c r="F89" s="62">
        <f>+'IRR 202 Detail '!X58</f>
        <v>20764.596102012001</v>
      </c>
      <c r="G89" s="67"/>
      <c r="H89" s="41"/>
      <c r="I89" s="62">
        <f>+'IRR 202 Detail '!AD58</f>
        <v>130816.95544267562</v>
      </c>
      <c r="J89" s="62"/>
      <c r="K89" s="291"/>
      <c r="M89" s="41" t="s">
        <v>120</v>
      </c>
      <c r="Q89" s="41">
        <f t="shared" si="7"/>
        <v>2</v>
      </c>
    </row>
    <row r="90" spans="1:17" x14ac:dyDescent="0.2">
      <c r="A90" s="41">
        <f t="shared" si="8"/>
        <v>6</v>
      </c>
      <c r="B90" s="41">
        <v>880</v>
      </c>
      <c r="C90" s="37" t="s">
        <v>378</v>
      </c>
      <c r="D90" s="126">
        <f>+'IRR 202 Detail '!L59</f>
        <v>45231</v>
      </c>
      <c r="E90" s="41">
        <v>1</v>
      </c>
      <c r="F90" s="62">
        <f>+'IRR 202 Detail '!X59</f>
        <v>12391.182964818001</v>
      </c>
      <c r="G90" s="67"/>
      <c r="H90" s="41"/>
      <c r="I90" s="62">
        <f>+'IRR 202 Detail '!AD59</f>
        <v>78064.452678353409</v>
      </c>
      <c r="J90" s="62"/>
      <c r="K90" s="291"/>
      <c r="M90" s="41" t="s">
        <v>120</v>
      </c>
    </row>
    <row r="91" spans="1:17" x14ac:dyDescent="0.2">
      <c r="A91" s="41">
        <f t="shared" si="8"/>
        <v>7</v>
      </c>
      <c r="B91" s="41">
        <v>880</v>
      </c>
      <c r="C91" s="37" t="s">
        <v>220</v>
      </c>
      <c r="D91" s="126">
        <f>+'IRR 202 Detail '!L60</f>
        <v>44927</v>
      </c>
      <c r="E91" s="41">
        <v>1</v>
      </c>
      <c r="F91" s="62">
        <f>+'IRR 202 Detail '!X60</f>
        <v>62293.788306036011</v>
      </c>
      <c r="G91" s="67"/>
      <c r="H91" s="41"/>
      <c r="I91" s="62">
        <f>+'IRR 202 Detail '!AD60</f>
        <v>65408.477721337811</v>
      </c>
      <c r="J91" s="62"/>
      <c r="K91" s="291"/>
      <c r="M91" s="41" t="s">
        <v>120</v>
      </c>
    </row>
    <row r="92" spans="1:17" x14ac:dyDescent="0.2">
      <c r="A92" s="41">
        <f t="shared" si="8"/>
        <v>8</v>
      </c>
      <c r="B92" s="41">
        <v>880</v>
      </c>
      <c r="C92" s="37" t="s">
        <v>221</v>
      </c>
      <c r="D92" s="126">
        <f>+'IRR 202 Detail '!L125</f>
        <v>45306</v>
      </c>
      <c r="E92" s="41"/>
      <c r="F92" s="67"/>
      <c r="G92" s="67"/>
      <c r="H92" s="41">
        <v>1</v>
      </c>
      <c r="I92" s="67">
        <f>+'IRR 202 Detail '!X125</f>
        <v>83326.598797153158</v>
      </c>
      <c r="J92" s="67"/>
      <c r="K92" s="291"/>
      <c r="M92" s="41" t="s">
        <v>115</v>
      </c>
    </row>
    <row r="93" spans="1:17" x14ac:dyDescent="0.2">
      <c r="A93" s="41">
        <f t="shared" si="8"/>
        <v>9</v>
      </c>
      <c r="B93" s="41">
        <v>880</v>
      </c>
      <c r="C93" s="37" t="s">
        <v>222</v>
      </c>
      <c r="D93" s="126">
        <f>+'IRR 202 Detail '!L127</f>
        <v>45308</v>
      </c>
      <c r="E93" s="41"/>
      <c r="F93" s="67"/>
      <c r="G93" s="67"/>
      <c r="H93" s="41">
        <v>1</v>
      </c>
      <c r="I93" s="67">
        <f>+'IRR 202 Detail '!X127</f>
        <v>81760.597151672264</v>
      </c>
      <c r="J93" s="67"/>
      <c r="K93" s="291"/>
      <c r="M93" s="41" t="s">
        <v>115</v>
      </c>
    </row>
    <row r="94" spans="1:17" x14ac:dyDescent="0.2">
      <c r="A94" s="41">
        <f t="shared" si="8"/>
        <v>10</v>
      </c>
      <c r="B94" s="41">
        <v>880</v>
      </c>
      <c r="C94" s="37" t="s">
        <v>223</v>
      </c>
      <c r="D94" s="126">
        <f>+'IRR 202 Detail '!L128</f>
        <v>45309</v>
      </c>
      <c r="E94" s="41"/>
      <c r="F94" s="67"/>
      <c r="G94" s="67"/>
      <c r="H94" s="41">
        <v>1</v>
      </c>
      <c r="I94" s="67">
        <f>+'IRR 202 Detail '!X128</f>
        <v>59625.568350038251</v>
      </c>
      <c r="J94" s="67"/>
      <c r="K94" s="291"/>
      <c r="M94" s="41" t="s">
        <v>115</v>
      </c>
    </row>
    <row r="95" spans="1:17" x14ac:dyDescent="0.2">
      <c r="A95" s="41">
        <f t="shared" si="8"/>
        <v>11</v>
      </c>
      <c r="B95" s="41">
        <v>880</v>
      </c>
      <c r="C95" s="37" t="s">
        <v>224</v>
      </c>
      <c r="D95" s="126">
        <f>+'IRR 202 Detail '!L136</f>
        <v>45309</v>
      </c>
      <c r="E95" s="41"/>
      <c r="F95" s="67"/>
      <c r="G95" s="67"/>
      <c r="H95" s="41">
        <v>1</v>
      </c>
      <c r="I95" s="67">
        <f>+'IRR 202 Detail '!X136</f>
        <v>74161.230044435739</v>
      </c>
      <c r="J95" s="67"/>
      <c r="K95" s="291"/>
      <c r="M95" s="41" t="s">
        <v>120</v>
      </c>
    </row>
    <row r="96" spans="1:17" x14ac:dyDescent="0.2">
      <c r="A96" s="41">
        <f t="shared" si="8"/>
        <v>12</v>
      </c>
      <c r="B96" s="41">
        <v>880</v>
      </c>
      <c r="C96" s="37" t="s">
        <v>225</v>
      </c>
      <c r="D96" s="126">
        <f>+'IRR 202 Detail '!L137</f>
        <v>45309</v>
      </c>
      <c r="E96" s="41"/>
      <c r="F96" s="67"/>
      <c r="G96" s="67"/>
      <c r="H96" s="41">
        <v>1</v>
      </c>
      <c r="I96" s="67">
        <f>+'IRR 202 Detail '!X137</f>
        <v>62138.053835270919</v>
      </c>
      <c r="J96" s="67"/>
      <c r="K96" s="291"/>
      <c r="M96" s="41" t="s">
        <v>120</v>
      </c>
    </row>
    <row r="97" spans="1:17" x14ac:dyDescent="0.2">
      <c r="A97" s="41">
        <f t="shared" si="8"/>
        <v>13</v>
      </c>
      <c r="B97" s="41" t="s">
        <v>226</v>
      </c>
      <c r="C97" s="62"/>
      <c r="D97" s="126"/>
      <c r="E97" s="129">
        <f>SUM(E85:E96)</f>
        <v>8</v>
      </c>
      <c r="F97" s="130">
        <f>SUM(F85:F96)</f>
        <v>241796.93455262837</v>
      </c>
      <c r="G97" s="67"/>
      <c r="H97" s="129">
        <f>SUM(H85:H96)</f>
        <v>5</v>
      </c>
      <c r="I97" s="130">
        <f>SUM(I85:I96)</f>
        <v>950626.71638803184</v>
      </c>
      <c r="J97" s="67"/>
      <c r="M97" s="41"/>
    </row>
    <row r="98" spans="1:17" x14ac:dyDescent="0.2">
      <c r="A98" s="41"/>
      <c r="B98" s="41"/>
      <c r="D98" s="126"/>
      <c r="E98" s="41"/>
      <c r="F98" s="62"/>
      <c r="G98" s="67"/>
      <c r="H98" s="41"/>
      <c r="I98" s="62"/>
      <c r="J98" s="62"/>
      <c r="M98" s="41"/>
    </row>
    <row r="99" spans="1:17" x14ac:dyDescent="0.2">
      <c r="A99" s="41">
        <f>+A97+1</f>
        <v>14</v>
      </c>
      <c r="B99" s="41">
        <v>887</v>
      </c>
      <c r="C99" s="37" t="s">
        <v>397</v>
      </c>
      <c r="D99" s="126">
        <f>+'IRR 202 Detail '!L71</f>
        <v>45231</v>
      </c>
      <c r="E99" s="41">
        <v>1</v>
      </c>
      <c r="F99" s="67">
        <f>+'IRR 202 Detail '!X71</f>
        <v>18628.794723262501</v>
      </c>
      <c r="G99" s="67"/>
      <c r="H99" s="41"/>
      <c r="I99" s="67">
        <f>+'IRR 202 Detail '!AD71+0.2</f>
        <v>117361.60675655375</v>
      </c>
      <c r="J99" s="67"/>
      <c r="K99" s="291"/>
      <c r="M99" s="41" t="s">
        <v>115</v>
      </c>
      <c r="Q99" s="41">
        <f>+E99</f>
        <v>1</v>
      </c>
    </row>
    <row r="100" spans="1:17" x14ac:dyDescent="0.2">
      <c r="A100" s="41">
        <f>+A99+1</f>
        <v>15</v>
      </c>
      <c r="B100" s="41">
        <v>887</v>
      </c>
      <c r="C100" s="37" t="s">
        <v>227</v>
      </c>
      <c r="D100" s="126">
        <f>+'IRR 202 Detail '!L150</f>
        <v>45292</v>
      </c>
      <c r="E100" s="41"/>
      <c r="F100" s="67"/>
      <c r="G100" s="67"/>
      <c r="H100" s="41">
        <v>1</v>
      </c>
      <c r="I100" s="67">
        <f>+'IRR 202 Detail '!X150</f>
        <v>117361.40675655376</v>
      </c>
      <c r="J100" s="67"/>
      <c r="K100" s="291"/>
      <c r="M100" s="41" t="s">
        <v>115</v>
      </c>
    </row>
    <row r="101" spans="1:17" x14ac:dyDescent="0.2">
      <c r="A101" s="41">
        <f>+A100+1</f>
        <v>16</v>
      </c>
      <c r="B101" s="41" t="s">
        <v>118</v>
      </c>
      <c r="C101" s="62"/>
      <c r="D101" s="126"/>
      <c r="E101" s="129">
        <f>SUM(E99:E100)</f>
        <v>1</v>
      </c>
      <c r="F101" s="130">
        <f>SUM(F99:F100)</f>
        <v>18628.794723262501</v>
      </c>
      <c r="G101" s="67"/>
      <c r="H101" s="129">
        <f>SUM(H99:H100)</f>
        <v>1</v>
      </c>
      <c r="I101" s="130">
        <f>SUM(I99:I100)</f>
        <v>234723.01351310749</v>
      </c>
      <c r="J101" s="67"/>
      <c r="M101" s="41"/>
    </row>
    <row r="102" spans="1:17" x14ac:dyDescent="0.2">
      <c r="A102" s="41"/>
      <c r="B102" s="41"/>
      <c r="D102" s="126"/>
      <c r="E102" s="41"/>
      <c r="F102" s="62"/>
      <c r="G102" s="67"/>
      <c r="H102" s="41"/>
      <c r="I102" s="62"/>
      <c r="J102" s="62"/>
      <c r="M102" s="41"/>
    </row>
    <row r="103" spans="1:17" x14ac:dyDescent="0.2">
      <c r="A103" s="41">
        <f>+A101+1</f>
        <v>17</v>
      </c>
      <c r="B103" s="41">
        <v>903</v>
      </c>
      <c r="C103" s="37" t="s">
        <v>228</v>
      </c>
      <c r="D103" s="126">
        <f>+'IRR 202 Detail '!L28</f>
        <v>45231</v>
      </c>
      <c r="E103" s="41">
        <v>3</v>
      </c>
      <c r="F103" s="62">
        <f>+'IRR 202 Detail '!X28</f>
        <v>28393.127785732497</v>
      </c>
      <c r="G103" s="67"/>
      <c r="H103" s="41"/>
      <c r="I103" s="62">
        <f>+'IRR 202 Detail '!AD28</f>
        <v>178876.70505011475</v>
      </c>
      <c r="J103" s="62"/>
      <c r="K103" s="291"/>
      <c r="M103" s="41" t="s">
        <v>115</v>
      </c>
    </row>
    <row r="104" spans="1:17" x14ac:dyDescent="0.2">
      <c r="A104" s="41">
        <f>+A103+1</f>
        <v>18</v>
      </c>
      <c r="B104" s="41">
        <v>903</v>
      </c>
      <c r="C104" s="37" t="s">
        <v>229</v>
      </c>
      <c r="D104" s="126">
        <f>+'IRR 202 Detail '!L29</f>
        <v>45232</v>
      </c>
      <c r="E104" s="41">
        <v>1</v>
      </c>
      <c r="F104" s="62">
        <f>+'IRR 202 Detail '!X29</f>
        <v>11239.202531409999</v>
      </c>
      <c r="G104" s="67"/>
      <c r="H104" s="41"/>
      <c r="I104" s="62">
        <f>+'IRR 202 Detail '!AD29</f>
        <v>70806.975947883009</v>
      </c>
      <c r="J104" s="62"/>
      <c r="K104" s="291"/>
      <c r="M104" s="41" t="s">
        <v>115</v>
      </c>
      <c r="Q104" s="41">
        <f>+E104</f>
        <v>1</v>
      </c>
    </row>
    <row r="105" spans="1:17" x14ac:dyDescent="0.2">
      <c r="A105" s="41">
        <f>+A104+1</f>
        <v>19</v>
      </c>
      <c r="B105" s="41">
        <v>903</v>
      </c>
      <c r="C105" s="37" t="s">
        <v>229</v>
      </c>
      <c r="D105" s="126">
        <f>+'IRR 202 Detail '!L30</f>
        <v>44927</v>
      </c>
      <c r="E105" s="41">
        <v>1</v>
      </c>
      <c r="F105" s="62">
        <f>+'IRR 202 Detail '!X30</f>
        <v>77867.235382545012</v>
      </c>
      <c r="G105" s="67"/>
      <c r="H105" s="41"/>
      <c r="I105" s="62">
        <f>+'IRR 202 Detail '!AD30</f>
        <v>81760.597151672264</v>
      </c>
      <c r="J105" s="62"/>
      <c r="K105" s="291"/>
      <c r="M105" s="41" t="s">
        <v>115</v>
      </c>
      <c r="Q105" s="41">
        <f t="shared" ref="Q105:Q106" si="9">+E105</f>
        <v>1</v>
      </c>
    </row>
    <row r="106" spans="1:17" x14ac:dyDescent="0.2">
      <c r="A106" s="41">
        <f t="shared" ref="A106:A107" si="10">+A105+1</f>
        <v>20</v>
      </c>
      <c r="B106" s="41">
        <v>903</v>
      </c>
      <c r="C106" s="37" t="s">
        <v>230</v>
      </c>
      <c r="D106" s="126">
        <f>+'IRR 202 Detail '!L31</f>
        <v>45200</v>
      </c>
      <c r="E106" s="41">
        <v>1</v>
      </c>
      <c r="F106" s="62">
        <f>+'IRR 202 Detail '!X31</f>
        <v>31920.158945640003</v>
      </c>
      <c r="G106" s="67"/>
      <c r="H106" s="41"/>
      <c r="I106" s="62">
        <f>+'IRR 202 Detail '!AD31</f>
        <v>134064.66757168801</v>
      </c>
      <c r="J106" s="62"/>
      <c r="K106" s="291"/>
      <c r="M106" s="41" t="s">
        <v>115</v>
      </c>
      <c r="Q106" s="41">
        <f t="shared" si="9"/>
        <v>1</v>
      </c>
    </row>
    <row r="107" spans="1:17" x14ac:dyDescent="0.2">
      <c r="A107" s="41">
        <f t="shared" si="10"/>
        <v>21</v>
      </c>
      <c r="B107" s="41" t="s">
        <v>123</v>
      </c>
      <c r="C107" s="62"/>
      <c r="D107" s="126"/>
      <c r="E107" s="129">
        <f>SUM(E103:E106)</f>
        <v>6</v>
      </c>
      <c r="F107" s="140">
        <f>SUM(F103:F106)</f>
        <v>149419.72464532751</v>
      </c>
      <c r="G107" s="67"/>
      <c r="H107" s="130">
        <f>SUM(H103:H106)</f>
        <v>0</v>
      </c>
      <c r="I107" s="140">
        <f>SUM(I103:I106)</f>
        <v>465508.945721358</v>
      </c>
      <c r="J107" s="67"/>
    </row>
    <row r="108" spans="1:17" s="2" customFormat="1" x14ac:dyDescent="0.2">
      <c r="A108" s="1" t="s">
        <v>0</v>
      </c>
      <c r="H108" s="3" t="s">
        <v>1</v>
      </c>
      <c r="I108" s="3"/>
      <c r="J108" s="3"/>
      <c r="K108" s="41"/>
      <c r="L108" s="41"/>
      <c r="N108" s="1" t="s">
        <v>380</v>
      </c>
      <c r="Q108" s="3"/>
    </row>
    <row r="109" spans="1:17" s="2" customFormat="1" x14ac:dyDescent="0.2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42"/>
      <c r="L109" s="42"/>
      <c r="M109" s="77"/>
      <c r="N109" s="77"/>
      <c r="O109" s="77"/>
      <c r="Q109" s="3"/>
    </row>
    <row r="110" spans="1:17" s="2" customFormat="1" x14ac:dyDescent="0.2">
      <c r="A110" s="1" t="s">
        <v>3</v>
      </c>
      <c r="H110" s="3" t="s">
        <v>4</v>
      </c>
      <c r="I110" s="3"/>
      <c r="J110" s="3"/>
      <c r="K110" s="41"/>
      <c r="L110" s="41"/>
      <c r="N110" s="1" t="s">
        <v>5</v>
      </c>
      <c r="Q110" s="3"/>
    </row>
    <row r="111" spans="1:17" s="2" customFormat="1" x14ac:dyDescent="0.2">
      <c r="H111" s="3" t="s">
        <v>6</v>
      </c>
      <c r="I111" s="3"/>
      <c r="J111" s="3"/>
      <c r="K111" s="41"/>
      <c r="L111" s="41"/>
      <c r="N111" s="1" t="s">
        <v>7</v>
      </c>
      <c r="O111" s="4" t="str">
        <f>O$4</f>
        <v>12/31/22</v>
      </c>
      <c r="Q111" s="3"/>
    </row>
    <row r="112" spans="1:17" s="2" customFormat="1" x14ac:dyDescent="0.2">
      <c r="A112" s="1" t="s">
        <v>11</v>
      </c>
      <c r="C112" s="1" t="s">
        <v>85</v>
      </c>
      <c r="H112" s="3" t="s">
        <v>12</v>
      </c>
      <c r="I112" s="3"/>
      <c r="J112" s="3"/>
      <c r="K112" s="41"/>
      <c r="L112" s="41"/>
      <c r="N112" s="1" t="s">
        <v>13</v>
      </c>
      <c r="O112" s="4" t="str">
        <f>O$5</f>
        <v>12/31/23</v>
      </c>
      <c r="Q112" s="3"/>
    </row>
    <row r="113" spans="1:18" s="2" customFormat="1" x14ac:dyDescent="0.2">
      <c r="K113" s="41"/>
      <c r="L113" s="41"/>
      <c r="N113" s="2" t="s">
        <v>14</v>
      </c>
      <c r="O113" s="4" t="str">
        <f>O$6</f>
        <v>12/31/24</v>
      </c>
      <c r="Q113" s="3"/>
    </row>
    <row r="114" spans="1:18" s="2" customFormat="1" x14ac:dyDescent="0.2">
      <c r="A114" s="68" t="str">
        <f>A$7</f>
        <v xml:space="preserve">DOCKET NO.:  </v>
      </c>
      <c r="C114" s="40" t="s">
        <v>88</v>
      </c>
      <c r="K114" s="41"/>
      <c r="L114" s="41"/>
      <c r="M114" s="132"/>
      <c r="N114" s="2" t="s">
        <v>18</v>
      </c>
      <c r="O114" s="2" t="s">
        <v>412</v>
      </c>
      <c r="Q114" s="3"/>
    </row>
    <row r="115" spans="1:18" s="2" customFormat="1" x14ac:dyDescent="0.2">
      <c r="A115" s="68"/>
      <c r="C115" s="40"/>
      <c r="K115" s="41"/>
      <c r="L115" s="41"/>
      <c r="M115" s="132"/>
      <c r="O115" s="2" t="s">
        <v>413</v>
      </c>
      <c r="Q115" s="3"/>
    </row>
    <row r="116" spans="1:18" s="2" customFormat="1" x14ac:dyDescent="0.2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42"/>
      <c r="L116" s="42"/>
      <c r="M116" s="77"/>
      <c r="N116" s="77"/>
      <c r="O116" s="8" t="s">
        <v>414</v>
      </c>
      <c r="Q116" s="3"/>
      <c r="R116" s="118"/>
    </row>
    <row r="117" spans="1:18" x14ac:dyDescent="0.2">
      <c r="A117" s="41"/>
      <c r="B117" s="41"/>
      <c r="E117" s="41"/>
      <c r="F117" s="62"/>
      <c r="G117" s="67"/>
      <c r="H117" s="41"/>
      <c r="I117" s="62"/>
      <c r="J117" s="62"/>
    </row>
    <row r="118" spans="1:18" x14ac:dyDescent="0.2">
      <c r="A118" s="37" t="s">
        <v>107</v>
      </c>
      <c r="C118" s="41"/>
      <c r="D118" s="41" t="s">
        <v>165</v>
      </c>
      <c r="E118" s="41">
        <v>2023</v>
      </c>
      <c r="F118" s="41">
        <v>2023</v>
      </c>
      <c r="G118" s="41"/>
      <c r="H118" s="41">
        <v>2024</v>
      </c>
      <c r="I118" s="41">
        <v>2024</v>
      </c>
      <c r="J118" s="41"/>
    </row>
    <row r="119" spans="1:18" x14ac:dyDescent="0.2">
      <c r="A119" s="42" t="s">
        <v>364</v>
      </c>
      <c r="B119" s="134" t="s">
        <v>108</v>
      </c>
      <c r="C119" s="135" t="s">
        <v>365</v>
      </c>
      <c r="D119" s="42" t="s">
        <v>167</v>
      </c>
      <c r="E119" s="42" t="s">
        <v>168</v>
      </c>
      <c r="F119" s="42" t="s">
        <v>382</v>
      </c>
      <c r="G119" s="41"/>
      <c r="H119" s="42" t="s">
        <v>168</v>
      </c>
      <c r="I119" s="42" t="s">
        <v>382</v>
      </c>
      <c r="J119" s="41"/>
      <c r="M119" s="42" t="s">
        <v>105</v>
      </c>
    </row>
    <row r="120" spans="1:18" x14ac:dyDescent="0.2">
      <c r="A120" s="41">
        <v>1</v>
      </c>
      <c r="B120" s="41">
        <v>920</v>
      </c>
      <c r="C120" s="37" t="s">
        <v>231</v>
      </c>
      <c r="D120" s="126">
        <f>+'IRR 202 Detail '!L51</f>
        <v>45231</v>
      </c>
      <c r="E120" s="41">
        <v>1</v>
      </c>
      <c r="F120" s="127">
        <f>+'IRR 202 Detail '!X51</f>
        <v>12977.872563757501</v>
      </c>
      <c r="G120" s="67"/>
      <c r="H120" s="41"/>
      <c r="I120" s="127">
        <f>+'IRR 202 Detail '!AD51</f>
        <v>81760.597151672264</v>
      </c>
      <c r="J120" s="41"/>
      <c r="K120" s="291"/>
      <c r="M120" s="41" t="s">
        <v>120</v>
      </c>
    </row>
    <row r="121" spans="1:18" x14ac:dyDescent="0.2">
      <c r="A121" s="41">
        <f>+A120+1</f>
        <v>2</v>
      </c>
      <c r="B121" s="41">
        <v>920</v>
      </c>
      <c r="C121" s="37" t="s">
        <v>232</v>
      </c>
      <c r="D121" s="126">
        <f>+'IRR 202 Detail '!L52</f>
        <v>45231</v>
      </c>
      <c r="E121" s="41">
        <v>1</v>
      </c>
      <c r="F121" s="62">
        <f>+'IRR 202 Detail '!X52</f>
        <v>12977.872563757501</v>
      </c>
      <c r="G121" s="67"/>
      <c r="H121" s="41"/>
      <c r="I121" s="62">
        <f>+'IRR 202 Detail '!AD52</f>
        <v>81760.597151672264</v>
      </c>
      <c r="J121" s="62"/>
      <c r="K121" s="291"/>
      <c r="M121" s="41" t="s">
        <v>120</v>
      </c>
    </row>
    <row r="122" spans="1:18" x14ac:dyDescent="0.2">
      <c r="A122" s="41">
        <f>+A121+1</f>
        <v>3</v>
      </c>
      <c r="B122" s="41">
        <v>920</v>
      </c>
      <c r="C122" s="37" t="s">
        <v>233</v>
      </c>
      <c r="D122" s="126">
        <f>+'IRR 202 Detail '!L53</f>
        <v>45231</v>
      </c>
      <c r="E122" s="41">
        <v>1</v>
      </c>
      <c r="F122" s="62">
        <f>+'IRR 202 Detail '!X53</f>
        <v>23845.204480614997</v>
      </c>
      <c r="G122" s="67"/>
      <c r="H122" s="41"/>
      <c r="I122" s="62">
        <f>+'IRR 202 Detail '!AD53</f>
        <v>150224.78822787449</v>
      </c>
      <c r="J122" s="62"/>
      <c r="K122" s="291"/>
      <c r="M122" s="41" t="s">
        <v>120</v>
      </c>
    </row>
    <row r="123" spans="1:18" x14ac:dyDescent="0.2">
      <c r="A123" s="41">
        <f t="shared" ref="A123:A163" si="11">+A122+1</f>
        <v>4</v>
      </c>
      <c r="B123" s="41">
        <v>920</v>
      </c>
      <c r="C123" s="37" t="s">
        <v>234</v>
      </c>
      <c r="D123" s="126">
        <f>+'IRR 202 Detail '!L54</f>
        <v>44958</v>
      </c>
      <c r="E123" s="41">
        <v>1</v>
      </c>
      <c r="F123" s="62">
        <f>+'IRR 202 Detail '!X54</f>
        <v>71378.299100666263</v>
      </c>
      <c r="G123" s="67"/>
      <c r="H123" s="41"/>
      <c r="I123" s="62">
        <f>+'IRR 202 Detail '!AD54</f>
        <v>81760.597151672264</v>
      </c>
      <c r="J123" s="62"/>
      <c r="K123" s="291"/>
      <c r="M123" s="41" t="s">
        <v>120</v>
      </c>
    </row>
    <row r="124" spans="1:18" x14ac:dyDescent="0.2">
      <c r="A124" s="41">
        <f t="shared" si="11"/>
        <v>5</v>
      </c>
      <c r="B124" s="41">
        <v>920</v>
      </c>
      <c r="C124" s="37" t="s">
        <v>235</v>
      </c>
      <c r="D124" s="126">
        <f>+'IRR 202 Detail '!L55</f>
        <v>45231</v>
      </c>
      <c r="E124" s="41">
        <v>1</v>
      </c>
      <c r="F124" s="62">
        <f>+'IRR 202 Detail '!X55</f>
        <v>12977.872563757501</v>
      </c>
      <c r="G124" s="67"/>
      <c r="H124" s="41"/>
      <c r="I124" s="62">
        <f>+'IRR 202 Detail '!AD55</f>
        <v>81760.597151672264</v>
      </c>
      <c r="J124" s="62"/>
      <c r="K124" s="291"/>
      <c r="M124" s="41" t="s">
        <v>120</v>
      </c>
    </row>
    <row r="125" spans="1:18" x14ac:dyDescent="0.2">
      <c r="A125" s="41">
        <f t="shared" si="11"/>
        <v>6</v>
      </c>
      <c r="B125" s="41">
        <v>920</v>
      </c>
      <c r="C125" s="37" t="s">
        <v>420</v>
      </c>
      <c r="D125" s="126">
        <f>+'IRR 202 Detail '!L63</f>
        <v>45231</v>
      </c>
      <c r="E125" s="41">
        <v>1</v>
      </c>
      <c r="F125" s="62">
        <f>+'IRR 202 Detail '!X63</f>
        <v>3893.3617691272539</v>
      </c>
      <c r="G125" s="67"/>
      <c r="H125" s="41"/>
      <c r="I125" s="62">
        <f>+'IRR 202 Detail '!AD63</f>
        <v>24528.179145501705</v>
      </c>
      <c r="J125" s="62"/>
      <c r="K125" s="291"/>
      <c r="M125" s="41" t="s">
        <v>133</v>
      </c>
      <c r="Q125" s="41">
        <f>+E125</f>
        <v>1</v>
      </c>
    </row>
    <row r="126" spans="1:18" x14ac:dyDescent="0.2">
      <c r="A126" s="41">
        <f t="shared" si="11"/>
        <v>7</v>
      </c>
      <c r="B126" s="41">
        <v>920</v>
      </c>
      <c r="C126" s="37" t="s">
        <v>421</v>
      </c>
      <c r="D126" s="126">
        <f>+'IRR 202 Detail '!L64</f>
        <v>45231</v>
      </c>
      <c r="E126" s="41">
        <v>1</v>
      </c>
      <c r="F126" s="62">
        <f>+'IRR 202 Detail '!X64</f>
        <v>7786.7235382545005</v>
      </c>
      <c r="G126" s="67"/>
      <c r="H126" s="41"/>
      <c r="I126" s="62">
        <f>+'IRR 202 Detail '!AD64</f>
        <v>49056.358291003358</v>
      </c>
      <c r="J126" s="62"/>
      <c r="K126" s="291"/>
      <c r="M126" s="41" t="s">
        <v>133</v>
      </c>
      <c r="Q126" s="41">
        <f t="shared" ref="Q126:Q130" si="12">+E126</f>
        <v>1</v>
      </c>
    </row>
    <row r="127" spans="1:18" x14ac:dyDescent="0.2">
      <c r="A127" s="41">
        <f t="shared" si="11"/>
        <v>8</v>
      </c>
      <c r="B127" s="41">
        <v>920</v>
      </c>
      <c r="C127" s="37" t="s">
        <v>422</v>
      </c>
      <c r="D127" s="126">
        <f>+'IRR 202 Detail '!L65</f>
        <v>45231</v>
      </c>
      <c r="E127" s="41">
        <v>1</v>
      </c>
      <c r="F127" s="62">
        <f>+'IRR 202 Detail '!X65</f>
        <v>13832.068876443996</v>
      </c>
      <c r="G127" s="67"/>
      <c r="H127" s="41"/>
      <c r="I127" s="62">
        <f>+'IRR 202 Detail '!AD65</f>
        <v>87142.033921597191</v>
      </c>
      <c r="J127" s="62"/>
      <c r="K127" s="291"/>
      <c r="M127" s="41" t="s">
        <v>133</v>
      </c>
      <c r="Q127" s="41">
        <f t="shared" si="12"/>
        <v>1</v>
      </c>
    </row>
    <row r="128" spans="1:18" x14ac:dyDescent="0.2">
      <c r="A128" s="41">
        <f t="shared" si="11"/>
        <v>9</v>
      </c>
      <c r="B128" s="41">
        <v>920</v>
      </c>
      <c r="C128" s="37" t="s">
        <v>423</v>
      </c>
      <c r="D128" s="126">
        <f>+'IRR 202 Detail '!L66</f>
        <v>45231</v>
      </c>
      <c r="E128" s="41">
        <v>1</v>
      </c>
      <c r="F128" s="62">
        <f>+'IRR 202 Detail '!X66</f>
        <v>10382.298051006001</v>
      </c>
      <c r="G128" s="67"/>
      <c r="H128" s="41"/>
      <c r="I128" s="62">
        <f>+'IRR 202 Detail '!AD66</f>
        <v>65408.477721337811</v>
      </c>
      <c r="J128" s="62"/>
      <c r="K128" s="291"/>
      <c r="M128" s="41" t="s">
        <v>133</v>
      </c>
      <c r="Q128" s="41">
        <f t="shared" si="12"/>
        <v>1</v>
      </c>
    </row>
    <row r="129" spans="1:17" x14ac:dyDescent="0.2">
      <c r="A129" s="41">
        <f t="shared" si="11"/>
        <v>10</v>
      </c>
      <c r="B129" s="41">
        <v>920</v>
      </c>
      <c r="C129" s="37" t="s">
        <v>424</v>
      </c>
      <c r="D129" s="126">
        <f>+'IRR 202 Detail '!L67</f>
        <v>45231</v>
      </c>
      <c r="E129" s="41">
        <v>1</v>
      </c>
      <c r="F129" s="62">
        <f>+'IRR 202 Detail '!X67</f>
        <v>0</v>
      </c>
      <c r="G129" s="67"/>
      <c r="H129" s="41"/>
      <c r="I129" s="62">
        <f>+'IRR 202 Detail '!AD67</f>
        <v>0</v>
      </c>
      <c r="J129" s="62"/>
      <c r="K129" s="291"/>
      <c r="M129" s="41" t="s">
        <v>133</v>
      </c>
      <c r="Q129" s="41">
        <f t="shared" si="12"/>
        <v>1</v>
      </c>
    </row>
    <row r="130" spans="1:17" x14ac:dyDescent="0.2">
      <c r="A130" s="41">
        <f t="shared" si="11"/>
        <v>11</v>
      </c>
      <c r="B130" s="41">
        <v>920</v>
      </c>
      <c r="C130" s="37" t="s">
        <v>425</v>
      </c>
      <c r="D130" s="126">
        <f>+'IRR 202 Detail '!L68</f>
        <v>45231</v>
      </c>
      <c r="E130" s="41">
        <v>1</v>
      </c>
      <c r="F130" s="62">
        <f>+'IRR 202 Detail '!X68</f>
        <v>11922.602240307499</v>
      </c>
      <c r="G130" s="67"/>
      <c r="H130" s="41"/>
      <c r="I130" s="62">
        <f>+'IRR 202 Detail '!AD68</f>
        <v>75112.394113937247</v>
      </c>
      <c r="J130" s="62"/>
      <c r="K130" s="291"/>
      <c r="M130" s="41" t="s">
        <v>133</v>
      </c>
      <c r="Q130" s="41">
        <f t="shared" si="12"/>
        <v>1</v>
      </c>
    </row>
    <row r="131" spans="1:17" x14ac:dyDescent="0.2">
      <c r="A131" s="41">
        <f t="shared" si="11"/>
        <v>12</v>
      </c>
      <c r="B131" s="41">
        <v>920</v>
      </c>
      <c r="C131" s="37" t="s">
        <v>242</v>
      </c>
      <c r="D131" s="126">
        <f>+'IRR 202 Detail '!L74</f>
        <v>45231</v>
      </c>
      <c r="E131" s="41">
        <v>1</v>
      </c>
      <c r="F131" s="62">
        <f>+'IRR 202 Detail '!X74</f>
        <v>12977.872563757501</v>
      </c>
      <c r="G131" s="67"/>
      <c r="H131" s="41"/>
      <c r="I131" s="62">
        <f>+'IRR 202 Detail '!AD74</f>
        <v>81760.597151672264</v>
      </c>
      <c r="J131" s="62"/>
      <c r="K131" s="291"/>
      <c r="M131" s="41" t="s">
        <v>132</v>
      </c>
    </row>
    <row r="132" spans="1:17" x14ac:dyDescent="0.2">
      <c r="A132" s="41">
        <f t="shared" si="11"/>
        <v>13</v>
      </c>
      <c r="B132" s="41">
        <v>920</v>
      </c>
      <c r="C132" s="37" t="s">
        <v>243</v>
      </c>
      <c r="D132" s="126">
        <f>+'IRR 202 Detail '!L75</f>
        <v>45231</v>
      </c>
      <c r="E132" s="41">
        <v>1</v>
      </c>
      <c r="F132" s="62">
        <f>+'IRR 202 Detail '!X75</f>
        <v>21280.105963760001</v>
      </c>
      <c r="G132" s="67"/>
      <c r="H132" s="41"/>
      <c r="I132" s="62">
        <f>+'IRR 202 Detail '!AD75</f>
        <v>134064.66757168801</v>
      </c>
      <c r="J132" s="62"/>
      <c r="K132" s="291"/>
      <c r="M132" s="41" t="s">
        <v>132</v>
      </c>
    </row>
    <row r="133" spans="1:17" x14ac:dyDescent="0.2">
      <c r="A133" s="41">
        <f t="shared" si="11"/>
        <v>14</v>
      </c>
      <c r="B133" s="41">
        <v>920</v>
      </c>
      <c r="C133" s="37" t="s">
        <v>244</v>
      </c>
      <c r="D133" s="126">
        <f>+'IRR 202 Detail '!L78</f>
        <v>45231</v>
      </c>
      <c r="E133" s="41">
        <v>1</v>
      </c>
      <c r="F133" s="62">
        <f>+'IRR 202 Detail '!X78</f>
        <v>12977.872563757501</v>
      </c>
      <c r="G133" s="67"/>
      <c r="H133" s="41"/>
      <c r="I133" s="62">
        <f>+'IRR 202 Detail '!AD78</f>
        <v>81760.597151672264</v>
      </c>
      <c r="J133" s="62"/>
      <c r="K133" s="291"/>
      <c r="M133" s="41" t="s">
        <v>115</v>
      </c>
    </row>
    <row r="134" spans="1:17" x14ac:dyDescent="0.2">
      <c r="A134" s="41">
        <f t="shared" si="11"/>
        <v>15</v>
      </c>
      <c r="B134" s="41">
        <v>920</v>
      </c>
      <c r="C134" s="37" t="s">
        <v>387</v>
      </c>
      <c r="D134" s="126">
        <f>+'IRR 202 Detail '!L81</f>
        <v>44986</v>
      </c>
      <c r="E134" s="41">
        <v>1</v>
      </c>
      <c r="F134" s="62">
        <f>+'IRR 202 Detail '!X81</f>
        <v>59613.011201537498</v>
      </c>
      <c r="G134" s="67"/>
      <c r="H134" s="41"/>
      <c r="I134" s="62">
        <f>+'IRR 202 Detail '!AD81</f>
        <v>75112.394113937247</v>
      </c>
      <c r="J134" s="62"/>
      <c r="K134" s="291"/>
      <c r="M134" s="41" t="s">
        <v>132</v>
      </c>
      <c r="Q134" s="41">
        <f>+E134</f>
        <v>1</v>
      </c>
    </row>
    <row r="135" spans="1:17" x14ac:dyDescent="0.2">
      <c r="A135" s="41">
        <f t="shared" si="11"/>
        <v>16</v>
      </c>
      <c r="B135" s="41">
        <v>920</v>
      </c>
      <c r="C135" s="37" t="s">
        <v>394</v>
      </c>
      <c r="D135" s="126">
        <f>+'IRR 202 Detail '!L82</f>
        <v>45231</v>
      </c>
      <c r="E135" s="41">
        <v>1</v>
      </c>
      <c r="F135" s="62">
        <f>+'IRR 202 Detail '!X82</f>
        <v>16691.643136430495</v>
      </c>
      <c r="G135" s="67"/>
      <c r="H135" s="41"/>
      <c r="I135" s="62">
        <f>+'IRR 202 Detail '!AD82</f>
        <v>105157.35175951214</v>
      </c>
      <c r="J135" s="62"/>
      <c r="K135" s="291"/>
      <c r="M135" s="41" t="s">
        <v>132</v>
      </c>
      <c r="Q135" s="41">
        <f t="shared" ref="Q135" si="13">+E135</f>
        <v>1</v>
      </c>
    </row>
    <row r="136" spans="1:17" x14ac:dyDescent="0.2">
      <c r="A136" s="41">
        <f t="shared" si="11"/>
        <v>17</v>
      </c>
      <c r="B136" s="41">
        <v>920</v>
      </c>
      <c r="C136" s="37" t="s">
        <v>433</v>
      </c>
      <c r="D136" s="126">
        <f>+'IRR 202 Detail '!L85</f>
        <v>44958</v>
      </c>
      <c r="E136" s="41">
        <v>1</v>
      </c>
      <c r="F136" s="62">
        <f>+'IRR 202 Detail '!X85</f>
        <v>85189.382883123748</v>
      </c>
      <c r="G136" s="67"/>
      <c r="H136" s="41"/>
      <c r="I136" s="62">
        <f>+'IRR 202 Detail '!AD85</f>
        <v>97580.565847941762</v>
      </c>
      <c r="J136" s="62"/>
      <c r="K136" s="291"/>
      <c r="M136" s="41" t="s">
        <v>112</v>
      </c>
      <c r="Q136" s="41">
        <f>+E136</f>
        <v>1</v>
      </c>
    </row>
    <row r="137" spans="1:17" x14ac:dyDescent="0.2">
      <c r="A137" s="41">
        <f t="shared" si="11"/>
        <v>18</v>
      </c>
      <c r="B137" s="41">
        <v>920</v>
      </c>
      <c r="C137" s="37" t="s">
        <v>431</v>
      </c>
      <c r="D137" s="126">
        <f>+'IRR 202 Detail '!L86</f>
        <v>45231</v>
      </c>
      <c r="E137" s="41">
        <v>1</v>
      </c>
      <c r="F137" s="62">
        <f>+'IRR 202 Detail '!X86</f>
        <v>7157.0227621899994</v>
      </c>
      <c r="G137" s="67"/>
      <c r="H137" s="41"/>
      <c r="I137" s="62">
        <f>+'IRR 202 Detail '!AD86</f>
        <v>45089.243401797001</v>
      </c>
      <c r="J137" s="62"/>
      <c r="K137" s="291"/>
      <c r="M137" s="41" t="s">
        <v>112</v>
      </c>
    </row>
    <row r="138" spans="1:17" x14ac:dyDescent="0.2">
      <c r="A138" s="41">
        <f t="shared" si="11"/>
        <v>19</v>
      </c>
      <c r="B138" s="41">
        <v>920</v>
      </c>
      <c r="C138" s="37" t="s">
        <v>434</v>
      </c>
      <c r="D138" s="126">
        <f>+'IRR 202 Detail '!L87</f>
        <v>45231</v>
      </c>
      <c r="E138" s="41">
        <v>1</v>
      </c>
      <c r="F138" s="62">
        <f>+'IRR 202 Detail '!X87</f>
        <v>21280.105963760001</v>
      </c>
      <c r="G138" s="67"/>
      <c r="H138" s="41"/>
      <c r="I138" s="62">
        <f>+'IRR 202 Detail '!AD87</f>
        <v>134064.66757168801</v>
      </c>
      <c r="J138" s="62"/>
      <c r="K138" s="291"/>
      <c r="M138" s="41" t="s">
        <v>112</v>
      </c>
    </row>
    <row r="139" spans="1:17" x14ac:dyDescent="0.2">
      <c r="A139" s="41">
        <f t="shared" si="11"/>
        <v>20</v>
      </c>
      <c r="B139" s="41">
        <v>920</v>
      </c>
      <c r="C139" s="37" t="s">
        <v>435</v>
      </c>
      <c r="D139" s="126">
        <f>+'IRR 202 Detail '!L88</f>
        <v>44958</v>
      </c>
      <c r="E139" s="41">
        <v>1</v>
      </c>
      <c r="F139" s="62">
        <f>+'IRR 202 Detail '!X88</f>
        <v>102458.37097794375</v>
      </c>
      <c r="G139" s="67"/>
      <c r="H139" s="41"/>
      <c r="I139" s="62">
        <f>+'IRR 202 Detail '!AD88</f>
        <v>117361.40675655376</v>
      </c>
      <c r="J139" s="62"/>
      <c r="K139" s="291"/>
      <c r="M139" s="41" t="s">
        <v>112</v>
      </c>
      <c r="Q139" s="41">
        <f t="shared" ref="Q139:Q140" si="14">+E139</f>
        <v>1</v>
      </c>
    </row>
    <row r="140" spans="1:17" x14ac:dyDescent="0.2">
      <c r="A140" s="41">
        <f t="shared" si="11"/>
        <v>21</v>
      </c>
      <c r="B140" s="41">
        <v>920</v>
      </c>
      <c r="C140" s="37" t="s">
        <v>436</v>
      </c>
      <c r="D140" s="126">
        <f>+'IRR 202 Detail '!L89</f>
        <v>44958</v>
      </c>
      <c r="E140" s="41">
        <v>1</v>
      </c>
      <c r="F140" s="62">
        <f>+'IRR 202 Detail '!X89</f>
        <v>155577.40381943376</v>
      </c>
      <c r="G140" s="67"/>
      <c r="H140" s="41"/>
      <c r="I140" s="62">
        <f>+'IRR 202 Detail '!AD89</f>
        <v>178206.84437498779</v>
      </c>
      <c r="J140" s="62"/>
      <c r="K140" s="291"/>
      <c r="M140" s="41" t="s">
        <v>112</v>
      </c>
      <c r="Q140" s="41">
        <f t="shared" si="14"/>
        <v>1</v>
      </c>
    </row>
    <row r="141" spans="1:17" x14ac:dyDescent="0.2">
      <c r="A141" s="41">
        <f t="shared" si="11"/>
        <v>22</v>
      </c>
      <c r="B141" s="41">
        <v>920</v>
      </c>
      <c r="C141" s="37" t="s">
        <v>437</v>
      </c>
      <c r="D141" s="126">
        <f>+'IRR 202 Detail '!L90</f>
        <v>45231</v>
      </c>
      <c r="E141" s="41">
        <v>1</v>
      </c>
      <c r="F141" s="62">
        <f>+'IRR 202 Detail '!X90</f>
        <v>12977.872563757501</v>
      </c>
      <c r="G141" s="67"/>
      <c r="H141" s="41"/>
      <c r="I141" s="62">
        <f>+'IRR 202 Detail '!AD90</f>
        <v>81760.597151672264</v>
      </c>
      <c r="J141" s="62"/>
      <c r="K141" s="291"/>
      <c r="M141" s="41" t="s">
        <v>112</v>
      </c>
    </row>
    <row r="142" spans="1:17" x14ac:dyDescent="0.2">
      <c r="A142" s="41">
        <f t="shared" si="11"/>
        <v>23</v>
      </c>
      <c r="B142" s="41">
        <v>920</v>
      </c>
      <c r="C142" s="37" t="s">
        <v>247</v>
      </c>
      <c r="D142" s="126">
        <f>+'IRR 202 Detail '!L93</f>
        <v>45231</v>
      </c>
      <c r="E142" s="41">
        <v>1</v>
      </c>
      <c r="F142" s="62">
        <f>+'IRR 202 Detail '!X93</f>
        <v>12977.872563757501</v>
      </c>
      <c r="G142" s="67"/>
      <c r="H142" s="41"/>
      <c r="I142" s="62">
        <f>+'IRR 202 Detail '!AD93</f>
        <v>81760.597151672264</v>
      </c>
      <c r="J142" s="62"/>
      <c r="K142" s="291"/>
      <c r="M142" s="41" t="s">
        <v>132</v>
      </c>
    </row>
    <row r="143" spans="1:17" x14ac:dyDescent="0.2">
      <c r="A143" s="41">
        <f t="shared" si="11"/>
        <v>24</v>
      </c>
      <c r="B143" s="41">
        <v>920</v>
      </c>
      <c r="C143" s="37" t="s">
        <v>248</v>
      </c>
      <c r="D143" s="126">
        <f>+'IRR 202 Detail '!L94</f>
        <v>45231</v>
      </c>
      <c r="E143" s="41">
        <v>1</v>
      </c>
      <c r="F143" s="62">
        <f>+'IRR 202 Detail '!X94</f>
        <v>18628.794723262501</v>
      </c>
      <c r="G143" s="67"/>
      <c r="H143" s="41"/>
      <c r="I143" s="62">
        <f>+'IRR 202 Detail '!AD94</f>
        <v>117361.40675655376</v>
      </c>
      <c r="J143" s="62"/>
      <c r="K143" s="291"/>
      <c r="M143" s="41" t="s">
        <v>132</v>
      </c>
    </row>
    <row r="144" spans="1:17" x14ac:dyDescent="0.2">
      <c r="A144" s="41">
        <f t="shared" si="11"/>
        <v>25</v>
      </c>
      <c r="B144" s="41">
        <v>920</v>
      </c>
      <c r="C144" s="37" t="s">
        <v>249</v>
      </c>
      <c r="D144" s="126">
        <f>+'IRR 202 Detail '!L95</f>
        <v>45231</v>
      </c>
      <c r="E144" s="41">
        <v>1</v>
      </c>
      <c r="F144" s="62">
        <f>+'IRR 202 Detail '!X95</f>
        <v>15488.978706022501</v>
      </c>
      <c r="G144" s="67"/>
      <c r="H144" s="41"/>
      <c r="I144" s="62">
        <f>+'IRR 202 Detail '!AD95</f>
        <v>97580.565847941762</v>
      </c>
      <c r="J144" s="62"/>
      <c r="K144" s="291"/>
      <c r="M144" s="41" t="s">
        <v>132</v>
      </c>
    </row>
    <row r="145" spans="1:17" x14ac:dyDescent="0.2">
      <c r="A145" s="41">
        <f t="shared" si="11"/>
        <v>26</v>
      </c>
      <c r="B145" s="41">
        <v>920</v>
      </c>
      <c r="C145" s="37" t="s">
        <v>426</v>
      </c>
      <c r="D145" s="126">
        <f>+'IRR 202 Detail '!L140</f>
        <v>45292</v>
      </c>
      <c r="E145" s="41"/>
      <c r="F145" s="62"/>
      <c r="G145" s="67"/>
      <c r="H145" s="41">
        <v>1</v>
      </c>
      <c r="I145" s="62">
        <f>+'IRR 202 Detail '!X140</f>
        <v>25137.125169691502</v>
      </c>
      <c r="J145" s="62"/>
      <c r="K145" s="291"/>
      <c r="M145" s="41" t="s">
        <v>133</v>
      </c>
    </row>
    <row r="146" spans="1:17" x14ac:dyDescent="0.2">
      <c r="A146" s="41">
        <f t="shared" si="11"/>
        <v>27</v>
      </c>
      <c r="B146" s="41">
        <v>920</v>
      </c>
      <c r="C146" s="37" t="s">
        <v>427</v>
      </c>
      <c r="D146" s="126">
        <f>+'IRR 202 Detail '!L141</f>
        <v>45292</v>
      </c>
      <c r="E146" s="41"/>
      <c r="F146" s="62"/>
      <c r="G146" s="67"/>
      <c r="H146" s="41">
        <v>1</v>
      </c>
      <c r="I146" s="62">
        <f>+'IRR 202 Detail '!X141</f>
        <v>18296.356096489078</v>
      </c>
      <c r="J146" s="62"/>
      <c r="K146" s="291"/>
      <c r="M146" s="41" t="s">
        <v>133</v>
      </c>
    </row>
    <row r="147" spans="1:17" x14ac:dyDescent="0.2">
      <c r="A147" s="41">
        <f t="shared" si="11"/>
        <v>28</v>
      </c>
      <c r="B147" s="41">
        <v>920</v>
      </c>
      <c r="C147" s="37" t="s">
        <v>428</v>
      </c>
      <c r="D147" s="126">
        <f>+'IRR 202 Detail '!L142</f>
        <v>45292</v>
      </c>
      <c r="E147" s="41"/>
      <c r="F147" s="62"/>
      <c r="G147" s="67"/>
      <c r="H147" s="41">
        <v>1</v>
      </c>
      <c r="I147" s="62">
        <f>+'IRR 202 Detail '!X142</f>
        <v>37556.197056968624</v>
      </c>
      <c r="J147" s="62"/>
      <c r="K147" s="291"/>
      <c r="M147" s="41" t="s">
        <v>133</v>
      </c>
      <c r="Q147" s="41">
        <f>+H147</f>
        <v>1</v>
      </c>
    </row>
    <row r="148" spans="1:17" x14ac:dyDescent="0.2">
      <c r="A148" s="41">
        <f t="shared" si="11"/>
        <v>29</v>
      </c>
      <c r="B148" s="41">
        <v>920</v>
      </c>
      <c r="C148" s="37" t="s">
        <v>429</v>
      </c>
      <c r="D148" s="126">
        <f>+'IRR 202 Detail '!L143</f>
        <v>45292</v>
      </c>
      <c r="E148" s="41"/>
      <c r="F148" s="62"/>
      <c r="G148" s="67"/>
      <c r="H148" s="41">
        <v>1</v>
      </c>
      <c r="I148" s="62">
        <f>+'IRR 202 Detail '!X143</f>
        <v>29340.351689138439</v>
      </c>
      <c r="J148" s="62"/>
      <c r="K148" s="291"/>
      <c r="M148" s="41" t="s">
        <v>133</v>
      </c>
    </row>
    <row r="149" spans="1:17" x14ac:dyDescent="0.2">
      <c r="A149" s="41">
        <f t="shared" si="11"/>
        <v>30</v>
      </c>
      <c r="B149" s="41">
        <v>920</v>
      </c>
      <c r="C149" s="37" t="s">
        <v>430</v>
      </c>
      <c r="D149" s="126">
        <f>+'IRR 202 Detail '!L144</f>
        <v>45292</v>
      </c>
      <c r="E149" s="41"/>
      <c r="F149" s="62"/>
      <c r="G149" s="67"/>
      <c r="H149" s="41">
        <v>1</v>
      </c>
      <c r="I149" s="62">
        <f>+'IRR 202 Detail '!X144</f>
        <v>40880.298575836132</v>
      </c>
      <c r="J149" s="62"/>
      <c r="K149" s="291"/>
      <c r="M149" s="41" t="s">
        <v>133</v>
      </c>
      <c r="Q149" s="41">
        <f>+H149</f>
        <v>1</v>
      </c>
    </row>
    <row r="150" spans="1:17" x14ac:dyDescent="0.2">
      <c r="A150" s="41">
        <f t="shared" si="11"/>
        <v>31</v>
      </c>
      <c r="B150" s="41">
        <v>920</v>
      </c>
      <c r="C150" s="37" t="s">
        <v>252</v>
      </c>
      <c r="D150" s="126">
        <f>+'IRR 202 Detail '!L154</f>
        <v>45292</v>
      </c>
      <c r="E150" s="41"/>
      <c r="F150" s="62"/>
      <c r="G150" s="67"/>
      <c r="H150" s="41">
        <v>1</v>
      </c>
      <c r="I150" s="62">
        <f>+'IRR 202 Detail '!X154</f>
        <v>134064.66757168801</v>
      </c>
      <c r="J150" s="62"/>
      <c r="K150" s="291"/>
      <c r="M150" s="41" t="s">
        <v>132</v>
      </c>
    </row>
    <row r="151" spans="1:17" x14ac:dyDescent="0.2">
      <c r="A151" s="41">
        <f t="shared" si="11"/>
        <v>32</v>
      </c>
      <c r="B151" s="41">
        <v>920</v>
      </c>
      <c r="C151" s="37" t="s">
        <v>253</v>
      </c>
      <c r="D151" s="126">
        <f>+'IRR 202 Detail '!L155</f>
        <v>45352</v>
      </c>
      <c r="E151" s="41"/>
      <c r="F151" s="62"/>
      <c r="G151" s="67"/>
      <c r="H151" s="41">
        <v>1</v>
      </c>
      <c r="I151" s="62">
        <f>+'IRR 202 Detail '!X155</f>
        <v>68133.830959726896</v>
      </c>
      <c r="J151" s="62"/>
      <c r="K151" s="291"/>
      <c r="M151" s="41" t="s">
        <v>132</v>
      </c>
    </row>
    <row r="152" spans="1:17" x14ac:dyDescent="0.2">
      <c r="A152" s="41">
        <f t="shared" si="11"/>
        <v>33</v>
      </c>
      <c r="B152" s="41">
        <v>920</v>
      </c>
      <c r="C152" s="37" t="s">
        <v>254</v>
      </c>
      <c r="D152" s="126">
        <f>+'IRR 202 Detail '!L156</f>
        <v>45352</v>
      </c>
      <c r="E152" s="41"/>
      <c r="F152" s="62"/>
      <c r="G152" s="67"/>
      <c r="H152" s="41">
        <v>1</v>
      </c>
      <c r="I152" s="62">
        <f>+'IRR 202 Detail '!X156</f>
        <v>68133.830959726896</v>
      </c>
      <c r="J152" s="62"/>
      <c r="K152" s="291"/>
      <c r="M152" s="41" t="s">
        <v>132</v>
      </c>
    </row>
    <row r="153" spans="1:17" x14ac:dyDescent="0.2">
      <c r="A153" s="41">
        <f t="shared" si="11"/>
        <v>34</v>
      </c>
      <c r="B153" s="41">
        <v>920</v>
      </c>
      <c r="C153" s="37" t="s">
        <v>255</v>
      </c>
      <c r="D153" s="126">
        <f>+'IRR 202 Detail '!L157</f>
        <v>45352</v>
      </c>
      <c r="E153" s="41"/>
      <c r="F153" s="62"/>
      <c r="G153" s="67"/>
      <c r="H153" s="41">
        <v>1</v>
      </c>
      <c r="I153" s="62">
        <f>+'IRR 202 Detail '!X157</f>
        <v>81317.13820661814</v>
      </c>
      <c r="J153" s="62"/>
      <c r="K153" s="291"/>
      <c r="M153" s="41" t="s">
        <v>132</v>
      </c>
    </row>
    <row r="154" spans="1:17" x14ac:dyDescent="0.2">
      <c r="A154" s="41">
        <f t="shared" si="11"/>
        <v>35</v>
      </c>
      <c r="B154" s="41">
        <v>920</v>
      </c>
      <c r="C154" s="37" t="s">
        <v>256</v>
      </c>
      <c r="D154" s="126">
        <f>+'IRR 202 Detail '!L158</f>
        <v>45292</v>
      </c>
      <c r="E154" s="41"/>
      <c r="F154" s="62"/>
      <c r="G154" s="67"/>
      <c r="H154" s="41">
        <v>1</v>
      </c>
      <c r="I154" s="62">
        <f>+'IRR 202 Detail '!X158</f>
        <v>45089.243401797001</v>
      </c>
      <c r="J154" s="62"/>
      <c r="K154" s="291"/>
      <c r="M154" s="41" t="s">
        <v>132</v>
      </c>
    </row>
    <row r="155" spans="1:17" x14ac:dyDescent="0.2">
      <c r="A155" s="41">
        <f t="shared" si="11"/>
        <v>36</v>
      </c>
      <c r="B155" s="41">
        <v>920</v>
      </c>
      <c r="C155" s="37" t="s">
        <v>257</v>
      </c>
      <c r="D155" s="126">
        <f>+'IRR 202 Detail '!L159</f>
        <v>45292</v>
      </c>
      <c r="E155" s="41"/>
      <c r="F155" s="62"/>
      <c r="G155" s="67"/>
      <c r="H155" s="41">
        <v>1</v>
      </c>
      <c r="I155" s="62">
        <f>+'IRR 202 Detail '!X159</f>
        <v>81760.597151672264</v>
      </c>
      <c r="J155" s="62"/>
      <c r="K155" s="291"/>
      <c r="M155" s="41" t="s">
        <v>132</v>
      </c>
    </row>
    <row r="156" spans="1:17" x14ac:dyDescent="0.2">
      <c r="A156" s="41">
        <f t="shared" si="11"/>
        <v>37</v>
      </c>
      <c r="B156" s="41">
        <v>920</v>
      </c>
      <c r="C156" s="37" t="s">
        <v>258</v>
      </c>
      <c r="D156" s="126">
        <f>+'IRR 202 Detail '!L160</f>
        <v>45292</v>
      </c>
      <c r="E156" s="41"/>
      <c r="F156" s="62"/>
      <c r="G156" s="67"/>
      <c r="H156" s="41">
        <v>1</v>
      </c>
      <c r="I156" s="62">
        <f>+'IRR 202 Detail '!X160</f>
        <v>45089.243401797001</v>
      </c>
      <c r="J156" s="62"/>
      <c r="K156" s="291"/>
      <c r="M156" s="41" t="s">
        <v>132</v>
      </c>
    </row>
    <row r="157" spans="1:17" x14ac:dyDescent="0.2">
      <c r="A157" s="41">
        <f t="shared" si="11"/>
        <v>38</v>
      </c>
      <c r="B157" s="41">
        <v>920</v>
      </c>
      <c r="C157" s="37" t="s">
        <v>259</v>
      </c>
      <c r="D157" s="126">
        <f>+'IRR 202 Detail '!L166</f>
        <v>45292</v>
      </c>
      <c r="E157" s="41"/>
      <c r="F157" s="62"/>
      <c r="G157" s="67"/>
      <c r="H157" s="41">
        <v>1</v>
      </c>
      <c r="I157" s="62">
        <f>+'IRR 202 Detail '!X166</f>
        <v>47700.454680030605</v>
      </c>
      <c r="J157" s="62"/>
      <c r="K157" s="291"/>
      <c r="M157" s="41" t="s">
        <v>132</v>
      </c>
    </row>
    <row r="158" spans="1:17" x14ac:dyDescent="0.2">
      <c r="A158" s="41">
        <f t="shared" si="11"/>
        <v>39</v>
      </c>
      <c r="B158" s="41">
        <v>920</v>
      </c>
      <c r="C158" s="37" t="s">
        <v>260</v>
      </c>
      <c r="D158" s="126">
        <f>+'IRR 202 Detail '!L167</f>
        <v>45292</v>
      </c>
      <c r="E158" s="41"/>
      <c r="F158" s="62"/>
      <c r="G158" s="67"/>
      <c r="H158" s="41">
        <v>2</v>
      </c>
      <c r="I158" s="62">
        <f>+'IRR 202 Detail '!X167</f>
        <v>136612.79218711847</v>
      </c>
      <c r="J158" s="62"/>
      <c r="K158" s="291"/>
      <c r="M158" s="41" t="s">
        <v>132</v>
      </c>
    </row>
    <row r="159" spans="1:17" x14ac:dyDescent="0.2">
      <c r="A159" s="41">
        <f t="shared" si="11"/>
        <v>40</v>
      </c>
      <c r="B159" s="41">
        <v>920</v>
      </c>
      <c r="C159" s="37" t="s">
        <v>431</v>
      </c>
      <c r="D159" s="126">
        <f>+'IRR 202 Detail '!L170</f>
        <v>45292</v>
      </c>
      <c r="E159" s="41"/>
      <c r="F159" s="62"/>
      <c r="G159" s="67"/>
      <c r="H159" s="41">
        <v>1</v>
      </c>
      <c r="I159" s="62">
        <f>+'IRR 202 Detail '!X170</f>
        <v>45089.243401797001</v>
      </c>
      <c r="J159" s="62"/>
      <c r="K159" s="291"/>
      <c r="M159" s="41" t="s">
        <v>112</v>
      </c>
    </row>
    <row r="160" spans="1:17" x14ac:dyDescent="0.2">
      <c r="A160" s="41">
        <f t="shared" si="11"/>
        <v>41</v>
      </c>
      <c r="B160" s="41">
        <v>920</v>
      </c>
      <c r="C160" s="37" t="s">
        <v>432</v>
      </c>
      <c r="D160" s="126">
        <f>+'IRR 202 Detail '!L171</f>
        <v>45292</v>
      </c>
      <c r="E160" s="41"/>
      <c r="F160" s="62"/>
      <c r="G160" s="67"/>
      <c r="H160" s="41">
        <v>1</v>
      </c>
      <c r="I160" s="62">
        <f>+'IRR 202 Detail '!X171</f>
        <v>70806.975947883009</v>
      </c>
      <c r="J160" s="62"/>
      <c r="K160" s="291"/>
      <c r="M160" s="41" t="s">
        <v>112</v>
      </c>
    </row>
    <row r="161" spans="1:22" x14ac:dyDescent="0.2">
      <c r="A161" s="41">
        <f t="shared" si="11"/>
        <v>42</v>
      </c>
      <c r="B161" s="41">
        <v>920</v>
      </c>
      <c r="C161" s="37" t="s">
        <v>392</v>
      </c>
      <c r="D161" s="126">
        <f>+'IRR 202 Detail '!L174</f>
        <v>45292</v>
      </c>
      <c r="E161" s="41"/>
      <c r="F161" s="67"/>
      <c r="G161" s="67"/>
      <c r="H161" s="41">
        <v>2</v>
      </c>
      <c r="I161" s="67">
        <f>+'IRR 202 Detail '!X174</f>
        <v>24528.179145501679</v>
      </c>
      <c r="J161" s="67"/>
      <c r="K161" s="291"/>
      <c r="M161" s="41" t="s">
        <v>132</v>
      </c>
    </row>
    <row r="162" spans="1:22" x14ac:dyDescent="0.2">
      <c r="A162" s="41">
        <f t="shared" si="11"/>
        <v>43</v>
      </c>
      <c r="B162" s="41">
        <v>920</v>
      </c>
      <c r="C162" s="37" t="s">
        <v>391</v>
      </c>
      <c r="D162" s="126">
        <f>+'IRR 202 Detail '!L175</f>
        <v>45292</v>
      </c>
      <c r="E162" s="41"/>
      <c r="F162" s="67"/>
      <c r="G162" s="67"/>
      <c r="H162" s="41">
        <v>1</v>
      </c>
      <c r="I162" s="67">
        <f>+'IRR 202 Detail '!X175</f>
        <v>17604.211013483062</v>
      </c>
      <c r="J162" s="67"/>
      <c r="K162" s="291"/>
      <c r="M162" s="41" t="s">
        <v>132</v>
      </c>
    </row>
    <row r="163" spans="1:22" x14ac:dyDescent="0.2">
      <c r="A163" s="41">
        <f t="shared" si="11"/>
        <v>44</v>
      </c>
      <c r="B163" s="41" t="s">
        <v>130</v>
      </c>
      <c r="D163" s="126"/>
      <c r="E163" s="129">
        <f>SUM(E120:E162)</f>
        <v>25</v>
      </c>
      <c r="F163" s="130">
        <f>SUM(F120:F162)</f>
        <v>737250.48614018725</v>
      </c>
      <c r="G163" s="67"/>
      <c r="H163" s="129">
        <f>SUM(H120:H162)</f>
        <v>20</v>
      </c>
      <c r="I163" s="130">
        <f>SUM(I120:I162)</f>
        <v>3224276.8592541954</v>
      </c>
      <c r="J163" s="67"/>
    </row>
    <row r="164" spans="1:22" x14ac:dyDescent="0.2">
      <c r="A164" s="41"/>
      <c r="B164" s="41"/>
      <c r="D164" s="126"/>
      <c r="E164" s="41"/>
      <c r="F164" s="62"/>
      <c r="G164" s="67"/>
      <c r="H164" s="41"/>
      <c r="I164" s="62"/>
      <c r="J164" s="62"/>
    </row>
    <row r="165" spans="1:22" x14ac:dyDescent="0.2">
      <c r="A165" s="41">
        <f>+A163+1</f>
        <v>45</v>
      </c>
      <c r="B165" s="41">
        <v>925</v>
      </c>
      <c r="C165" s="37" t="s">
        <v>262</v>
      </c>
      <c r="D165" s="126">
        <f>+'IRR 202 Detail '!L123</f>
        <v>45444</v>
      </c>
      <c r="E165" s="41"/>
      <c r="F165" s="62"/>
      <c r="G165" s="67"/>
      <c r="H165" s="41">
        <v>1</v>
      </c>
      <c r="I165" s="62">
        <f>+'IRR 202 Detail '!X123</f>
        <v>29325.889205081545</v>
      </c>
      <c r="J165" s="62"/>
      <c r="K165" s="291"/>
      <c r="M165" s="41" t="s">
        <v>115</v>
      </c>
    </row>
    <row r="166" spans="1:22" x14ac:dyDescent="0.2">
      <c r="A166" s="41">
        <f>+A165+1</f>
        <v>46</v>
      </c>
      <c r="B166" s="41">
        <v>925</v>
      </c>
      <c r="C166" s="37" t="s">
        <v>263</v>
      </c>
      <c r="D166" s="126">
        <f>+'IRR 202 Detail '!L147</f>
        <v>45444</v>
      </c>
      <c r="E166" s="41"/>
      <c r="F166" s="62"/>
      <c r="G166" s="67"/>
      <c r="H166" s="41">
        <v>1</v>
      </c>
      <c r="I166" s="62">
        <f>+'IRR 202 Detail '!X147</f>
        <v>56921.996744632699</v>
      </c>
      <c r="J166" s="62"/>
      <c r="K166" s="291"/>
      <c r="M166" s="41" t="s">
        <v>115</v>
      </c>
    </row>
    <row r="167" spans="1:22" x14ac:dyDescent="0.2">
      <c r="A167" s="41">
        <f t="shared" ref="A167:A170" si="15">+A166+1</f>
        <v>47</v>
      </c>
      <c r="B167" s="41">
        <v>925</v>
      </c>
      <c r="C167" s="37" t="s">
        <v>264</v>
      </c>
      <c r="D167" s="126">
        <f>+'IRR 202 Detail '!L148</f>
        <v>45292</v>
      </c>
      <c r="E167" s="41"/>
      <c r="F167" s="62"/>
      <c r="G167" s="67"/>
      <c r="H167" s="41">
        <v>1</v>
      </c>
      <c r="I167" s="62">
        <f>+'IRR 202 Detail '!X148</f>
        <v>97580.565847941762</v>
      </c>
      <c r="J167" s="62"/>
      <c r="K167" s="291"/>
      <c r="M167" s="41" t="s">
        <v>115</v>
      </c>
    </row>
    <row r="168" spans="1:22" x14ac:dyDescent="0.2">
      <c r="A168" s="41">
        <f t="shared" si="15"/>
        <v>48</v>
      </c>
      <c r="B168" s="41">
        <v>925</v>
      </c>
      <c r="C168" s="37" t="s">
        <v>265</v>
      </c>
      <c r="D168" s="126">
        <f>+'IRR 202 Detail '!L149</f>
        <v>45444</v>
      </c>
      <c r="E168" s="41"/>
      <c r="F168" s="62"/>
      <c r="G168" s="67"/>
      <c r="H168" s="41">
        <v>1</v>
      </c>
      <c r="I168" s="62">
        <f>+'IRR 202 Detail '!X149</f>
        <v>56921.996744632699</v>
      </c>
      <c r="J168" s="62"/>
      <c r="K168" s="291"/>
      <c r="M168" s="41" t="s">
        <v>115</v>
      </c>
    </row>
    <row r="169" spans="1:22" x14ac:dyDescent="0.2">
      <c r="A169" s="41">
        <f t="shared" si="15"/>
        <v>49</v>
      </c>
      <c r="B169" s="41">
        <v>925</v>
      </c>
      <c r="C169" s="37" t="s">
        <v>266</v>
      </c>
      <c r="D169" s="126">
        <f>+'IRR 202 Detail '!L151</f>
        <v>45352</v>
      </c>
      <c r="E169" s="41"/>
      <c r="F169" s="67"/>
      <c r="G169" s="67"/>
      <c r="H169" s="41">
        <v>1</v>
      </c>
      <c r="I169" s="67">
        <f>+'IRR 202 Detail '!X151</f>
        <v>8131.7138206618147</v>
      </c>
      <c r="J169" s="67"/>
      <c r="K169" s="291"/>
      <c r="M169" s="41" t="s">
        <v>115</v>
      </c>
    </row>
    <row r="170" spans="1:22" x14ac:dyDescent="0.2">
      <c r="A170" s="41">
        <f t="shared" si="15"/>
        <v>50</v>
      </c>
      <c r="B170" s="41" t="s">
        <v>147</v>
      </c>
      <c r="E170" s="130">
        <f>SUM(E165:E169)</f>
        <v>0</v>
      </c>
      <c r="F170" s="130">
        <f>SUM(F165:F169)</f>
        <v>0</v>
      </c>
      <c r="G170" s="67"/>
      <c r="H170" s="129">
        <f>SUM(H165:H169)</f>
        <v>5</v>
      </c>
      <c r="I170" s="130">
        <f>SUM(I165:I169)</f>
        <v>248882.16236295053</v>
      </c>
      <c r="J170" s="67"/>
    </row>
    <row r="171" spans="1:22" x14ac:dyDescent="0.2">
      <c r="A171" s="41"/>
      <c r="B171" s="41"/>
      <c r="E171" s="41"/>
      <c r="F171" s="136"/>
      <c r="G171" s="67"/>
      <c r="H171" s="41"/>
      <c r="I171" s="136"/>
      <c r="J171" s="67"/>
    </row>
    <row r="172" spans="1:22" ht="13.5" thickBot="1" x14ac:dyDescent="0.25">
      <c r="A172" s="41"/>
      <c r="C172" s="39" t="s">
        <v>362</v>
      </c>
      <c r="E172" s="131">
        <f>+E170+E163+E107+E101+E97+E72+E34</f>
        <v>90.4</v>
      </c>
      <c r="F172" s="137">
        <f>+F34+F72+F97+F101+F107+F163+F170</f>
        <v>1551793.7950024167</v>
      </c>
      <c r="G172" s="67"/>
      <c r="H172" s="131">
        <f>+H170+H163+H107+H101+H97+H72+H34</f>
        <v>64</v>
      </c>
      <c r="I172" s="137">
        <f>+I34+I72+I97+I101+I107+I163+I170</f>
        <v>7663232.5210807985</v>
      </c>
      <c r="J172" s="67"/>
    </row>
    <row r="173" spans="1:22" ht="13.5" thickTop="1" x14ac:dyDescent="0.2">
      <c r="A173" s="41"/>
      <c r="B173" s="41"/>
      <c r="I173" s="67"/>
      <c r="J173" s="67"/>
    </row>
    <row r="174" spans="1:22" x14ac:dyDescent="0.2">
      <c r="A174" s="285"/>
      <c r="B174" s="286"/>
      <c r="C174" s="286"/>
      <c r="D174" s="286"/>
      <c r="E174" s="130"/>
      <c r="F174" s="286"/>
      <c r="G174" s="130"/>
      <c r="H174" s="286"/>
      <c r="I174" s="287"/>
      <c r="J174" s="286"/>
      <c r="K174" s="287"/>
      <c r="L174" s="287"/>
      <c r="M174" s="286"/>
      <c r="N174" s="285" t="s">
        <v>78</v>
      </c>
      <c r="O174" s="286"/>
      <c r="P174" s="3"/>
      <c r="Q174" s="3">
        <f>SUM(Q11:Q173)</f>
        <v>66</v>
      </c>
      <c r="R174" s="2"/>
      <c r="S174" s="2"/>
      <c r="U174" s="2"/>
      <c r="V174" s="2"/>
    </row>
    <row r="175" spans="1:22" x14ac:dyDescent="0.2">
      <c r="C175" s="39"/>
      <c r="E175" s="138"/>
      <c r="F175" s="67"/>
      <c r="G175" s="67"/>
      <c r="H175" s="138"/>
      <c r="I175" s="67"/>
      <c r="J175" s="67"/>
    </row>
    <row r="176" spans="1:22" x14ac:dyDescent="0.2">
      <c r="C176" s="39"/>
      <c r="E176" s="138"/>
      <c r="F176" s="67"/>
      <c r="G176" s="67"/>
      <c r="H176" s="138"/>
      <c r="I176" s="67"/>
      <c r="J176" s="67"/>
    </row>
    <row r="178" spans="4:10" x14ac:dyDescent="0.2">
      <c r="D178" s="37" t="s">
        <v>268</v>
      </c>
      <c r="E178" s="67"/>
      <c r="F178" s="67">
        <f>F172-'SCHG2-19'!K522</f>
        <v>0</v>
      </c>
      <c r="G178" s="67"/>
      <c r="H178" s="67"/>
      <c r="I178" s="67">
        <f>I172-'SCHG2-19'!M522</f>
        <v>-0.40000000037252903</v>
      </c>
      <c r="J178" s="67"/>
    </row>
    <row r="179" spans="4:10" ht="13.5" thickTop="1" x14ac:dyDescent="0.2">
      <c r="D179" s="37" t="s">
        <v>268</v>
      </c>
      <c r="E179" s="67">
        <f>+E172-'IRR 202 Detail '!K98-E71</f>
        <v>5.773159728050814E-15</v>
      </c>
      <c r="F179" s="67">
        <f>+F172-F71-'IRR 202 Detail '!X98</f>
        <v>0</v>
      </c>
      <c r="G179" s="67"/>
      <c r="H179" s="67">
        <f>+H172-'IRR 202 Detail '!K178-H71</f>
        <v>0</v>
      </c>
      <c r="I179" s="67">
        <f>+I172-I71-'IRR 202 Detail '!AD98-'IRR 202 Detail '!X178</f>
        <v>0.20000000018626451</v>
      </c>
      <c r="J179" s="67"/>
    </row>
    <row r="183" spans="4:10" x14ac:dyDescent="0.2">
      <c r="E183" s="139"/>
      <c r="F183" s="139"/>
      <c r="G183" s="139"/>
      <c r="H183" s="139"/>
      <c r="I183" s="139"/>
      <c r="J183" s="139"/>
    </row>
  </sheetData>
  <pageMargins left="0.7" right="0.7" top="0.75" bottom="0.75" header="0.3" footer="0.3"/>
  <pageSetup scale="49" fitToHeight="2" orientation="landscape" r:id="rId1"/>
  <rowBreaks count="2" manualBreakCount="2">
    <brk id="72" max="16383" man="1"/>
    <brk id="107" max="13" man="1"/>
  </rowBreaks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32e xmlns="94791c15-4105-42df-b17e-66b53d20fde0" xsi:nil="true"/>
    <v0l2 xmlns="94791c15-4105-42df-b17e-66b53d20fde0" xsi:nil="true"/>
    <_x006f_wl1 xmlns="94791c15-4105-42df-b17e-66b53d20fde0" xsi:nil="true"/>
    <p5l3 xmlns="94791c15-4105-42df-b17e-66b53d20fde0" xsi:nil="true"/>
    <CaseNumber xmlns="94791c15-4105-42df-b17e-66b53d20fde0" xsi:nil="true"/>
    <ecve xmlns="94791c15-4105-42df-b17e-66b53d20fde0" xsi:nil="true"/>
    <SRCH_DocketId xmlns="94791c15-4105-42df-b17e-66b53d20fde0">1347</SRCH_DocketId>
    <CaseStatus xmlns="94791c15-4105-42df-b17e-66b53d20fde0" xsi:nil="true"/>
    <r7hx xmlns="94791c15-4105-42df-b17e-66b53d20fde0" xsi:nil="true"/>
    <t97y xmlns="94791c15-4105-42df-b17e-66b53d20fde0" xsi:nil="true"/>
    <CaseSubjects xmlns="94791c15-4105-42df-b17e-66b53d20fde0" xsi:nil="true"/>
    <nlpa xmlns="94791c15-4105-42df-b17e-66b53d20fde0" xsi:nil="true"/>
    <CaseType xmlns="94791c15-4105-42df-b17e-66b53d20fde0" xsi:nil="true"/>
    <_x0074_z17 xmlns="94791c15-4105-42df-b17e-66b53d20fde0" xsi:nil="true"/>
    <cjek xmlns="94791c15-4105-42df-b17e-66b53d20fde0" xsi:nil="true"/>
    <lnzj xmlns="94791c15-4105-42df-b17e-66b53d20fde0" xsi:nil="true"/>
    <CaseCompanyName xmlns="94791c15-4105-42df-b17e-66b53d20fde0" xsi:nil="true"/>
    <CaseJurisdiction xmlns="94791c15-4105-42df-b17e-66b53d20fde0" xsi:nil="true"/>
    <IsKeyDocket xmlns="94791c15-4105-42df-b17e-66b53d20fde0">false</IsKeyDocket>
    <SRCH_ObjectType xmlns="94791c15-4105-42df-b17e-66b53d20fde0">PWD</SRCH_ObjectType>
    <u4qg xmlns="94791c15-4105-42df-b17e-66b53d20fde0" xsi:nil="true"/>
    <Comments xmlns="94791C15-4105-42DF-B17E-66B53D20FDE0" xsi:nil="true"/>
    <CasePracticeArea xmlns="94791c15-4105-42df-b17e-66b53d20fde0" xsi:nil="true"/>
    <fofx xmlns="94791c15-4105-42df-b17e-66b53d20fde0" xsi:nil="true"/>
    <drsa xmlns="94791c15-4105-42df-b17e-66b53d20fd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608092D5FFA4392FDE7D3E45BB3EA" ma:contentTypeVersion="" ma:contentTypeDescription="Create a new document." ma:contentTypeScope="" ma:versionID="e815cc0a7db614693e5b78dfe261c25f">
  <xsd:schema xmlns:xsd="http://www.w3.org/2001/XMLSchema" xmlns:xs="http://www.w3.org/2001/XMLSchema" xmlns:p="http://schemas.microsoft.com/office/2006/metadata/properties" xmlns:ns2="94791C15-4105-42DF-B17E-66B53D20FDE0" xmlns:ns3="94791c15-4105-42df-b17e-66b53d20fde0" xmlns:ns4="ce9d3abe-bc67-4c3a-8bb7-62a662d1f451" targetNamespace="http://schemas.microsoft.com/office/2006/metadata/properties" ma:root="true" ma:fieldsID="f4dc4353672a7da8690d239080219c5a" ns2:_="" ns3:_="" ns4:_="">
    <xsd:import namespace="94791C15-4105-42DF-B17E-66B53D20FDE0"/>
    <xsd:import namespace="94791c15-4105-42df-b17e-66b53d20fde0"/>
    <xsd:import namespace="ce9d3abe-bc67-4c3a-8bb7-62a662d1f451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nlpa" minOccurs="0"/>
                <xsd:element ref="ns3:v0l2" minOccurs="0"/>
                <xsd:element ref="ns3:ecve" minOccurs="0"/>
                <xsd:element ref="ns3:lnzj" minOccurs="0"/>
                <xsd:element ref="ns3:cjek" minOccurs="0"/>
                <xsd:element ref="ns3:u4qg" minOccurs="0"/>
                <xsd:element ref="ns3:t97y" minOccurs="0"/>
                <xsd:element ref="ns3:r7hx" minOccurs="0"/>
                <xsd:element ref="ns3:_x006f_wl1" minOccurs="0"/>
                <xsd:element ref="ns3:fofx" minOccurs="0"/>
                <xsd:element ref="ns3:a32e" minOccurs="0"/>
                <xsd:element ref="ns3:p5l3" minOccurs="0"/>
                <xsd:element ref="ns3:_x0074_z17" minOccurs="0"/>
                <xsd:element ref="ns4:SharedWithUsers" minOccurs="0"/>
                <xsd:element ref="ns4:SharedWithDetails" minOccurs="0"/>
                <xsd:element ref="ns3:drs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Highly CONF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nlpa" ma:index="19" nillable="true" ma:displayName="Due Date-FINAL" ma:internalName="nlpa">
      <xsd:simpleType>
        <xsd:restriction base="dms:Text"/>
      </xsd:simpleType>
    </xsd:element>
    <xsd:element name="v0l2" ma:index="20" nillable="true" ma:displayName="Filing Status" ma:internalName="v0l2">
      <xsd:simpleType>
        <xsd:restriction base="dms:Text"/>
      </xsd:simpleType>
    </xsd:element>
    <xsd:element name="ecve" ma:index="21" nillable="true" ma:displayName="Discovery Lead" ma:internalName="ecve">
      <xsd:simpleType>
        <xsd:restriction base="dms:Text"/>
      </xsd:simpleType>
    </xsd:element>
    <xsd:element name="lnzj" ma:index="22" nillable="true" ma:displayName="CONF Nos." ma:internalName="lnzj">
      <xsd:simpleType>
        <xsd:restriction base="dms:Text"/>
      </xsd:simpleType>
    </xsd:element>
    <xsd:element name="cjek" ma:index="23" nillable="true" ma:displayName="Followup Notes" ma:internalName="cjek">
      <xsd:simpleType>
        <xsd:restriction base="dms:Text"/>
      </xsd:simpleType>
    </xsd:element>
    <xsd:element name="u4qg" ma:index="24" nillable="true" ma:displayName="Objections Due" ma:internalName="u4qg">
      <xsd:simpleType>
        <xsd:restriction base="dms:Text"/>
      </xsd:simpleType>
    </xsd:element>
    <xsd:element name="t97y" ma:index="25" nillable="true" ma:displayName="1st Draft Due" ma:internalName="t97y">
      <xsd:simpleType>
        <xsd:restriction base="dms:Text"/>
      </xsd:simpleType>
    </xsd:element>
    <xsd:element name="r7hx" ma:index="26" nillable="true" ma:displayName="2nd Draft Due" ma:internalName="r7hx">
      <xsd:simpleType>
        <xsd:restriction base="dms:Text"/>
      </xsd:simpleType>
    </xsd:element>
    <xsd:element name="_x006f_wl1" ma:index="27" nillable="true" ma:displayName="Final Draft Due" ma:internalName="_x006f_wl1">
      <xsd:simpleType>
        <xsd:restriction base="dms:Text"/>
      </xsd:simpleType>
    </xsd:element>
    <xsd:element name="fofx" ma:index="28" nillable="true" ma:displayName="Initial Review Meeting" ma:internalName="fofx">
      <xsd:simpleType>
        <xsd:restriction base="dms:Text"/>
      </xsd:simpleType>
    </xsd:element>
    <xsd:element name="a32e" ma:index="29" nillable="true" ma:displayName="1st Draft Review Meeting" ma:internalName="a32e">
      <xsd:simpleType>
        <xsd:restriction base="dms:Text"/>
      </xsd:simpleType>
    </xsd:element>
    <xsd:element name="p5l3" ma:index="30" nillable="true" ma:displayName="2nd Draft Review Meeting" ma:internalName="p5l3">
      <xsd:simpleType>
        <xsd:restriction base="dms:Text"/>
      </xsd:simpleType>
    </xsd:element>
    <xsd:element name="_x0074_z17" ma:index="31" nillable="true" ma:displayName="Final Review Meeting" ma:internalName="_x0074_z17">
      <xsd:simpleType>
        <xsd:restriction base="dms:Text"/>
      </xsd:simpleType>
    </xsd:element>
    <xsd:element name="drsa" ma:index="34" nillable="true" ma:displayName="Bates Nos." ma:internalName="drs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d3abe-bc67-4c3a-8bb7-62a662d1f451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EB81F-A7C8-4D2E-A45D-C93E8B52972F}">
  <ds:schemaRefs>
    <ds:schemaRef ds:uri="http://purl.org/dc/elements/1.1/"/>
    <ds:schemaRef ds:uri="http://schemas.microsoft.com/office/2006/documentManagement/types"/>
    <ds:schemaRef ds:uri="94791C15-4105-42DF-B17E-66B53D20FD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94791c15-4105-42df-b17e-66b53d20fde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51F77B-6223-4233-BBA9-6B7692E9A9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39C32-8D87-4DFE-BAA8-7C1E72D97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IRR 202 Summary</vt:lpstr>
      <vt:lpstr>IRR 202 Detail </vt:lpstr>
      <vt:lpstr>SCHG2-19</vt:lpstr>
      <vt:lpstr>SCHG2-19b</vt:lpstr>
      <vt:lpstr>SCHG2-19c to 19e</vt:lpstr>
      <vt:lpstr>'IRR 202 Detail '!Print_Area</vt:lpstr>
      <vt:lpstr>'IRR 202 Summary'!Print_Area</vt:lpstr>
      <vt:lpstr>'SCHG2-19'!Print_Area</vt:lpstr>
      <vt:lpstr>'SCHG2-19b'!Print_Area</vt:lpstr>
      <vt:lpstr>'SCHG2-19c to 19e'!Print_Area</vt:lpstr>
      <vt:lpstr>'SCHG2-19'!Print_Area_MI</vt:lpstr>
      <vt:lpstr>'IRR 202 Detail '!Print_Titles</vt:lpstr>
      <vt:lpstr>'IRR 202 Summary'!Print_Titles</vt:lpstr>
      <vt:lpstr>'SCHG2-19b'!Print_Titles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Hillary, Sean P.</dc:creator>
  <cp:lastModifiedBy>Vega, Tison</cp:lastModifiedBy>
  <cp:lastPrinted>2023-03-21T19:46:17Z</cp:lastPrinted>
  <dcterms:created xsi:type="dcterms:W3CDTF">2020-03-03T18:50:51Z</dcterms:created>
  <dcterms:modified xsi:type="dcterms:W3CDTF">2023-07-27T14:01:21Z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2022-11-18T15:22:18Z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306dc3de-e866-46b2-8256-b7819e822169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0x010100997608092D5FFA4392FDE7D3E45BB3EA</vt:lpwstr>
  </property>
</Properties>
</file>